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updateLinks="never" codeName="ThisWorkbook"/>
  <mc:AlternateContent>
    <mc:Choice Requires="x15">
      <x15ac:absPath xmlns:x15ac="http://schemas.microsoft.com/office/spreadsheetml/2010/11/ac" url="C:\Users\alexr\Documents\PROGRAMMING\WORK\workingDayBot\"/>
    </mc:Choice>
  </mc:AlternateContent>
  <xr:revisionPtr revIDLastSave="0" documentId="13_ncr:1_{A20824AB-A4A8-4E52-A95B-EFC666E6B28D}" xr6:coauthVersionLast="47" xr6:coauthVersionMax="47" xr10:uidLastSave="{00000000-0000-0000-0000-000000000000}"/>
  <bookViews>
    <workbookView xWindow="-120" yWindow="330" windowWidth="29040" windowHeight="15990" tabRatio="718" xr2:uid="{00000000-000D-0000-FFFF-FFFF00000000}"/>
  </bookViews>
  <sheets>
    <sheet name="Data_Tech" sheetId="9" r:id="rId1"/>
    <sheet name="сверхур" sheetId="26" r:id="rId2"/>
    <sheet name="Лист2" sheetId="68" state="hidden" r:id="rId3"/>
    <sheet name="наряд выходн" sheetId="59" r:id="rId4"/>
    <sheet name="расчет" sheetId="57" r:id="rId5"/>
    <sheet name="база" sheetId="10" r:id="rId6"/>
    <sheet name="наряд СУ" sheetId="60" r:id="rId7"/>
    <sheet name="св-185" sheetId="38" r:id="rId8"/>
    <sheet name="св6001" sheetId="65" r:id="rId9"/>
    <sheet name="757-3" sheetId="25" r:id="rId10"/>
    <sheet name="6001п20" sheetId="61" r:id="rId11"/>
    <sheet name="6001-21" sheetId="62" r:id="rId12"/>
    <sheet name="6001-22" sheetId="63" r:id="rId13"/>
    <sheet name="85-4" sheetId="40" r:id="rId14"/>
    <sheet name="ЭВПН" sheetId="64" r:id="rId15"/>
    <sheet name="6001-23" sheetId="66" r:id="rId16"/>
  </sheets>
  <functionGroups builtInGroupCount="19"/>
  <externalReferences>
    <externalReference r:id="rId17"/>
  </externalReferences>
  <definedNames>
    <definedName name="_xlnm._FilterDatabase" localSheetId="0" hidden="1">Data_Tech!$A$1:$AK$837</definedName>
    <definedName name="_xlnm.Print_Area" localSheetId="11">'6001-21'!$A$1:$AJ$37</definedName>
    <definedName name="_xlnm.Print_Area" localSheetId="12">'6001-22'!$A$1:$AJ$37</definedName>
    <definedName name="_xlnm.Print_Area" localSheetId="15">'6001-23'!$A$1:$AJ$36</definedName>
    <definedName name="_xlnm.Print_Area" localSheetId="10">'6001п20'!$A$1:$AJ$37</definedName>
    <definedName name="_xlnm.Print_Area" localSheetId="9">'757-3'!$A$1:$AJ$37</definedName>
    <definedName name="_xlnm.Print_Area" localSheetId="13">'85-4'!$A$1:$AJ$33</definedName>
    <definedName name="_xlnm.Print_Area" localSheetId="3">'наряд выходн'!$A$1:$AA$807</definedName>
    <definedName name="_xlnm.Print_Area" localSheetId="4">расчет!$A$1:$AA$905</definedName>
    <definedName name="_xlnm.Print_Area" localSheetId="7">'св-185'!$A$1:$AJ$30</definedName>
    <definedName name="_xlnm.Print_Area" localSheetId="8">св6001!$A$1:$AJ$29</definedName>
    <definedName name="_xlnm.Print_Area" localSheetId="1">#REF!</definedName>
    <definedName name="_xlnm.Print_Area" localSheetId="14">ЭВПН!$A$1:$AJ$34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" i="9" l="1" a="1"/>
  <c r="AN4" i="9" s="1"/>
  <c r="AM4" i="9" s="1"/>
  <c r="AS20" i="10"/>
  <c r="K51" i="10"/>
  <c r="K53" i="10"/>
  <c r="J54" i="10"/>
  <c r="K54" i="10"/>
  <c r="L54" i="10"/>
  <c r="J55" i="10"/>
  <c r="K55" i="10"/>
  <c r="L55" i="10"/>
  <c r="K56" i="10"/>
  <c r="K57" i="10"/>
  <c r="K58" i="10"/>
  <c r="K59" i="10"/>
  <c r="J40" i="10"/>
  <c r="K40" i="10"/>
  <c r="L40" i="10"/>
  <c r="J44" i="10"/>
  <c r="K44" i="10"/>
  <c r="L44" i="10"/>
  <c r="J45" i="10"/>
  <c r="K45" i="10"/>
  <c r="L45" i="10"/>
  <c r="K46" i="10"/>
  <c r="K49" i="10"/>
  <c r="K50" i="10"/>
  <c r="K24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M40" i="10" l="1"/>
  <c r="M54" i="10"/>
  <c r="M44" i="10"/>
  <c r="M45" i="10"/>
  <c r="M26" i="10"/>
  <c r="M29" i="10"/>
  <c r="M25" i="10"/>
  <c r="M27" i="10"/>
  <c r="M28" i="10"/>
  <c r="M55" i="10"/>
  <c r="K23" i="10" l="1"/>
  <c r="K33" i="10"/>
  <c r="J37" i="10"/>
  <c r="K37" i="10"/>
  <c r="L37" i="10"/>
  <c r="M37" i="10" l="1"/>
  <c r="AM480" i="26"/>
  <c r="AM481" i="26"/>
  <c r="AM482" i="26"/>
  <c r="AM483" i="26"/>
  <c r="AM484" i="26"/>
  <c r="AM485" i="26"/>
  <c r="AM486" i="26"/>
  <c r="AM487" i="26"/>
  <c r="AM488" i="26"/>
  <c r="AM489" i="26"/>
  <c r="AM490" i="26"/>
  <c r="AM491" i="26"/>
  <c r="AM492" i="26"/>
  <c r="AM493" i="26"/>
  <c r="M3" i="10" l="1"/>
  <c r="M4" i="10"/>
  <c r="M5" i="10"/>
  <c r="M6" i="10"/>
  <c r="M7" i="10"/>
  <c r="M2" i="10"/>
  <c r="L3" i="10"/>
  <c r="L4" i="10"/>
  <c r="L5" i="10"/>
  <c r="L6" i="10"/>
  <c r="L7" i="10"/>
  <c r="L2" i="10"/>
  <c r="K7" i="10"/>
  <c r="K3" i="10"/>
  <c r="K4" i="10"/>
  <c r="K5" i="10"/>
  <c r="K6" i="10"/>
  <c r="K2" i="10"/>
  <c r="J7" i="10"/>
  <c r="J6" i="10"/>
  <c r="J5" i="10"/>
  <c r="J4" i="10"/>
  <c r="J3" i="10"/>
  <c r="J2" i="10"/>
  <c r="I3" i="10"/>
  <c r="I4" i="10"/>
  <c r="I5" i="10"/>
  <c r="I6" i="10"/>
  <c r="I7" i="10"/>
  <c r="I2" i="10"/>
  <c r="B891" i="57" l="1"/>
  <c r="U874" i="57"/>
  <c r="Q874" i="57"/>
  <c r="U873" i="57"/>
  <c r="Q873" i="57"/>
  <c r="U871" i="57"/>
  <c r="Q871" i="57"/>
  <c r="U869" i="57"/>
  <c r="Q869" i="57"/>
  <c r="U868" i="57"/>
  <c r="Q868" i="57"/>
  <c r="I868" i="57"/>
  <c r="I867" i="57"/>
  <c r="U866" i="57"/>
  <c r="Q866" i="57"/>
  <c r="U865" i="57"/>
  <c r="Q865" i="57"/>
  <c r="U863" i="57"/>
  <c r="Q863" i="57"/>
  <c r="U862" i="57"/>
  <c r="Q862" i="57"/>
  <c r="U860" i="57"/>
  <c r="Q860" i="57"/>
  <c r="U858" i="57"/>
  <c r="Q858" i="57"/>
  <c r="U857" i="57"/>
  <c r="Q857" i="57"/>
  <c r="I857" i="57"/>
  <c r="I856" i="57"/>
  <c r="U855" i="57"/>
  <c r="Q855" i="57"/>
  <c r="U854" i="57"/>
  <c r="Q854" i="57"/>
  <c r="U885" i="57"/>
  <c r="Q885" i="57"/>
  <c r="U884" i="57"/>
  <c r="Q884" i="57"/>
  <c r="U882" i="57"/>
  <c r="Q882" i="57"/>
  <c r="U880" i="57"/>
  <c r="Q880" i="57"/>
  <c r="U879" i="57"/>
  <c r="Q879" i="57"/>
  <c r="I879" i="57"/>
  <c r="I878" i="57"/>
  <c r="U877" i="57"/>
  <c r="Q877" i="57"/>
  <c r="U876" i="57"/>
  <c r="Q876" i="57"/>
  <c r="U841" i="57"/>
  <c r="Q841" i="57"/>
  <c r="U840" i="57"/>
  <c r="Q840" i="57"/>
  <c r="U838" i="57"/>
  <c r="Q838" i="57"/>
  <c r="U836" i="57"/>
  <c r="Q836" i="57"/>
  <c r="U835" i="57"/>
  <c r="Q835" i="57"/>
  <c r="I835" i="57"/>
  <c r="I834" i="57"/>
  <c r="U833" i="57"/>
  <c r="Q833" i="57"/>
  <c r="U832" i="57"/>
  <c r="Q832" i="57"/>
  <c r="U830" i="57"/>
  <c r="Q830" i="57"/>
  <c r="U829" i="57"/>
  <c r="Q829" i="57"/>
  <c r="U827" i="57"/>
  <c r="Q827" i="57"/>
  <c r="U825" i="57"/>
  <c r="Q825" i="57"/>
  <c r="U824" i="57"/>
  <c r="Q824" i="57"/>
  <c r="I824" i="57"/>
  <c r="I823" i="57"/>
  <c r="U822" i="57"/>
  <c r="Q822" i="57"/>
  <c r="U821" i="57"/>
  <c r="Q821" i="57"/>
  <c r="U852" i="57"/>
  <c r="Q852" i="57"/>
  <c r="U851" i="57"/>
  <c r="Q851" i="57"/>
  <c r="U849" i="57"/>
  <c r="Q849" i="57"/>
  <c r="U847" i="57"/>
  <c r="Q847" i="57"/>
  <c r="U846" i="57"/>
  <c r="Q846" i="57"/>
  <c r="I846" i="57"/>
  <c r="I845" i="57"/>
  <c r="U844" i="57"/>
  <c r="Q844" i="57"/>
  <c r="U843" i="57"/>
  <c r="Q843" i="57"/>
  <c r="AQ111" i="9" l="1"/>
  <c r="AM4" i="26" l="1"/>
  <c r="AM5" i="26"/>
  <c r="AM6" i="26"/>
  <c r="AM7" i="26"/>
  <c r="AM8" i="26"/>
  <c r="AM9" i="26"/>
  <c r="AM10" i="26"/>
  <c r="AM11" i="26"/>
  <c r="AM12" i="26"/>
  <c r="AM13" i="26"/>
  <c r="AM14" i="26"/>
  <c r="AM15" i="26"/>
  <c r="AM16" i="26"/>
  <c r="AM17" i="26"/>
  <c r="AM18" i="26"/>
  <c r="AM19" i="26"/>
  <c r="AM20" i="26"/>
  <c r="AM21" i="26"/>
  <c r="AM22" i="26"/>
  <c r="AM23" i="26"/>
  <c r="AM24" i="26"/>
  <c r="AM25" i="26"/>
  <c r="AM26" i="26"/>
  <c r="AM27" i="26"/>
  <c r="AM28" i="26"/>
  <c r="AM29" i="26"/>
  <c r="AM30" i="26"/>
  <c r="AM31" i="26"/>
  <c r="K22" i="10" s="1"/>
  <c r="AM32" i="26"/>
  <c r="AM33" i="26"/>
  <c r="AM34" i="26"/>
  <c r="AM35" i="26"/>
  <c r="K43" i="10" s="1"/>
  <c r="AM36" i="26"/>
  <c r="AM37" i="26"/>
  <c r="AM38" i="26"/>
  <c r="AM39" i="26"/>
  <c r="AM40" i="26"/>
  <c r="AM41" i="26"/>
  <c r="AM42" i="26"/>
  <c r="AM43" i="26"/>
  <c r="AM44" i="26"/>
  <c r="AM45" i="26"/>
  <c r="AM46" i="26"/>
  <c r="AM47" i="26"/>
  <c r="K35" i="10" s="1"/>
  <c r="AM48" i="26"/>
  <c r="AM49" i="26"/>
  <c r="AM50" i="26"/>
  <c r="AM51" i="26"/>
  <c r="AM52" i="26"/>
  <c r="AM53" i="26"/>
  <c r="AM54" i="26"/>
  <c r="AM55" i="26"/>
  <c r="AM56" i="26"/>
  <c r="AM57" i="26"/>
  <c r="AM58" i="26"/>
  <c r="AM59" i="26"/>
  <c r="AM60" i="26"/>
  <c r="AM61" i="26"/>
  <c r="AM62" i="26"/>
  <c r="AM63" i="26"/>
  <c r="AM64" i="26"/>
  <c r="AM65" i="26"/>
  <c r="AM66" i="26"/>
  <c r="AM67" i="26"/>
  <c r="AM68" i="26"/>
  <c r="AM69" i="26"/>
  <c r="AM70" i="26"/>
  <c r="AM71" i="26"/>
  <c r="AM72" i="26"/>
  <c r="AM73" i="26"/>
  <c r="AM74" i="26"/>
  <c r="AM75" i="26"/>
  <c r="AM76" i="26"/>
  <c r="AM77" i="26"/>
  <c r="AM78" i="26"/>
  <c r="AM79" i="26"/>
  <c r="AM80" i="26"/>
  <c r="AM81" i="26"/>
  <c r="AM82" i="26"/>
  <c r="AM83" i="26"/>
  <c r="AM84" i="26"/>
  <c r="AM85" i="26"/>
  <c r="AM86" i="26"/>
  <c r="AM87" i="26"/>
  <c r="AM88" i="26"/>
  <c r="AM89" i="26"/>
  <c r="AM90" i="26"/>
  <c r="AM91" i="26"/>
  <c r="AM92" i="26"/>
  <c r="AM93" i="26"/>
  <c r="AM94" i="26"/>
  <c r="AM95" i="26"/>
  <c r="AM96" i="26"/>
  <c r="AM97" i="26"/>
  <c r="AM98" i="26"/>
  <c r="AM99" i="26"/>
  <c r="AM100" i="26"/>
  <c r="AM101" i="26"/>
  <c r="AM102" i="26"/>
  <c r="AM103" i="26"/>
  <c r="AM104" i="26"/>
  <c r="AM105" i="26"/>
  <c r="AM106" i="26"/>
  <c r="AM107" i="26"/>
  <c r="AM108" i="26"/>
  <c r="AM109" i="26"/>
  <c r="AM110" i="26"/>
  <c r="AM111" i="26"/>
  <c r="AM112" i="26"/>
  <c r="AM113" i="26"/>
  <c r="AM114" i="26"/>
  <c r="AM115" i="26"/>
  <c r="AM116" i="26"/>
  <c r="AM117" i="26"/>
  <c r="AM118" i="26"/>
  <c r="AM119" i="26"/>
  <c r="AM120" i="26"/>
  <c r="AM121" i="26"/>
  <c r="AM122" i="26"/>
  <c r="AM123" i="26"/>
  <c r="AM124" i="26"/>
  <c r="AM125" i="26"/>
  <c r="AM126" i="26"/>
  <c r="AM127" i="26"/>
  <c r="AM128" i="26"/>
  <c r="AM129" i="26"/>
  <c r="AM130" i="26"/>
  <c r="AM131" i="26"/>
  <c r="AM132" i="26"/>
  <c r="AM133" i="26"/>
  <c r="AM134" i="26"/>
  <c r="AM135" i="26"/>
  <c r="AM136" i="26"/>
  <c r="AM137" i="26"/>
  <c r="AM138" i="26"/>
  <c r="AM139" i="26"/>
  <c r="AM140" i="26"/>
  <c r="AM141" i="26"/>
  <c r="AM142" i="26"/>
  <c r="AM143" i="26"/>
  <c r="AM144" i="26"/>
  <c r="AM145" i="26"/>
  <c r="AM146" i="26"/>
  <c r="AM147" i="26"/>
  <c r="AM148" i="26"/>
  <c r="AM149" i="26"/>
  <c r="AM150" i="26"/>
  <c r="AM151" i="26"/>
  <c r="AM152" i="26"/>
  <c r="AM153" i="26"/>
  <c r="AM154" i="26"/>
  <c r="AM155" i="26"/>
  <c r="AM156" i="26"/>
  <c r="AM157" i="26"/>
  <c r="AM158" i="26"/>
  <c r="AM159" i="26"/>
  <c r="AM160" i="26"/>
  <c r="AM161" i="26"/>
  <c r="AM162" i="26"/>
  <c r="AM163" i="26"/>
  <c r="AM164" i="26"/>
  <c r="AM165" i="26"/>
  <c r="AM166" i="26"/>
  <c r="AM167" i="26"/>
  <c r="AM168" i="26"/>
  <c r="AM169" i="26"/>
  <c r="AM170" i="26"/>
  <c r="AM171" i="26"/>
  <c r="AM172" i="26"/>
  <c r="AM173" i="26"/>
  <c r="AM174" i="26"/>
  <c r="AM175" i="26"/>
  <c r="AM176" i="26"/>
  <c r="AM177" i="26"/>
  <c r="AM178" i="26"/>
  <c r="AM179" i="26"/>
  <c r="AM180" i="26"/>
  <c r="AM181" i="26"/>
  <c r="AM182" i="26"/>
  <c r="AM183" i="26"/>
  <c r="AM184" i="26"/>
  <c r="AM185" i="26"/>
  <c r="AM186" i="26"/>
  <c r="AM187" i="26"/>
  <c r="AM188" i="26"/>
  <c r="AM189" i="26"/>
  <c r="AM190" i="26"/>
  <c r="AM191" i="26"/>
  <c r="AM192" i="26"/>
  <c r="AM193" i="26"/>
  <c r="AM194" i="26"/>
  <c r="AM195" i="26"/>
  <c r="AM196" i="26"/>
  <c r="AM197" i="26"/>
  <c r="AM198" i="26"/>
  <c r="AM199" i="26"/>
  <c r="AM200" i="26"/>
  <c r="AM201" i="26"/>
  <c r="AM202" i="26"/>
  <c r="AM203" i="26"/>
  <c r="AM204" i="26"/>
  <c r="AM205" i="26"/>
  <c r="AM206" i="26"/>
  <c r="AM207" i="26"/>
  <c r="AM208" i="26"/>
  <c r="AM209" i="26"/>
  <c r="AM210" i="26"/>
  <c r="AM211" i="26"/>
  <c r="AM212" i="26"/>
  <c r="AM213" i="26"/>
  <c r="AM214" i="26"/>
  <c r="AM215" i="26"/>
  <c r="AM216" i="26"/>
  <c r="AM217" i="26"/>
  <c r="AM218" i="26"/>
  <c r="AM219" i="26"/>
  <c r="AM220" i="26"/>
  <c r="AM221" i="26"/>
  <c r="AM222" i="26"/>
  <c r="AM223" i="26"/>
  <c r="AM224" i="26"/>
  <c r="AM225" i="26"/>
  <c r="AM226" i="26"/>
  <c r="AM227" i="26"/>
  <c r="AM228" i="26"/>
  <c r="AM229" i="26"/>
  <c r="AM230" i="26"/>
  <c r="AM231" i="26"/>
  <c r="AM232" i="26"/>
  <c r="AM233" i="26"/>
  <c r="AM234" i="26"/>
  <c r="AM235" i="26"/>
  <c r="AM236" i="26"/>
  <c r="AM237" i="26"/>
  <c r="AM238" i="26"/>
  <c r="AM239" i="26"/>
  <c r="AM240" i="26"/>
  <c r="AM241" i="26"/>
  <c r="AM242" i="26"/>
  <c r="AM243" i="26"/>
  <c r="AM244" i="26"/>
  <c r="AM245" i="26"/>
  <c r="AM246" i="26"/>
  <c r="AM247" i="26"/>
  <c r="AM248" i="26"/>
  <c r="AM249" i="26"/>
  <c r="AM250" i="26"/>
  <c r="AM251" i="26"/>
  <c r="AM252" i="26"/>
  <c r="AM253" i="26"/>
  <c r="AM254" i="26"/>
  <c r="AM255" i="26"/>
  <c r="AM256" i="26"/>
  <c r="AM257" i="26"/>
  <c r="AM258" i="26"/>
  <c r="AM259" i="26"/>
  <c r="AM260" i="26"/>
  <c r="AM261" i="26"/>
  <c r="AM262" i="26"/>
  <c r="AM263" i="26"/>
  <c r="AM264" i="26"/>
  <c r="AM265" i="26"/>
  <c r="AM266" i="26"/>
  <c r="AM267" i="26"/>
  <c r="AM268" i="26"/>
  <c r="AM269" i="26"/>
  <c r="AM270" i="26"/>
  <c r="AM271" i="26"/>
  <c r="AM272" i="26"/>
  <c r="AM273" i="26"/>
  <c r="AM274" i="26"/>
  <c r="AM275" i="26"/>
  <c r="AM276" i="26"/>
  <c r="AM277" i="26"/>
  <c r="AM278" i="26"/>
  <c r="AM279" i="26"/>
  <c r="AM280" i="26"/>
  <c r="AM281" i="26"/>
  <c r="AM282" i="26"/>
  <c r="AM283" i="26"/>
  <c r="AM284" i="26"/>
  <c r="AM285" i="26"/>
  <c r="AM286" i="26"/>
  <c r="AM287" i="26"/>
  <c r="AM288" i="26"/>
  <c r="AM289" i="26"/>
  <c r="AM290" i="26"/>
  <c r="AM291" i="26"/>
  <c r="AM292" i="26"/>
  <c r="AM293" i="26"/>
  <c r="AM294" i="26"/>
  <c r="AM295" i="26"/>
  <c r="AM296" i="26"/>
  <c r="AM297" i="26"/>
  <c r="AM298" i="26"/>
  <c r="AM299" i="26"/>
  <c r="AM300" i="26"/>
  <c r="AM301" i="26"/>
  <c r="AM302" i="26"/>
  <c r="AM303" i="26"/>
  <c r="AM304" i="26"/>
  <c r="AM305" i="26"/>
  <c r="AM306" i="26"/>
  <c r="AM307" i="26"/>
  <c r="AM308" i="26"/>
  <c r="AM309" i="26"/>
  <c r="AM310" i="26"/>
  <c r="AM311" i="26"/>
  <c r="AM312" i="26"/>
  <c r="AM313" i="26"/>
  <c r="AM314" i="26"/>
  <c r="AM315" i="26"/>
  <c r="AM316" i="26"/>
  <c r="AM317" i="26"/>
  <c r="AM318" i="26"/>
  <c r="AM319" i="26"/>
  <c r="AM320" i="26"/>
  <c r="AM321" i="26"/>
  <c r="AM322" i="26"/>
  <c r="AM323" i="26"/>
  <c r="AM324" i="26"/>
  <c r="AM325" i="26"/>
  <c r="AM326" i="26"/>
  <c r="AM327" i="26"/>
  <c r="AM328" i="26"/>
  <c r="AM329" i="26"/>
  <c r="AM330" i="26"/>
  <c r="AM331" i="26"/>
  <c r="AM332" i="26"/>
  <c r="AM333" i="26"/>
  <c r="AM334" i="26"/>
  <c r="AM335" i="26"/>
  <c r="AM336" i="26"/>
  <c r="AM337" i="26"/>
  <c r="AM338" i="26"/>
  <c r="AM339" i="26"/>
  <c r="AM340" i="26"/>
  <c r="AM341" i="26"/>
  <c r="AM342" i="26"/>
  <c r="AM343" i="26"/>
  <c r="AM344" i="26"/>
  <c r="AM345" i="26"/>
  <c r="AM346" i="26"/>
  <c r="AM347" i="26"/>
  <c r="AM348" i="26"/>
  <c r="AM349" i="26"/>
  <c r="AM350" i="26"/>
  <c r="AM351" i="26"/>
  <c r="AM352" i="26"/>
  <c r="AM353" i="26"/>
  <c r="AM354" i="26"/>
  <c r="AM355" i="26"/>
  <c r="AM356" i="26"/>
  <c r="AM357" i="26"/>
  <c r="AM358" i="26"/>
  <c r="AM359" i="26"/>
  <c r="AM360" i="26"/>
  <c r="AM361" i="26"/>
  <c r="AM362" i="26"/>
  <c r="AM363" i="26"/>
  <c r="AM364" i="26"/>
  <c r="AM365" i="26"/>
  <c r="AM366" i="26"/>
  <c r="AM367" i="26"/>
  <c r="AM368" i="26"/>
  <c r="AM369" i="26"/>
  <c r="AM370" i="26"/>
  <c r="AM371" i="26"/>
  <c r="AM372" i="26"/>
  <c r="AM373" i="26"/>
  <c r="AM374" i="26"/>
  <c r="AM375" i="26"/>
  <c r="AM376" i="26"/>
  <c r="AM377" i="26"/>
  <c r="AM378" i="26"/>
  <c r="AM379" i="26"/>
  <c r="AM380" i="26"/>
  <c r="AM381" i="26"/>
  <c r="AM382" i="26"/>
  <c r="AM383" i="26"/>
  <c r="AM384" i="26"/>
  <c r="AM385" i="26"/>
  <c r="AM386" i="26"/>
  <c r="AM387" i="26"/>
  <c r="AM388" i="26"/>
  <c r="AM389" i="26"/>
  <c r="AM390" i="26"/>
  <c r="AM391" i="26"/>
  <c r="AM392" i="26"/>
  <c r="AM393" i="26"/>
  <c r="AM394" i="26"/>
  <c r="AM395" i="26"/>
  <c r="AM396" i="26"/>
  <c r="AM397" i="26"/>
  <c r="AM398" i="26"/>
  <c r="AM399" i="26"/>
  <c r="AM400" i="26"/>
  <c r="AM401" i="26"/>
  <c r="AM402" i="26"/>
  <c r="AM403" i="26"/>
  <c r="AM404" i="26"/>
  <c r="AM405" i="26"/>
  <c r="AM406" i="26"/>
  <c r="AM407" i="26"/>
  <c r="AM408" i="26"/>
  <c r="AM409" i="26"/>
  <c r="AM410" i="26"/>
  <c r="AM411" i="26"/>
  <c r="AM412" i="26"/>
  <c r="AM413" i="26"/>
  <c r="AM414" i="26"/>
  <c r="AM415" i="26"/>
  <c r="AM416" i="26"/>
  <c r="AM417" i="26"/>
  <c r="AM418" i="26"/>
  <c r="AM419" i="26"/>
  <c r="AM420" i="26"/>
  <c r="AM421" i="26"/>
  <c r="AM422" i="26"/>
  <c r="AM423" i="26"/>
  <c r="AM424" i="26"/>
  <c r="AM425" i="26"/>
  <c r="AM426" i="26"/>
  <c r="AM427" i="26"/>
  <c r="AM428" i="26"/>
  <c r="AM429" i="26"/>
  <c r="AM430" i="26"/>
  <c r="AM431" i="26"/>
  <c r="AM432" i="26"/>
  <c r="AM433" i="26"/>
  <c r="AM434" i="26"/>
  <c r="AM435" i="26"/>
  <c r="AM436" i="26"/>
  <c r="AM437" i="26"/>
  <c r="AM438" i="26"/>
  <c r="AM439" i="26"/>
  <c r="AM440" i="26"/>
  <c r="AM441" i="26"/>
  <c r="AM442" i="26"/>
  <c r="AM443" i="26"/>
  <c r="AM444" i="26"/>
  <c r="AM445" i="26"/>
  <c r="AM446" i="26"/>
  <c r="AM447" i="26"/>
  <c r="AM448" i="26"/>
  <c r="AM449" i="26"/>
  <c r="AM450" i="26"/>
  <c r="AM451" i="26"/>
  <c r="AM452" i="26"/>
  <c r="AM453" i="26"/>
  <c r="AM454" i="26"/>
  <c r="AM455" i="26"/>
  <c r="AM456" i="26"/>
  <c r="AM457" i="26"/>
  <c r="AM458" i="26"/>
  <c r="AM459" i="26"/>
  <c r="AM460" i="26"/>
  <c r="AM461" i="26"/>
  <c r="AM462" i="26"/>
  <c r="AM463" i="26"/>
  <c r="AM464" i="26"/>
  <c r="AM465" i="26"/>
  <c r="AM466" i="26"/>
  <c r="AM467" i="26"/>
  <c r="AM468" i="26"/>
  <c r="AM469" i="26"/>
  <c r="AM470" i="26"/>
  <c r="AM471" i="26"/>
  <c r="AM472" i="26"/>
  <c r="AM473" i="26"/>
  <c r="AM474" i="26"/>
  <c r="AM475" i="26"/>
  <c r="AM476" i="26"/>
  <c r="AM477" i="26"/>
  <c r="AM478" i="26"/>
  <c r="AM3" i="26"/>
  <c r="K48" i="10" l="1"/>
  <c r="K42" i="10"/>
  <c r="K47" i="10"/>
  <c r="K41" i="10"/>
  <c r="K39" i="10"/>
  <c r="K21" i="10"/>
  <c r="K34" i="10"/>
  <c r="AC837" i="59"/>
  <c r="AC836" i="59"/>
  <c r="AC826" i="59"/>
  <c r="AC825" i="59"/>
  <c r="AC913" i="57"/>
  <c r="AC912" i="57"/>
  <c r="AQ4" i="9" l="1"/>
  <c r="AQ5" i="9"/>
  <c r="AQ6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36" i="9"/>
  <c r="AQ37" i="9"/>
  <c r="AQ38" i="9"/>
  <c r="AQ39" i="9"/>
  <c r="AQ40" i="9"/>
  <c r="AQ41" i="9"/>
  <c r="AQ42" i="9"/>
  <c r="AQ43" i="9"/>
  <c r="AQ44" i="9"/>
  <c r="AQ45" i="9"/>
  <c r="AQ46" i="9"/>
  <c r="AQ47" i="9"/>
  <c r="AQ48" i="9"/>
  <c r="AQ49" i="9"/>
  <c r="AQ50" i="9"/>
  <c r="AQ51" i="9"/>
  <c r="AQ52" i="9"/>
  <c r="AQ53" i="9"/>
  <c r="AQ54" i="9"/>
  <c r="AQ55" i="9"/>
  <c r="AQ56" i="9"/>
  <c r="AQ57" i="9"/>
  <c r="AQ58" i="9"/>
  <c r="AQ59" i="9"/>
  <c r="AQ60" i="9"/>
  <c r="AQ61" i="9"/>
  <c r="AQ62" i="9"/>
  <c r="AQ63" i="9"/>
  <c r="AQ64" i="9"/>
  <c r="AQ65" i="9"/>
  <c r="AQ66" i="9"/>
  <c r="AQ67" i="9"/>
  <c r="AQ68" i="9"/>
  <c r="AQ69" i="9"/>
  <c r="AQ70" i="9"/>
  <c r="AQ71" i="9"/>
  <c r="AQ72" i="9"/>
  <c r="AQ73" i="9"/>
  <c r="AQ74" i="9"/>
  <c r="AQ75" i="9"/>
  <c r="AQ76" i="9"/>
  <c r="AQ77" i="9"/>
  <c r="AQ78" i="9"/>
  <c r="AQ79" i="9"/>
  <c r="AQ80" i="9"/>
  <c r="AQ81" i="9"/>
  <c r="AQ82" i="9"/>
  <c r="AQ83" i="9"/>
  <c r="AQ84" i="9"/>
  <c r="AQ85" i="9"/>
  <c r="AQ86" i="9"/>
  <c r="AQ87" i="9"/>
  <c r="AQ88" i="9"/>
  <c r="AQ89" i="9"/>
  <c r="AQ90" i="9"/>
  <c r="AQ91" i="9"/>
  <c r="AQ92" i="9"/>
  <c r="AQ93" i="9"/>
  <c r="AQ94" i="9"/>
  <c r="AQ95" i="9"/>
  <c r="AQ96" i="9"/>
  <c r="AQ97" i="9"/>
  <c r="AQ98" i="9"/>
  <c r="AQ99" i="9"/>
  <c r="AQ100" i="9"/>
  <c r="AQ101" i="9"/>
  <c r="AQ102" i="9"/>
  <c r="AQ103" i="9"/>
  <c r="AQ104" i="9"/>
  <c r="AQ105" i="9"/>
  <c r="AQ106" i="9"/>
  <c r="AQ107" i="9"/>
  <c r="AQ108" i="9"/>
  <c r="AQ109" i="9"/>
  <c r="AQ110" i="9"/>
  <c r="AQ112" i="9"/>
  <c r="AQ113" i="9"/>
  <c r="AQ114" i="9"/>
  <c r="AQ115" i="9"/>
  <c r="AQ116" i="9"/>
  <c r="AQ117" i="9"/>
  <c r="AQ118" i="9"/>
  <c r="AQ119" i="9"/>
  <c r="AQ120" i="9"/>
  <c r="AQ121" i="9"/>
  <c r="AQ122" i="9"/>
  <c r="AQ123" i="9"/>
  <c r="AQ124" i="9"/>
  <c r="AQ125" i="9"/>
  <c r="AQ126" i="9"/>
  <c r="AQ127" i="9"/>
  <c r="AQ128" i="9"/>
  <c r="AQ129" i="9"/>
  <c r="AQ130" i="9"/>
  <c r="AQ131" i="9"/>
  <c r="AQ132" i="9"/>
  <c r="AQ133" i="9"/>
  <c r="AQ134" i="9"/>
  <c r="AQ135" i="9"/>
  <c r="AQ136" i="9"/>
  <c r="AQ137" i="9"/>
  <c r="AQ138" i="9"/>
  <c r="AQ139" i="9"/>
  <c r="AQ140" i="9"/>
  <c r="AQ141" i="9"/>
  <c r="AQ142" i="9"/>
  <c r="AQ143" i="9"/>
  <c r="AQ144" i="9"/>
  <c r="AQ145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170" i="9"/>
  <c r="AQ171" i="9"/>
  <c r="AQ172" i="9"/>
  <c r="AQ173" i="9"/>
  <c r="AQ174" i="9"/>
  <c r="AQ175" i="9"/>
  <c r="AQ176" i="9"/>
  <c r="AQ177" i="9"/>
  <c r="AQ178" i="9"/>
  <c r="AQ179" i="9"/>
  <c r="AQ180" i="9"/>
  <c r="AQ181" i="9"/>
  <c r="AQ182" i="9"/>
  <c r="AQ183" i="9"/>
  <c r="AQ184" i="9"/>
  <c r="AQ185" i="9"/>
  <c r="AQ186" i="9"/>
  <c r="AQ187" i="9"/>
  <c r="AQ188" i="9"/>
  <c r="AQ189" i="9"/>
  <c r="AQ190" i="9"/>
  <c r="AQ191" i="9"/>
  <c r="AQ192" i="9"/>
  <c r="AQ193" i="9"/>
  <c r="AQ194" i="9"/>
  <c r="AQ195" i="9"/>
  <c r="AQ196" i="9"/>
  <c r="AQ197" i="9"/>
  <c r="AQ198" i="9"/>
  <c r="AQ199" i="9"/>
  <c r="AQ200" i="9"/>
  <c r="AQ201" i="9"/>
  <c r="AQ202" i="9"/>
  <c r="AQ203" i="9"/>
  <c r="AQ204" i="9"/>
  <c r="AQ205" i="9"/>
  <c r="AQ206" i="9"/>
  <c r="AQ207" i="9"/>
  <c r="AQ208" i="9"/>
  <c r="AQ209" i="9"/>
  <c r="AQ210" i="9"/>
  <c r="AQ211" i="9"/>
  <c r="AQ212" i="9"/>
  <c r="AQ213" i="9"/>
  <c r="AQ214" i="9"/>
  <c r="AQ215" i="9"/>
  <c r="AQ216" i="9"/>
  <c r="AQ217" i="9"/>
  <c r="AQ218" i="9"/>
  <c r="AQ219" i="9"/>
  <c r="AQ220" i="9"/>
  <c r="AQ221" i="9"/>
  <c r="AQ222" i="9"/>
  <c r="AQ223" i="9"/>
  <c r="AQ224" i="9"/>
  <c r="AQ225" i="9"/>
  <c r="AQ226" i="9"/>
  <c r="AQ227" i="9"/>
  <c r="AQ228" i="9"/>
  <c r="AQ229" i="9"/>
  <c r="AQ230" i="9"/>
  <c r="AQ231" i="9"/>
  <c r="AQ232" i="9"/>
  <c r="AQ233" i="9"/>
  <c r="AQ234" i="9"/>
  <c r="AQ235" i="9"/>
  <c r="AQ236" i="9"/>
  <c r="AQ237" i="9"/>
  <c r="AQ238" i="9"/>
  <c r="AQ239" i="9"/>
  <c r="AQ240" i="9"/>
  <c r="AQ241" i="9"/>
  <c r="AQ242" i="9"/>
  <c r="AQ243" i="9"/>
  <c r="AQ244" i="9"/>
  <c r="AQ245" i="9"/>
  <c r="AQ246" i="9"/>
  <c r="AQ247" i="9"/>
  <c r="AQ248" i="9"/>
  <c r="AQ249" i="9"/>
  <c r="AQ250" i="9"/>
  <c r="AQ251" i="9"/>
  <c r="AQ252" i="9"/>
  <c r="AQ253" i="9"/>
  <c r="AQ254" i="9"/>
  <c r="AQ255" i="9"/>
  <c r="AQ256" i="9"/>
  <c r="AQ257" i="9"/>
  <c r="AQ258" i="9"/>
  <c r="AQ259" i="9"/>
  <c r="AQ260" i="9"/>
  <c r="AQ261" i="9"/>
  <c r="AQ262" i="9"/>
  <c r="AQ263" i="9"/>
  <c r="AQ264" i="9"/>
  <c r="AQ265" i="9"/>
  <c r="AQ266" i="9"/>
  <c r="AQ267" i="9"/>
  <c r="AQ268" i="9"/>
  <c r="AQ269" i="9"/>
  <c r="AQ270" i="9"/>
  <c r="AQ271" i="9"/>
  <c r="AQ272" i="9"/>
  <c r="AQ273" i="9"/>
  <c r="AQ274" i="9"/>
  <c r="AQ275" i="9"/>
  <c r="AQ276" i="9"/>
  <c r="AQ277" i="9"/>
  <c r="AQ278" i="9"/>
  <c r="AQ279" i="9"/>
  <c r="AQ280" i="9"/>
  <c r="AQ281" i="9"/>
  <c r="AQ282" i="9"/>
  <c r="AQ283" i="9"/>
  <c r="AQ284" i="9"/>
  <c r="AQ285" i="9"/>
  <c r="AQ286" i="9"/>
  <c r="AQ287" i="9"/>
  <c r="AQ288" i="9"/>
  <c r="AQ289" i="9"/>
  <c r="AQ290" i="9"/>
  <c r="AQ291" i="9"/>
  <c r="AQ292" i="9"/>
  <c r="AQ293" i="9"/>
  <c r="AQ294" i="9"/>
  <c r="AQ295" i="9"/>
  <c r="AQ296" i="9"/>
  <c r="AQ297" i="9"/>
  <c r="AQ298" i="9"/>
  <c r="AQ299" i="9"/>
  <c r="AQ300" i="9"/>
  <c r="AQ301" i="9"/>
  <c r="AQ302" i="9"/>
  <c r="AQ303" i="9"/>
  <c r="AQ304" i="9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649" i="9"/>
  <c r="AQ650" i="9"/>
  <c r="AQ651" i="9"/>
  <c r="AQ652" i="9"/>
  <c r="AQ653" i="9"/>
  <c r="AQ654" i="9"/>
  <c r="AQ655" i="9"/>
  <c r="AQ656" i="9"/>
  <c r="AQ657" i="9"/>
  <c r="AQ658" i="9"/>
  <c r="AQ659" i="9"/>
  <c r="AQ660" i="9"/>
  <c r="AQ661" i="9"/>
  <c r="AQ662" i="9"/>
  <c r="AQ663" i="9"/>
  <c r="AQ664" i="9"/>
  <c r="AQ665" i="9"/>
  <c r="AQ666" i="9"/>
  <c r="AQ667" i="9"/>
  <c r="AQ668" i="9"/>
  <c r="AQ669" i="9"/>
  <c r="AQ670" i="9"/>
  <c r="AQ671" i="9"/>
  <c r="AQ672" i="9"/>
  <c r="AQ673" i="9"/>
  <c r="AQ674" i="9"/>
  <c r="AQ675" i="9"/>
  <c r="AQ676" i="9"/>
  <c r="AQ677" i="9"/>
  <c r="AQ678" i="9"/>
  <c r="AQ679" i="9"/>
  <c r="AQ680" i="9"/>
  <c r="AQ681" i="9"/>
  <c r="AQ682" i="9"/>
  <c r="AQ683" i="9"/>
  <c r="AQ684" i="9"/>
  <c r="AQ685" i="9"/>
  <c r="AQ686" i="9"/>
  <c r="AQ687" i="9"/>
  <c r="AQ688" i="9"/>
  <c r="AQ689" i="9"/>
  <c r="AQ690" i="9"/>
  <c r="AQ691" i="9"/>
  <c r="AQ692" i="9"/>
  <c r="AQ693" i="9"/>
  <c r="AQ694" i="9"/>
  <c r="AQ695" i="9"/>
  <c r="AQ696" i="9"/>
  <c r="AQ697" i="9"/>
  <c r="AQ698" i="9"/>
  <c r="AQ699" i="9"/>
  <c r="AQ700" i="9"/>
  <c r="AQ701" i="9"/>
  <c r="AQ702" i="9"/>
  <c r="AQ703" i="9"/>
  <c r="AQ704" i="9"/>
  <c r="AQ705" i="9"/>
  <c r="AQ706" i="9"/>
  <c r="AQ707" i="9"/>
  <c r="AQ708" i="9"/>
  <c r="AQ709" i="9"/>
  <c r="AQ710" i="9"/>
  <c r="AQ711" i="9"/>
  <c r="AQ712" i="9"/>
  <c r="AQ713" i="9"/>
  <c r="AQ714" i="9"/>
  <c r="AQ715" i="9"/>
  <c r="AQ716" i="9"/>
  <c r="AQ717" i="9"/>
  <c r="AQ718" i="9"/>
  <c r="AQ719" i="9"/>
  <c r="AQ720" i="9"/>
  <c r="AQ721" i="9"/>
  <c r="AQ722" i="9"/>
  <c r="AQ723" i="9"/>
  <c r="AQ724" i="9"/>
  <c r="AQ725" i="9"/>
  <c r="AQ726" i="9"/>
  <c r="AQ727" i="9"/>
  <c r="AQ728" i="9"/>
  <c r="AQ729" i="9"/>
  <c r="AQ730" i="9"/>
  <c r="AQ731" i="9"/>
  <c r="AQ732" i="9"/>
  <c r="AQ733" i="9"/>
  <c r="AQ734" i="9"/>
  <c r="AQ735" i="9"/>
  <c r="AQ736" i="9"/>
  <c r="AQ737" i="9"/>
  <c r="AQ738" i="9"/>
  <c r="AQ739" i="9"/>
  <c r="AQ740" i="9"/>
  <c r="AQ741" i="9"/>
  <c r="AQ742" i="9"/>
  <c r="AQ743" i="9"/>
  <c r="AQ744" i="9"/>
  <c r="AQ745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809" i="9"/>
  <c r="AQ810" i="9"/>
  <c r="AQ811" i="9"/>
  <c r="AQ812" i="9"/>
  <c r="AQ813" i="9"/>
  <c r="AQ814" i="9"/>
  <c r="AQ815" i="9"/>
  <c r="AQ816" i="9"/>
  <c r="AQ817" i="9"/>
  <c r="AQ818" i="9"/>
  <c r="AQ819" i="9"/>
  <c r="AQ820" i="9"/>
  <c r="AQ821" i="9"/>
  <c r="AQ822" i="9"/>
  <c r="AQ823" i="9"/>
  <c r="AQ824" i="9"/>
  <c r="AQ825" i="9"/>
  <c r="AQ826" i="9"/>
  <c r="AQ827" i="9"/>
  <c r="AQ828" i="9"/>
  <c r="AQ829" i="9"/>
  <c r="AQ830" i="9"/>
  <c r="AQ831" i="9"/>
  <c r="AQ832" i="9"/>
  <c r="AQ833" i="9"/>
  <c r="AQ834" i="9"/>
  <c r="AQ835" i="9"/>
  <c r="AQ3" i="9"/>
  <c r="AS30" i="10"/>
  <c r="AW42" i="10"/>
  <c r="AW41" i="10"/>
  <c r="AS31" i="10"/>
  <c r="J58" i="10" l="1"/>
  <c r="U775" i="60"/>
  <c r="Q775" i="60"/>
  <c r="U774" i="60"/>
  <c r="Q774" i="60"/>
  <c r="U772" i="60"/>
  <c r="Q772" i="60"/>
  <c r="U770" i="60"/>
  <c r="Q770" i="60"/>
  <c r="U769" i="60"/>
  <c r="Q769" i="60"/>
  <c r="I769" i="60"/>
  <c r="I768" i="60"/>
  <c r="U767" i="60"/>
  <c r="Q767" i="60"/>
  <c r="U766" i="60"/>
  <c r="Q766" i="60"/>
  <c r="U764" i="60"/>
  <c r="Q764" i="60"/>
  <c r="U763" i="60"/>
  <c r="Q763" i="60"/>
  <c r="U761" i="60"/>
  <c r="Q761" i="60"/>
  <c r="U759" i="60"/>
  <c r="Q759" i="60"/>
  <c r="U758" i="60"/>
  <c r="Q758" i="60"/>
  <c r="I758" i="60"/>
  <c r="I757" i="60"/>
  <c r="U756" i="60"/>
  <c r="Q756" i="60"/>
  <c r="U755" i="60"/>
  <c r="Q755" i="60"/>
  <c r="U753" i="60"/>
  <c r="Q753" i="60"/>
  <c r="U752" i="60"/>
  <c r="Q752" i="60"/>
  <c r="U750" i="60"/>
  <c r="Q750" i="60"/>
  <c r="U748" i="60"/>
  <c r="Q748" i="60"/>
  <c r="U747" i="60"/>
  <c r="Q747" i="60"/>
  <c r="I747" i="60"/>
  <c r="I746" i="60"/>
  <c r="U745" i="60"/>
  <c r="Q745" i="60"/>
  <c r="U744" i="60"/>
  <c r="Q744" i="60"/>
  <c r="U742" i="60"/>
  <c r="Q742" i="60"/>
  <c r="U741" i="60"/>
  <c r="Q741" i="60"/>
  <c r="U739" i="60"/>
  <c r="Q739" i="60"/>
  <c r="U737" i="60"/>
  <c r="Q737" i="60"/>
  <c r="U736" i="60"/>
  <c r="Q736" i="60"/>
  <c r="I736" i="60"/>
  <c r="I735" i="60"/>
  <c r="U734" i="60"/>
  <c r="Q734" i="60"/>
  <c r="U733" i="60"/>
  <c r="Q733" i="60"/>
  <c r="U731" i="60"/>
  <c r="Q731" i="60"/>
  <c r="U730" i="60"/>
  <c r="Q730" i="60"/>
  <c r="U728" i="60"/>
  <c r="Q728" i="60"/>
  <c r="U726" i="60"/>
  <c r="Q726" i="60"/>
  <c r="U725" i="60"/>
  <c r="Q725" i="60"/>
  <c r="I725" i="60"/>
  <c r="I724" i="60"/>
  <c r="U723" i="60"/>
  <c r="Q723" i="60"/>
  <c r="U722" i="60"/>
  <c r="Q722" i="60"/>
  <c r="U720" i="60"/>
  <c r="Q720" i="60"/>
  <c r="U719" i="60"/>
  <c r="Q719" i="60"/>
  <c r="U717" i="60"/>
  <c r="Q717" i="60"/>
  <c r="U715" i="60"/>
  <c r="Q715" i="60"/>
  <c r="U714" i="60"/>
  <c r="Q714" i="60"/>
  <c r="I714" i="60"/>
  <c r="I713" i="60"/>
  <c r="U712" i="60"/>
  <c r="Q712" i="60"/>
  <c r="U711" i="60"/>
  <c r="Q711" i="60"/>
  <c r="U709" i="60"/>
  <c r="Q709" i="60"/>
  <c r="U708" i="60"/>
  <c r="Q708" i="60"/>
  <c r="U706" i="60"/>
  <c r="Q706" i="60"/>
  <c r="U704" i="60"/>
  <c r="Q704" i="60"/>
  <c r="U703" i="60"/>
  <c r="Q703" i="60"/>
  <c r="I703" i="60"/>
  <c r="I702" i="60"/>
  <c r="U701" i="60"/>
  <c r="Q701" i="60"/>
  <c r="U700" i="60"/>
  <c r="Q700" i="60"/>
  <c r="U698" i="60"/>
  <c r="Q698" i="60"/>
  <c r="U697" i="60"/>
  <c r="Q697" i="60"/>
  <c r="U695" i="60"/>
  <c r="Q695" i="60"/>
  <c r="U693" i="60"/>
  <c r="Q693" i="60"/>
  <c r="U692" i="60"/>
  <c r="Q692" i="60"/>
  <c r="I692" i="60"/>
  <c r="I691" i="60"/>
  <c r="U690" i="60"/>
  <c r="Q690" i="60"/>
  <c r="U689" i="60"/>
  <c r="Q689" i="60"/>
  <c r="U687" i="60"/>
  <c r="Q687" i="60"/>
  <c r="U686" i="60"/>
  <c r="Q686" i="60"/>
  <c r="U684" i="60"/>
  <c r="Q684" i="60"/>
  <c r="U682" i="60"/>
  <c r="Q682" i="60"/>
  <c r="U681" i="60"/>
  <c r="Q681" i="60"/>
  <c r="I681" i="60"/>
  <c r="I680" i="60"/>
  <c r="U679" i="60"/>
  <c r="Q679" i="60"/>
  <c r="U678" i="60"/>
  <c r="Q678" i="60"/>
  <c r="U676" i="60"/>
  <c r="Q676" i="60"/>
  <c r="U675" i="60"/>
  <c r="Q675" i="60"/>
  <c r="U673" i="60"/>
  <c r="Q673" i="60"/>
  <c r="U671" i="60"/>
  <c r="Q671" i="60"/>
  <c r="U670" i="60"/>
  <c r="Q670" i="60"/>
  <c r="I670" i="60"/>
  <c r="I669" i="60"/>
  <c r="U668" i="60"/>
  <c r="Q668" i="60"/>
  <c r="U667" i="60"/>
  <c r="Q667" i="60"/>
  <c r="U665" i="60"/>
  <c r="Q665" i="60"/>
  <c r="U664" i="60"/>
  <c r="Q664" i="60"/>
  <c r="U662" i="60"/>
  <c r="Q662" i="60"/>
  <c r="U660" i="60"/>
  <c r="Q660" i="60"/>
  <c r="U659" i="60"/>
  <c r="Q659" i="60"/>
  <c r="I659" i="60"/>
  <c r="I658" i="60"/>
  <c r="U657" i="60"/>
  <c r="Q657" i="60"/>
  <c r="U656" i="60"/>
  <c r="Q656" i="60"/>
  <c r="Q777" i="60"/>
  <c r="U777" i="60"/>
  <c r="Q778" i="60"/>
  <c r="U778" i="60"/>
  <c r="I779" i="60"/>
  <c r="I780" i="60"/>
  <c r="Q780" i="60"/>
  <c r="U780" i="60"/>
  <c r="Q781" i="60"/>
  <c r="U781" i="60"/>
  <c r="Q783" i="60"/>
  <c r="U783" i="60"/>
  <c r="Q785" i="60"/>
  <c r="U785" i="60"/>
  <c r="Q786" i="60"/>
  <c r="U786" i="60"/>
  <c r="U797" i="59"/>
  <c r="Q797" i="59"/>
  <c r="L797" i="59"/>
  <c r="H797" i="59"/>
  <c r="U796" i="59"/>
  <c r="Q796" i="59"/>
  <c r="L796" i="59"/>
  <c r="H796" i="59"/>
  <c r="L795" i="59"/>
  <c r="H795" i="59"/>
  <c r="U794" i="59"/>
  <c r="Q794" i="59"/>
  <c r="L794" i="59"/>
  <c r="H794" i="59"/>
  <c r="L793" i="59"/>
  <c r="H793" i="59"/>
  <c r="U792" i="59"/>
  <c r="Q792" i="59"/>
  <c r="L792" i="59"/>
  <c r="H792" i="59"/>
  <c r="U791" i="59"/>
  <c r="Q791" i="59"/>
  <c r="I791" i="59"/>
  <c r="H791" i="59"/>
  <c r="I790" i="59"/>
  <c r="H790" i="59"/>
  <c r="U789" i="59"/>
  <c r="Q789" i="59"/>
  <c r="L789" i="59"/>
  <c r="H789" i="59"/>
  <c r="U788" i="59"/>
  <c r="Q788" i="59"/>
  <c r="U786" i="59"/>
  <c r="Q786" i="59"/>
  <c r="L786" i="59"/>
  <c r="H786" i="59"/>
  <c r="U785" i="59"/>
  <c r="Q785" i="59"/>
  <c r="L785" i="59"/>
  <c r="H785" i="59"/>
  <c r="L784" i="59"/>
  <c r="H784" i="59"/>
  <c r="U783" i="59"/>
  <c r="Q783" i="59"/>
  <c r="L783" i="59"/>
  <c r="H783" i="59"/>
  <c r="L782" i="59"/>
  <c r="H782" i="59"/>
  <c r="U781" i="59"/>
  <c r="Q781" i="59"/>
  <c r="L781" i="59"/>
  <c r="H781" i="59"/>
  <c r="U780" i="59"/>
  <c r="Q780" i="59"/>
  <c r="I780" i="59"/>
  <c r="H780" i="59"/>
  <c r="I779" i="59"/>
  <c r="H779" i="59"/>
  <c r="U778" i="59"/>
  <c r="Q778" i="59"/>
  <c r="L778" i="59"/>
  <c r="H778" i="59"/>
  <c r="U777" i="59"/>
  <c r="Q777" i="59"/>
  <c r="U775" i="59"/>
  <c r="Q775" i="59"/>
  <c r="L775" i="59"/>
  <c r="H775" i="59"/>
  <c r="U774" i="59"/>
  <c r="Q774" i="59"/>
  <c r="L774" i="59"/>
  <c r="H774" i="59"/>
  <c r="L773" i="59"/>
  <c r="H773" i="59"/>
  <c r="U772" i="59"/>
  <c r="Q772" i="59"/>
  <c r="L772" i="59"/>
  <c r="H772" i="59"/>
  <c r="L771" i="59"/>
  <c r="H771" i="59"/>
  <c r="U770" i="59"/>
  <c r="Q770" i="59"/>
  <c r="L770" i="59"/>
  <c r="H770" i="59"/>
  <c r="U769" i="59"/>
  <c r="Q769" i="59"/>
  <c r="I769" i="59"/>
  <c r="H769" i="59"/>
  <c r="I768" i="59"/>
  <c r="H768" i="59"/>
  <c r="U767" i="59"/>
  <c r="Q767" i="59"/>
  <c r="L767" i="59"/>
  <c r="H767" i="59"/>
  <c r="U766" i="59"/>
  <c r="Q766" i="59"/>
  <c r="U764" i="59"/>
  <c r="Q764" i="59"/>
  <c r="L764" i="59"/>
  <c r="H764" i="59"/>
  <c r="U763" i="59"/>
  <c r="Q763" i="59"/>
  <c r="L763" i="59"/>
  <c r="H763" i="59"/>
  <c r="L762" i="59"/>
  <c r="H762" i="59"/>
  <c r="U761" i="59"/>
  <c r="Q761" i="59"/>
  <c r="L761" i="59"/>
  <c r="H761" i="59"/>
  <c r="L760" i="59"/>
  <c r="H760" i="59"/>
  <c r="U759" i="59"/>
  <c r="Q759" i="59"/>
  <c r="L759" i="59"/>
  <c r="H759" i="59"/>
  <c r="U758" i="59"/>
  <c r="Q758" i="59"/>
  <c r="I758" i="59"/>
  <c r="H758" i="59"/>
  <c r="I757" i="59"/>
  <c r="H757" i="59"/>
  <c r="U756" i="59"/>
  <c r="Q756" i="59"/>
  <c r="L756" i="59"/>
  <c r="H756" i="59"/>
  <c r="U755" i="59"/>
  <c r="Q755" i="59"/>
  <c r="U753" i="59"/>
  <c r="Q753" i="59"/>
  <c r="L753" i="59"/>
  <c r="H753" i="59"/>
  <c r="U752" i="59"/>
  <c r="Q752" i="59"/>
  <c r="L752" i="59"/>
  <c r="H752" i="59"/>
  <c r="L751" i="59"/>
  <c r="H751" i="59"/>
  <c r="U750" i="59"/>
  <c r="Q750" i="59"/>
  <c r="L750" i="59"/>
  <c r="H750" i="59"/>
  <c r="L749" i="59"/>
  <c r="H749" i="59"/>
  <c r="U748" i="59"/>
  <c r="Q748" i="59"/>
  <c r="L748" i="59"/>
  <c r="H748" i="59"/>
  <c r="U747" i="59"/>
  <c r="Q747" i="59"/>
  <c r="I747" i="59"/>
  <c r="H747" i="59"/>
  <c r="I746" i="59"/>
  <c r="H746" i="59"/>
  <c r="U745" i="59"/>
  <c r="Q745" i="59"/>
  <c r="L745" i="59"/>
  <c r="H745" i="59"/>
  <c r="U744" i="59"/>
  <c r="Q744" i="59"/>
  <c r="U742" i="59"/>
  <c r="Q742" i="59"/>
  <c r="L742" i="59"/>
  <c r="H742" i="59"/>
  <c r="U741" i="59"/>
  <c r="Q741" i="59"/>
  <c r="L741" i="59"/>
  <c r="H741" i="59"/>
  <c r="L740" i="59"/>
  <c r="H740" i="59"/>
  <c r="U739" i="59"/>
  <c r="Q739" i="59"/>
  <c r="L739" i="59"/>
  <c r="H739" i="59"/>
  <c r="L738" i="59"/>
  <c r="H738" i="59"/>
  <c r="U737" i="59"/>
  <c r="Q737" i="59"/>
  <c r="L737" i="59"/>
  <c r="H737" i="59"/>
  <c r="U736" i="59"/>
  <c r="Q736" i="59"/>
  <c r="I736" i="59"/>
  <c r="H736" i="59"/>
  <c r="I735" i="59"/>
  <c r="H735" i="59"/>
  <c r="U734" i="59"/>
  <c r="Q734" i="59"/>
  <c r="L734" i="59"/>
  <c r="H734" i="59"/>
  <c r="U733" i="59"/>
  <c r="Q733" i="59"/>
  <c r="U731" i="59"/>
  <c r="Q731" i="59"/>
  <c r="L731" i="59"/>
  <c r="H731" i="59"/>
  <c r="U730" i="59"/>
  <c r="Q730" i="59"/>
  <c r="L730" i="59"/>
  <c r="H730" i="59"/>
  <c r="L729" i="59"/>
  <c r="H729" i="59"/>
  <c r="U728" i="59"/>
  <c r="Q728" i="59"/>
  <c r="L728" i="59"/>
  <c r="H728" i="59"/>
  <c r="L727" i="59"/>
  <c r="H727" i="59"/>
  <c r="U726" i="59"/>
  <c r="Q726" i="59"/>
  <c r="L726" i="59"/>
  <c r="H726" i="59"/>
  <c r="U725" i="59"/>
  <c r="Q725" i="59"/>
  <c r="I725" i="59"/>
  <c r="H725" i="59"/>
  <c r="I724" i="59"/>
  <c r="H724" i="59"/>
  <c r="U723" i="59"/>
  <c r="Q723" i="59"/>
  <c r="L723" i="59"/>
  <c r="H723" i="59"/>
  <c r="U722" i="59"/>
  <c r="Q722" i="59"/>
  <c r="U720" i="59"/>
  <c r="Q720" i="59"/>
  <c r="L720" i="59"/>
  <c r="H720" i="59"/>
  <c r="U719" i="59"/>
  <c r="Q719" i="59"/>
  <c r="L719" i="59"/>
  <c r="H719" i="59"/>
  <c r="L718" i="59"/>
  <c r="H718" i="59"/>
  <c r="U717" i="59"/>
  <c r="Q717" i="59"/>
  <c r="L717" i="59"/>
  <c r="H717" i="59"/>
  <c r="L716" i="59"/>
  <c r="H716" i="59"/>
  <c r="U715" i="59"/>
  <c r="Q715" i="59"/>
  <c r="L715" i="59"/>
  <c r="H715" i="59"/>
  <c r="U714" i="59"/>
  <c r="Q714" i="59"/>
  <c r="I714" i="59"/>
  <c r="H714" i="59"/>
  <c r="I713" i="59"/>
  <c r="H713" i="59"/>
  <c r="U712" i="59"/>
  <c r="Q712" i="59"/>
  <c r="L712" i="59"/>
  <c r="H712" i="59"/>
  <c r="U711" i="59"/>
  <c r="Q711" i="59"/>
  <c r="U709" i="59"/>
  <c r="Q709" i="59"/>
  <c r="L709" i="59"/>
  <c r="H709" i="59"/>
  <c r="U708" i="59"/>
  <c r="Q708" i="59"/>
  <c r="L708" i="59"/>
  <c r="H708" i="59"/>
  <c r="L707" i="59"/>
  <c r="H707" i="59"/>
  <c r="U706" i="59"/>
  <c r="Q706" i="59"/>
  <c r="L706" i="59"/>
  <c r="H706" i="59"/>
  <c r="L705" i="59"/>
  <c r="H705" i="59"/>
  <c r="U704" i="59"/>
  <c r="Q704" i="59"/>
  <c r="L704" i="59"/>
  <c r="H704" i="59"/>
  <c r="U703" i="59"/>
  <c r="Q703" i="59"/>
  <c r="I703" i="59"/>
  <c r="H703" i="59"/>
  <c r="I702" i="59"/>
  <c r="H702" i="59"/>
  <c r="U701" i="59"/>
  <c r="Q701" i="59"/>
  <c r="L701" i="59"/>
  <c r="H701" i="59"/>
  <c r="U700" i="59"/>
  <c r="Q700" i="59"/>
  <c r="U698" i="59"/>
  <c r="Q698" i="59"/>
  <c r="L698" i="59"/>
  <c r="H698" i="59"/>
  <c r="U697" i="59"/>
  <c r="Q697" i="59"/>
  <c r="L697" i="59"/>
  <c r="H697" i="59"/>
  <c r="L696" i="59"/>
  <c r="H696" i="59"/>
  <c r="U695" i="59"/>
  <c r="Q695" i="59"/>
  <c r="L695" i="59"/>
  <c r="H695" i="59"/>
  <c r="L694" i="59"/>
  <c r="H694" i="59"/>
  <c r="U693" i="59"/>
  <c r="Q693" i="59"/>
  <c r="L693" i="59"/>
  <c r="H693" i="59"/>
  <c r="U692" i="59"/>
  <c r="Q692" i="59"/>
  <c r="I692" i="59"/>
  <c r="H692" i="59"/>
  <c r="I691" i="59"/>
  <c r="H691" i="59"/>
  <c r="U690" i="59"/>
  <c r="Q690" i="59"/>
  <c r="L690" i="59"/>
  <c r="H690" i="59"/>
  <c r="U689" i="59"/>
  <c r="Q689" i="59"/>
  <c r="U687" i="59"/>
  <c r="Q687" i="59"/>
  <c r="L687" i="59"/>
  <c r="H687" i="59"/>
  <c r="U686" i="59"/>
  <c r="Q686" i="59"/>
  <c r="L686" i="59"/>
  <c r="H686" i="59"/>
  <c r="L685" i="59"/>
  <c r="H685" i="59"/>
  <c r="U684" i="59"/>
  <c r="Q684" i="59"/>
  <c r="L684" i="59"/>
  <c r="H684" i="59"/>
  <c r="L683" i="59"/>
  <c r="H683" i="59"/>
  <c r="U682" i="59"/>
  <c r="Q682" i="59"/>
  <c r="L682" i="59"/>
  <c r="H682" i="59"/>
  <c r="U681" i="59"/>
  <c r="Q681" i="59"/>
  <c r="I681" i="59"/>
  <c r="H681" i="59"/>
  <c r="I680" i="59"/>
  <c r="H680" i="59"/>
  <c r="U679" i="59"/>
  <c r="Q679" i="59"/>
  <c r="L679" i="59"/>
  <c r="H679" i="59"/>
  <c r="U678" i="59"/>
  <c r="Q678" i="59"/>
  <c r="U676" i="59"/>
  <c r="Q676" i="59"/>
  <c r="L676" i="59"/>
  <c r="H676" i="59"/>
  <c r="U675" i="59"/>
  <c r="Q675" i="59"/>
  <c r="L675" i="59"/>
  <c r="H675" i="59"/>
  <c r="L674" i="59"/>
  <c r="H674" i="59"/>
  <c r="U673" i="59"/>
  <c r="Q673" i="59"/>
  <c r="L673" i="59"/>
  <c r="H673" i="59"/>
  <c r="L672" i="59"/>
  <c r="H672" i="59"/>
  <c r="U671" i="59"/>
  <c r="Q671" i="59"/>
  <c r="L671" i="59"/>
  <c r="H671" i="59"/>
  <c r="U670" i="59"/>
  <c r="Q670" i="59"/>
  <c r="I670" i="59"/>
  <c r="H670" i="59"/>
  <c r="I669" i="59"/>
  <c r="H669" i="59"/>
  <c r="U668" i="59"/>
  <c r="Q668" i="59"/>
  <c r="L668" i="59"/>
  <c r="H668" i="59"/>
  <c r="U667" i="59"/>
  <c r="Q667" i="59"/>
  <c r="U665" i="59"/>
  <c r="Q665" i="59"/>
  <c r="L665" i="59"/>
  <c r="H665" i="59"/>
  <c r="U664" i="59"/>
  <c r="Q664" i="59"/>
  <c r="L664" i="59"/>
  <c r="H664" i="59"/>
  <c r="L663" i="59"/>
  <c r="H663" i="59"/>
  <c r="U662" i="59"/>
  <c r="Q662" i="59"/>
  <c r="L662" i="59"/>
  <c r="H662" i="59"/>
  <c r="L661" i="59"/>
  <c r="H661" i="59"/>
  <c r="U660" i="59"/>
  <c r="Q660" i="59"/>
  <c r="L660" i="59"/>
  <c r="H660" i="59"/>
  <c r="U659" i="59"/>
  <c r="Q659" i="59"/>
  <c r="I659" i="59"/>
  <c r="H659" i="59"/>
  <c r="I658" i="59"/>
  <c r="H658" i="59"/>
  <c r="U657" i="59"/>
  <c r="Q657" i="59"/>
  <c r="L657" i="59"/>
  <c r="H657" i="59"/>
  <c r="U656" i="59"/>
  <c r="Q656" i="59"/>
  <c r="U808" i="57"/>
  <c r="Q808" i="57"/>
  <c r="U807" i="57"/>
  <c r="Q807" i="57"/>
  <c r="U805" i="57"/>
  <c r="Q805" i="57"/>
  <c r="U803" i="57"/>
  <c r="Q803" i="57"/>
  <c r="U802" i="57"/>
  <c r="Q802" i="57"/>
  <c r="I802" i="57"/>
  <c r="I801" i="57"/>
  <c r="U800" i="57"/>
  <c r="Q800" i="57"/>
  <c r="U799" i="57"/>
  <c r="Q799" i="57"/>
  <c r="U797" i="57"/>
  <c r="Q797" i="57"/>
  <c r="U796" i="57"/>
  <c r="Q796" i="57"/>
  <c r="U794" i="57"/>
  <c r="Q794" i="57"/>
  <c r="U792" i="57"/>
  <c r="Q792" i="57"/>
  <c r="U791" i="57"/>
  <c r="Q791" i="57"/>
  <c r="I791" i="57"/>
  <c r="I790" i="57"/>
  <c r="U789" i="57"/>
  <c r="Q789" i="57"/>
  <c r="U788" i="57"/>
  <c r="Q788" i="57"/>
  <c r="U819" i="57"/>
  <c r="Q819" i="57"/>
  <c r="U818" i="57"/>
  <c r="Q818" i="57"/>
  <c r="U816" i="57"/>
  <c r="Q816" i="57"/>
  <c r="U814" i="57"/>
  <c r="Q814" i="57"/>
  <c r="U813" i="57"/>
  <c r="Q813" i="57"/>
  <c r="I813" i="57"/>
  <c r="I812" i="57"/>
  <c r="U811" i="57"/>
  <c r="Q811" i="57"/>
  <c r="U810" i="57"/>
  <c r="Q810" i="57"/>
  <c r="U775" i="57"/>
  <c r="Q775" i="57"/>
  <c r="U774" i="57"/>
  <c r="Q774" i="57"/>
  <c r="U772" i="57"/>
  <c r="Q772" i="57"/>
  <c r="U770" i="57"/>
  <c r="Q770" i="57"/>
  <c r="U769" i="57"/>
  <c r="Q769" i="57"/>
  <c r="I769" i="57"/>
  <c r="I768" i="57"/>
  <c r="U767" i="57"/>
  <c r="Q767" i="57"/>
  <c r="U766" i="57"/>
  <c r="Q766" i="57"/>
  <c r="U786" i="57"/>
  <c r="Q786" i="57"/>
  <c r="U785" i="57"/>
  <c r="Q785" i="57"/>
  <c r="U783" i="57"/>
  <c r="Q783" i="57"/>
  <c r="U781" i="57"/>
  <c r="Q781" i="57"/>
  <c r="U780" i="57"/>
  <c r="Q780" i="57"/>
  <c r="I780" i="57"/>
  <c r="I779" i="57"/>
  <c r="U778" i="57"/>
  <c r="Q778" i="57"/>
  <c r="U777" i="57"/>
  <c r="Q777" i="57"/>
  <c r="U654" i="60" l="1"/>
  <c r="Q654" i="60"/>
  <c r="U653" i="60"/>
  <c r="Q653" i="60"/>
  <c r="U651" i="60"/>
  <c r="Q651" i="60"/>
  <c r="U649" i="60"/>
  <c r="Q649" i="60"/>
  <c r="U648" i="60"/>
  <c r="Q648" i="60"/>
  <c r="I648" i="60"/>
  <c r="I647" i="60"/>
  <c r="U646" i="60"/>
  <c r="Q646" i="60"/>
  <c r="U645" i="60"/>
  <c r="Q645" i="60"/>
  <c r="U643" i="60"/>
  <c r="Q643" i="60"/>
  <c r="U642" i="60"/>
  <c r="Q642" i="60"/>
  <c r="U640" i="60"/>
  <c r="Q640" i="60"/>
  <c r="U638" i="60"/>
  <c r="Q638" i="60"/>
  <c r="U637" i="60"/>
  <c r="Q637" i="60"/>
  <c r="I637" i="60"/>
  <c r="I636" i="60"/>
  <c r="U635" i="60"/>
  <c r="Q635" i="60"/>
  <c r="U634" i="60"/>
  <c r="Q634" i="60"/>
  <c r="U632" i="60"/>
  <c r="Q632" i="60"/>
  <c r="U631" i="60"/>
  <c r="Q631" i="60"/>
  <c r="U629" i="60"/>
  <c r="Q629" i="60"/>
  <c r="U627" i="60"/>
  <c r="Q627" i="60"/>
  <c r="U626" i="60"/>
  <c r="Q626" i="60"/>
  <c r="I626" i="60"/>
  <c r="I625" i="60"/>
  <c r="U624" i="60"/>
  <c r="Q624" i="60"/>
  <c r="U623" i="60"/>
  <c r="Q623" i="60"/>
  <c r="U621" i="60"/>
  <c r="Q621" i="60"/>
  <c r="U620" i="60"/>
  <c r="Q620" i="60"/>
  <c r="U618" i="60"/>
  <c r="Q618" i="60"/>
  <c r="U616" i="60"/>
  <c r="Q616" i="60"/>
  <c r="U615" i="60"/>
  <c r="Q615" i="60"/>
  <c r="I615" i="60"/>
  <c r="I614" i="60"/>
  <c r="U613" i="60"/>
  <c r="Q613" i="60"/>
  <c r="U612" i="60"/>
  <c r="Q612" i="60"/>
  <c r="U610" i="60"/>
  <c r="Q610" i="60"/>
  <c r="U609" i="60"/>
  <c r="Q609" i="60"/>
  <c r="U607" i="60"/>
  <c r="Q607" i="60"/>
  <c r="U605" i="60"/>
  <c r="Q605" i="60"/>
  <c r="U604" i="60"/>
  <c r="Q604" i="60"/>
  <c r="I604" i="60"/>
  <c r="I603" i="60"/>
  <c r="U602" i="60"/>
  <c r="Q602" i="60"/>
  <c r="U601" i="60"/>
  <c r="Q601" i="60"/>
  <c r="U599" i="60"/>
  <c r="Q599" i="60"/>
  <c r="U598" i="60"/>
  <c r="Q598" i="60"/>
  <c r="U596" i="60"/>
  <c r="Q596" i="60"/>
  <c r="U594" i="60"/>
  <c r="Q594" i="60"/>
  <c r="U593" i="60"/>
  <c r="Q593" i="60"/>
  <c r="I593" i="60"/>
  <c r="I592" i="60"/>
  <c r="U591" i="60"/>
  <c r="Q591" i="60"/>
  <c r="U590" i="60"/>
  <c r="Q590" i="60"/>
  <c r="U588" i="60"/>
  <c r="Q588" i="60"/>
  <c r="U587" i="60"/>
  <c r="Q587" i="60"/>
  <c r="U585" i="60"/>
  <c r="Q585" i="60"/>
  <c r="U583" i="60"/>
  <c r="Q583" i="60"/>
  <c r="U582" i="60"/>
  <c r="Q582" i="60"/>
  <c r="I582" i="60"/>
  <c r="I581" i="60"/>
  <c r="U580" i="60"/>
  <c r="Q580" i="60"/>
  <c r="U579" i="60"/>
  <c r="Q579" i="60"/>
  <c r="U577" i="60"/>
  <c r="Q577" i="60"/>
  <c r="U576" i="60"/>
  <c r="Q576" i="60"/>
  <c r="U574" i="60"/>
  <c r="Q574" i="60"/>
  <c r="U572" i="60"/>
  <c r="Q572" i="60"/>
  <c r="U571" i="60"/>
  <c r="Q571" i="60"/>
  <c r="I571" i="60"/>
  <c r="I570" i="60"/>
  <c r="U569" i="60"/>
  <c r="Q569" i="60"/>
  <c r="U568" i="60"/>
  <c r="Q568" i="60"/>
  <c r="U566" i="60"/>
  <c r="Q566" i="60"/>
  <c r="U565" i="60"/>
  <c r="Q565" i="60"/>
  <c r="U563" i="60"/>
  <c r="Q563" i="60"/>
  <c r="U561" i="60"/>
  <c r="Q561" i="60"/>
  <c r="U560" i="60"/>
  <c r="Q560" i="60"/>
  <c r="I560" i="60"/>
  <c r="I559" i="60"/>
  <c r="U558" i="60"/>
  <c r="Q558" i="60"/>
  <c r="U557" i="60"/>
  <c r="Q557" i="60"/>
  <c r="U555" i="60"/>
  <c r="Q555" i="60"/>
  <c r="U554" i="60"/>
  <c r="Q554" i="60"/>
  <c r="U552" i="60"/>
  <c r="Q552" i="60"/>
  <c r="U550" i="60"/>
  <c r="Q550" i="60"/>
  <c r="U549" i="60"/>
  <c r="Q549" i="60"/>
  <c r="I549" i="60"/>
  <c r="I548" i="60"/>
  <c r="U547" i="60"/>
  <c r="Q547" i="60"/>
  <c r="U546" i="60"/>
  <c r="Q546" i="60"/>
  <c r="U544" i="60"/>
  <c r="Q544" i="60"/>
  <c r="U543" i="60"/>
  <c r="Q543" i="60"/>
  <c r="U541" i="60"/>
  <c r="Q541" i="60"/>
  <c r="U539" i="60"/>
  <c r="Q539" i="60"/>
  <c r="U538" i="60"/>
  <c r="Q538" i="60"/>
  <c r="I538" i="60"/>
  <c r="I537" i="60"/>
  <c r="U536" i="60"/>
  <c r="Q536" i="60"/>
  <c r="U535" i="60"/>
  <c r="Q535" i="60"/>
  <c r="U533" i="60"/>
  <c r="Q533" i="60"/>
  <c r="U532" i="60"/>
  <c r="Q532" i="60"/>
  <c r="U530" i="60"/>
  <c r="Q530" i="60"/>
  <c r="U528" i="60"/>
  <c r="Q528" i="60"/>
  <c r="U527" i="60"/>
  <c r="Q527" i="60"/>
  <c r="I527" i="60"/>
  <c r="I526" i="60"/>
  <c r="U525" i="60"/>
  <c r="Q525" i="60"/>
  <c r="U524" i="60"/>
  <c r="Q524" i="60"/>
  <c r="U522" i="60"/>
  <c r="Q522" i="60"/>
  <c r="U521" i="60"/>
  <c r="Q521" i="60"/>
  <c r="U519" i="60"/>
  <c r="Q519" i="60"/>
  <c r="U517" i="60"/>
  <c r="Q517" i="60"/>
  <c r="U516" i="60"/>
  <c r="Q516" i="60"/>
  <c r="I516" i="60"/>
  <c r="I515" i="60"/>
  <c r="U514" i="60"/>
  <c r="Q514" i="60"/>
  <c r="U513" i="60"/>
  <c r="Q513" i="60"/>
  <c r="U654" i="59"/>
  <c r="Q654" i="59"/>
  <c r="L654" i="59"/>
  <c r="H654" i="59"/>
  <c r="U653" i="59"/>
  <c r="Q653" i="59"/>
  <c r="L653" i="59"/>
  <c r="H653" i="59"/>
  <c r="L652" i="59"/>
  <c r="H652" i="59"/>
  <c r="U651" i="59"/>
  <c r="Q651" i="59"/>
  <c r="L651" i="59"/>
  <c r="H651" i="59"/>
  <c r="L650" i="59"/>
  <c r="H650" i="59"/>
  <c r="U649" i="59"/>
  <c r="Q649" i="59"/>
  <c r="L649" i="59"/>
  <c r="H649" i="59"/>
  <c r="U648" i="59"/>
  <c r="Q648" i="59"/>
  <c r="I648" i="59"/>
  <c r="H648" i="59"/>
  <c r="I647" i="59"/>
  <c r="H647" i="59"/>
  <c r="U646" i="59"/>
  <c r="Q646" i="59"/>
  <c r="L646" i="59"/>
  <c r="H646" i="59"/>
  <c r="U645" i="59"/>
  <c r="Q645" i="59"/>
  <c r="U643" i="59"/>
  <c r="Q643" i="59"/>
  <c r="L643" i="59"/>
  <c r="H643" i="59"/>
  <c r="U642" i="59"/>
  <c r="Q642" i="59"/>
  <c r="L642" i="59"/>
  <c r="H642" i="59"/>
  <c r="L641" i="59"/>
  <c r="H641" i="59"/>
  <c r="U640" i="59"/>
  <c r="Q640" i="59"/>
  <c r="L640" i="59"/>
  <c r="H640" i="59"/>
  <c r="L639" i="59"/>
  <c r="H639" i="59"/>
  <c r="U638" i="59"/>
  <c r="Q638" i="59"/>
  <c r="L638" i="59"/>
  <c r="H638" i="59"/>
  <c r="U637" i="59"/>
  <c r="Q637" i="59"/>
  <c r="I637" i="59"/>
  <c r="H637" i="59"/>
  <c r="I636" i="59"/>
  <c r="H636" i="59"/>
  <c r="U635" i="59"/>
  <c r="Q635" i="59"/>
  <c r="L635" i="59"/>
  <c r="H635" i="59"/>
  <c r="U634" i="59"/>
  <c r="Q634" i="59"/>
  <c r="U632" i="59"/>
  <c r="Q632" i="59"/>
  <c r="L632" i="59"/>
  <c r="H632" i="59"/>
  <c r="U631" i="59"/>
  <c r="Q631" i="59"/>
  <c r="L631" i="59"/>
  <c r="H631" i="59"/>
  <c r="L630" i="59"/>
  <c r="H630" i="59"/>
  <c r="U629" i="59"/>
  <c r="Q629" i="59"/>
  <c r="L629" i="59"/>
  <c r="H629" i="59"/>
  <c r="L628" i="59"/>
  <c r="H628" i="59"/>
  <c r="U627" i="59"/>
  <c r="Q627" i="59"/>
  <c r="L627" i="59"/>
  <c r="H627" i="59"/>
  <c r="U626" i="59"/>
  <c r="Q626" i="59"/>
  <c r="I626" i="59"/>
  <c r="H626" i="59"/>
  <c r="I625" i="59"/>
  <c r="H625" i="59"/>
  <c r="U624" i="59"/>
  <c r="Q624" i="59"/>
  <c r="L624" i="59"/>
  <c r="H624" i="59"/>
  <c r="U623" i="59"/>
  <c r="Q623" i="59"/>
  <c r="U621" i="59"/>
  <c r="Q621" i="59"/>
  <c r="L621" i="59"/>
  <c r="H621" i="59"/>
  <c r="U620" i="59"/>
  <c r="Q620" i="59"/>
  <c r="L620" i="59"/>
  <c r="H620" i="59"/>
  <c r="L619" i="59"/>
  <c r="H619" i="59"/>
  <c r="U618" i="59"/>
  <c r="Q618" i="59"/>
  <c r="L618" i="59"/>
  <c r="H618" i="59"/>
  <c r="L617" i="59"/>
  <c r="H617" i="59"/>
  <c r="U616" i="59"/>
  <c r="Q616" i="59"/>
  <c r="L616" i="59"/>
  <c r="H616" i="59"/>
  <c r="U615" i="59"/>
  <c r="Q615" i="59"/>
  <c r="I615" i="59"/>
  <c r="H615" i="59"/>
  <c r="I614" i="59"/>
  <c r="H614" i="59"/>
  <c r="U613" i="59"/>
  <c r="Q613" i="59"/>
  <c r="L613" i="59"/>
  <c r="H613" i="59"/>
  <c r="U612" i="59"/>
  <c r="Q612" i="59"/>
  <c r="U610" i="59"/>
  <c r="Q610" i="59"/>
  <c r="L610" i="59"/>
  <c r="H610" i="59"/>
  <c r="U609" i="59"/>
  <c r="Q609" i="59"/>
  <c r="L609" i="59"/>
  <c r="H609" i="59"/>
  <c r="L608" i="59"/>
  <c r="H608" i="59"/>
  <c r="U607" i="59"/>
  <c r="Q607" i="59"/>
  <c r="L607" i="59"/>
  <c r="H607" i="59"/>
  <c r="L606" i="59"/>
  <c r="H606" i="59"/>
  <c r="U605" i="59"/>
  <c r="Q605" i="59"/>
  <c r="L605" i="59"/>
  <c r="H605" i="59"/>
  <c r="U604" i="59"/>
  <c r="Q604" i="59"/>
  <c r="I604" i="59"/>
  <c r="H604" i="59"/>
  <c r="I603" i="59"/>
  <c r="H603" i="59"/>
  <c r="U602" i="59"/>
  <c r="Q602" i="59"/>
  <c r="L602" i="59"/>
  <c r="H602" i="59"/>
  <c r="U601" i="59"/>
  <c r="Q601" i="59"/>
  <c r="U599" i="59"/>
  <c r="Q599" i="59"/>
  <c r="L599" i="59"/>
  <c r="H599" i="59"/>
  <c r="U598" i="59"/>
  <c r="Q598" i="59"/>
  <c r="L598" i="59"/>
  <c r="H598" i="59"/>
  <c r="L597" i="59"/>
  <c r="H597" i="59"/>
  <c r="U596" i="59"/>
  <c r="Q596" i="59"/>
  <c r="L596" i="59"/>
  <c r="H596" i="59"/>
  <c r="L595" i="59"/>
  <c r="H595" i="59"/>
  <c r="U594" i="59"/>
  <c r="Q594" i="59"/>
  <c r="L594" i="59"/>
  <c r="H594" i="59"/>
  <c r="U593" i="59"/>
  <c r="Q593" i="59"/>
  <c r="I593" i="59"/>
  <c r="H593" i="59"/>
  <c r="I592" i="59"/>
  <c r="H592" i="59"/>
  <c r="U591" i="59"/>
  <c r="Q591" i="59"/>
  <c r="L591" i="59"/>
  <c r="H591" i="59"/>
  <c r="U590" i="59"/>
  <c r="Q590" i="59"/>
  <c r="U588" i="59"/>
  <c r="Q588" i="59"/>
  <c r="L588" i="59"/>
  <c r="H588" i="59"/>
  <c r="U587" i="59"/>
  <c r="Q587" i="59"/>
  <c r="L587" i="59"/>
  <c r="H587" i="59"/>
  <c r="L586" i="59"/>
  <c r="H586" i="59"/>
  <c r="U585" i="59"/>
  <c r="Q585" i="59"/>
  <c r="L585" i="59"/>
  <c r="H585" i="59"/>
  <c r="L584" i="59"/>
  <c r="H584" i="59"/>
  <c r="U583" i="59"/>
  <c r="Q583" i="59"/>
  <c r="L583" i="59"/>
  <c r="H583" i="59"/>
  <c r="U582" i="59"/>
  <c r="Q582" i="59"/>
  <c r="I582" i="59"/>
  <c r="H582" i="59"/>
  <c r="I581" i="59"/>
  <c r="H581" i="59"/>
  <c r="U580" i="59"/>
  <c r="Q580" i="59"/>
  <c r="L580" i="59"/>
  <c r="H580" i="59"/>
  <c r="U579" i="59"/>
  <c r="Q579" i="59"/>
  <c r="U577" i="59"/>
  <c r="Q577" i="59"/>
  <c r="L577" i="59"/>
  <c r="H577" i="59"/>
  <c r="U576" i="59"/>
  <c r="Q576" i="59"/>
  <c r="L576" i="59"/>
  <c r="H576" i="59"/>
  <c r="L575" i="59"/>
  <c r="H575" i="59"/>
  <c r="U574" i="59"/>
  <c r="Q574" i="59"/>
  <c r="L574" i="59"/>
  <c r="H574" i="59"/>
  <c r="L573" i="59"/>
  <c r="H573" i="59"/>
  <c r="U572" i="59"/>
  <c r="Q572" i="59"/>
  <c r="L572" i="59"/>
  <c r="H572" i="59"/>
  <c r="U571" i="59"/>
  <c r="Q571" i="59"/>
  <c r="I571" i="59"/>
  <c r="H571" i="59"/>
  <c r="I570" i="59"/>
  <c r="H570" i="59"/>
  <c r="U569" i="59"/>
  <c r="Q569" i="59"/>
  <c r="L569" i="59"/>
  <c r="H569" i="59"/>
  <c r="U568" i="59"/>
  <c r="Q568" i="59"/>
  <c r="U566" i="59"/>
  <c r="Q566" i="59"/>
  <c r="L566" i="59"/>
  <c r="H566" i="59"/>
  <c r="U565" i="59"/>
  <c r="Q565" i="59"/>
  <c r="L565" i="59"/>
  <c r="H565" i="59"/>
  <c r="L564" i="59"/>
  <c r="H564" i="59"/>
  <c r="U563" i="59"/>
  <c r="Q563" i="59"/>
  <c r="L563" i="59"/>
  <c r="H563" i="59"/>
  <c r="L562" i="59"/>
  <c r="H562" i="59"/>
  <c r="U561" i="59"/>
  <c r="Q561" i="59"/>
  <c r="L561" i="59"/>
  <c r="H561" i="59"/>
  <c r="U560" i="59"/>
  <c r="Q560" i="59"/>
  <c r="I560" i="59"/>
  <c r="H560" i="59"/>
  <c r="I559" i="59"/>
  <c r="H559" i="59"/>
  <c r="U558" i="59"/>
  <c r="Q558" i="59"/>
  <c r="L558" i="59"/>
  <c r="H558" i="59"/>
  <c r="U557" i="59"/>
  <c r="Q557" i="59"/>
  <c r="U555" i="59"/>
  <c r="Q555" i="59"/>
  <c r="L555" i="59"/>
  <c r="H555" i="59"/>
  <c r="U554" i="59"/>
  <c r="Q554" i="59"/>
  <c r="L554" i="59"/>
  <c r="H554" i="59"/>
  <c r="L553" i="59"/>
  <c r="H553" i="59"/>
  <c r="U552" i="59"/>
  <c r="Q552" i="59"/>
  <c r="L552" i="59"/>
  <c r="H552" i="59"/>
  <c r="L551" i="59"/>
  <c r="H551" i="59"/>
  <c r="U550" i="59"/>
  <c r="Q550" i="59"/>
  <c r="L550" i="59"/>
  <c r="H550" i="59"/>
  <c r="U549" i="59"/>
  <c r="Q549" i="59"/>
  <c r="I549" i="59"/>
  <c r="H549" i="59"/>
  <c r="I548" i="59"/>
  <c r="H548" i="59"/>
  <c r="U547" i="59"/>
  <c r="Q547" i="59"/>
  <c r="L547" i="59"/>
  <c r="H547" i="59"/>
  <c r="U546" i="59"/>
  <c r="Q546" i="59"/>
  <c r="U544" i="59"/>
  <c r="Q544" i="59"/>
  <c r="L544" i="59"/>
  <c r="H544" i="59"/>
  <c r="U543" i="59"/>
  <c r="Q543" i="59"/>
  <c r="L543" i="59"/>
  <c r="H543" i="59"/>
  <c r="L542" i="59"/>
  <c r="H542" i="59"/>
  <c r="U541" i="59"/>
  <c r="Q541" i="59"/>
  <c r="L541" i="59"/>
  <c r="H541" i="59"/>
  <c r="L540" i="59"/>
  <c r="H540" i="59"/>
  <c r="U539" i="59"/>
  <c r="Q539" i="59"/>
  <c r="L539" i="59"/>
  <c r="H539" i="59"/>
  <c r="U538" i="59"/>
  <c r="Q538" i="59"/>
  <c r="I538" i="59"/>
  <c r="H538" i="59"/>
  <c r="I537" i="59"/>
  <c r="H537" i="59"/>
  <c r="U536" i="59"/>
  <c r="Q536" i="59"/>
  <c r="L536" i="59"/>
  <c r="H536" i="59"/>
  <c r="U535" i="59"/>
  <c r="Q535" i="59"/>
  <c r="U533" i="59"/>
  <c r="Q533" i="59"/>
  <c r="L533" i="59"/>
  <c r="H533" i="59"/>
  <c r="U532" i="59"/>
  <c r="Q532" i="59"/>
  <c r="L532" i="59"/>
  <c r="H532" i="59"/>
  <c r="L531" i="59"/>
  <c r="H531" i="59"/>
  <c r="U530" i="59"/>
  <c r="Q530" i="59"/>
  <c r="L530" i="59"/>
  <c r="H530" i="59"/>
  <c r="L529" i="59"/>
  <c r="H529" i="59"/>
  <c r="U528" i="59"/>
  <c r="Q528" i="59"/>
  <c r="L528" i="59"/>
  <c r="H528" i="59"/>
  <c r="U527" i="59"/>
  <c r="Q527" i="59"/>
  <c r="I527" i="59"/>
  <c r="H527" i="59"/>
  <c r="I526" i="59"/>
  <c r="H526" i="59"/>
  <c r="U525" i="59"/>
  <c r="Q525" i="59"/>
  <c r="L525" i="59"/>
  <c r="H525" i="59"/>
  <c r="U524" i="59"/>
  <c r="Q524" i="59"/>
  <c r="U522" i="59"/>
  <c r="Q522" i="59"/>
  <c r="L522" i="59"/>
  <c r="H522" i="59"/>
  <c r="U521" i="59"/>
  <c r="Q521" i="59"/>
  <c r="L521" i="59"/>
  <c r="H521" i="59"/>
  <c r="L520" i="59"/>
  <c r="H520" i="59"/>
  <c r="U519" i="59"/>
  <c r="Q519" i="59"/>
  <c r="L519" i="59"/>
  <c r="H519" i="59"/>
  <c r="L518" i="59"/>
  <c r="H518" i="59"/>
  <c r="U517" i="59"/>
  <c r="Q517" i="59"/>
  <c r="L517" i="59"/>
  <c r="H517" i="59"/>
  <c r="U516" i="59"/>
  <c r="Q516" i="59"/>
  <c r="I516" i="59"/>
  <c r="H516" i="59"/>
  <c r="I515" i="59"/>
  <c r="H515" i="59"/>
  <c r="U514" i="59"/>
  <c r="Q514" i="59"/>
  <c r="L514" i="59"/>
  <c r="H514" i="59"/>
  <c r="U513" i="59"/>
  <c r="Q513" i="59"/>
  <c r="U764" i="57"/>
  <c r="Q764" i="57"/>
  <c r="U763" i="57"/>
  <c r="Q763" i="57"/>
  <c r="U761" i="57"/>
  <c r="Q761" i="57"/>
  <c r="U759" i="57"/>
  <c r="Q759" i="57"/>
  <c r="U758" i="57"/>
  <c r="Q758" i="57"/>
  <c r="I758" i="57"/>
  <c r="I757" i="57"/>
  <c r="U756" i="57"/>
  <c r="Q756" i="57"/>
  <c r="U755" i="57"/>
  <c r="Q755" i="57"/>
  <c r="U753" i="57"/>
  <c r="Q753" i="57"/>
  <c r="U752" i="57"/>
  <c r="Q752" i="57"/>
  <c r="U750" i="57"/>
  <c r="Q750" i="57"/>
  <c r="U748" i="57"/>
  <c r="Q748" i="57"/>
  <c r="U747" i="57"/>
  <c r="Q747" i="57"/>
  <c r="I747" i="57"/>
  <c r="I746" i="57"/>
  <c r="U745" i="57"/>
  <c r="Q745" i="57"/>
  <c r="U744" i="57"/>
  <c r="Q744" i="57"/>
  <c r="U742" i="57"/>
  <c r="Q742" i="57"/>
  <c r="U741" i="57"/>
  <c r="Q741" i="57"/>
  <c r="U739" i="57"/>
  <c r="Q739" i="57"/>
  <c r="U737" i="57"/>
  <c r="Q737" i="57"/>
  <c r="U736" i="57"/>
  <c r="Q736" i="57"/>
  <c r="I736" i="57"/>
  <c r="I735" i="57"/>
  <c r="U734" i="57"/>
  <c r="Q734" i="57"/>
  <c r="U733" i="57"/>
  <c r="Q733" i="57"/>
  <c r="U698" i="57"/>
  <c r="Q698" i="57"/>
  <c r="U697" i="57"/>
  <c r="Q697" i="57"/>
  <c r="U695" i="57"/>
  <c r="Q695" i="57"/>
  <c r="U693" i="57"/>
  <c r="Q693" i="57"/>
  <c r="U692" i="57"/>
  <c r="Q692" i="57"/>
  <c r="I692" i="57"/>
  <c r="I691" i="57"/>
  <c r="U690" i="57"/>
  <c r="Q690" i="57"/>
  <c r="U689" i="57"/>
  <c r="Q689" i="57"/>
  <c r="U709" i="57"/>
  <c r="Q709" i="57"/>
  <c r="U708" i="57"/>
  <c r="Q708" i="57"/>
  <c r="U706" i="57"/>
  <c r="Q706" i="57"/>
  <c r="U704" i="57"/>
  <c r="Q704" i="57"/>
  <c r="U703" i="57"/>
  <c r="Q703" i="57"/>
  <c r="I703" i="57"/>
  <c r="I702" i="57"/>
  <c r="U701" i="57"/>
  <c r="Q701" i="57"/>
  <c r="U700" i="57"/>
  <c r="Q700" i="57"/>
  <c r="U720" i="57"/>
  <c r="Q720" i="57"/>
  <c r="U719" i="57"/>
  <c r="Q719" i="57"/>
  <c r="U717" i="57"/>
  <c r="Q717" i="57"/>
  <c r="U715" i="57"/>
  <c r="Q715" i="57"/>
  <c r="U714" i="57"/>
  <c r="Q714" i="57"/>
  <c r="I714" i="57"/>
  <c r="I713" i="57"/>
  <c r="U712" i="57"/>
  <c r="Q712" i="57"/>
  <c r="U711" i="57"/>
  <c r="Q711" i="57"/>
  <c r="U731" i="57"/>
  <c r="Q731" i="57"/>
  <c r="U730" i="57"/>
  <c r="Q730" i="57"/>
  <c r="U728" i="57"/>
  <c r="Q728" i="57"/>
  <c r="U726" i="57"/>
  <c r="Q726" i="57"/>
  <c r="U725" i="57"/>
  <c r="Q725" i="57"/>
  <c r="I725" i="57"/>
  <c r="I724" i="57"/>
  <c r="U723" i="57"/>
  <c r="Q723" i="57"/>
  <c r="U722" i="57"/>
  <c r="Q722" i="57"/>
  <c r="U654" i="57"/>
  <c r="Q654" i="57"/>
  <c r="U653" i="57"/>
  <c r="Q653" i="57"/>
  <c r="U651" i="57"/>
  <c r="Q651" i="57"/>
  <c r="U649" i="57"/>
  <c r="Q649" i="57"/>
  <c r="U648" i="57"/>
  <c r="Q648" i="57"/>
  <c r="I648" i="57"/>
  <c r="I647" i="57"/>
  <c r="U646" i="57"/>
  <c r="Q646" i="57"/>
  <c r="U645" i="57"/>
  <c r="Q645" i="57"/>
  <c r="U676" i="57"/>
  <c r="Q676" i="57"/>
  <c r="U675" i="57"/>
  <c r="Q675" i="57"/>
  <c r="U673" i="57"/>
  <c r="Q673" i="57"/>
  <c r="U671" i="57"/>
  <c r="Q671" i="57"/>
  <c r="U670" i="57"/>
  <c r="Q670" i="57"/>
  <c r="I670" i="57"/>
  <c r="I669" i="57"/>
  <c r="U668" i="57"/>
  <c r="Q668" i="57"/>
  <c r="U667" i="57"/>
  <c r="Q667" i="57"/>
  <c r="U687" i="57"/>
  <c r="Q687" i="57"/>
  <c r="U686" i="57"/>
  <c r="Q686" i="57"/>
  <c r="U684" i="57"/>
  <c r="Q684" i="57"/>
  <c r="U682" i="57"/>
  <c r="Q682" i="57"/>
  <c r="U681" i="57"/>
  <c r="Q681" i="57"/>
  <c r="I681" i="57"/>
  <c r="I680" i="57"/>
  <c r="U679" i="57"/>
  <c r="Q679" i="57"/>
  <c r="U678" i="57"/>
  <c r="Q678" i="57"/>
  <c r="U665" i="57"/>
  <c r="Q665" i="57"/>
  <c r="U664" i="57"/>
  <c r="Q664" i="57"/>
  <c r="U662" i="57"/>
  <c r="Q662" i="57"/>
  <c r="U660" i="57"/>
  <c r="Q660" i="57"/>
  <c r="U659" i="57"/>
  <c r="Q659" i="57"/>
  <c r="I659" i="57"/>
  <c r="I658" i="57"/>
  <c r="U657" i="57"/>
  <c r="Q657" i="57"/>
  <c r="U656" i="57"/>
  <c r="Q656" i="57"/>
  <c r="U511" i="60" l="1"/>
  <c r="Q511" i="60"/>
  <c r="U510" i="60"/>
  <c r="Q510" i="60"/>
  <c r="U508" i="60"/>
  <c r="Q508" i="60"/>
  <c r="U506" i="60"/>
  <c r="Q506" i="60"/>
  <c r="U505" i="60"/>
  <c r="Q505" i="60"/>
  <c r="I505" i="60"/>
  <c r="I504" i="60"/>
  <c r="U503" i="60"/>
  <c r="Q503" i="60"/>
  <c r="U502" i="60"/>
  <c r="Q502" i="60"/>
  <c r="E33" i="10" l="1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2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84" i="60" s="1"/>
  <c r="B46" i="10"/>
  <c r="B495" i="60" s="1"/>
  <c r="B47" i="10"/>
  <c r="B506" i="60" s="1"/>
  <c r="B48" i="10"/>
  <c r="B49" i="10"/>
  <c r="B50" i="10"/>
  <c r="B51" i="10"/>
  <c r="B52" i="10"/>
  <c r="B561" i="60" s="1"/>
  <c r="B53" i="10"/>
  <c r="B54" i="10"/>
  <c r="B55" i="10"/>
  <c r="B56" i="10"/>
  <c r="B57" i="10"/>
  <c r="B58" i="10"/>
  <c r="B59" i="10"/>
  <c r="B60" i="10"/>
  <c r="B649" i="60" s="1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803" i="57" s="1"/>
  <c r="B75" i="10"/>
  <c r="B814" i="57" s="1"/>
  <c r="B76" i="10"/>
  <c r="B825" i="57" s="1"/>
  <c r="B77" i="10"/>
  <c r="B836" i="57" s="1"/>
  <c r="B78" i="10"/>
  <c r="B847" i="57" s="1"/>
  <c r="B79" i="10"/>
  <c r="B858" i="57" s="1"/>
  <c r="B80" i="10"/>
  <c r="B869" i="57" s="1"/>
  <c r="B81" i="10"/>
  <c r="B880" i="57" s="1"/>
  <c r="B2" i="10"/>
  <c r="D59" i="10"/>
  <c r="D60" i="10"/>
  <c r="D61" i="10"/>
  <c r="D62" i="10"/>
  <c r="D63" i="10"/>
  <c r="D64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AO480" i="26" l="1"/>
  <c r="AN480" i="26" s="1"/>
  <c r="AO484" i="26"/>
  <c r="AN484" i="26" s="1"/>
  <c r="AO488" i="26"/>
  <c r="AN488" i="26" s="1"/>
  <c r="AO492" i="26"/>
  <c r="AN492" i="26" s="1"/>
  <c r="AO482" i="26"/>
  <c r="AN482" i="26" s="1"/>
  <c r="AO490" i="26"/>
  <c r="AN490" i="26" s="1"/>
  <c r="AO487" i="26"/>
  <c r="AN487" i="26" s="1"/>
  <c r="AO481" i="26"/>
  <c r="AN481" i="26" s="1"/>
  <c r="AO485" i="26"/>
  <c r="AN485" i="26" s="1"/>
  <c r="AO489" i="26"/>
  <c r="AN489" i="26" s="1"/>
  <c r="AO493" i="26"/>
  <c r="AN493" i="26" s="1"/>
  <c r="AO486" i="26"/>
  <c r="AN486" i="26" s="1"/>
  <c r="AO483" i="26"/>
  <c r="AN483" i="26" s="1"/>
  <c r="AO491" i="26"/>
  <c r="AN491" i="26" s="1"/>
  <c r="O875" i="57"/>
  <c r="P875" i="57" s="1"/>
  <c r="W877" i="57"/>
  <c r="X877" i="57" s="1"/>
  <c r="W875" i="57"/>
  <c r="W882" i="57"/>
  <c r="X882" i="57" s="1"/>
  <c r="S880" i="57"/>
  <c r="T880" i="57" s="1"/>
  <c r="S879" i="57"/>
  <c r="T879" i="57" s="1"/>
  <c r="W878" i="57"/>
  <c r="O876" i="57"/>
  <c r="P876" i="57" s="1"/>
  <c r="K875" i="57"/>
  <c r="K879" i="57"/>
  <c r="L879" i="57" s="1"/>
  <c r="W884" i="57"/>
  <c r="X884" i="57" s="1"/>
  <c r="G876" i="57"/>
  <c r="G875" i="57"/>
  <c r="S885" i="57"/>
  <c r="T885" i="57" s="1"/>
  <c r="S876" i="57"/>
  <c r="T876" i="57" s="1"/>
  <c r="S877" i="57"/>
  <c r="T877" i="57" s="1"/>
  <c r="W883" i="57"/>
  <c r="W879" i="57"/>
  <c r="X879" i="57" s="1"/>
  <c r="S881" i="57"/>
  <c r="S875" i="57"/>
  <c r="K878" i="57"/>
  <c r="L878" i="57" s="1"/>
  <c r="W885" i="57"/>
  <c r="X885" i="57" s="1"/>
  <c r="D875" i="57"/>
  <c r="W880" i="57"/>
  <c r="X880" i="57" s="1"/>
  <c r="C875" i="57"/>
  <c r="S882" i="57"/>
  <c r="T882" i="57" s="1"/>
  <c r="W876" i="57"/>
  <c r="X876" i="57" s="1"/>
  <c r="S884" i="57"/>
  <c r="T884" i="57" s="1"/>
  <c r="S878" i="57"/>
  <c r="S883" i="57"/>
  <c r="W881" i="57"/>
  <c r="S829" i="57"/>
  <c r="T829" i="57" s="1"/>
  <c r="W828" i="57"/>
  <c r="S821" i="57"/>
  <c r="T821" i="57" s="1"/>
  <c r="W827" i="57"/>
  <c r="X827" i="57" s="1"/>
  <c r="W821" i="57"/>
  <c r="X821" i="57" s="1"/>
  <c r="S826" i="57"/>
  <c r="K824" i="57"/>
  <c r="L824" i="57" s="1"/>
  <c r="S824" i="57"/>
  <c r="T824" i="57" s="1"/>
  <c r="S830" i="57"/>
  <c r="T830" i="57" s="1"/>
  <c r="C820" i="57"/>
  <c r="W830" i="57"/>
  <c r="X830" i="57" s="1"/>
  <c r="K823" i="57"/>
  <c r="L823" i="57" s="1"/>
  <c r="W829" i="57"/>
  <c r="X829" i="57" s="1"/>
  <c r="S823" i="57"/>
  <c r="S828" i="57"/>
  <c r="G821" i="57"/>
  <c r="S827" i="57"/>
  <c r="T827" i="57" s="1"/>
  <c r="O820" i="57"/>
  <c r="P820" i="57" s="1"/>
  <c r="W823" i="57"/>
  <c r="K820" i="57"/>
  <c r="W824" i="57"/>
  <c r="X824" i="57" s="1"/>
  <c r="O821" i="57"/>
  <c r="P821" i="57" s="1"/>
  <c r="W822" i="57"/>
  <c r="X822" i="57" s="1"/>
  <c r="W826" i="57"/>
  <c r="D820" i="57"/>
  <c r="W820" i="57"/>
  <c r="W825" i="57"/>
  <c r="X825" i="57" s="1"/>
  <c r="S822" i="57"/>
  <c r="T822" i="57" s="1"/>
  <c r="S825" i="57"/>
  <c r="T825" i="57" s="1"/>
  <c r="C853" i="57"/>
  <c r="S860" i="57"/>
  <c r="T860" i="57" s="1"/>
  <c r="G854" i="57"/>
  <c r="W860" i="57"/>
  <c r="X860" i="57" s="1"/>
  <c r="S854" i="57"/>
  <c r="T854" i="57" s="1"/>
  <c r="S863" i="57"/>
  <c r="T863" i="57" s="1"/>
  <c r="W857" i="57"/>
  <c r="X857" i="57" s="1"/>
  <c r="W859" i="57"/>
  <c r="W855" i="57"/>
  <c r="X855" i="57" s="1"/>
  <c r="S857" i="57"/>
  <c r="T857" i="57" s="1"/>
  <c r="S859" i="57"/>
  <c r="W854" i="57"/>
  <c r="X854" i="57" s="1"/>
  <c r="S855" i="57"/>
  <c r="T855" i="57" s="1"/>
  <c r="S862" i="57"/>
  <c r="T862" i="57" s="1"/>
  <c r="W862" i="57"/>
  <c r="X862" i="57" s="1"/>
  <c r="W863" i="57"/>
  <c r="X863" i="57" s="1"/>
  <c r="D853" i="57"/>
  <c r="K857" i="57"/>
  <c r="L857" i="57" s="1"/>
  <c r="S853" i="57"/>
  <c r="S858" i="57"/>
  <c r="T858" i="57" s="1"/>
  <c r="W853" i="57"/>
  <c r="S861" i="57"/>
  <c r="S856" i="57"/>
  <c r="O853" i="57"/>
  <c r="P853" i="57" s="1"/>
  <c r="G853" i="57"/>
  <c r="K853" i="57"/>
  <c r="W856" i="57"/>
  <c r="O854" i="57"/>
  <c r="P854" i="57" s="1"/>
  <c r="K856" i="57"/>
  <c r="L856" i="57" s="1"/>
  <c r="W858" i="57"/>
  <c r="X858" i="57" s="1"/>
  <c r="W861" i="57"/>
  <c r="W841" i="57"/>
  <c r="X841" i="57" s="1"/>
  <c r="S833" i="57"/>
  <c r="T833" i="57" s="1"/>
  <c r="W831" i="57"/>
  <c r="K835" i="57"/>
  <c r="L835" i="57" s="1"/>
  <c r="W838" i="57"/>
  <c r="X838" i="57" s="1"/>
  <c r="O832" i="57"/>
  <c r="P832" i="57" s="1"/>
  <c r="S838" i="57"/>
  <c r="T838" i="57" s="1"/>
  <c r="S840" i="57"/>
  <c r="T840" i="57" s="1"/>
  <c r="W833" i="57"/>
  <c r="X833" i="57" s="1"/>
  <c r="S836" i="57"/>
  <c r="T836" i="57" s="1"/>
  <c r="O831" i="57"/>
  <c r="P831" i="57" s="1"/>
  <c r="S841" i="57"/>
  <c r="T841" i="57" s="1"/>
  <c r="S832" i="57"/>
  <c r="T832" i="57" s="1"/>
  <c r="S835" i="57"/>
  <c r="T835" i="57" s="1"/>
  <c r="W835" i="57"/>
  <c r="X835" i="57" s="1"/>
  <c r="C831" i="57"/>
  <c r="W832" i="57"/>
  <c r="X832" i="57" s="1"/>
  <c r="S839" i="57"/>
  <c r="W839" i="57"/>
  <c r="D831" i="57"/>
  <c r="G832" i="57"/>
  <c r="W840" i="57"/>
  <c r="X840" i="57" s="1"/>
  <c r="W834" i="57"/>
  <c r="W837" i="57"/>
  <c r="S834" i="57"/>
  <c r="K834" i="57"/>
  <c r="L834" i="57" s="1"/>
  <c r="W836" i="57"/>
  <c r="X836" i="57" s="1"/>
  <c r="S837" i="57"/>
  <c r="S869" i="57"/>
  <c r="T869" i="57" s="1"/>
  <c r="W867" i="57"/>
  <c r="G865" i="57"/>
  <c r="S868" i="57"/>
  <c r="T868" i="57" s="1"/>
  <c r="W864" i="57"/>
  <c r="G864" i="57"/>
  <c r="W866" i="57"/>
  <c r="X866" i="57" s="1"/>
  <c r="S865" i="57"/>
  <c r="T865" i="57" s="1"/>
  <c r="K864" i="57"/>
  <c r="O864" i="57"/>
  <c r="P864" i="57" s="1"/>
  <c r="C864" i="57"/>
  <c r="S871" i="57"/>
  <c r="T871" i="57" s="1"/>
  <c r="W872" i="57"/>
  <c r="D864" i="57"/>
  <c r="W869" i="57"/>
  <c r="X869" i="57" s="1"/>
  <c r="W871" i="57"/>
  <c r="X871" i="57" s="1"/>
  <c r="S866" i="57"/>
  <c r="T866" i="57" s="1"/>
  <c r="S867" i="57"/>
  <c r="W873" i="57"/>
  <c r="X873" i="57" s="1"/>
  <c r="K867" i="57"/>
  <c r="L867" i="57" s="1"/>
  <c r="W870" i="57"/>
  <c r="O865" i="57"/>
  <c r="P865" i="57" s="1"/>
  <c r="S864" i="57"/>
  <c r="S873" i="57"/>
  <c r="T873" i="57" s="1"/>
  <c r="W874" i="57"/>
  <c r="X874" i="57" s="1"/>
  <c r="W865" i="57"/>
  <c r="X865" i="57" s="1"/>
  <c r="S870" i="57"/>
  <c r="K868" i="57"/>
  <c r="L868" i="57" s="1"/>
  <c r="S872" i="57"/>
  <c r="S874" i="57"/>
  <c r="T874" i="57" s="1"/>
  <c r="W868" i="57"/>
  <c r="X868" i="57" s="1"/>
  <c r="W845" i="57"/>
  <c r="C842" i="57"/>
  <c r="O842" i="57"/>
  <c r="P842" i="57" s="1"/>
  <c r="W848" i="57"/>
  <c r="W843" i="57"/>
  <c r="X843" i="57" s="1"/>
  <c r="S848" i="57"/>
  <c r="W842" i="57"/>
  <c r="S847" i="57"/>
  <c r="T847" i="57" s="1"/>
  <c r="S842" i="57"/>
  <c r="K846" i="57"/>
  <c r="L846" i="57" s="1"/>
  <c r="W850" i="57"/>
  <c r="S850" i="57"/>
  <c r="W849" i="57"/>
  <c r="X849" i="57" s="1"/>
  <c r="W852" i="57"/>
  <c r="X852" i="57" s="1"/>
  <c r="S852" i="57"/>
  <c r="T852" i="57" s="1"/>
  <c r="W851" i="57"/>
  <c r="X851" i="57" s="1"/>
  <c r="O843" i="57"/>
  <c r="P843" i="57" s="1"/>
  <c r="S844" i="57"/>
  <c r="T844" i="57" s="1"/>
  <c r="S845" i="57"/>
  <c r="S843" i="57"/>
  <c r="T843" i="57" s="1"/>
  <c r="G843" i="57"/>
  <c r="S849" i="57"/>
  <c r="T849" i="57" s="1"/>
  <c r="W846" i="57"/>
  <c r="X846" i="57" s="1"/>
  <c r="K845" i="57"/>
  <c r="L845" i="57" s="1"/>
  <c r="S851" i="57"/>
  <c r="T851" i="57" s="1"/>
  <c r="K842" i="57"/>
  <c r="S846" i="57"/>
  <c r="T846" i="57" s="1"/>
  <c r="D842" i="57"/>
  <c r="G842" i="57"/>
  <c r="W847" i="57"/>
  <c r="X847" i="57" s="1"/>
  <c r="W844" i="57"/>
  <c r="X844" i="57" s="1"/>
  <c r="AR111" i="9"/>
  <c r="AR115" i="9"/>
  <c r="AR119" i="9"/>
  <c r="AR112" i="9"/>
  <c r="AR116" i="9"/>
  <c r="AR120" i="9"/>
  <c r="AR118" i="9"/>
  <c r="AR113" i="9"/>
  <c r="AR117" i="9"/>
  <c r="AR114" i="9"/>
  <c r="AR17" i="9"/>
  <c r="AR21" i="9"/>
  <c r="AR16" i="9"/>
  <c r="AR24" i="9"/>
  <c r="AR18" i="9"/>
  <c r="AR22" i="9"/>
  <c r="AR23" i="9"/>
  <c r="AR19" i="9"/>
  <c r="AR20" i="9"/>
  <c r="AR515" i="9"/>
  <c r="AR519" i="9"/>
  <c r="AR516" i="9"/>
  <c r="AR513" i="9"/>
  <c r="AR517" i="9"/>
  <c r="AR514" i="9"/>
  <c r="AR518" i="9"/>
  <c r="AR478" i="9"/>
  <c r="AR482" i="9"/>
  <c r="AR486" i="9"/>
  <c r="AR490" i="9"/>
  <c r="AR494" i="9"/>
  <c r="AR498" i="9"/>
  <c r="AR510" i="9"/>
  <c r="AR479" i="9"/>
  <c r="AR483" i="9"/>
  <c r="AR487" i="9"/>
  <c r="AR491" i="9"/>
  <c r="AR495" i="9"/>
  <c r="AR499" i="9"/>
  <c r="AR503" i="9"/>
  <c r="AR507" i="9"/>
  <c r="AR511" i="9"/>
  <c r="AR485" i="9"/>
  <c r="AR489" i="9"/>
  <c r="AR497" i="9"/>
  <c r="AR505" i="9"/>
  <c r="AR502" i="9"/>
  <c r="AR480" i="9"/>
  <c r="AR484" i="9"/>
  <c r="AR488" i="9"/>
  <c r="AR492" i="9"/>
  <c r="AR496" i="9"/>
  <c r="AR500" i="9"/>
  <c r="AR504" i="9"/>
  <c r="AR508" i="9"/>
  <c r="AR512" i="9"/>
  <c r="AR520" i="9"/>
  <c r="AR481" i="9"/>
  <c r="AR493" i="9"/>
  <c r="AR501" i="9"/>
  <c r="AR509" i="9"/>
  <c r="AR506" i="9"/>
  <c r="AO227" i="26"/>
  <c r="AN227" i="26" s="1"/>
  <c r="AO231" i="26"/>
  <c r="AN231" i="26" s="1"/>
  <c r="AO228" i="26"/>
  <c r="AN228" i="26" s="1"/>
  <c r="AO230" i="26"/>
  <c r="AN230" i="26" s="1"/>
  <c r="AO229" i="26"/>
  <c r="AN229" i="26" s="1"/>
  <c r="AR271" i="9"/>
  <c r="AR275" i="9"/>
  <c r="AR279" i="9"/>
  <c r="AR277" i="9"/>
  <c r="AR281" i="9"/>
  <c r="AR270" i="9"/>
  <c r="AR282" i="9"/>
  <c r="AR272" i="9"/>
  <c r="AR276" i="9"/>
  <c r="AR280" i="9"/>
  <c r="AR273" i="9"/>
  <c r="AR274" i="9"/>
  <c r="AR278" i="9"/>
  <c r="AR286" i="9"/>
  <c r="AR290" i="9"/>
  <c r="AR294" i="9"/>
  <c r="AR298" i="9"/>
  <c r="AR302" i="9"/>
  <c r="AR306" i="9"/>
  <c r="AR310" i="9"/>
  <c r="AR314" i="9"/>
  <c r="AR318" i="9"/>
  <c r="AR322" i="9"/>
  <c r="AR326" i="9"/>
  <c r="AR330" i="9"/>
  <c r="AR334" i="9"/>
  <c r="AR338" i="9"/>
  <c r="AR342" i="9"/>
  <c r="AR346" i="9"/>
  <c r="AR350" i="9"/>
  <c r="AR354" i="9"/>
  <c r="AR358" i="9"/>
  <c r="AR362" i="9"/>
  <c r="AR366" i="9"/>
  <c r="AR370" i="9"/>
  <c r="AR374" i="9"/>
  <c r="AR378" i="9"/>
  <c r="AR382" i="9"/>
  <c r="AR386" i="9"/>
  <c r="AR390" i="9"/>
  <c r="AR394" i="9"/>
  <c r="AR398" i="9"/>
  <c r="AR402" i="9"/>
  <c r="AR406" i="9"/>
  <c r="AR410" i="9"/>
  <c r="AR414" i="9"/>
  <c r="AR418" i="9"/>
  <c r="AR422" i="9"/>
  <c r="AR426" i="9"/>
  <c r="AR430" i="9"/>
  <c r="AR434" i="9"/>
  <c r="AR438" i="9"/>
  <c r="AR442" i="9"/>
  <c r="AR446" i="9"/>
  <c r="AR450" i="9"/>
  <c r="AR454" i="9"/>
  <c r="AR458" i="9"/>
  <c r="AR462" i="9"/>
  <c r="AR466" i="9"/>
  <c r="AR470" i="9"/>
  <c r="AR474" i="9"/>
  <c r="AR522" i="9"/>
  <c r="AR526" i="9"/>
  <c r="AR530" i="9"/>
  <c r="AR534" i="9"/>
  <c r="AR538" i="9"/>
  <c r="AR542" i="9"/>
  <c r="AR546" i="9"/>
  <c r="AR550" i="9"/>
  <c r="AR554" i="9"/>
  <c r="AR558" i="9"/>
  <c r="AR562" i="9"/>
  <c r="AR566" i="9"/>
  <c r="AR570" i="9"/>
  <c r="AR574" i="9"/>
  <c r="AR578" i="9"/>
  <c r="AR582" i="9"/>
  <c r="AR586" i="9"/>
  <c r="AR590" i="9"/>
  <c r="AR594" i="9"/>
  <c r="AR598" i="9"/>
  <c r="AR602" i="9"/>
  <c r="AR606" i="9"/>
  <c r="AR283" i="9"/>
  <c r="AR287" i="9"/>
  <c r="AR291" i="9"/>
  <c r="AR295" i="9"/>
  <c r="AR299" i="9"/>
  <c r="AR303" i="9"/>
  <c r="AR307" i="9"/>
  <c r="AR311" i="9"/>
  <c r="AR315" i="9"/>
  <c r="AR319" i="9"/>
  <c r="AR323" i="9"/>
  <c r="AR327" i="9"/>
  <c r="AR331" i="9"/>
  <c r="AR335" i="9"/>
  <c r="AR339" i="9"/>
  <c r="AR343" i="9"/>
  <c r="AR347" i="9"/>
  <c r="AR351" i="9"/>
  <c r="AR355" i="9"/>
  <c r="AR359" i="9"/>
  <c r="AR363" i="9"/>
  <c r="AR367" i="9"/>
  <c r="AR371" i="9"/>
  <c r="AR375" i="9"/>
  <c r="AR379" i="9"/>
  <c r="AR383" i="9"/>
  <c r="AR387" i="9"/>
  <c r="AR391" i="9"/>
  <c r="AR395" i="9"/>
  <c r="AR399" i="9"/>
  <c r="AR403" i="9"/>
  <c r="AR407" i="9"/>
  <c r="AR411" i="9"/>
  <c r="AR415" i="9"/>
  <c r="AR419" i="9"/>
  <c r="AR423" i="9"/>
  <c r="AR427" i="9"/>
  <c r="AR431" i="9"/>
  <c r="AR435" i="9"/>
  <c r="AR439" i="9"/>
  <c r="AR443" i="9"/>
  <c r="AR447" i="9"/>
  <c r="AR451" i="9"/>
  <c r="AR455" i="9"/>
  <c r="AR459" i="9"/>
  <c r="AR463" i="9"/>
  <c r="AR467" i="9"/>
  <c r="AR471" i="9"/>
  <c r="AR475" i="9"/>
  <c r="AR523" i="9"/>
  <c r="AR527" i="9"/>
  <c r="AR531" i="9"/>
  <c r="AR535" i="9"/>
  <c r="AR539" i="9"/>
  <c r="AR543" i="9"/>
  <c r="AR547" i="9"/>
  <c r="AR551" i="9"/>
  <c r="AR555" i="9"/>
  <c r="AR559" i="9"/>
  <c r="AR563" i="9"/>
  <c r="AR567" i="9"/>
  <c r="AR571" i="9"/>
  <c r="AR575" i="9"/>
  <c r="AR284" i="9"/>
  <c r="AR288" i="9"/>
  <c r="AR292" i="9"/>
  <c r="AR296" i="9"/>
  <c r="AR300" i="9"/>
  <c r="AR304" i="9"/>
  <c r="AR308" i="9"/>
  <c r="AR312" i="9"/>
  <c r="AR316" i="9"/>
  <c r="AR320" i="9"/>
  <c r="AR324" i="9"/>
  <c r="AR328" i="9"/>
  <c r="AR332" i="9"/>
  <c r="AR336" i="9"/>
  <c r="AR340" i="9"/>
  <c r="AR344" i="9"/>
  <c r="AR348" i="9"/>
  <c r="AR352" i="9"/>
  <c r="AR356" i="9"/>
  <c r="AR360" i="9"/>
  <c r="AR364" i="9"/>
  <c r="AR368" i="9"/>
  <c r="AR372" i="9"/>
  <c r="AR376" i="9"/>
  <c r="AR380" i="9"/>
  <c r="AR384" i="9"/>
  <c r="AR388" i="9"/>
  <c r="AR392" i="9"/>
  <c r="AR396" i="9"/>
  <c r="AR400" i="9"/>
  <c r="AR404" i="9"/>
  <c r="AR408" i="9"/>
  <c r="AR412" i="9"/>
  <c r="AR416" i="9"/>
  <c r="AR420" i="9"/>
  <c r="AR424" i="9"/>
  <c r="AR428" i="9"/>
  <c r="AR432" i="9"/>
  <c r="AR436" i="9"/>
  <c r="AR440" i="9"/>
  <c r="AR444" i="9"/>
  <c r="AR448" i="9"/>
  <c r="AR452" i="9"/>
  <c r="AR456" i="9"/>
  <c r="AR460" i="9"/>
  <c r="AR464" i="9"/>
  <c r="AR468" i="9"/>
  <c r="AR472" i="9"/>
  <c r="AR476" i="9"/>
  <c r="AR524" i="9"/>
  <c r="AR528" i="9"/>
  <c r="AR532" i="9"/>
  <c r="AR536" i="9"/>
  <c r="AR540" i="9"/>
  <c r="AR544" i="9"/>
  <c r="AR548" i="9"/>
  <c r="AR552" i="9"/>
  <c r="AR556" i="9"/>
  <c r="AR560" i="9"/>
  <c r="AR564" i="9"/>
  <c r="AR568" i="9"/>
  <c r="AR572" i="9"/>
  <c r="AR576" i="9"/>
  <c r="AR580" i="9"/>
  <c r="AR584" i="9"/>
  <c r="AR588" i="9"/>
  <c r="AR592" i="9"/>
  <c r="AR596" i="9"/>
  <c r="AR600" i="9"/>
  <c r="AR604" i="9"/>
  <c r="AR608" i="9"/>
  <c r="AR612" i="9"/>
  <c r="AR293" i="9"/>
  <c r="AR309" i="9"/>
  <c r="AR325" i="9"/>
  <c r="AR341" i="9"/>
  <c r="AR357" i="9"/>
  <c r="AR373" i="9"/>
  <c r="AR389" i="9"/>
  <c r="AR405" i="9"/>
  <c r="AR421" i="9"/>
  <c r="AR437" i="9"/>
  <c r="AR453" i="9"/>
  <c r="AR469" i="9"/>
  <c r="AR533" i="9"/>
  <c r="AR549" i="9"/>
  <c r="AR565" i="9"/>
  <c r="AR579" i="9"/>
  <c r="AR587" i="9"/>
  <c r="AR595" i="9"/>
  <c r="AR603" i="9"/>
  <c r="AR610" i="9"/>
  <c r="AR615" i="9"/>
  <c r="AR619" i="9"/>
  <c r="AR623" i="9"/>
  <c r="AR627" i="9"/>
  <c r="AR631" i="9"/>
  <c r="AR635" i="9"/>
  <c r="AR639" i="9"/>
  <c r="AR643" i="9"/>
  <c r="AR647" i="9"/>
  <c r="AR651" i="9"/>
  <c r="AR655" i="9"/>
  <c r="AR659" i="9"/>
  <c r="AR663" i="9"/>
  <c r="AR667" i="9"/>
  <c r="AR671" i="9"/>
  <c r="AR675" i="9"/>
  <c r="AR679" i="9"/>
  <c r="AR683" i="9"/>
  <c r="AR687" i="9"/>
  <c r="AR691" i="9"/>
  <c r="AR695" i="9"/>
  <c r="AR699" i="9"/>
  <c r="AR703" i="9"/>
  <c r="AR707" i="9"/>
  <c r="AR711" i="9"/>
  <c r="AR715" i="9"/>
  <c r="AR719" i="9"/>
  <c r="AR723" i="9"/>
  <c r="AR727" i="9"/>
  <c r="AR731" i="9"/>
  <c r="AR735" i="9"/>
  <c r="AR739" i="9"/>
  <c r="AR743" i="9"/>
  <c r="AR747" i="9"/>
  <c r="AR751" i="9"/>
  <c r="AR755" i="9"/>
  <c r="AR759" i="9"/>
  <c r="AO759" i="9" s="1"/>
  <c r="AR763" i="9"/>
  <c r="AO763" i="9" s="1"/>
  <c r="AR767" i="9"/>
  <c r="AO767" i="9" s="1"/>
  <c r="AR771" i="9"/>
  <c r="AO771" i="9" s="1"/>
  <c r="AR775" i="9"/>
  <c r="AO775" i="9" s="1"/>
  <c r="AR779" i="9"/>
  <c r="AO779" i="9" s="1"/>
  <c r="AR783" i="9"/>
  <c r="AO783" i="9" s="1"/>
  <c r="AR787" i="9"/>
  <c r="AO787" i="9" s="1"/>
  <c r="AR791" i="9"/>
  <c r="AO791" i="9" s="1"/>
  <c r="AR795" i="9"/>
  <c r="AO795" i="9" s="1"/>
  <c r="AR799" i="9"/>
  <c r="AO799" i="9" s="1"/>
  <c r="AR803" i="9"/>
  <c r="AO803" i="9" s="1"/>
  <c r="AR807" i="9"/>
  <c r="AO807" i="9" s="1"/>
  <c r="AR811" i="9"/>
  <c r="AO811" i="9" s="1"/>
  <c r="AR815" i="9"/>
  <c r="AO815" i="9" s="1"/>
  <c r="AR819" i="9"/>
  <c r="AO819" i="9" s="1"/>
  <c r="AR823" i="9"/>
  <c r="AO823" i="9" s="1"/>
  <c r="AR827" i="9"/>
  <c r="AO827" i="9" s="1"/>
  <c r="AR831" i="9"/>
  <c r="AO831" i="9" s="1"/>
  <c r="AR835" i="9"/>
  <c r="AO835" i="9" s="1"/>
  <c r="AR772" i="9"/>
  <c r="AO772" i="9" s="1"/>
  <c r="AR776" i="9"/>
  <c r="AO776" i="9" s="1"/>
  <c r="AR784" i="9"/>
  <c r="AO784" i="9" s="1"/>
  <c r="AR792" i="9"/>
  <c r="AO792" i="9" s="1"/>
  <c r="AR800" i="9"/>
  <c r="AO800" i="9" s="1"/>
  <c r="AR297" i="9"/>
  <c r="AR313" i="9"/>
  <c r="AR329" i="9"/>
  <c r="AR345" i="9"/>
  <c r="AR361" i="9"/>
  <c r="AR377" i="9"/>
  <c r="AR393" i="9"/>
  <c r="AR409" i="9"/>
  <c r="AR425" i="9"/>
  <c r="AR441" i="9"/>
  <c r="AR457" i="9"/>
  <c r="AR473" i="9"/>
  <c r="AR521" i="9"/>
  <c r="AR537" i="9"/>
  <c r="AR553" i="9"/>
  <c r="AR569" i="9"/>
  <c r="AR581" i="9"/>
  <c r="AR589" i="9"/>
  <c r="AR597" i="9"/>
  <c r="AR605" i="9"/>
  <c r="AR611" i="9"/>
  <c r="AR616" i="9"/>
  <c r="AR620" i="9"/>
  <c r="AR624" i="9"/>
  <c r="AR628" i="9"/>
  <c r="AR632" i="9"/>
  <c r="AR636" i="9"/>
  <c r="AR640" i="9"/>
  <c r="AR644" i="9"/>
  <c r="AR648" i="9"/>
  <c r="AR652" i="9"/>
  <c r="AR656" i="9"/>
  <c r="AR660" i="9"/>
  <c r="AR664" i="9"/>
  <c r="AR668" i="9"/>
  <c r="AR672" i="9"/>
  <c r="AR676" i="9"/>
  <c r="AR680" i="9"/>
  <c r="AR684" i="9"/>
  <c r="AR688" i="9"/>
  <c r="AR692" i="9"/>
  <c r="AR696" i="9"/>
  <c r="AR700" i="9"/>
  <c r="AR704" i="9"/>
  <c r="AR708" i="9"/>
  <c r="AR712" i="9"/>
  <c r="AR716" i="9"/>
  <c r="AR720" i="9"/>
  <c r="AR724" i="9"/>
  <c r="AR728" i="9"/>
  <c r="AR732" i="9"/>
  <c r="AR736" i="9"/>
  <c r="AR740" i="9"/>
  <c r="AR744" i="9"/>
  <c r="AR748" i="9"/>
  <c r="AR752" i="9"/>
  <c r="AR756" i="9"/>
  <c r="AR760" i="9"/>
  <c r="AO760" i="9" s="1"/>
  <c r="AR764" i="9"/>
  <c r="AO764" i="9" s="1"/>
  <c r="AR768" i="9"/>
  <c r="AO768" i="9" s="1"/>
  <c r="AR780" i="9"/>
  <c r="AO780" i="9" s="1"/>
  <c r="AR788" i="9"/>
  <c r="AO788" i="9" s="1"/>
  <c r="AR796" i="9"/>
  <c r="AO796" i="9" s="1"/>
  <c r="AR285" i="9"/>
  <c r="AR317" i="9"/>
  <c r="AR349" i="9"/>
  <c r="AR381" i="9"/>
  <c r="AR413" i="9"/>
  <c r="AR445" i="9"/>
  <c r="AR477" i="9"/>
  <c r="AR541" i="9"/>
  <c r="AR573" i="9"/>
  <c r="AR591" i="9"/>
  <c r="AR607" i="9"/>
  <c r="AR617" i="9"/>
  <c r="AR625" i="9"/>
  <c r="AR633" i="9"/>
  <c r="AR641" i="9"/>
  <c r="AR649" i="9"/>
  <c r="AR657" i="9"/>
  <c r="AR665" i="9"/>
  <c r="AR673" i="9"/>
  <c r="AR681" i="9"/>
  <c r="AR689" i="9"/>
  <c r="AR697" i="9"/>
  <c r="AR705" i="9"/>
  <c r="AR713" i="9"/>
  <c r="AR721" i="9"/>
  <c r="AR729" i="9"/>
  <c r="AR737" i="9"/>
  <c r="AR745" i="9"/>
  <c r="AR753" i="9"/>
  <c r="AR761" i="9"/>
  <c r="AO761" i="9" s="1"/>
  <c r="AR769" i="9"/>
  <c r="AO769" i="9" s="1"/>
  <c r="AR777" i="9"/>
  <c r="AO777" i="9" s="1"/>
  <c r="AR785" i="9"/>
  <c r="AO785" i="9" s="1"/>
  <c r="AR793" i="9"/>
  <c r="AO793" i="9" s="1"/>
  <c r="AR801" i="9"/>
  <c r="AO801" i="9" s="1"/>
  <c r="AR806" i="9"/>
  <c r="AO806" i="9" s="1"/>
  <c r="AR812" i="9"/>
  <c r="AO812" i="9" s="1"/>
  <c r="AR817" i="9"/>
  <c r="AO817" i="9" s="1"/>
  <c r="AR822" i="9"/>
  <c r="AO822" i="9" s="1"/>
  <c r="AR828" i="9"/>
  <c r="AO828" i="9" s="1"/>
  <c r="AR833" i="9"/>
  <c r="AO833" i="9" s="1"/>
  <c r="AR722" i="9"/>
  <c r="AR738" i="9"/>
  <c r="AR754" i="9"/>
  <c r="AR770" i="9"/>
  <c r="AO770" i="9" s="1"/>
  <c r="AR778" i="9"/>
  <c r="AO778" i="9" s="1"/>
  <c r="AR794" i="9"/>
  <c r="AO794" i="9" s="1"/>
  <c r="AR808" i="9"/>
  <c r="AO808" i="9" s="1"/>
  <c r="AR813" i="9"/>
  <c r="AO813" i="9" s="1"/>
  <c r="AR824" i="9"/>
  <c r="AO824" i="9" s="1"/>
  <c r="AR829" i="9"/>
  <c r="AO829" i="9" s="1"/>
  <c r="AR301" i="9"/>
  <c r="AR365" i="9"/>
  <c r="AR397" i="9"/>
  <c r="AR461" i="9"/>
  <c r="AR557" i="9"/>
  <c r="AR599" i="9"/>
  <c r="AR621" i="9"/>
  <c r="AR637" i="9"/>
  <c r="AR645" i="9"/>
  <c r="AR661" i="9"/>
  <c r="AR677" i="9"/>
  <c r="AR693" i="9"/>
  <c r="AR701" i="9"/>
  <c r="AR717" i="9"/>
  <c r="AR725" i="9"/>
  <c r="AR741" i="9"/>
  <c r="AR757" i="9"/>
  <c r="AR773" i="9"/>
  <c r="AO773" i="9" s="1"/>
  <c r="AR789" i="9"/>
  <c r="AO789" i="9" s="1"/>
  <c r="AR797" i="9"/>
  <c r="AO797" i="9" s="1"/>
  <c r="AR809" i="9"/>
  <c r="AO809" i="9" s="1"/>
  <c r="AR814" i="9"/>
  <c r="AO814" i="9" s="1"/>
  <c r="AR825" i="9"/>
  <c r="AO825" i="9" s="1"/>
  <c r="AR836" i="9"/>
  <c r="AO836" i="9" s="1"/>
  <c r="AR337" i="9"/>
  <c r="AR369" i="9"/>
  <c r="AR433" i="9"/>
  <c r="AR561" i="9"/>
  <c r="AR601" i="9"/>
  <c r="AR614" i="9"/>
  <c r="AR630" i="9"/>
  <c r="AR646" i="9"/>
  <c r="AR662" i="9"/>
  <c r="AR678" i="9"/>
  <c r="AR694" i="9"/>
  <c r="AR710" i="9"/>
  <c r="AR726" i="9"/>
  <c r="AR742" i="9"/>
  <c r="AR758" i="9"/>
  <c r="AO758" i="9" s="1"/>
  <c r="AR774" i="9"/>
  <c r="AO774" i="9" s="1"/>
  <c r="AR790" i="9"/>
  <c r="AO790" i="9" s="1"/>
  <c r="AR805" i="9"/>
  <c r="AO805" i="9" s="1"/>
  <c r="AR816" i="9"/>
  <c r="AO816" i="9" s="1"/>
  <c r="AR826" i="9"/>
  <c r="AO826" i="9" s="1"/>
  <c r="AR832" i="9"/>
  <c r="AO832" i="9" s="1"/>
  <c r="AR289" i="9"/>
  <c r="AR321" i="9"/>
  <c r="AR353" i="9"/>
  <c r="AR385" i="9"/>
  <c r="AR417" i="9"/>
  <c r="AR449" i="9"/>
  <c r="AR545" i="9"/>
  <c r="AR577" i="9"/>
  <c r="AR593" i="9"/>
  <c r="AR609" i="9"/>
  <c r="AR618" i="9"/>
  <c r="AR626" i="9"/>
  <c r="AR634" i="9"/>
  <c r="AR642" i="9"/>
  <c r="AR650" i="9"/>
  <c r="AR658" i="9"/>
  <c r="AR666" i="9"/>
  <c r="AR674" i="9"/>
  <c r="AR682" i="9"/>
  <c r="AR690" i="9"/>
  <c r="AR698" i="9"/>
  <c r="AR706" i="9"/>
  <c r="AR714" i="9"/>
  <c r="AR730" i="9"/>
  <c r="AR746" i="9"/>
  <c r="AR762" i="9"/>
  <c r="AO762" i="9" s="1"/>
  <c r="AR786" i="9"/>
  <c r="AO786" i="9" s="1"/>
  <c r="AR802" i="9"/>
  <c r="AO802" i="9" s="1"/>
  <c r="AR818" i="9"/>
  <c r="AO818" i="9" s="1"/>
  <c r="AR834" i="9"/>
  <c r="AO834" i="9" s="1"/>
  <c r="AR333" i="9"/>
  <c r="AR429" i="9"/>
  <c r="AR525" i="9"/>
  <c r="AR583" i="9"/>
  <c r="AR613" i="9"/>
  <c r="AR629" i="9"/>
  <c r="AR653" i="9"/>
  <c r="AR669" i="9"/>
  <c r="AR685" i="9"/>
  <c r="AR709" i="9"/>
  <c r="AR733" i="9"/>
  <c r="AR749" i="9"/>
  <c r="AR765" i="9"/>
  <c r="AO765" i="9" s="1"/>
  <c r="AR781" i="9"/>
  <c r="AO781" i="9" s="1"/>
  <c r="AR804" i="9"/>
  <c r="AO804" i="9" s="1"/>
  <c r="AR820" i="9"/>
  <c r="AO820" i="9" s="1"/>
  <c r="AR830" i="9"/>
  <c r="AO830" i="9" s="1"/>
  <c r="AR305" i="9"/>
  <c r="AR401" i="9"/>
  <c r="AR465" i="9"/>
  <c r="AR529" i="9"/>
  <c r="AR585" i="9"/>
  <c r="AR622" i="9"/>
  <c r="AR638" i="9"/>
  <c r="AR654" i="9"/>
  <c r="AR670" i="9"/>
  <c r="AR686" i="9"/>
  <c r="AR702" i="9"/>
  <c r="AR718" i="9"/>
  <c r="AR734" i="9"/>
  <c r="AR750" i="9"/>
  <c r="AR766" i="9"/>
  <c r="AO766" i="9" s="1"/>
  <c r="AR782" i="9"/>
  <c r="AO782" i="9" s="1"/>
  <c r="AR798" i="9"/>
  <c r="AO798" i="9" s="1"/>
  <c r="AR810" i="9"/>
  <c r="AO810" i="9" s="1"/>
  <c r="AR821" i="9"/>
  <c r="AO821" i="9" s="1"/>
  <c r="AR837" i="9"/>
  <c r="AO837" i="9" s="1"/>
  <c r="AO182" i="26"/>
  <c r="AO185" i="26"/>
  <c r="AO183" i="26"/>
  <c r="AO184" i="26"/>
  <c r="AO181" i="26"/>
  <c r="AR4" i="9"/>
  <c r="AR8" i="9"/>
  <c r="AR12" i="9"/>
  <c r="AR28" i="9"/>
  <c r="AR32" i="9"/>
  <c r="AR36" i="9"/>
  <c r="AR40" i="9"/>
  <c r="AR44" i="9"/>
  <c r="AR48" i="9"/>
  <c r="AR52" i="9"/>
  <c r="AR56" i="9"/>
  <c r="AR60" i="9"/>
  <c r="AR64" i="9"/>
  <c r="AR68" i="9"/>
  <c r="AR72" i="9"/>
  <c r="AR76" i="9"/>
  <c r="AR80" i="9"/>
  <c r="AR84" i="9"/>
  <c r="AR88" i="9"/>
  <c r="AR92" i="9"/>
  <c r="AR96" i="9"/>
  <c r="AR100" i="9"/>
  <c r="AR104" i="9"/>
  <c r="AR108" i="9"/>
  <c r="AR124" i="9"/>
  <c r="AR128" i="9"/>
  <c r="AR132" i="9"/>
  <c r="AR136" i="9"/>
  <c r="AR140" i="9"/>
  <c r="AR144" i="9"/>
  <c r="AR148" i="9"/>
  <c r="AR152" i="9"/>
  <c r="AR156" i="9"/>
  <c r="AR160" i="9"/>
  <c r="AR164" i="9"/>
  <c r="AR168" i="9"/>
  <c r="AR172" i="9"/>
  <c r="AR176" i="9"/>
  <c r="AR180" i="9"/>
  <c r="AR184" i="9"/>
  <c r="AR188" i="9"/>
  <c r="AR192" i="9"/>
  <c r="AR196" i="9"/>
  <c r="AR200" i="9"/>
  <c r="AR204" i="9"/>
  <c r="AR208" i="9"/>
  <c r="AR212" i="9"/>
  <c r="AR216" i="9"/>
  <c r="AR220" i="9"/>
  <c r="AR224" i="9"/>
  <c r="AR228" i="9"/>
  <c r="AR232" i="9"/>
  <c r="AR236" i="9"/>
  <c r="AR240" i="9"/>
  <c r="AR244" i="9"/>
  <c r="AR248" i="9"/>
  <c r="AR252" i="9"/>
  <c r="AR256" i="9"/>
  <c r="AR260" i="9"/>
  <c r="AR264" i="9"/>
  <c r="AR268" i="9"/>
  <c r="AR5" i="9"/>
  <c r="AR10" i="9"/>
  <c r="AR15" i="9"/>
  <c r="AR26" i="9"/>
  <c r="AR31" i="9"/>
  <c r="AR37" i="9"/>
  <c r="AR42" i="9"/>
  <c r="AR47" i="9"/>
  <c r="AR53" i="9"/>
  <c r="AR58" i="9"/>
  <c r="AR63" i="9"/>
  <c r="AR69" i="9"/>
  <c r="AR74" i="9"/>
  <c r="AR79" i="9"/>
  <c r="AR85" i="9"/>
  <c r="AR90" i="9"/>
  <c r="AR95" i="9"/>
  <c r="AR101" i="9"/>
  <c r="AR106" i="9"/>
  <c r="AR122" i="9"/>
  <c r="AR127" i="9"/>
  <c r="AR133" i="9"/>
  <c r="AR138" i="9"/>
  <c r="AR143" i="9"/>
  <c r="AR149" i="9"/>
  <c r="AR154" i="9"/>
  <c r="AR159" i="9"/>
  <c r="AR165" i="9"/>
  <c r="AR170" i="9"/>
  <c r="AR175" i="9"/>
  <c r="AR181" i="9"/>
  <c r="AR186" i="9"/>
  <c r="AR191" i="9"/>
  <c r="AR197" i="9"/>
  <c r="AR202" i="9"/>
  <c r="AR207" i="9"/>
  <c r="AR213" i="9"/>
  <c r="AR218" i="9"/>
  <c r="AR223" i="9"/>
  <c r="AR229" i="9"/>
  <c r="AR6" i="9"/>
  <c r="AR11" i="9"/>
  <c r="AR27" i="9"/>
  <c r="AR33" i="9"/>
  <c r="AR38" i="9"/>
  <c r="AR43" i="9"/>
  <c r="AR49" i="9"/>
  <c r="AR54" i="9"/>
  <c r="AR59" i="9"/>
  <c r="AR65" i="9"/>
  <c r="AR70" i="9"/>
  <c r="AR75" i="9"/>
  <c r="AR81" i="9"/>
  <c r="AR86" i="9"/>
  <c r="AR91" i="9"/>
  <c r="AR97" i="9"/>
  <c r="AR102" i="9"/>
  <c r="AR107" i="9"/>
  <c r="AR123" i="9"/>
  <c r="AR129" i="9"/>
  <c r="AR134" i="9"/>
  <c r="AR139" i="9"/>
  <c r="AR145" i="9"/>
  <c r="AR150" i="9"/>
  <c r="AR155" i="9"/>
  <c r="AR161" i="9"/>
  <c r="AR166" i="9"/>
  <c r="AR171" i="9"/>
  <c r="AR177" i="9"/>
  <c r="AR182" i="9"/>
  <c r="AR187" i="9"/>
  <c r="AR193" i="9"/>
  <c r="AR198" i="9"/>
  <c r="AR203" i="9"/>
  <c r="AR209" i="9"/>
  <c r="AR214" i="9"/>
  <c r="AR219" i="9"/>
  <c r="AR225" i="9"/>
  <c r="AR230" i="9"/>
  <c r="AR7" i="9"/>
  <c r="AR13" i="9"/>
  <c r="AR29" i="9"/>
  <c r="AR34" i="9"/>
  <c r="AR39" i="9"/>
  <c r="AR45" i="9"/>
  <c r="AR50" i="9"/>
  <c r="AR55" i="9"/>
  <c r="AR61" i="9"/>
  <c r="AR66" i="9"/>
  <c r="AR71" i="9"/>
  <c r="AR77" i="9"/>
  <c r="AR82" i="9"/>
  <c r="AR87" i="9"/>
  <c r="AR93" i="9"/>
  <c r="AR98" i="9"/>
  <c r="AR103" i="9"/>
  <c r="AR109" i="9"/>
  <c r="AR125" i="9"/>
  <c r="AR130" i="9"/>
  <c r="AR135" i="9"/>
  <c r="AR141" i="9"/>
  <c r="AR146" i="9"/>
  <c r="AR151" i="9"/>
  <c r="AR157" i="9"/>
  <c r="AR162" i="9"/>
  <c r="AR167" i="9"/>
  <c r="AR173" i="9"/>
  <c r="AR178" i="9"/>
  <c r="AR183" i="9"/>
  <c r="AR189" i="9"/>
  <c r="AR194" i="9"/>
  <c r="AR199" i="9"/>
  <c r="AR205" i="9"/>
  <c r="AR210" i="9"/>
  <c r="AR215" i="9"/>
  <c r="AR221" i="9"/>
  <c r="AR226" i="9"/>
  <c r="AR231" i="9"/>
  <c r="AR237" i="9"/>
  <c r="AR242" i="9"/>
  <c r="AR247" i="9"/>
  <c r="AR253" i="9"/>
  <c r="AR258" i="9"/>
  <c r="AR263" i="9"/>
  <c r="AR269" i="9"/>
  <c r="AR9" i="9"/>
  <c r="AR30" i="9"/>
  <c r="AR51" i="9"/>
  <c r="AR73" i="9"/>
  <c r="AR94" i="9"/>
  <c r="AR137" i="9"/>
  <c r="AR158" i="9"/>
  <c r="AR179" i="9"/>
  <c r="AR201" i="9"/>
  <c r="AR222" i="9"/>
  <c r="AR235" i="9"/>
  <c r="AR243" i="9"/>
  <c r="AR250" i="9"/>
  <c r="AR257" i="9"/>
  <c r="AR265" i="9"/>
  <c r="AR14" i="9"/>
  <c r="AR35" i="9"/>
  <c r="AR57" i="9"/>
  <c r="AR78" i="9"/>
  <c r="AR99" i="9"/>
  <c r="AR121" i="9"/>
  <c r="AR142" i="9"/>
  <c r="AR163" i="9"/>
  <c r="AR185" i="9"/>
  <c r="AR206" i="9"/>
  <c r="AR227" i="9"/>
  <c r="AR238" i="9"/>
  <c r="AR245" i="9"/>
  <c r="AR251" i="9"/>
  <c r="AR259" i="9"/>
  <c r="AR266" i="9"/>
  <c r="AR41" i="9"/>
  <c r="AR62" i="9"/>
  <c r="AR83" i="9"/>
  <c r="AR105" i="9"/>
  <c r="AR126" i="9"/>
  <c r="AR147" i="9"/>
  <c r="AR169" i="9"/>
  <c r="AR190" i="9"/>
  <c r="AR211" i="9"/>
  <c r="AR233" i="9"/>
  <c r="AR239" i="9"/>
  <c r="AR246" i="9"/>
  <c r="AR254" i="9"/>
  <c r="AR261" i="9"/>
  <c r="AR267" i="9"/>
  <c r="AR25" i="9"/>
  <c r="AR110" i="9"/>
  <c r="AR195" i="9"/>
  <c r="AR249" i="9"/>
  <c r="AR46" i="9"/>
  <c r="AR131" i="9"/>
  <c r="AR217" i="9"/>
  <c r="AR255" i="9"/>
  <c r="AR241" i="9"/>
  <c r="AR67" i="9"/>
  <c r="AR153" i="9"/>
  <c r="AR234" i="9"/>
  <c r="AR262" i="9"/>
  <c r="AR89" i="9"/>
  <c r="AR174" i="9"/>
  <c r="B704" i="57"/>
  <c r="C699" i="57" s="1"/>
  <c r="B704" i="60"/>
  <c r="B704" i="59"/>
  <c r="B770" i="60"/>
  <c r="B781" i="59"/>
  <c r="B781" i="57"/>
  <c r="B737" i="57"/>
  <c r="C732" i="57" s="1"/>
  <c r="B737" i="59"/>
  <c r="B737" i="60"/>
  <c r="B693" i="57"/>
  <c r="D688" i="57" s="1"/>
  <c r="B693" i="59"/>
  <c r="B693" i="60"/>
  <c r="C644" i="60"/>
  <c r="B792" i="59"/>
  <c r="B781" i="60"/>
  <c r="B792" i="57"/>
  <c r="B660" i="60"/>
  <c r="B660" i="59"/>
  <c r="S819" i="57"/>
  <c r="T819" i="57" s="1"/>
  <c r="O809" i="57"/>
  <c r="P809" i="57" s="1"/>
  <c r="W816" i="57"/>
  <c r="X816" i="57" s="1"/>
  <c r="S811" i="57"/>
  <c r="T811" i="57" s="1"/>
  <c r="W810" i="57"/>
  <c r="X810" i="57" s="1"/>
  <c r="W809" i="57"/>
  <c r="S813" i="57"/>
  <c r="T813" i="57" s="1"/>
  <c r="S815" i="57"/>
  <c r="K813" i="57"/>
  <c r="L813" i="57" s="1"/>
  <c r="S812" i="57"/>
  <c r="S816" i="57"/>
  <c r="T816" i="57" s="1"/>
  <c r="W815" i="57"/>
  <c r="S817" i="57"/>
  <c r="W813" i="57"/>
  <c r="X813" i="57" s="1"/>
  <c r="S810" i="57"/>
  <c r="T810" i="57" s="1"/>
  <c r="C809" i="57"/>
  <c r="W814" i="57"/>
  <c r="X814" i="57" s="1"/>
  <c r="W817" i="57"/>
  <c r="W812" i="57"/>
  <c r="W811" i="57"/>
  <c r="X811" i="57" s="1"/>
  <c r="W818" i="57"/>
  <c r="X818" i="57" s="1"/>
  <c r="S818" i="57"/>
  <c r="T818" i="57" s="1"/>
  <c r="W819" i="57"/>
  <c r="X819" i="57" s="1"/>
  <c r="D809" i="57"/>
  <c r="O810" i="57"/>
  <c r="P810" i="57" s="1"/>
  <c r="S814" i="57"/>
  <c r="T814" i="57" s="1"/>
  <c r="K812" i="57"/>
  <c r="L812" i="57" s="1"/>
  <c r="B770" i="57"/>
  <c r="B770" i="59"/>
  <c r="B726" i="57"/>
  <c r="D721" i="57" s="1"/>
  <c r="B726" i="60"/>
  <c r="B726" i="59"/>
  <c r="B682" i="57"/>
  <c r="C677" i="57" s="1"/>
  <c r="B682" i="60"/>
  <c r="B682" i="59"/>
  <c r="B748" i="57"/>
  <c r="D743" i="57" s="1"/>
  <c r="B748" i="60"/>
  <c r="B748" i="59"/>
  <c r="W807" i="57"/>
  <c r="X807" i="57" s="1"/>
  <c r="W806" i="57"/>
  <c r="S803" i="57"/>
  <c r="T803" i="57" s="1"/>
  <c r="W808" i="57"/>
  <c r="X808" i="57" s="1"/>
  <c r="W805" i="57"/>
  <c r="X805" i="57" s="1"/>
  <c r="W804" i="57"/>
  <c r="S802" i="57"/>
  <c r="T802" i="57" s="1"/>
  <c r="W801" i="57"/>
  <c r="W800" i="57"/>
  <c r="X800" i="57" s="1"/>
  <c r="W799" i="57"/>
  <c r="X799" i="57" s="1"/>
  <c r="O799" i="57"/>
  <c r="P799" i="57" s="1"/>
  <c r="S807" i="57"/>
  <c r="T807" i="57" s="1"/>
  <c r="S808" i="57"/>
  <c r="T808" i="57" s="1"/>
  <c r="K802" i="57"/>
  <c r="L802" i="57" s="1"/>
  <c r="W798" i="57"/>
  <c r="C798" i="57"/>
  <c r="W802" i="57"/>
  <c r="X802" i="57" s="1"/>
  <c r="O798" i="57"/>
  <c r="P798" i="57" s="1"/>
  <c r="S801" i="57"/>
  <c r="S805" i="57"/>
  <c r="T805" i="57" s="1"/>
  <c r="D798" i="57"/>
  <c r="W803" i="57"/>
  <c r="X803" i="57" s="1"/>
  <c r="S799" i="57"/>
  <c r="T799" i="57" s="1"/>
  <c r="K801" i="57"/>
  <c r="L801" i="57" s="1"/>
  <c r="S800" i="57"/>
  <c r="T800" i="57" s="1"/>
  <c r="S804" i="57"/>
  <c r="S806" i="57"/>
  <c r="B759" i="57"/>
  <c r="D754" i="57" s="1"/>
  <c r="B759" i="60"/>
  <c r="B759" i="59"/>
  <c r="B715" i="57"/>
  <c r="D710" i="57" s="1"/>
  <c r="B715" i="60"/>
  <c r="B715" i="59"/>
  <c r="B671" i="57"/>
  <c r="D666" i="57" s="1"/>
  <c r="B671" i="60"/>
  <c r="B671" i="59"/>
  <c r="D886" i="57"/>
  <c r="C886" i="57"/>
  <c r="AO470" i="26"/>
  <c r="AN470" i="26" s="1"/>
  <c r="AO464" i="26"/>
  <c r="AN464" i="26" s="1"/>
  <c r="AO468" i="26"/>
  <c r="AN468" i="26" s="1"/>
  <c r="AO472" i="26"/>
  <c r="AN472" i="26" s="1"/>
  <c r="AO476" i="26"/>
  <c r="AN476" i="26" s="1"/>
  <c r="AO465" i="26"/>
  <c r="AN465" i="26" s="1"/>
  <c r="AO469" i="26"/>
  <c r="AN469" i="26" s="1"/>
  <c r="AO473" i="26"/>
  <c r="AN473" i="26" s="1"/>
  <c r="AO477" i="26"/>
  <c r="AN477" i="26" s="1"/>
  <c r="AO466" i="26"/>
  <c r="AN466" i="26" s="1"/>
  <c r="AO474" i="26"/>
  <c r="AN474" i="26" s="1"/>
  <c r="AO478" i="26"/>
  <c r="AN478" i="26" s="1"/>
  <c r="AO467" i="26"/>
  <c r="AN467" i="26" s="1"/>
  <c r="AO471" i="26"/>
  <c r="AN471" i="26" s="1"/>
  <c r="AO475" i="26"/>
  <c r="AN475" i="26" s="1"/>
  <c r="AO198" i="26"/>
  <c r="AN198" i="26" s="1"/>
  <c r="AO202" i="26"/>
  <c r="AN202" i="26" s="1"/>
  <c r="AO204" i="26"/>
  <c r="AN204" i="26" s="1"/>
  <c r="AO208" i="26"/>
  <c r="AN208" i="26" s="1"/>
  <c r="AO210" i="26"/>
  <c r="AN210" i="26" s="1"/>
  <c r="AO214" i="26"/>
  <c r="AN214" i="26" s="1"/>
  <c r="AO218" i="26"/>
  <c r="AN218" i="26" s="1"/>
  <c r="AO222" i="26"/>
  <c r="AN222" i="26" s="1"/>
  <c r="AO226" i="26"/>
  <c r="AN226" i="26" s="1"/>
  <c r="AO232" i="26"/>
  <c r="AN232" i="26" s="1"/>
  <c r="AO236" i="26"/>
  <c r="AN236" i="26" s="1"/>
  <c r="AO240" i="26"/>
  <c r="AN240" i="26" s="1"/>
  <c r="AO244" i="26"/>
  <c r="AN244" i="26" s="1"/>
  <c r="AO246" i="26"/>
  <c r="AN246" i="26" s="1"/>
  <c r="AO250" i="26"/>
  <c r="AN250" i="26" s="1"/>
  <c r="AO254" i="26"/>
  <c r="AN254" i="26" s="1"/>
  <c r="AO260" i="26"/>
  <c r="AN260" i="26" s="1"/>
  <c r="AO262" i="26"/>
  <c r="AN262" i="26" s="1"/>
  <c r="AO266" i="26"/>
  <c r="AN266" i="26" s="1"/>
  <c r="AO270" i="26"/>
  <c r="AN270" i="26" s="1"/>
  <c r="AO274" i="26"/>
  <c r="AN274" i="26" s="1"/>
  <c r="AO278" i="26"/>
  <c r="AN278" i="26" s="1"/>
  <c r="AO282" i="26"/>
  <c r="AN282" i="26" s="1"/>
  <c r="AO286" i="26"/>
  <c r="AN286" i="26" s="1"/>
  <c r="AO290" i="26"/>
  <c r="AN290" i="26" s="1"/>
  <c r="AO294" i="26"/>
  <c r="AN294" i="26" s="1"/>
  <c r="AO298" i="26"/>
  <c r="AN298" i="26" s="1"/>
  <c r="AO302" i="26"/>
  <c r="AN302" i="26" s="1"/>
  <c r="AO199" i="26"/>
  <c r="AN199" i="26" s="1"/>
  <c r="AO205" i="26"/>
  <c r="AN205" i="26" s="1"/>
  <c r="AO207" i="26"/>
  <c r="AN207" i="26" s="1"/>
  <c r="AO211" i="26"/>
  <c r="AN211" i="26" s="1"/>
  <c r="AO215" i="26"/>
  <c r="AN215" i="26" s="1"/>
  <c r="AO217" i="26"/>
  <c r="AN217" i="26" s="1"/>
  <c r="AO223" i="26"/>
  <c r="AN223" i="26" s="1"/>
  <c r="AO235" i="26"/>
  <c r="AN235" i="26" s="1"/>
  <c r="AO241" i="26"/>
  <c r="AN241" i="26" s="1"/>
  <c r="AO247" i="26"/>
  <c r="AN247" i="26" s="1"/>
  <c r="AO253" i="26"/>
  <c r="AN253" i="26" s="1"/>
  <c r="AO259" i="26"/>
  <c r="AN259" i="26" s="1"/>
  <c r="AO265" i="26"/>
  <c r="AN265" i="26" s="1"/>
  <c r="AO271" i="26"/>
  <c r="AN271" i="26" s="1"/>
  <c r="AO277" i="26"/>
  <c r="AN277" i="26" s="1"/>
  <c r="AO283" i="26"/>
  <c r="AN283" i="26" s="1"/>
  <c r="AO289" i="26"/>
  <c r="AN289" i="26" s="1"/>
  <c r="AO295" i="26"/>
  <c r="AN295" i="26" s="1"/>
  <c r="AO299" i="26"/>
  <c r="AN299" i="26" s="1"/>
  <c r="AO200" i="26"/>
  <c r="AN200" i="26" s="1"/>
  <c r="AO206" i="26"/>
  <c r="AN206" i="26" s="1"/>
  <c r="AO212" i="26"/>
  <c r="AN212" i="26" s="1"/>
  <c r="AO216" i="26"/>
  <c r="AN216" i="26" s="1"/>
  <c r="AO220" i="26"/>
  <c r="AN220" i="26" s="1"/>
  <c r="AO224" i="26"/>
  <c r="AN224" i="26" s="1"/>
  <c r="AO234" i="26"/>
  <c r="AN234" i="26" s="1"/>
  <c r="AO238" i="26"/>
  <c r="AN238" i="26" s="1"/>
  <c r="AO242" i="26"/>
  <c r="AN242" i="26" s="1"/>
  <c r="AO248" i="26"/>
  <c r="AN248" i="26" s="1"/>
  <c r="AO252" i="26"/>
  <c r="AN252" i="26" s="1"/>
  <c r="AO256" i="26"/>
  <c r="AN256" i="26" s="1"/>
  <c r="AO258" i="26"/>
  <c r="AN258" i="26" s="1"/>
  <c r="AO264" i="26"/>
  <c r="AN264" i="26" s="1"/>
  <c r="AO268" i="26"/>
  <c r="AN268" i="26" s="1"/>
  <c r="AO272" i="26"/>
  <c r="AN272" i="26" s="1"/>
  <c r="AO276" i="26"/>
  <c r="AN276" i="26" s="1"/>
  <c r="AO280" i="26"/>
  <c r="AN280" i="26" s="1"/>
  <c r="AO284" i="26"/>
  <c r="AN284" i="26" s="1"/>
  <c r="AO288" i="26"/>
  <c r="AN288" i="26" s="1"/>
  <c r="AO292" i="26"/>
  <c r="AN292" i="26" s="1"/>
  <c r="AO296" i="26"/>
  <c r="AN296" i="26" s="1"/>
  <c r="AO300" i="26"/>
  <c r="AN300" i="26" s="1"/>
  <c r="AO304" i="26"/>
  <c r="AN304" i="26" s="1"/>
  <c r="AO203" i="26"/>
  <c r="AN203" i="26" s="1"/>
  <c r="AO209" i="26"/>
  <c r="AN209" i="26" s="1"/>
  <c r="AO213" i="26"/>
  <c r="AN213" i="26" s="1"/>
  <c r="AO219" i="26"/>
  <c r="AN219" i="26" s="1"/>
  <c r="AO225" i="26"/>
  <c r="AN225" i="26" s="1"/>
  <c r="AO233" i="26"/>
  <c r="AN233" i="26" s="1"/>
  <c r="AO239" i="26"/>
  <c r="AN239" i="26" s="1"/>
  <c r="AO245" i="26"/>
  <c r="AN245" i="26" s="1"/>
  <c r="AO251" i="26"/>
  <c r="AN251" i="26" s="1"/>
  <c r="AO255" i="26"/>
  <c r="AN255" i="26" s="1"/>
  <c r="AO261" i="26"/>
  <c r="AN261" i="26" s="1"/>
  <c r="AO267" i="26"/>
  <c r="AN267" i="26" s="1"/>
  <c r="AO273" i="26"/>
  <c r="AN273" i="26" s="1"/>
  <c r="AO279" i="26"/>
  <c r="AN279" i="26" s="1"/>
  <c r="AO285" i="26"/>
  <c r="AN285" i="26" s="1"/>
  <c r="AO291" i="26"/>
  <c r="AN291" i="26" s="1"/>
  <c r="AO297" i="26"/>
  <c r="AN297" i="26" s="1"/>
  <c r="AO303" i="26"/>
  <c r="AN303" i="26" s="1"/>
  <c r="AO201" i="26"/>
  <c r="AN201" i="26" s="1"/>
  <c r="AO221" i="26"/>
  <c r="AN221" i="26" s="1"/>
  <c r="AO237" i="26"/>
  <c r="AN237" i="26" s="1"/>
  <c r="AO243" i="26"/>
  <c r="AN243" i="26" s="1"/>
  <c r="AO249" i="26"/>
  <c r="AN249" i="26" s="1"/>
  <c r="AO257" i="26"/>
  <c r="AN257" i="26" s="1"/>
  <c r="AO263" i="26"/>
  <c r="AN263" i="26" s="1"/>
  <c r="AO269" i="26"/>
  <c r="AN269" i="26" s="1"/>
  <c r="AO275" i="26"/>
  <c r="AN275" i="26" s="1"/>
  <c r="AO281" i="26"/>
  <c r="AN281" i="26" s="1"/>
  <c r="AO287" i="26"/>
  <c r="AN287" i="26" s="1"/>
  <c r="AO293" i="26"/>
  <c r="AN293" i="26" s="1"/>
  <c r="AO301" i="26"/>
  <c r="AN301" i="26" s="1"/>
  <c r="B616" i="59"/>
  <c r="G612" i="59" s="1"/>
  <c r="B616" i="60"/>
  <c r="B572" i="59"/>
  <c r="S577" i="59" s="1"/>
  <c r="T577" i="59" s="1"/>
  <c r="B572" i="60"/>
  <c r="B528" i="59"/>
  <c r="W525" i="59" s="1"/>
  <c r="X525" i="59" s="1"/>
  <c r="B528" i="60"/>
  <c r="B627" i="59"/>
  <c r="S632" i="59" s="1"/>
  <c r="T632" i="59" s="1"/>
  <c r="B627" i="60"/>
  <c r="B539" i="59"/>
  <c r="S536" i="59" s="1"/>
  <c r="T536" i="59" s="1"/>
  <c r="B539" i="60"/>
  <c r="T652" i="60"/>
  <c r="W651" i="60"/>
  <c r="S646" i="60"/>
  <c r="O645" i="60"/>
  <c r="P645" i="60" s="1"/>
  <c r="W646" i="60"/>
  <c r="W653" i="60"/>
  <c r="K648" i="60"/>
  <c r="X646" i="60"/>
  <c r="O644" i="60"/>
  <c r="T654" i="60"/>
  <c r="W649" i="60"/>
  <c r="T648" i="60"/>
  <c r="W647" i="60"/>
  <c r="D644" i="60"/>
  <c r="L648" i="60"/>
  <c r="W645" i="60"/>
  <c r="W648" i="60"/>
  <c r="S651" i="60"/>
  <c r="X653" i="60"/>
  <c r="L645" i="60"/>
  <c r="T647" i="60"/>
  <c r="W650" i="60"/>
  <c r="T653" i="60"/>
  <c r="S652" i="60"/>
  <c r="H645" i="60"/>
  <c r="X654" i="60"/>
  <c r="W644" i="60"/>
  <c r="T646" i="60"/>
  <c r="S649" i="60"/>
  <c r="X651" i="60"/>
  <c r="S645" i="60"/>
  <c r="S648" i="60"/>
  <c r="T651" i="60"/>
  <c r="W654" i="60"/>
  <c r="X652" i="60"/>
  <c r="T645" i="60"/>
  <c r="S647" i="60"/>
  <c r="X645" i="60"/>
  <c r="S654" i="60"/>
  <c r="L647" i="60"/>
  <c r="K644" i="60"/>
  <c r="X647" i="60"/>
  <c r="S653" i="60"/>
  <c r="G644" i="60"/>
  <c r="K647" i="60"/>
  <c r="W652" i="60"/>
  <c r="T650" i="60"/>
  <c r="X648" i="60"/>
  <c r="K645" i="60"/>
  <c r="T649" i="60"/>
  <c r="X649" i="60"/>
  <c r="S650" i="60"/>
  <c r="G645" i="60"/>
  <c r="X650" i="60"/>
  <c r="B605" i="59"/>
  <c r="S610" i="59" s="1"/>
  <c r="T610" i="59" s="1"/>
  <c r="B605" i="60"/>
  <c r="X566" i="60"/>
  <c r="O557" i="60"/>
  <c r="P557" i="60" s="1"/>
  <c r="O556" i="60"/>
  <c r="P556" i="60" s="1"/>
  <c r="T562" i="60"/>
  <c r="L556" i="60"/>
  <c r="X558" i="60"/>
  <c r="W562" i="60"/>
  <c r="S558" i="60"/>
  <c r="S560" i="60"/>
  <c r="X557" i="60"/>
  <c r="H557" i="60"/>
  <c r="T560" i="60"/>
  <c r="W563" i="60"/>
  <c r="T563" i="60"/>
  <c r="W558" i="60"/>
  <c r="L559" i="60"/>
  <c r="L560" i="60"/>
  <c r="K556" i="60"/>
  <c r="K557" i="60"/>
  <c r="S565" i="60"/>
  <c r="T565" i="60"/>
  <c r="X562" i="60"/>
  <c r="G557" i="60"/>
  <c r="X560" i="60"/>
  <c r="C556" i="60"/>
  <c r="T561" i="60"/>
  <c r="W561" i="60"/>
  <c r="W557" i="60"/>
  <c r="W560" i="60"/>
  <c r="S563" i="60"/>
  <c r="X565" i="60"/>
  <c r="S562" i="60"/>
  <c r="S566" i="60"/>
  <c r="K560" i="60"/>
  <c r="K559" i="60"/>
  <c r="L557" i="60"/>
  <c r="T558" i="60"/>
  <c r="S561" i="60"/>
  <c r="X563" i="60"/>
  <c r="W566" i="60"/>
  <c r="S559" i="60"/>
  <c r="T566" i="60"/>
  <c r="X561" i="60"/>
  <c r="T564" i="60"/>
  <c r="W565" i="60"/>
  <c r="D556" i="60"/>
  <c r="S564" i="60"/>
  <c r="B517" i="59"/>
  <c r="S522" i="59" s="1"/>
  <c r="T522" i="59" s="1"/>
  <c r="B517" i="60"/>
  <c r="B583" i="59"/>
  <c r="S588" i="59" s="1"/>
  <c r="T588" i="59" s="1"/>
  <c r="B583" i="60"/>
  <c r="B638" i="59"/>
  <c r="S637" i="59" s="1"/>
  <c r="T637" i="59" s="1"/>
  <c r="B638" i="60"/>
  <c r="B594" i="59"/>
  <c r="B594" i="60"/>
  <c r="B550" i="59"/>
  <c r="D545" i="59" s="1"/>
  <c r="B550" i="60"/>
  <c r="B649" i="57"/>
  <c r="B649" i="59"/>
  <c r="B660" i="57"/>
  <c r="S690" i="57"/>
  <c r="T690" i="57" s="1"/>
  <c r="B561" i="59"/>
  <c r="O689" i="57" l="1"/>
  <c r="P689" i="57" s="1"/>
  <c r="Y842" i="57"/>
  <c r="U845" i="57"/>
  <c r="X845" i="57" s="1"/>
  <c r="I843" i="57"/>
  <c r="L843" i="57" s="1"/>
  <c r="I842" i="57"/>
  <c r="L842" i="57" s="1"/>
  <c r="E842" i="57"/>
  <c r="H842" i="57" s="1"/>
  <c r="Q845" i="57"/>
  <c r="T845" i="57" s="1"/>
  <c r="E843" i="57"/>
  <c r="H843" i="57" s="1"/>
  <c r="U842" i="57"/>
  <c r="X842" i="57" s="1"/>
  <c r="U850" i="57"/>
  <c r="X850" i="57" s="1"/>
  <c r="Q842" i="57"/>
  <c r="T842" i="57" s="1"/>
  <c r="U848" i="57"/>
  <c r="X848" i="57" s="1"/>
  <c r="Q850" i="57"/>
  <c r="T850" i="57" s="1"/>
  <c r="Y853" i="57"/>
  <c r="AC858" i="57" s="1"/>
  <c r="U856" i="57"/>
  <c r="X856" i="57" s="1"/>
  <c r="I854" i="57"/>
  <c r="L854" i="57" s="1"/>
  <c r="Q861" i="57"/>
  <c r="T861" i="57" s="1"/>
  <c r="Q853" i="57"/>
  <c r="T853" i="57" s="1"/>
  <c r="I853" i="57"/>
  <c r="L853" i="57" s="1"/>
  <c r="U859" i="57"/>
  <c r="X859" i="57" s="1"/>
  <c r="Q856" i="57"/>
  <c r="T856" i="57" s="1"/>
  <c r="E854" i="57"/>
  <c r="H854" i="57" s="1"/>
  <c r="U853" i="57"/>
  <c r="X853" i="57" s="1"/>
  <c r="U861" i="57"/>
  <c r="X861" i="57" s="1"/>
  <c r="E853" i="57"/>
  <c r="H853" i="57" s="1"/>
  <c r="I875" i="57"/>
  <c r="L875" i="57" s="1"/>
  <c r="Q875" i="57"/>
  <c r="T875" i="57" s="1"/>
  <c r="E876" i="57"/>
  <c r="H876" i="57" s="1"/>
  <c r="I876" i="57"/>
  <c r="L876" i="57" s="1"/>
  <c r="Q883" i="57"/>
  <c r="T883" i="57" s="1"/>
  <c r="U875" i="57"/>
  <c r="X875" i="57" s="1"/>
  <c r="Q878" i="57"/>
  <c r="T878" i="57" s="1"/>
  <c r="E875" i="57"/>
  <c r="H875" i="57" s="1"/>
  <c r="U883" i="57"/>
  <c r="X883" i="57" s="1"/>
  <c r="U881" i="57"/>
  <c r="X881" i="57" s="1"/>
  <c r="U878" i="57"/>
  <c r="X878" i="57" s="1"/>
  <c r="I864" i="57"/>
  <c r="L864" i="57" s="1"/>
  <c r="Q867" i="57"/>
  <c r="T867" i="57" s="1"/>
  <c r="E865" i="57"/>
  <c r="H865" i="57" s="1"/>
  <c r="I865" i="57"/>
  <c r="L865" i="57" s="1"/>
  <c r="E864" i="57"/>
  <c r="H864" i="57" s="1"/>
  <c r="U864" i="57"/>
  <c r="X864" i="57" s="1"/>
  <c r="Q872" i="57"/>
  <c r="T872" i="57" s="1"/>
  <c r="U870" i="57"/>
  <c r="X870" i="57" s="1"/>
  <c r="Q864" i="57"/>
  <c r="T864" i="57" s="1"/>
  <c r="U872" i="57"/>
  <c r="X872" i="57" s="1"/>
  <c r="U867" i="57"/>
  <c r="X867" i="57" s="1"/>
  <c r="Y864" i="57"/>
  <c r="AC869" i="57" s="1"/>
  <c r="I832" i="57"/>
  <c r="L832" i="57" s="1"/>
  <c r="U834" i="57"/>
  <c r="X834" i="57" s="1"/>
  <c r="Q839" i="57"/>
  <c r="T839" i="57" s="1"/>
  <c r="E832" i="57"/>
  <c r="H832" i="57" s="1"/>
  <c r="U839" i="57"/>
  <c r="X839" i="57" s="1"/>
  <c r="I831" i="57"/>
  <c r="Q831" i="57"/>
  <c r="E831" i="57"/>
  <c r="U837" i="57"/>
  <c r="X837" i="57" s="1"/>
  <c r="Q834" i="57"/>
  <c r="T834" i="57" s="1"/>
  <c r="U831" i="57"/>
  <c r="X831" i="57" s="1"/>
  <c r="W692" i="57"/>
  <c r="X692" i="57" s="1"/>
  <c r="U823" i="57"/>
  <c r="X823" i="57" s="1"/>
  <c r="E821" i="57"/>
  <c r="H821" i="57" s="1"/>
  <c r="Q823" i="57"/>
  <c r="T823" i="57" s="1"/>
  <c r="I820" i="57"/>
  <c r="L820" i="57" s="1"/>
  <c r="I821" i="57"/>
  <c r="L821" i="57" s="1"/>
  <c r="Q820" i="57"/>
  <c r="U828" i="57"/>
  <c r="X828" i="57" s="1"/>
  <c r="U820" i="57"/>
  <c r="X820" i="57" s="1"/>
  <c r="E820" i="57"/>
  <c r="U826" i="57"/>
  <c r="X826" i="57" s="1"/>
  <c r="Q828" i="57"/>
  <c r="T828" i="57" s="1"/>
  <c r="Y875" i="57"/>
  <c r="AC880" i="57" s="1"/>
  <c r="O688" i="57"/>
  <c r="P688" i="57" s="1"/>
  <c r="W688" i="57"/>
  <c r="S694" i="57"/>
  <c r="G689" i="57"/>
  <c r="W691" i="57"/>
  <c r="W690" i="57"/>
  <c r="X690" i="57" s="1"/>
  <c r="W698" i="57"/>
  <c r="X698" i="57" s="1"/>
  <c r="S693" i="57"/>
  <c r="T693" i="57" s="1"/>
  <c r="W694" i="57"/>
  <c r="S696" i="57"/>
  <c r="S689" i="57"/>
  <c r="T689" i="57" s="1"/>
  <c r="W689" i="57"/>
  <c r="X689" i="57" s="1"/>
  <c r="W693" i="57"/>
  <c r="X693" i="57" s="1"/>
  <c r="W696" i="57"/>
  <c r="S697" i="57"/>
  <c r="T697" i="57" s="1"/>
  <c r="S698" i="57"/>
  <c r="T698" i="57" s="1"/>
  <c r="S695" i="57"/>
  <c r="T695" i="57" s="1"/>
  <c r="W695" i="57"/>
  <c r="X695" i="57" s="1"/>
  <c r="W697" i="57"/>
  <c r="X697" i="57" s="1"/>
  <c r="K692" i="57"/>
  <c r="L692" i="57" s="1"/>
  <c r="S692" i="57"/>
  <c r="T692" i="57" s="1"/>
  <c r="S691" i="57"/>
  <c r="K688" i="57"/>
  <c r="S753" i="57"/>
  <c r="T753" i="57" s="1"/>
  <c r="W744" i="57"/>
  <c r="X744" i="57" s="1"/>
  <c r="S670" i="57"/>
  <c r="T670" i="57" s="1"/>
  <c r="W675" i="57"/>
  <c r="X675" i="57" s="1"/>
  <c r="W671" i="57"/>
  <c r="X671" i="57" s="1"/>
  <c r="W670" i="57"/>
  <c r="X670" i="57" s="1"/>
  <c r="K670" i="57"/>
  <c r="L670" i="57" s="1"/>
  <c r="S669" i="57"/>
  <c r="O666" i="57"/>
  <c r="P666" i="57" s="1"/>
  <c r="S676" i="57"/>
  <c r="T676" i="57" s="1"/>
  <c r="W672" i="57"/>
  <c r="S673" i="57"/>
  <c r="T673" i="57" s="1"/>
  <c r="D699" i="57"/>
  <c r="S675" i="57"/>
  <c r="T675" i="57" s="1"/>
  <c r="W666" i="57"/>
  <c r="W701" i="57"/>
  <c r="X701" i="57" s="1"/>
  <c r="K703" i="57"/>
  <c r="L703" i="57" s="1"/>
  <c r="W705" i="57"/>
  <c r="O700" i="57"/>
  <c r="P700" i="57" s="1"/>
  <c r="W706" i="57"/>
  <c r="X706" i="57" s="1"/>
  <c r="S703" i="57"/>
  <c r="T703" i="57" s="1"/>
  <c r="G700" i="57"/>
  <c r="W699" i="57"/>
  <c r="S700" i="57"/>
  <c r="T700" i="57" s="1"/>
  <c r="S702" i="57"/>
  <c r="W704" i="57"/>
  <c r="X704" i="57" s="1"/>
  <c r="S707" i="57"/>
  <c r="AP837" i="9"/>
  <c r="S705" i="57"/>
  <c r="K702" i="57"/>
  <c r="L702" i="57" s="1"/>
  <c r="S708" i="57"/>
  <c r="T708" i="57" s="1"/>
  <c r="W708" i="57"/>
  <c r="X708" i="57" s="1"/>
  <c r="S704" i="57"/>
  <c r="T704" i="57" s="1"/>
  <c r="W703" i="57"/>
  <c r="X703" i="57" s="1"/>
  <c r="S709" i="57"/>
  <c r="T709" i="57" s="1"/>
  <c r="W700" i="57"/>
  <c r="X700" i="57" s="1"/>
  <c r="W709" i="57"/>
  <c r="X709" i="57" s="1"/>
  <c r="S706" i="57"/>
  <c r="T706" i="57" s="1"/>
  <c r="S701" i="57"/>
  <c r="T701" i="57" s="1"/>
  <c r="O699" i="57"/>
  <c r="P699" i="57" s="1"/>
  <c r="K699" i="57"/>
  <c r="AP836" i="9"/>
  <c r="AP835" i="9"/>
  <c r="S752" i="57"/>
  <c r="T752" i="57" s="1"/>
  <c r="W747" i="57"/>
  <c r="X747" i="57" s="1"/>
  <c r="K746" i="57"/>
  <c r="L746" i="57" s="1"/>
  <c r="S671" i="57"/>
  <c r="T671" i="57" s="1"/>
  <c r="S672" i="57"/>
  <c r="O667" i="57"/>
  <c r="P667" i="57" s="1"/>
  <c r="W668" i="57"/>
  <c r="X668" i="57" s="1"/>
  <c r="W667" i="57"/>
  <c r="X667" i="57" s="1"/>
  <c r="S746" i="57"/>
  <c r="W752" i="57"/>
  <c r="X752" i="57" s="1"/>
  <c r="S716" i="57"/>
  <c r="S737" i="57"/>
  <c r="T737" i="57" s="1"/>
  <c r="W673" i="57"/>
  <c r="X673" i="57" s="1"/>
  <c r="S668" i="57"/>
  <c r="T668" i="57" s="1"/>
  <c r="W669" i="57"/>
  <c r="S674" i="57"/>
  <c r="G667" i="57"/>
  <c r="W676" i="57"/>
  <c r="X676" i="57" s="1"/>
  <c r="S667" i="57"/>
  <c r="T667" i="57" s="1"/>
  <c r="W684" i="57"/>
  <c r="X684" i="57" s="1"/>
  <c r="W715" i="57"/>
  <c r="X715" i="57" s="1"/>
  <c r="W679" i="57"/>
  <c r="X679" i="57" s="1"/>
  <c r="W737" i="57"/>
  <c r="X737" i="57" s="1"/>
  <c r="S715" i="57"/>
  <c r="T715" i="57" s="1"/>
  <c r="S720" i="57"/>
  <c r="T720" i="57" s="1"/>
  <c r="S685" i="57"/>
  <c r="S736" i="57"/>
  <c r="T736" i="57" s="1"/>
  <c r="S733" i="57"/>
  <c r="T733" i="57" s="1"/>
  <c r="D732" i="57"/>
  <c r="S712" i="57"/>
  <c r="T712" i="57" s="1"/>
  <c r="S686" i="57"/>
  <c r="T686" i="57" s="1"/>
  <c r="O733" i="57"/>
  <c r="P733" i="57" s="1"/>
  <c r="W713" i="57"/>
  <c r="S719" i="57"/>
  <c r="T719" i="57" s="1"/>
  <c r="W687" i="57"/>
  <c r="X687" i="57" s="1"/>
  <c r="W734" i="57"/>
  <c r="X734" i="57" s="1"/>
  <c r="S739" i="57"/>
  <c r="T739" i="57" s="1"/>
  <c r="AP828" i="9"/>
  <c r="AP829" i="9"/>
  <c r="AP832" i="9"/>
  <c r="AP831" i="9"/>
  <c r="AP830" i="9"/>
  <c r="AP824" i="9"/>
  <c r="AP827" i="9"/>
  <c r="AP826" i="9"/>
  <c r="AP833" i="9"/>
  <c r="AP825" i="9"/>
  <c r="AP834" i="9"/>
  <c r="S747" i="57"/>
  <c r="T747" i="57" s="1"/>
  <c r="O744" i="57"/>
  <c r="P744" i="57" s="1"/>
  <c r="S744" i="57"/>
  <c r="T744" i="57" s="1"/>
  <c r="W753" i="57"/>
  <c r="X753" i="57" s="1"/>
  <c r="W745" i="57"/>
  <c r="X745" i="57" s="1"/>
  <c r="S748" i="57"/>
  <c r="T748" i="57" s="1"/>
  <c r="W749" i="57"/>
  <c r="S745" i="57"/>
  <c r="T745" i="57" s="1"/>
  <c r="K747" i="57"/>
  <c r="L747" i="57" s="1"/>
  <c r="S749" i="57"/>
  <c r="S750" i="57"/>
  <c r="T750" i="57" s="1"/>
  <c r="W743" i="57"/>
  <c r="S751" i="57"/>
  <c r="O743" i="57"/>
  <c r="P743" i="57" s="1"/>
  <c r="W750" i="57"/>
  <c r="X750" i="57" s="1"/>
  <c r="W748" i="57"/>
  <c r="X748" i="57" s="1"/>
  <c r="C688" i="57"/>
  <c r="O710" i="57"/>
  <c r="P710" i="57" s="1"/>
  <c r="S714" i="57"/>
  <c r="T714" i="57" s="1"/>
  <c r="S711" i="57"/>
  <c r="T711" i="57" s="1"/>
  <c r="W714" i="57"/>
  <c r="X714" i="57" s="1"/>
  <c r="S713" i="57"/>
  <c r="W717" i="57"/>
  <c r="X717" i="57" s="1"/>
  <c r="S684" i="57"/>
  <c r="T684" i="57" s="1"/>
  <c r="K677" i="57"/>
  <c r="O678" i="57"/>
  <c r="P678" i="57" s="1"/>
  <c r="S678" i="57"/>
  <c r="T678" i="57" s="1"/>
  <c r="W681" i="57"/>
  <c r="X681" i="57" s="1"/>
  <c r="S738" i="57"/>
  <c r="W739" i="57"/>
  <c r="X739" i="57" s="1"/>
  <c r="S735" i="57"/>
  <c r="K735" i="57"/>
  <c r="L735" i="57" s="1"/>
  <c r="W733" i="57"/>
  <c r="X733" i="57" s="1"/>
  <c r="G733" i="57"/>
  <c r="S742" i="57"/>
  <c r="T742" i="57" s="1"/>
  <c r="W683" i="57"/>
  <c r="W686" i="57"/>
  <c r="X686" i="57" s="1"/>
  <c r="W680" i="57"/>
  <c r="W682" i="57"/>
  <c r="X682" i="57" s="1"/>
  <c r="W736" i="57"/>
  <c r="X736" i="57" s="1"/>
  <c r="S740" i="57"/>
  <c r="W741" i="57"/>
  <c r="X741" i="57" s="1"/>
  <c r="W732" i="57"/>
  <c r="W716" i="57"/>
  <c r="W711" i="57"/>
  <c r="X711" i="57" s="1"/>
  <c r="K714" i="57"/>
  <c r="L714" i="57" s="1"/>
  <c r="G711" i="57"/>
  <c r="W719" i="57"/>
  <c r="X719" i="57" s="1"/>
  <c r="O711" i="57"/>
  <c r="P711" i="57" s="1"/>
  <c r="S717" i="57"/>
  <c r="T717" i="57" s="1"/>
  <c r="S718" i="57"/>
  <c r="W718" i="57"/>
  <c r="W720" i="57"/>
  <c r="X720" i="57" s="1"/>
  <c r="K710" i="57"/>
  <c r="W712" i="57"/>
  <c r="X712" i="57" s="1"/>
  <c r="G678" i="57"/>
  <c r="S682" i="57"/>
  <c r="T682" i="57" s="1"/>
  <c r="W678" i="57"/>
  <c r="X678" i="57" s="1"/>
  <c r="K681" i="57"/>
  <c r="L681" i="57" s="1"/>
  <c r="O677" i="57"/>
  <c r="P677" i="57" s="1"/>
  <c r="W735" i="57"/>
  <c r="W742" i="57"/>
  <c r="X742" i="57" s="1"/>
  <c r="S734" i="57"/>
  <c r="T734" i="57" s="1"/>
  <c r="S741" i="57"/>
  <c r="T741" i="57" s="1"/>
  <c r="W738" i="57"/>
  <c r="O732" i="57"/>
  <c r="P732" i="57" s="1"/>
  <c r="K736" i="57"/>
  <c r="L736" i="57" s="1"/>
  <c r="C644" i="57"/>
  <c r="D644" i="57"/>
  <c r="C776" i="57"/>
  <c r="D776" i="57"/>
  <c r="K721" i="57"/>
  <c r="W731" i="57"/>
  <c r="X731" i="57" s="1"/>
  <c r="S680" i="57"/>
  <c r="W685" i="57"/>
  <c r="S681" i="57"/>
  <c r="T681" i="57" s="1"/>
  <c r="S683" i="57"/>
  <c r="W677" i="57"/>
  <c r="S679" i="57"/>
  <c r="T679" i="57" s="1"/>
  <c r="S687" i="57"/>
  <c r="T687" i="57" s="1"/>
  <c r="W730" i="57"/>
  <c r="X730" i="57" s="1"/>
  <c r="S756" i="57"/>
  <c r="T756" i="57" s="1"/>
  <c r="S727" i="57"/>
  <c r="S764" i="57"/>
  <c r="T764" i="57" s="1"/>
  <c r="W756" i="57"/>
  <c r="X756" i="57" s="1"/>
  <c r="W757" i="57"/>
  <c r="S758" i="57"/>
  <c r="T758" i="57" s="1"/>
  <c r="S728" i="57"/>
  <c r="T728" i="57" s="1"/>
  <c r="G722" i="57"/>
  <c r="S757" i="57"/>
  <c r="W727" i="57"/>
  <c r="S726" i="57"/>
  <c r="T726" i="57" s="1"/>
  <c r="S723" i="57"/>
  <c r="T723" i="57" s="1"/>
  <c r="C743" i="57"/>
  <c r="D677" i="57"/>
  <c r="O754" i="57"/>
  <c r="P754" i="57" s="1"/>
  <c r="W755" i="57"/>
  <c r="X755" i="57" s="1"/>
  <c r="O755" i="57"/>
  <c r="P755" i="57" s="1"/>
  <c r="W722" i="57"/>
  <c r="X722" i="57" s="1"/>
  <c r="W724" i="57"/>
  <c r="S725" i="57"/>
  <c r="T725" i="57" s="1"/>
  <c r="W760" i="57"/>
  <c r="S755" i="57"/>
  <c r="T755" i="57" s="1"/>
  <c r="W764" i="57"/>
  <c r="X764" i="57" s="1"/>
  <c r="K754" i="57"/>
  <c r="K725" i="57"/>
  <c r="L725" i="57" s="1"/>
  <c r="S730" i="57"/>
  <c r="T730" i="57" s="1"/>
  <c r="W726" i="57"/>
  <c r="X726" i="57" s="1"/>
  <c r="W725" i="57"/>
  <c r="X725" i="57" s="1"/>
  <c r="W759" i="57"/>
  <c r="X759" i="57" s="1"/>
  <c r="W761" i="57"/>
  <c r="X761" i="57" s="1"/>
  <c r="S759" i="57"/>
  <c r="T759" i="57" s="1"/>
  <c r="W758" i="57"/>
  <c r="X758" i="57" s="1"/>
  <c r="W763" i="57"/>
  <c r="X763" i="57" s="1"/>
  <c r="S722" i="57"/>
  <c r="T722" i="57" s="1"/>
  <c r="W729" i="57"/>
  <c r="W721" i="57"/>
  <c r="W728" i="57"/>
  <c r="X728" i="57" s="1"/>
  <c r="C666" i="57"/>
  <c r="S761" i="57"/>
  <c r="T761" i="57" s="1"/>
  <c r="S763" i="57"/>
  <c r="T763" i="57" s="1"/>
  <c r="S760" i="57"/>
  <c r="W754" i="57"/>
  <c r="K758" i="57"/>
  <c r="L758" i="57" s="1"/>
  <c r="K757" i="57"/>
  <c r="L757" i="57" s="1"/>
  <c r="S729" i="57"/>
  <c r="S724" i="57"/>
  <c r="O722" i="57"/>
  <c r="P722" i="57" s="1"/>
  <c r="O721" i="57"/>
  <c r="P721" i="57" s="1"/>
  <c r="K724" i="57"/>
  <c r="L724" i="57" s="1"/>
  <c r="W723" i="57"/>
  <c r="X723" i="57" s="1"/>
  <c r="S731" i="57"/>
  <c r="T731" i="57" s="1"/>
  <c r="C721" i="57"/>
  <c r="C710" i="57"/>
  <c r="D666" i="59"/>
  <c r="C666" i="59"/>
  <c r="S676" i="59"/>
  <c r="T676" i="59" s="1"/>
  <c r="S667" i="59"/>
  <c r="T667" i="59" s="1"/>
  <c r="O666" i="59"/>
  <c r="P666" i="59" s="1"/>
  <c r="W670" i="59"/>
  <c r="X670" i="59" s="1"/>
  <c r="S674" i="59"/>
  <c r="K670" i="59"/>
  <c r="L670" i="59" s="1"/>
  <c r="W672" i="59"/>
  <c r="S673" i="59"/>
  <c r="T673" i="59" s="1"/>
  <c r="W673" i="59"/>
  <c r="X673" i="59" s="1"/>
  <c r="W668" i="59"/>
  <c r="X668" i="59" s="1"/>
  <c r="G667" i="59"/>
  <c r="K667" i="59"/>
  <c r="W675" i="59"/>
  <c r="X675" i="59" s="1"/>
  <c r="W666" i="59"/>
  <c r="S671" i="59"/>
  <c r="T671" i="59" s="1"/>
  <c r="S675" i="59"/>
  <c r="T675" i="59" s="1"/>
  <c r="K666" i="59"/>
  <c r="W671" i="59"/>
  <c r="X671" i="59" s="1"/>
  <c r="S668" i="59"/>
  <c r="T668" i="59" s="1"/>
  <c r="W669" i="59"/>
  <c r="W676" i="59"/>
  <c r="X676" i="59" s="1"/>
  <c r="S669" i="59"/>
  <c r="S670" i="59"/>
  <c r="T670" i="59" s="1"/>
  <c r="W667" i="59"/>
  <c r="X667" i="59" s="1"/>
  <c r="O667" i="59"/>
  <c r="P667" i="59" s="1"/>
  <c r="S672" i="59"/>
  <c r="X720" i="60"/>
  <c r="X713" i="60"/>
  <c r="O711" i="60"/>
  <c r="P711" i="60" s="1"/>
  <c r="T712" i="60"/>
  <c r="S715" i="60"/>
  <c r="S712" i="60"/>
  <c r="W714" i="60"/>
  <c r="W712" i="60"/>
  <c r="T716" i="60"/>
  <c r="D710" i="60"/>
  <c r="X712" i="60"/>
  <c r="X717" i="60"/>
  <c r="S713" i="60"/>
  <c r="K711" i="60"/>
  <c r="T720" i="60"/>
  <c r="T718" i="60"/>
  <c r="W710" i="60"/>
  <c r="X715" i="60"/>
  <c r="L710" i="60"/>
  <c r="L711" i="60"/>
  <c r="T713" i="60"/>
  <c r="W716" i="60"/>
  <c r="T719" i="60"/>
  <c r="S716" i="60"/>
  <c r="S720" i="60"/>
  <c r="K714" i="60"/>
  <c r="T711" i="60"/>
  <c r="W719" i="60"/>
  <c r="W711" i="60"/>
  <c r="X719" i="60"/>
  <c r="S711" i="60"/>
  <c r="S714" i="60"/>
  <c r="T717" i="60"/>
  <c r="W720" i="60"/>
  <c r="X716" i="60"/>
  <c r="C710" i="60"/>
  <c r="W717" i="60"/>
  <c r="W713" i="60"/>
  <c r="W715" i="60"/>
  <c r="L713" i="60"/>
  <c r="X711" i="60"/>
  <c r="X714" i="60"/>
  <c r="S718" i="60"/>
  <c r="O710" i="60"/>
  <c r="P710" i="60" s="1"/>
  <c r="T714" i="60"/>
  <c r="T715" i="60"/>
  <c r="L714" i="60"/>
  <c r="S719" i="60"/>
  <c r="S717" i="60"/>
  <c r="W718" i="60"/>
  <c r="K710" i="60"/>
  <c r="K713" i="60"/>
  <c r="X718" i="60"/>
  <c r="G711" i="60"/>
  <c r="K746" i="59"/>
  <c r="L746" i="59" s="1"/>
  <c r="W743" i="59"/>
  <c r="S745" i="59"/>
  <c r="T745" i="59" s="1"/>
  <c r="W744" i="59"/>
  <c r="X744" i="59" s="1"/>
  <c r="O744" i="59"/>
  <c r="P744" i="59" s="1"/>
  <c r="O743" i="59"/>
  <c r="P743" i="59" s="1"/>
  <c r="S753" i="59"/>
  <c r="T753" i="59" s="1"/>
  <c r="D743" i="59"/>
  <c r="S747" i="59"/>
  <c r="T747" i="59" s="1"/>
  <c r="K744" i="59"/>
  <c r="C743" i="59"/>
  <c r="W747" i="59"/>
  <c r="X747" i="59" s="1"/>
  <c r="W745" i="59"/>
  <c r="X745" i="59" s="1"/>
  <c r="S746" i="59"/>
  <c r="S744" i="59"/>
  <c r="T744" i="59" s="1"/>
  <c r="K747" i="59"/>
  <c r="L747" i="59" s="1"/>
  <c r="W748" i="59"/>
  <c r="X748" i="59" s="1"/>
  <c r="W749" i="59"/>
  <c r="W752" i="59"/>
  <c r="X752" i="59" s="1"/>
  <c r="S751" i="59"/>
  <c r="W750" i="59"/>
  <c r="X750" i="59" s="1"/>
  <c r="W753" i="59"/>
  <c r="X753" i="59" s="1"/>
  <c r="S748" i="59"/>
  <c r="T748" i="59" s="1"/>
  <c r="S752" i="59"/>
  <c r="T752" i="59" s="1"/>
  <c r="S750" i="59"/>
  <c r="T750" i="59" s="1"/>
  <c r="S749" i="59"/>
  <c r="X687" i="60"/>
  <c r="O678" i="60"/>
  <c r="P678" i="60" s="1"/>
  <c r="W680" i="60"/>
  <c r="T685" i="60"/>
  <c r="O677" i="60"/>
  <c r="P677" i="60" s="1"/>
  <c r="W684" i="60"/>
  <c r="W677" i="60"/>
  <c r="T679" i="60"/>
  <c r="S682" i="60"/>
  <c r="L677" i="60"/>
  <c r="L678" i="60"/>
  <c r="T680" i="60"/>
  <c r="W683" i="60"/>
  <c r="W687" i="60"/>
  <c r="X685" i="60"/>
  <c r="L681" i="60"/>
  <c r="L680" i="60"/>
  <c r="X679" i="60"/>
  <c r="S679" i="60"/>
  <c r="W686" i="60"/>
  <c r="S680" i="60"/>
  <c r="X682" i="60"/>
  <c r="S686" i="60"/>
  <c r="S678" i="60"/>
  <c r="S681" i="60"/>
  <c r="T684" i="60"/>
  <c r="S683" i="60"/>
  <c r="S687" i="60"/>
  <c r="T678" i="60"/>
  <c r="T687" i="60"/>
  <c r="T681" i="60"/>
  <c r="K681" i="60"/>
  <c r="K678" i="60"/>
  <c r="X680" i="60"/>
  <c r="S684" i="60"/>
  <c r="X686" i="60"/>
  <c r="X677" i="60"/>
  <c r="X678" i="60"/>
  <c r="X681" i="60"/>
  <c r="W685" i="60"/>
  <c r="X683" i="60"/>
  <c r="W678" i="60"/>
  <c r="K680" i="60"/>
  <c r="W682" i="60"/>
  <c r="K677" i="60"/>
  <c r="G678" i="60"/>
  <c r="W681" i="60"/>
  <c r="T682" i="60"/>
  <c r="C677" i="60"/>
  <c r="S685" i="60"/>
  <c r="W679" i="60"/>
  <c r="H678" i="60"/>
  <c r="G677" i="60"/>
  <c r="T683" i="60"/>
  <c r="D677" i="60"/>
  <c r="X684" i="60"/>
  <c r="T686" i="60"/>
  <c r="S797" i="57"/>
  <c r="T797" i="57" s="1"/>
  <c r="S788" i="57"/>
  <c r="T788" i="57" s="1"/>
  <c r="S792" i="57"/>
  <c r="T792" i="57" s="1"/>
  <c r="K791" i="57"/>
  <c r="L791" i="57" s="1"/>
  <c r="D787" i="57"/>
  <c r="S790" i="57"/>
  <c r="S791" i="57"/>
  <c r="T791" i="57" s="1"/>
  <c r="O787" i="57"/>
  <c r="P787" i="57" s="1"/>
  <c r="W796" i="57"/>
  <c r="X796" i="57" s="1"/>
  <c r="S789" i="57"/>
  <c r="T789" i="57" s="1"/>
  <c r="W787" i="57"/>
  <c r="W791" i="57"/>
  <c r="X791" i="57" s="1"/>
  <c r="W792" i="57"/>
  <c r="X792" i="57" s="1"/>
  <c r="W793" i="57"/>
  <c r="O788" i="57"/>
  <c r="P788" i="57" s="1"/>
  <c r="W790" i="57"/>
  <c r="W788" i="57"/>
  <c r="X788" i="57" s="1"/>
  <c r="S794" i="57"/>
  <c r="T794" i="57" s="1"/>
  <c r="S796" i="57"/>
  <c r="T796" i="57" s="1"/>
  <c r="W794" i="57"/>
  <c r="X794" i="57" s="1"/>
  <c r="S793" i="57"/>
  <c r="K790" i="57"/>
  <c r="L790" i="57" s="1"/>
  <c r="C787" i="57"/>
  <c r="W797" i="57"/>
  <c r="X797" i="57" s="1"/>
  <c r="G788" i="57"/>
  <c r="W789" i="57"/>
  <c r="X789" i="57" s="1"/>
  <c r="X698" i="60"/>
  <c r="X690" i="60"/>
  <c r="C688" i="60"/>
  <c r="S693" i="60"/>
  <c r="O688" i="60"/>
  <c r="P688" i="60" s="1"/>
  <c r="S697" i="60"/>
  <c r="W688" i="60"/>
  <c r="L688" i="60"/>
  <c r="T698" i="60"/>
  <c r="O689" i="60"/>
  <c r="P689" i="60" s="1"/>
  <c r="H689" i="60"/>
  <c r="T689" i="60"/>
  <c r="W692" i="60"/>
  <c r="T694" i="60"/>
  <c r="S695" i="60"/>
  <c r="G689" i="60"/>
  <c r="X693" i="60"/>
  <c r="S689" i="60"/>
  <c r="S692" i="60"/>
  <c r="T695" i="60"/>
  <c r="W698" i="60"/>
  <c r="S696" i="60"/>
  <c r="W691" i="60"/>
  <c r="T690" i="60"/>
  <c r="K689" i="60"/>
  <c r="W695" i="60"/>
  <c r="X695" i="60"/>
  <c r="T696" i="60"/>
  <c r="D688" i="60"/>
  <c r="W689" i="60"/>
  <c r="X697" i="60"/>
  <c r="X689" i="60"/>
  <c r="X692" i="60"/>
  <c r="X696" i="60"/>
  <c r="S690" i="60"/>
  <c r="W690" i="60"/>
  <c r="L692" i="60"/>
  <c r="S691" i="60"/>
  <c r="W697" i="60"/>
  <c r="K688" i="60"/>
  <c r="L691" i="60"/>
  <c r="K691" i="60"/>
  <c r="T693" i="60"/>
  <c r="W696" i="60"/>
  <c r="S694" i="60"/>
  <c r="S698" i="60"/>
  <c r="K692" i="60"/>
  <c r="T692" i="60"/>
  <c r="L689" i="60"/>
  <c r="X694" i="60"/>
  <c r="T691" i="60"/>
  <c r="G688" i="60"/>
  <c r="T697" i="60"/>
  <c r="X691" i="60"/>
  <c r="X688" i="60"/>
  <c r="W693" i="60"/>
  <c r="W694" i="60"/>
  <c r="C732" i="59"/>
  <c r="S742" i="59"/>
  <c r="T742" i="59" s="1"/>
  <c r="S734" i="59"/>
  <c r="T734" i="59" s="1"/>
  <c r="W733" i="59"/>
  <c r="X733" i="59" s="1"/>
  <c r="D732" i="59"/>
  <c r="W732" i="59"/>
  <c r="W735" i="59"/>
  <c r="G733" i="59"/>
  <c r="O733" i="59"/>
  <c r="P733" i="59" s="1"/>
  <c r="W736" i="59"/>
  <c r="X736" i="59" s="1"/>
  <c r="K735" i="59"/>
  <c r="L735" i="59" s="1"/>
  <c r="S733" i="59"/>
  <c r="T733" i="59" s="1"/>
  <c r="S740" i="59"/>
  <c r="S736" i="59"/>
  <c r="T736" i="59" s="1"/>
  <c r="W734" i="59"/>
  <c r="X734" i="59" s="1"/>
  <c r="W738" i="59"/>
  <c r="W741" i="59"/>
  <c r="X741" i="59" s="1"/>
  <c r="S737" i="59"/>
  <c r="T737" i="59" s="1"/>
  <c r="S741" i="59"/>
  <c r="T741" i="59" s="1"/>
  <c r="K733" i="59"/>
  <c r="W737" i="59"/>
  <c r="X737" i="59" s="1"/>
  <c r="W739" i="59"/>
  <c r="X739" i="59" s="1"/>
  <c r="O732" i="59"/>
  <c r="P732" i="59" s="1"/>
  <c r="S735" i="59"/>
  <c r="W742" i="59"/>
  <c r="X742" i="59" s="1"/>
  <c r="S738" i="59"/>
  <c r="K736" i="59"/>
  <c r="L736" i="59" s="1"/>
  <c r="S739" i="59"/>
  <c r="T739" i="59" s="1"/>
  <c r="T775" i="60"/>
  <c r="T773" i="60"/>
  <c r="T772" i="60"/>
  <c r="T771" i="60"/>
  <c r="T770" i="60"/>
  <c r="X769" i="60"/>
  <c r="S769" i="60"/>
  <c r="S768" i="60"/>
  <c r="X767" i="60"/>
  <c r="S767" i="60"/>
  <c r="O766" i="60"/>
  <c r="P766" i="60" s="1"/>
  <c r="G766" i="60"/>
  <c r="H765" i="60"/>
  <c r="C765" i="60"/>
  <c r="S774" i="60"/>
  <c r="X772" i="60"/>
  <c r="S772" i="60"/>
  <c r="X770" i="60"/>
  <c r="S770" i="60"/>
  <c r="W769" i="60"/>
  <c r="X768" i="60"/>
  <c r="L768" i="60"/>
  <c r="W767" i="60"/>
  <c r="T766" i="60"/>
  <c r="L766" i="60"/>
  <c r="X765" i="60"/>
  <c r="O765" i="60"/>
  <c r="P765" i="60" s="1"/>
  <c r="G765" i="60"/>
  <c r="X774" i="60"/>
  <c r="W773" i="60"/>
  <c r="W771" i="60"/>
  <c r="X775" i="60"/>
  <c r="L769" i="60"/>
  <c r="T768" i="60"/>
  <c r="T767" i="60"/>
  <c r="H766" i="60"/>
  <c r="X766" i="60"/>
  <c r="W775" i="60"/>
  <c r="W774" i="60"/>
  <c r="W772" i="60"/>
  <c r="W770" i="60"/>
  <c r="K769" i="60"/>
  <c r="K768" i="60"/>
  <c r="S766" i="60"/>
  <c r="W765" i="60"/>
  <c r="T769" i="60"/>
  <c r="D765" i="60"/>
  <c r="K766" i="60"/>
  <c r="W766" i="60"/>
  <c r="W768" i="60"/>
  <c r="X771" i="60"/>
  <c r="T774" i="60"/>
  <c r="S773" i="60"/>
  <c r="X773" i="60"/>
  <c r="S775" i="60"/>
  <c r="S771" i="60"/>
  <c r="C754" i="57"/>
  <c r="X676" i="60"/>
  <c r="K670" i="60"/>
  <c r="H667" i="60"/>
  <c r="T674" i="60"/>
  <c r="W668" i="60"/>
  <c r="S669" i="60"/>
  <c r="X671" i="60"/>
  <c r="L666" i="60"/>
  <c r="L667" i="60"/>
  <c r="T669" i="60"/>
  <c r="W672" i="60"/>
  <c r="T675" i="60"/>
  <c r="S674" i="60"/>
  <c r="L670" i="60"/>
  <c r="W669" i="60"/>
  <c r="C666" i="60"/>
  <c r="K666" i="60"/>
  <c r="K667" i="60"/>
  <c r="X669" i="60"/>
  <c r="S675" i="60"/>
  <c r="S667" i="60"/>
  <c r="S670" i="60"/>
  <c r="T673" i="60"/>
  <c r="W676" i="60"/>
  <c r="X674" i="60"/>
  <c r="S668" i="60"/>
  <c r="T667" i="60"/>
  <c r="W671" i="60"/>
  <c r="W675" i="60"/>
  <c r="O666" i="60"/>
  <c r="P666" i="60" s="1"/>
  <c r="T676" i="60"/>
  <c r="X668" i="60"/>
  <c r="W667" i="60"/>
  <c r="W670" i="60"/>
  <c r="S673" i="60"/>
  <c r="X675" i="60"/>
  <c r="X666" i="60"/>
  <c r="X667" i="60"/>
  <c r="X670" i="60"/>
  <c r="S672" i="60"/>
  <c r="S676" i="60"/>
  <c r="D666" i="60"/>
  <c r="S671" i="60"/>
  <c r="G666" i="60"/>
  <c r="W674" i="60"/>
  <c r="T668" i="60"/>
  <c r="T671" i="60"/>
  <c r="W673" i="60"/>
  <c r="T672" i="60"/>
  <c r="X673" i="60"/>
  <c r="G667" i="60"/>
  <c r="X672" i="60"/>
  <c r="O667" i="60"/>
  <c r="P667" i="60" s="1"/>
  <c r="T670" i="60"/>
  <c r="W666" i="60"/>
  <c r="U801" i="57"/>
  <c r="X801" i="57" s="1"/>
  <c r="Q798" i="57"/>
  <c r="E798" i="57"/>
  <c r="U804" i="57"/>
  <c r="X804" i="57" s="1"/>
  <c r="I798" i="57"/>
  <c r="U806" i="57"/>
  <c r="X806" i="57" s="1"/>
  <c r="Q801" i="57"/>
  <c r="T801" i="57" s="1"/>
  <c r="U798" i="57"/>
  <c r="X798" i="57" s="1"/>
  <c r="E799" i="57"/>
  <c r="Q806" i="57"/>
  <c r="T806" i="57" s="1"/>
  <c r="I799" i="57"/>
  <c r="L799" i="57" s="1"/>
  <c r="S746" i="60"/>
  <c r="T749" i="60"/>
  <c r="X753" i="60"/>
  <c r="K747" i="60"/>
  <c r="T744" i="60"/>
  <c r="L744" i="60"/>
  <c r="W743" i="60"/>
  <c r="X750" i="60"/>
  <c r="W745" i="60"/>
  <c r="X744" i="60"/>
  <c r="S744" i="60"/>
  <c r="K744" i="60"/>
  <c r="G743" i="60"/>
  <c r="T747" i="60"/>
  <c r="L746" i="60"/>
  <c r="O744" i="60"/>
  <c r="P744" i="60" s="1"/>
  <c r="L743" i="60"/>
  <c r="S748" i="60"/>
  <c r="W744" i="60"/>
  <c r="G744" i="60"/>
  <c r="C743" i="60"/>
  <c r="X743" i="60"/>
  <c r="X746" i="60"/>
  <c r="X752" i="60"/>
  <c r="T745" i="60"/>
  <c r="O743" i="60"/>
  <c r="P743" i="60" s="1"/>
  <c r="W750" i="60"/>
  <c r="K743" i="60"/>
  <c r="X745" i="60"/>
  <c r="S752" i="60"/>
  <c r="W752" i="60"/>
  <c r="X747" i="60"/>
  <c r="S751" i="60"/>
  <c r="W746" i="60"/>
  <c r="T753" i="60"/>
  <c r="W748" i="60"/>
  <c r="K746" i="60"/>
  <c r="T748" i="60"/>
  <c r="W751" i="60"/>
  <c r="X751" i="60"/>
  <c r="H744" i="60"/>
  <c r="L747" i="60"/>
  <c r="S750" i="60"/>
  <c r="T746" i="60"/>
  <c r="W749" i="60"/>
  <c r="T752" i="60"/>
  <c r="S749" i="60"/>
  <c r="S753" i="60"/>
  <c r="W747" i="60"/>
  <c r="T751" i="60"/>
  <c r="S747" i="60"/>
  <c r="T750" i="60"/>
  <c r="X748" i="60"/>
  <c r="D743" i="60"/>
  <c r="W753" i="60"/>
  <c r="S745" i="60"/>
  <c r="X749" i="60"/>
  <c r="K769" i="59"/>
  <c r="L769" i="59" s="1"/>
  <c r="S767" i="59"/>
  <c r="T767" i="59" s="1"/>
  <c r="W766" i="59"/>
  <c r="X766" i="59" s="1"/>
  <c r="O766" i="59"/>
  <c r="P766" i="59" s="1"/>
  <c r="S775" i="59"/>
  <c r="T775" i="59" s="1"/>
  <c r="W774" i="59"/>
  <c r="X774" i="59" s="1"/>
  <c r="S773" i="59"/>
  <c r="W772" i="59"/>
  <c r="X772" i="59" s="1"/>
  <c r="S771" i="59"/>
  <c r="W770" i="59"/>
  <c r="X770" i="59" s="1"/>
  <c r="S768" i="59"/>
  <c r="K766" i="59"/>
  <c r="W765" i="59"/>
  <c r="O765" i="59"/>
  <c r="P765" i="59" s="1"/>
  <c r="W775" i="59"/>
  <c r="X775" i="59" s="1"/>
  <c r="S770" i="59"/>
  <c r="T770" i="59" s="1"/>
  <c r="W769" i="59"/>
  <c r="X769" i="59" s="1"/>
  <c r="K768" i="59"/>
  <c r="L768" i="59" s="1"/>
  <c r="G766" i="59"/>
  <c r="C765" i="59"/>
  <c r="W768" i="59"/>
  <c r="S766" i="59"/>
  <c r="T766" i="59" s="1"/>
  <c r="S774" i="59"/>
  <c r="T774" i="59" s="1"/>
  <c r="S769" i="59"/>
  <c r="T769" i="59" s="1"/>
  <c r="S772" i="59"/>
  <c r="T772" i="59" s="1"/>
  <c r="W771" i="59"/>
  <c r="D765" i="59"/>
  <c r="W767" i="59"/>
  <c r="X767" i="59" s="1"/>
  <c r="G776" i="60"/>
  <c r="X782" i="60"/>
  <c r="X783" i="60"/>
  <c r="W785" i="60"/>
  <c r="S778" i="60"/>
  <c r="W780" i="60"/>
  <c r="W776" i="60"/>
  <c r="S783" i="60"/>
  <c r="T778" i="60"/>
  <c r="S779" i="60"/>
  <c r="W778" i="60"/>
  <c r="W786" i="60"/>
  <c r="W782" i="60"/>
  <c r="T779" i="60"/>
  <c r="L777" i="60"/>
  <c r="T786" i="60"/>
  <c r="W783" i="60"/>
  <c r="W781" i="60"/>
  <c r="K777" i="60"/>
  <c r="S786" i="60"/>
  <c r="X779" i="60"/>
  <c r="X786" i="60"/>
  <c r="S782" i="60"/>
  <c r="W777" i="60"/>
  <c r="T780" i="60"/>
  <c r="T777" i="60"/>
  <c r="O776" i="60"/>
  <c r="P776" i="60" s="1"/>
  <c r="T785" i="60"/>
  <c r="T781" i="60"/>
  <c r="K779" i="60"/>
  <c r="G777" i="60"/>
  <c r="X781" i="60"/>
  <c r="X785" i="60"/>
  <c r="T784" i="60"/>
  <c r="S785" i="60"/>
  <c r="S781" i="60"/>
  <c r="D776" i="60"/>
  <c r="K780" i="60"/>
  <c r="O777" i="60"/>
  <c r="P777" i="60" s="1"/>
  <c r="W784" i="60"/>
  <c r="X780" i="60"/>
  <c r="X777" i="60"/>
  <c r="X776" i="60"/>
  <c r="X784" i="60"/>
  <c r="S784" i="60"/>
  <c r="L779" i="60"/>
  <c r="S780" i="60"/>
  <c r="T783" i="60"/>
  <c r="W779" i="60"/>
  <c r="H777" i="60"/>
  <c r="S777" i="60"/>
  <c r="X778" i="60"/>
  <c r="T782" i="60"/>
  <c r="L780" i="60"/>
  <c r="C776" i="60"/>
  <c r="C688" i="59"/>
  <c r="D688" i="59"/>
  <c r="S698" i="59"/>
  <c r="T698" i="59" s="1"/>
  <c r="S689" i="59"/>
  <c r="T689" i="59" s="1"/>
  <c r="G689" i="59"/>
  <c r="S691" i="59"/>
  <c r="K692" i="59"/>
  <c r="L692" i="59" s="1"/>
  <c r="K689" i="59"/>
  <c r="W692" i="59"/>
  <c r="X692" i="59" s="1"/>
  <c r="S692" i="59"/>
  <c r="T692" i="59" s="1"/>
  <c r="S693" i="59"/>
  <c r="T693" i="59" s="1"/>
  <c r="S697" i="59"/>
  <c r="T697" i="59" s="1"/>
  <c r="W691" i="59"/>
  <c r="W695" i="59"/>
  <c r="X695" i="59" s="1"/>
  <c r="O688" i="59"/>
  <c r="P688" i="59" s="1"/>
  <c r="K688" i="59"/>
  <c r="W689" i="59"/>
  <c r="X689" i="59" s="1"/>
  <c r="W693" i="59"/>
  <c r="X693" i="59" s="1"/>
  <c r="W696" i="59"/>
  <c r="S694" i="59"/>
  <c r="W688" i="59"/>
  <c r="W698" i="59"/>
  <c r="X698" i="59" s="1"/>
  <c r="O689" i="59"/>
  <c r="P689" i="59" s="1"/>
  <c r="W690" i="59"/>
  <c r="X690" i="59" s="1"/>
  <c r="S690" i="59"/>
  <c r="T690" i="59" s="1"/>
  <c r="W694" i="59"/>
  <c r="W697" i="59"/>
  <c r="X697" i="59" s="1"/>
  <c r="S695" i="59"/>
  <c r="T695" i="59" s="1"/>
  <c r="S696" i="59"/>
  <c r="D699" i="59"/>
  <c r="S709" i="59"/>
  <c r="T709" i="59" s="1"/>
  <c r="C699" i="59"/>
  <c r="G700" i="59"/>
  <c r="W701" i="59"/>
  <c r="X701" i="59" s="1"/>
  <c r="K702" i="59"/>
  <c r="L702" i="59" s="1"/>
  <c r="S703" i="59"/>
  <c r="T703" i="59" s="1"/>
  <c r="K703" i="59"/>
  <c r="L703" i="59" s="1"/>
  <c r="K699" i="59"/>
  <c r="O699" i="59"/>
  <c r="P699" i="59" s="1"/>
  <c r="O700" i="59"/>
  <c r="P700" i="59" s="1"/>
  <c r="W704" i="59"/>
  <c r="X704" i="59" s="1"/>
  <c r="S700" i="59"/>
  <c r="T700" i="59" s="1"/>
  <c r="W700" i="59"/>
  <c r="X700" i="59" s="1"/>
  <c r="S701" i="59"/>
  <c r="T701" i="59" s="1"/>
  <c r="S704" i="59"/>
  <c r="T704" i="59" s="1"/>
  <c r="S708" i="59"/>
  <c r="T708" i="59" s="1"/>
  <c r="W703" i="59"/>
  <c r="X703" i="59" s="1"/>
  <c r="W705" i="59"/>
  <c r="S705" i="59"/>
  <c r="K700" i="59"/>
  <c r="W699" i="59"/>
  <c r="W709" i="59"/>
  <c r="X709" i="59" s="1"/>
  <c r="S707" i="59"/>
  <c r="S702" i="59"/>
  <c r="W706" i="59"/>
  <c r="X706" i="59" s="1"/>
  <c r="W708" i="59"/>
  <c r="X708" i="59" s="1"/>
  <c r="S706" i="59"/>
  <c r="T706" i="59" s="1"/>
  <c r="S764" i="59"/>
  <c r="T764" i="59" s="1"/>
  <c r="W763" i="59"/>
  <c r="X763" i="59" s="1"/>
  <c r="W761" i="59"/>
  <c r="X761" i="59" s="1"/>
  <c r="S760" i="59"/>
  <c r="W759" i="59"/>
  <c r="X759" i="59" s="1"/>
  <c r="S758" i="59"/>
  <c r="T758" i="59" s="1"/>
  <c r="W756" i="59"/>
  <c r="X756" i="59" s="1"/>
  <c r="S755" i="59"/>
  <c r="T755" i="59" s="1"/>
  <c r="D754" i="59"/>
  <c r="W764" i="59"/>
  <c r="X764" i="59" s="1"/>
  <c r="W757" i="59"/>
  <c r="K757" i="59"/>
  <c r="L757" i="59" s="1"/>
  <c r="C754" i="59"/>
  <c r="S761" i="59"/>
  <c r="T761" i="59" s="1"/>
  <c r="W760" i="59"/>
  <c r="K758" i="59"/>
  <c r="L758" i="59" s="1"/>
  <c r="S757" i="59"/>
  <c r="S756" i="59"/>
  <c r="T756" i="59" s="1"/>
  <c r="W755" i="59"/>
  <c r="X755" i="59" s="1"/>
  <c r="K755" i="59"/>
  <c r="K754" i="59"/>
  <c r="W754" i="59"/>
  <c r="S759" i="59"/>
  <c r="T759" i="59" s="1"/>
  <c r="W758" i="59"/>
  <c r="X758" i="59" s="1"/>
  <c r="O754" i="59"/>
  <c r="P754" i="59" s="1"/>
  <c r="S763" i="59"/>
  <c r="T763" i="59" s="1"/>
  <c r="O755" i="59"/>
  <c r="P755" i="59" s="1"/>
  <c r="D721" i="59"/>
  <c r="S731" i="59"/>
  <c r="T731" i="59" s="1"/>
  <c r="C721" i="59"/>
  <c r="K724" i="59"/>
  <c r="L724" i="59" s="1"/>
  <c r="O721" i="59"/>
  <c r="P721" i="59" s="1"/>
  <c r="S722" i="59"/>
  <c r="T722" i="59" s="1"/>
  <c r="W722" i="59"/>
  <c r="X722" i="59" s="1"/>
  <c r="W723" i="59"/>
  <c r="X723" i="59" s="1"/>
  <c r="W724" i="59"/>
  <c r="W728" i="59"/>
  <c r="X728" i="59" s="1"/>
  <c r="W727" i="59"/>
  <c r="W730" i="59"/>
  <c r="X730" i="59" s="1"/>
  <c r="S727" i="59"/>
  <c r="O722" i="59"/>
  <c r="P722" i="59" s="1"/>
  <c r="S724" i="59"/>
  <c r="S725" i="59"/>
  <c r="T725" i="59" s="1"/>
  <c r="K722" i="59"/>
  <c r="K721" i="59"/>
  <c r="K725" i="59"/>
  <c r="L725" i="59" s="1"/>
  <c r="W731" i="59"/>
  <c r="X731" i="59" s="1"/>
  <c r="S728" i="59"/>
  <c r="T728" i="59" s="1"/>
  <c r="S730" i="59"/>
  <c r="T730" i="59" s="1"/>
  <c r="G722" i="59"/>
  <c r="S729" i="59"/>
  <c r="W726" i="59"/>
  <c r="X726" i="59" s="1"/>
  <c r="W725" i="59"/>
  <c r="X725" i="59" s="1"/>
  <c r="S723" i="59"/>
  <c r="T723" i="59" s="1"/>
  <c r="W721" i="59"/>
  <c r="W729" i="59"/>
  <c r="S726" i="59"/>
  <c r="T726" i="59" s="1"/>
  <c r="S775" i="57"/>
  <c r="T775" i="57" s="1"/>
  <c r="O766" i="57"/>
  <c r="P766" i="57" s="1"/>
  <c r="C765" i="57"/>
  <c r="W770" i="57"/>
  <c r="X770" i="57" s="1"/>
  <c r="W766" i="57"/>
  <c r="X766" i="57" s="1"/>
  <c r="S772" i="57"/>
  <c r="T772" i="57" s="1"/>
  <c r="K768" i="57"/>
  <c r="L768" i="57" s="1"/>
  <c r="W775" i="57"/>
  <c r="X775" i="57" s="1"/>
  <c r="S771" i="57"/>
  <c r="W769" i="57"/>
  <c r="X769" i="57" s="1"/>
  <c r="W771" i="57"/>
  <c r="G766" i="57"/>
  <c r="K769" i="57"/>
  <c r="L769" i="57" s="1"/>
  <c r="O765" i="57"/>
  <c r="P765" i="57" s="1"/>
  <c r="W772" i="57"/>
  <c r="X772" i="57" s="1"/>
  <c r="S768" i="57"/>
  <c r="S774" i="57"/>
  <c r="T774" i="57" s="1"/>
  <c r="S769" i="57"/>
  <c r="T769" i="57" s="1"/>
  <c r="S767" i="57"/>
  <c r="T767" i="57" s="1"/>
  <c r="W765" i="57"/>
  <c r="W774" i="57"/>
  <c r="X774" i="57" s="1"/>
  <c r="S770" i="57"/>
  <c r="T770" i="57" s="1"/>
  <c r="S773" i="57"/>
  <c r="W768" i="57"/>
  <c r="D765" i="57"/>
  <c r="W767" i="57"/>
  <c r="X767" i="57" s="1"/>
  <c r="S766" i="57"/>
  <c r="T766" i="57" s="1"/>
  <c r="C655" i="59"/>
  <c r="D655" i="59"/>
  <c r="S665" i="59"/>
  <c r="T665" i="59" s="1"/>
  <c r="S659" i="59"/>
  <c r="T659" i="59" s="1"/>
  <c r="W656" i="59"/>
  <c r="X656" i="59" s="1"/>
  <c r="O655" i="59"/>
  <c r="P655" i="59" s="1"/>
  <c r="W659" i="59"/>
  <c r="X659" i="59" s="1"/>
  <c r="W664" i="59"/>
  <c r="X664" i="59" s="1"/>
  <c r="S662" i="59"/>
  <c r="T662" i="59" s="1"/>
  <c r="W660" i="59"/>
  <c r="X660" i="59" s="1"/>
  <c r="S656" i="59"/>
  <c r="T656" i="59" s="1"/>
  <c r="K656" i="59"/>
  <c r="S661" i="59"/>
  <c r="W657" i="59"/>
  <c r="X657" i="59" s="1"/>
  <c r="S657" i="59"/>
  <c r="T657" i="59" s="1"/>
  <c r="W655" i="59"/>
  <c r="W665" i="59"/>
  <c r="X665" i="59" s="1"/>
  <c r="K659" i="59"/>
  <c r="L659" i="59" s="1"/>
  <c r="W658" i="59"/>
  <c r="S658" i="59"/>
  <c r="W661" i="59"/>
  <c r="O656" i="59"/>
  <c r="P656" i="59" s="1"/>
  <c r="W662" i="59"/>
  <c r="X662" i="59" s="1"/>
  <c r="S660" i="59"/>
  <c r="T660" i="59" s="1"/>
  <c r="S664" i="59"/>
  <c r="T664" i="59" s="1"/>
  <c r="W797" i="59"/>
  <c r="X797" i="59" s="1"/>
  <c r="S796" i="59"/>
  <c r="T796" i="59" s="1"/>
  <c r="S794" i="59"/>
  <c r="T794" i="59" s="1"/>
  <c r="W793" i="59"/>
  <c r="S792" i="59"/>
  <c r="T792" i="59" s="1"/>
  <c r="W791" i="59"/>
  <c r="X791" i="59" s="1"/>
  <c r="K791" i="59"/>
  <c r="L791" i="59" s="1"/>
  <c r="S789" i="59"/>
  <c r="T789" i="59" s="1"/>
  <c r="W788" i="59"/>
  <c r="X788" i="59" s="1"/>
  <c r="O788" i="59"/>
  <c r="P788" i="59" s="1"/>
  <c r="D787" i="59"/>
  <c r="S790" i="59"/>
  <c r="K788" i="59"/>
  <c r="W787" i="59"/>
  <c r="O787" i="59"/>
  <c r="P787" i="59" s="1"/>
  <c r="C787" i="59"/>
  <c r="S797" i="59"/>
  <c r="T797" i="59" s="1"/>
  <c r="W796" i="59"/>
  <c r="X796" i="59" s="1"/>
  <c r="S791" i="59"/>
  <c r="T791" i="59" s="1"/>
  <c r="W790" i="59"/>
  <c r="W792" i="59"/>
  <c r="X792" i="59" s="1"/>
  <c r="G788" i="59"/>
  <c r="W794" i="59"/>
  <c r="X794" i="59" s="1"/>
  <c r="W789" i="59"/>
  <c r="X789" i="59" s="1"/>
  <c r="S793" i="59"/>
  <c r="K790" i="59"/>
  <c r="L790" i="59" s="1"/>
  <c r="S788" i="59"/>
  <c r="T788" i="59" s="1"/>
  <c r="W786" i="57"/>
  <c r="X786" i="57" s="1"/>
  <c r="S778" i="57"/>
  <c r="T778" i="57" s="1"/>
  <c r="W785" i="57"/>
  <c r="X785" i="57" s="1"/>
  <c r="K780" i="57"/>
  <c r="L780" i="57" s="1"/>
  <c r="W780" i="57"/>
  <c r="X780" i="57" s="1"/>
  <c r="W776" i="57"/>
  <c r="W782" i="57"/>
  <c r="W777" i="57"/>
  <c r="X777" i="57" s="1"/>
  <c r="S785" i="57"/>
  <c r="T785" i="57" s="1"/>
  <c r="S782" i="57"/>
  <c r="G777" i="57"/>
  <c r="S781" i="57"/>
  <c r="T781" i="57" s="1"/>
  <c r="S777" i="57"/>
  <c r="T777" i="57" s="1"/>
  <c r="W781" i="57"/>
  <c r="X781" i="57" s="1"/>
  <c r="O776" i="57"/>
  <c r="P776" i="57" s="1"/>
  <c r="K779" i="57"/>
  <c r="L779" i="57" s="1"/>
  <c r="O777" i="57"/>
  <c r="P777" i="57" s="1"/>
  <c r="W783" i="57"/>
  <c r="X783" i="57" s="1"/>
  <c r="S783" i="57"/>
  <c r="T783" i="57" s="1"/>
  <c r="W778" i="57"/>
  <c r="X778" i="57" s="1"/>
  <c r="S786" i="57"/>
  <c r="T786" i="57" s="1"/>
  <c r="S779" i="57"/>
  <c r="S780" i="57"/>
  <c r="T780" i="57" s="1"/>
  <c r="K703" i="60"/>
  <c r="X709" i="60"/>
  <c r="T703" i="60"/>
  <c r="W699" i="60"/>
  <c r="O699" i="60"/>
  <c r="P699" i="60" s="1"/>
  <c r="K700" i="60"/>
  <c r="W700" i="60"/>
  <c r="W707" i="60"/>
  <c r="X699" i="60"/>
  <c r="K702" i="60"/>
  <c r="W706" i="60"/>
  <c r="W701" i="60"/>
  <c r="S704" i="60"/>
  <c r="S708" i="60"/>
  <c r="S702" i="60"/>
  <c r="T705" i="60"/>
  <c r="S707" i="60"/>
  <c r="T701" i="60"/>
  <c r="T709" i="60"/>
  <c r="L700" i="60"/>
  <c r="W702" i="60"/>
  <c r="W708" i="60"/>
  <c r="G700" i="60"/>
  <c r="L702" i="60"/>
  <c r="X704" i="60"/>
  <c r="X708" i="60"/>
  <c r="H700" i="60"/>
  <c r="S703" i="60"/>
  <c r="T706" i="60"/>
  <c r="X707" i="60"/>
  <c r="S700" i="60"/>
  <c r="L703" i="60"/>
  <c r="C699" i="60"/>
  <c r="O700" i="60"/>
  <c r="P700" i="60" s="1"/>
  <c r="X702" i="60"/>
  <c r="S706" i="60"/>
  <c r="W709" i="60"/>
  <c r="D699" i="60"/>
  <c r="S701" i="60"/>
  <c r="X703" i="60"/>
  <c r="T707" i="60"/>
  <c r="S705" i="60"/>
  <c r="S709" i="60"/>
  <c r="T702" i="60"/>
  <c r="X706" i="60"/>
  <c r="X701" i="60"/>
  <c r="W703" i="60"/>
  <c r="L699" i="60"/>
  <c r="X700" i="60"/>
  <c r="K699" i="60"/>
  <c r="T704" i="60"/>
  <c r="X705" i="60"/>
  <c r="W705" i="60"/>
  <c r="W704" i="60"/>
  <c r="T700" i="60"/>
  <c r="T708" i="60"/>
  <c r="C644" i="59"/>
  <c r="D644" i="59"/>
  <c r="S720" i="59"/>
  <c r="T720" i="59" s="1"/>
  <c r="D710" i="59"/>
  <c r="C710" i="59"/>
  <c r="S712" i="59"/>
  <c r="T712" i="59" s="1"/>
  <c r="K711" i="59"/>
  <c r="S713" i="59"/>
  <c r="G711" i="59"/>
  <c r="W715" i="59"/>
  <c r="X715" i="59" s="1"/>
  <c r="W716" i="59"/>
  <c r="W717" i="59"/>
  <c r="X717" i="59" s="1"/>
  <c r="S715" i="59"/>
  <c r="T715" i="59" s="1"/>
  <c r="S719" i="59"/>
  <c r="T719" i="59" s="1"/>
  <c r="K710" i="59"/>
  <c r="S714" i="59"/>
  <c r="T714" i="59" s="1"/>
  <c r="S711" i="59"/>
  <c r="T711" i="59" s="1"/>
  <c r="O710" i="59"/>
  <c r="P710" i="59" s="1"/>
  <c r="W713" i="59"/>
  <c r="W718" i="59"/>
  <c r="S716" i="59"/>
  <c r="K714" i="59"/>
  <c r="L714" i="59" s="1"/>
  <c r="O711" i="59"/>
  <c r="P711" i="59" s="1"/>
  <c r="W720" i="59"/>
  <c r="X720" i="59" s="1"/>
  <c r="S718" i="59"/>
  <c r="S717" i="59"/>
  <c r="T717" i="59" s="1"/>
  <c r="W712" i="59"/>
  <c r="X712" i="59" s="1"/>
  <c r="W714" i="59"/>
  <c r="X714" i="59" s="1"/>
  <c r="W719" i="59"/>
  <c r="X719" i="59" s="1"/>
  <c r="W711" i="59"/>
  <c r="X711" i="59" s="1"/>
  <c r="T756" i="60"/>
  <c r="O755" i="60"/>
  <c r="P755" i="60" s="1"/>
  <c r="X764" i="60"/>
  <c r="X757" i="60"/>
  <c r="X754" i="60"/>
  <c r="D754" i="60"/>
  <c r="H755" i="60"/>
  <c r="S759" i="60"/>
  <c r="C754" i="60"/>
  <c r="T755" i="60"/>
  <c r="L758" i="60"/>
  <c r="W763" i="60"/>
  <c r="T758" i="60"/>
  <c r="K757" i="60"/>
  <c r="T759" i="60"/>
  <c r="W762" i="60"/>
  <c r="S760" i="60"/>
  <c r="S764" i="60"/>
  <c r="G754" i="60"/>
  <c r="W756" i="60"/>
  <c r="T760" i="60"/>
  <c r="S756" i="60"/>
  <c r="W758" i="60"/>
  <c r="W759" i="60"/>
  <c r="G755" i="60"/>
  <c r="X759" i="60"/>
  <c r="L755" i="60"/>
  <c r="T757" i="60"/>
  <c r="W760" i="60"/>
  <c r="T763" i="60"/>
  <c r="X760" i="60"/>
  <c r="O754" i="60"/>
  <c r="P754" i="60" s="1"/>
  <c r="S757" i="60"/>
  <c r="W761" i="60"/>
  <c r="W754" i="60"/>
  <c r="X756" i="60"/>
  <c r="X761" i="60"/>
  <c r="S761" i="60"/>
  <c r="W755" i="60"/>
  <c r="X763" i="60"/>
  <c r="S755" i="60"/>
  <c r="S758" i="60"/>
  <c r="T761" i="60"/>
  <c r="W764" i="60"/>
  <c r="S762" i="60"/>
  <c r="K758" i="60"/>
  <c r="W757" i="60"/>
  <c r="S763" i="60"/>
  <c r="T764" i="60"/>
  <c r="X755" i="60"/>
  <c r="L757" i="60"/>
  <c r="X758" i="60"/>
  <c r="K755" i="60"/>
  <c r="T762" i="60"/>
  <c r="X762" i="60"/>
  <c r="S687" i="59"/>
  <c r="T687" i="59" s="1"/>
  <c r="C677" i="59"/>
  <c r="D677" i="59"/>
  <c r="W680" i="59"/>
  <c r="K681" i="59"/>
  <c r="L681" i="59" s="1"/>
  <c r="W681" i="59"/>
  <c r="X681" i="59" s="1"/>
  <c r="O677" i="59"/>
  <c r="P677" i="59" s="1"/>
  <c r="O678" i="59"/>
  <c r="P678" i="59" s="1"/>
  <c r="W677" i="59"/>
  <c r="W682" i="59"/>
  <c r="X682" i="59" s="1"/>
  <c r="W683" i="59"/>
  <c r="W686" i="59"/>
  <c r="X686" i="59" s="1"/>
  <c r="S685" i="59"/>
  <c r="K677" i="59"/>
  <c r="S684" i="59"/>
  <c r="T684" i="59" s="1"/>
  <c r="K678" i="59"/>
  <c r="G678" i="59"/>
  <c r="W678" i="59"/>
  <c r="X678" i="59" s="1"/>
  <c r="W684" i="59"/>
  <c r="X684" i="59" s="1"/>
  <c r="W687" i="59"/>
  <c r="X687" i="59" s="1"/>
  <c r="S682" i="59"/>
  <c r="T682" i="59" s="1"/>
  <c r="S686" i="59"/>
  <c r="T686" i="59" s="1"/>
  <c r="S681" i="59"/>
  <c r="T681" i="59" s="1"/>
  <c r="W685" i="59"/>
  <c r="W679" i="59"/>
  <c r="X679" i="59" s="1"/>
  <c r="S680" i="59"/>
  <c r="S678" i="59"/>
  <c r="T678" i="59" s="1"/>
  <c r="S679" i="59"/>
  <c r="T679" i="59" s="1"/>
  <c r="S683" i="59"/>
  <c r="T723" i="60"/>
  <c r="W726" i="60"/>
  <c r="S722" i="60"/>
  <c r="K722" i="60"/>
  <c r="L722" i="60"/>
  <c r="C721" i="60"/>
  <c r="W728" i="60"/>
  <c r="W729" i="60"/>
  <c r="W723" i="60"/>
  <c r="S726" i="60"/>
  <c r="S730" i="60"/>
  <c r="L721" i="60"/>
  <c r="T724" i="60"/>
  <c r="K725" i="60"/>
  <c r="K724" i="60"/>
  <c r="W722" i="60"/>
  <c r="W721" i="60"/>
  <c r="T731" i="60"/>
  <c r="G722" i="60"/>
  <c r="L724" i="60"/>
  <c r="X726" i="60"/>
  <c r="X730" i="60"/>
  <c r="S724" i="60"/>
  <c r="T727" i="60"/>
  <c r="X731" i="60"/>
  <c r="L725" i="60"/>
  <c r="W724" i="60"/>
  <c r="X722" i="60"/>
  <c r="D721" i="60"/>
  <c r="O722" i="60"/>
  <c r="P722" i="60" s="1"/>
  <c r="X724" i="60"/>
  <c r="S728" i="60"/>
  <c r="W731" i="60"/>
  <c r="H722" i="60"/>
  <c r="S725" i="60"/>
  <c r="T728" i="60"/>
  <c r="X721" i="60"/>
  <c r="W727" i="60"/>
  <c r="X728" i="60"/>
  <c r="S723" i="60"/>
  <c r="T729" i="60"/>
  <c r="S729" i="60"/>
  <c r="K721" i="60"/>
  <c r="X723" i="60"/>
  <c r="T730" i="60"/>
  <c r="X729" i="60"/>
  <c r="O721" i="60"/>
  <c r="P721" i="60" s="1"/>
  <c r="T722" i="60"/>
  <c r="X725" i="60"/>
  <c r="S727" i="60"/>
  <c r="S731" i="60"/>
  <c r="W725" i="60"/>
  <c r="W730" i="60"/>
  <c r="T725" i="60"/>
  <c r="X727" i="60"/>
  <c r="T726" i="60"/>
  <c r="Q817" i="57"/>
  <c r="T817" i="57" s="1"/>
  <c r="U815" i="57"/>
  <c r="X815" i="57" s="1"/>
  <c r="U812" i="57"/>
  <c r="X812" i="57" s="1"/>
  <c r="Q812" i="57"/>
  <c r="T812" i="57" s="1"/>
  <c r="I809" i="57"/>
  <c r="E809" i="57"/>
  <c r="E810" i="57"/>
  <c r="U809" i="57"/>
  <c r="X809" i="57" s="1"/>
  <c r="U817" i="57"/>
  <c r="X817" i="57" s="1"/>
  <c r="I810" i="57"/>
  <c r="L810" i="57" s="1"/>
  <c r="Q809" i="57"/>
  <c r="X665" i="60"/>
  <c r="T656" i="60"/>
  <c r="W659" i="60"/>
  <c r="T657" i="60"/>
  <c r="G655" i="60"/>
  <c r="L659" i="60"/>
  <c r="K656" i="60"/>
  <c r="L656" i="60"/>
  <c r="W655" i="60"/>
  <c r="X658" i="60"/>
  <c r="T659" i="60"/>
  <c r="O655" i="60"/>
  <c r="P655" i="60" s="1"/>
  <c r="W657" i="60"/>
  <c r="X657" i="60"/>
  <c r="T660" i="60"/>
  <c r="S662" i="60"/>
  <c r="W661" i="60"/>
  <c r="W665" i="60"/>
  <c r="X663" i="60"/>
  <c r="T661" i="60"/>
  <c r="X655" i="60"/>
  <c r="X664" i="60"/>
  <c r="H656" i="60"/>
  <c r="T658" i="60"/>
  <c r="G656" i="60"/>
  <c r="S658" i="60"/>
  <c r="S664" i="60"/>
  <c r="T663" i="60"/>
  <c r="T662" i="60"/>
  <c r="S661" i="60"/>
  <c r="S665" i="60"/>
  <c r="W658" i="60"/>
  <c r="W656" i="60"/>
  <c r="S656" i="60"/>
  <c r="K659" i="60"/>
  <c r="X660" i="60"/>
  <c r="O656" i="60"/>
  <c r="P656" i="60" s="1"/>
  <c r="S659" i="60"/>
  <c r="X662" i="60"/>
  <c r="W664" i="60"/>
  <c r="W663" i="60"/>
  <c r="X661" i="60"/>
  <c r="L658" i="60"/>
  <c r="X656" i="60"/>
  <c r="S657" i="60"/>
  <c r="C655" i="60"/>
  <c r="K658" i="60"/>
  <c r="S660" i="60"/>
  <c r="W662" i="60"/>
  <c r="X659" i="60"/>
  <c r="T665" i="60"/>
  <c r="D655" i="60"/>
  <c r="H655" i="60"/>
  <c r="W660" i="60"/>
  <c r="T664" i="60"/>
  <c r="S663" i="60"/>
  <c r="L736" i="60"/>
  <c r="X742" i="60"/>
  <c r="T734" i="60"/>
  <c r="X732" i="60"/>
  <c r="T735" i="60"/>
  <c r="K736" i="60"/>
  <c r="K735" i="60"/>
  <c r="X733" i="60"/>
  <c r="W733" i="60"/>
  <c r="D732" i="60"/>
  <c r="O733" i="60"/>
  <c r="P733" i="60" s="1"/>
  <c r="X735" i="60"/>
  <c r="S739" i="60"/>
  <c r="W742" i="60"/>
  <c r="S734" i="60"/>
  <c r="X736" i="60"/>
  <c r="T740" i="60"/>
  <c r="T736" i="60"/>
  <c r="W735" i="60"/>
  <c r="W738" i="60"/>
  <c r="K732" i="60"/>
  <c r="T733" i="60"/>
  <c r="W736" i="60"/>
  <c r="X739" i="60"/>
  <c r="X734" i="60"/>
  <c r="T737" i="60"/>
  <c r="T741" i="60"/>
  <c r="S738" i="60"/>
  <c r="S742" i="60"/>
  <c r="W737" i="60"/>
  <c r="C732" i="60"/>
  <c r="W739" i="60"/>
  <c r="O732" i="60"/>
  <c r="P732" i="60" s="1"/>
  <c r="W741" i="60"/>
  <c r="W740" i="60"/>
  <c r="W734" i="60"/>
  <c r="S737" i="60"/>
  <c r="S741" i="60"/>
  <c r="S735" i="60"/>
  <c r="T738" i="60"/>
  <c r="X738" i="60"/>
  <c r="T742" i="60"/>
  <c r="G733" i="60"/>
  <c r="H733" i="60"/>
  <c r="W732" i="60"/>
  <c r="L733" i="60"/>
  <c r="L735" i="60"/>
  <c r="S736" i="60"/>
  <c r="S733" i="60"/>
  <c r="X737" i="60"/>
  <c r="T739" i="60"/>
  <c r="S740" i="60"/>
  <c r="X741" i="60"/>
  <c r="X740" i="60"/>
  <c r="K733" i="60"/>
  <c r="S786" i="59"/>
  <c r="T786" i="59" s="1"/>
  <c r="W785" i="59"/>
  <c r="X785" i="59" s="1"/>
  <c r="W783" i="59"/>
  <c r="X783" i="59" s="1"/>
  <c r="S782" i="59"/>
  <c r="W781" i="59"/>
  <c r="X781" i="59" s="1"/>
  <c r="S780" i="59"/>
  <c r="T780" i="59" s="1"/>
  <c r="W778" i="59"/>
  <c r="X778" i="59" s="1"/>
  <c r="S777" i="59"/>
  <c r="T777" i="59" s="1"/>
  <c r="K779" i="59"/>
  <c r="L779" i="59" s="1"/>
  <c r="G777" i="59"/>
  <c r="W776" i="59"/>
  <c r="W782" i="59"/>
  <c r="S779" i="59"/>
  <c r="W777" i="59"/>
  <c r="X777" i="59" s="1"/>
  <c r="O776" i="59"/>
  <c r="P776" i="59" s="1"/>
  <c r="C776" i="59"/>
  <c r="S785" i="59"/>
  <c r="T785" i="59" s="1"/>
  <c r="O777" i="59"/>
  <c r="P777" i="59" s="1"/>
  <c r="D776" i="59"/>
  <c r="S783" i="59"/>
  <c r="T783" i="59" s="1"/>
  <c r="K780" i="59"/>
  <c r="L780" i="59" s="1"/>
  <c r="S778" i="59"/>
  <c r="T778" i="59" s="1"/>
  <c r="K777" i="59"/>
  <c r="S781" i="59"/>
  <c r="T781" i="59" s="1"/>
  <c r="W780" i="59"/>
  <c r="X780" i="59" s="1"/>
  <c r="W786" i="59"/>
  <c r="X786" i="59" s="1"/>
  <c r="P644" i="60"/>
  <c r="S544" i="59"/>
  <c r="T544" i="59" s="1"/>
  <c r="S543" i="59"/>
  <c r="T543" i="59" s="1"/>
  <c r="O534" i="59"/>
  <c r="P534" i="59" s="1"/>
  <c r="S541" i="59"/>
  <c r="T541" i="59" s="1"/>
  <c r="W537" i="59"/>
  <c r="W541" i="59"/>
  <c r="X541" i="59" s="1"/>
  <c r="S539" i="59"/>
  <c r="T539" i="59" s="1"/>
  <c r="O535" i="59"/>
  <c r="P535" i="59" s="1"/>
  <c r="W534" i="59"/>
  <c r="C534" i="59"/>
  <c r="S537" i="59"/>
  <c r="K535" i="59"/>
  <c r="W540" i="59"/>
  <c r="D534" i="59"/>
  <c r="E535" i="59" s="1"/>
  <c r="W543" i="59"/>
  <c r="X543" i="59" s="1"/>
  <c r="W538" i="59"/>
  <c r="X538" i="59" s="1"/>
  <c r="W536" i="59"/>
  <c r="X536" i="59" s="1"/>
  <c r="S538" i="59"/>
  <c r="T538" i="59" s="1"/>
  <c r="G535" i="59"/>
  <c r="W535" i="59"/>
  <c r="X535" i="59" s="1"/>
  <c r="W544" i="59"/>
  <c r="X544" i="59" s="1"/>
  <c r="S540" i="59"/>
  <c r="K538" i="59"/>
  <c r="L538" i="59" s="1"/>
  <c r="W539" i="59"/>
  <c r="X539" i="59" s="1"/>
  <c r="D655" i="57"/>
  <c r="C655" i="57"/>
  <c r="K634" i="59"/>
  <c r="S636" i="59"/>
  <c r="W527" i="59"/>
  <c r="X527" i="59" s="1"/>
  <c r="O523" i="59"/>
  <c r="P523" i="59" s="1"/>
  <c r="S620" i="59"/>
  <c r="T620" i="59" s="1"/>
  <c r="K615" i="59"/>
  <c r="L615" i="59" s="1"/>
  <c r="W532" i="59"/>
  <c r="X532" i="59" s="1"/>
  <c r="O524" i="59"/>
  <c r="P524" i="59" s="1"/>
  <c r="S613" i="59"/>
  <c r="T613" i="59" s="1"/>
  <c r="K524" i="59"/>
  <c r="C523" i="59"/>
  <c r="W612" i="59"/>
  <c r="X612" i="59" s="1"/>
  <c r="S529" i="59"/>
  <c r="S615" i="59"/>
  <c r="T615" i="59" s="1"/>
  <c r="W528" i="59"/>
  <c r="X528" i="59" s="1"/>
  <c r="D523" i="59"/>
  <c r="I523" i="59" s="1"/>
  <c r="W621" i="59"/>
  <c r="X621" i="59" s="1"/>
  <c r="W620" i="59"/>
  <c r="X620" i="59" s="1"/>
  <c r="W618" i="59"/>
  <c r="X618" i="59" s="1"/>
  <c r="G524" i="59"/>
  <c r="W529" i="59"/>
  <c r="W526" i="59"/>
  <c r="S528" i="59"/>
  <c r="T528" i="59" s="1"/>
  <c r="K527" i="59"/>
  <c r="L527" i="59" s="1"/>
  <c r="D611" i="59"/>
  <c r="U614" i="59" s="1"/>
  <c r="W617" i="59"/>
  <c r="W613" i="59"/>
  <c r="X613" i="59" s="1"/>
  <c r="K611" i="59"/>
  <c r="K612" i="59"/>
  <c r="S621" i="59"/>
  <c r="T621" i="59" s="1"/>
  <c r="W524" i="59"/>
  <c r="X524" i="59" s="1"/>
  <c r="S527" i="59"/>
  <c r="T527" i="59" s="1"/>
  <c r="S525" i="59"/>
  <c r="T525" i="59" s="1"/>
  <c r="K526" i="59"/>
  <c r="L526" i="59" s="1"/>
  <c r="S533" i="59"/>
  <c r="T533" i="59" s="1"/>
  <c r="K614" i="59"/>
  <c r="L614" i="59" s="1"/>
  <c r="W616" i="59"/>
  <c r="X616" i="59" s="1"/>
  <c r="O611" i="59"/>
  <c r="P611" i="59" s="1"/>
  <c r="S551" i="59"/>
  <c r="S530" i="59"/>
  <c r="T530" i="59" s="1"/>
  <c r="W530" i="59"/>
  <c r="X530" i="59" s="1"/>
  <c r="S526" i="59"/>
  <c r="W533" i="59"/>
  <c r="X533" i="59" s="1"/>
  <c r="S532" i="59"/>
  <c r="T532" i="59" s="1"/>
  <c r="W523" i="59"/>
  <c r="C611" i="59"/>
  <c r="S618" i="59"/>
  <c r="T618" i="59" s="1"/>
  <c r="S617" i="59"/>
  <c r="S616" i="59"/>
  <c r="T616" i="59" s="1"/>
  <c r="O612" i="59"/>
  <c r="P612" i="59" s="1"/>
  <c r="W615" i="59"/>
  <c r="X615" i="59" s="1"/>
  <c r="W601" i="59"/>
  <c r="X601" i="59" s="1"/>
  <c r="S576" i="59"/>
  <c r="T576" i="59" s="1"/>
  <c r="S625" i="59"/>
  <c r="W628" i="59"/>
  <c r="W588" i="59"/>
  <c r="X588" i="59" s="1"/>
  <c r="C622" i="59"/>
  <c r="S624" i="59"/>
  <c r="T624" i="59" s="1"/>
  <c r="W623" i="59"/>
  <c r="X623" i="59" s="1"/>
  <c r="W624" i="59"/>
  <c r="X624" i="59" s="1"/>
  <c r="W626" i="59"/>
  <c r="X626" i="59" s="1"/>
  <c r="S629" i="59"/>
  <c r="T629" i="59" s="1"/>
  <c r="O622" i="59"/>
  <c r="P622" i="59" s="1"/>
  <c r="S626" i="59"/>
  <c r="T626" i="59" s="1"/>
  <c r="K579" i="59"/>
  <c r="W629" i="59"/>
  <c r="X629" i="59" s="1"/>
  <c r="O623" i="59"/>
  <c r="P623" i="59" s="1"/>
  <c r="S631" i="59"/>
  <c r="T631" i="59" s="1"/>
  <c r="K626" i="59"/>
  <c r="L626" i="59" s="1"/>
  <c r="W582" i="59"/>
  <c r="X582" i="59" s="1"/>
  <c r="S591" i="59"/>
  <c r="T591" i="59" s="1"/>
  <c r="K582" i="59"/>
  <c r="L582" i="59" s="1"/>
  <c r="W579" i="59"/>
  <c r="X579" i="59" s="1"/>
  <c r="O579" i="59"/>
  <c r="P579" i="59" s="1"/>
  <c r="S584" i="59"/>
  <c r="W585" i="59"/>
  <c r="X585" i="59" s="1"/>
  <c r="W632" i="59"/>
  <c r="X632" i="59" s="1"/>
  <c r="W627" i="59"/>
  <c r="X627" i="59" s="1"/>
  <c r="S627" i="59"/>
  <c r="T627" i="59" s="1"/>
  <c r="W631" i="59"/>
  <c r="X631" i="59" s="1"/>
  <c r="W591" i="59"/>
  <c r="X591" i="59" s="1"/>
  <c r="K593" i="59"/>
  <c r="L593" i="59" s="1"/>
  <c r="G601" i="59"/>
  <c r="S587" i="59"/>
  <c r="T587" i="59" s="1"/>
  <c r="O578" i="59"/>
  <c r="P578" i="59" s="1"/>
  <c r="S603" i="59"/>
  <c r="K581" i="59"/>
  <c r="L581" i="59" s="1"/>
  <c r="G579" i="59"/>
  <c r="S585" i="59"/>
  <c r="T585" i="59" s="1"/>
  <c r="S582" i="59"/>
  <c r="T582" i="59" s="1"/>
  <c r="W580" i="59"/>
  <c r="X580" i="59" s="1"/>
  <c r="S583" i="59"/>
  <c r="T583" i="59" s="1"/>
  <c r="S580" i="59"/>
  <c r="T580" i="59" s="1"/>
  <c r="D622" i="59"/>
  <c r="E622" i="59" s="1"/>
  <c r="S628" i="59"/>
  <c r="K623" i="59"/>
  <c r="K592" i="59"/>
  <c r="L592" i="59" s="1"/>
  <c r="C589" i="59"/>
  <c r="D600" i="59"/>
  <c r="I600" i="59" s="1"/>
  <c r="S571" i="59"/>
  <c r="T571" i="59" s="1"/>
  <c r="S598" i="59"/>
  <c r="T598" i="59" s="1"/>
  <c r="W595" i="59"/>
  <c r="K603" i="59"/>
  <c r="L603" i="59" s="1"/>
  <c r="O600" i="59"/>
  <c r="P600" i="59" s="1"/>
  <c r="W586" i="59"/>
  <c r="S581" i="59"/>
  <c r="W587" i="59"/>
  <c r="X587" i="59" s="1"/>
  <c r="W583" i="59"/>
  <c r="X583" i="59" s="1"/>
  <c r="C578" i="59"/>
  <c r="W584" i="59"/>
  <c r="D578" i="59"/>
  <c r="Q578" i="59" s="1"/>
  <c r="O589" i="59"/>
  <c r="P589" i="59" s="1"/>
  <c r="S593" i="59"/>
  <c r="T593" i="59" s="1"/>
  <c r="K590" i="59"/>
  <c r="S607" i="59"/>
  <c r="T607" i="59" s="1"/>
  <c r="W607" i="59"/>
  <c r="X607" i="59" s="1"/>
  <c r="K568" i="59"/>
  <c r="W642" i="59"/>
  <c r="X642" i="59" s="1"/>
  <c r="K637" i="59"/>
  <c r="L637" i="59" s="1"/>
  <c r="G590" i="59"/>
  <c r="W596" i="59"/>
  <c r="X596" i="59" s="1"/>
  <c r="W594" i="59"/>
  <c r="X594" i="59" s="1"/>
  <c r="D589" i="59"/>
  <c r="U595" i="59" s="1"/>
  <c r="S596" i="59"/>
  <c r="T596" i="59" s="1"/>
  <c r="S595" i="59"/>
  <c r="W590" i="59"/>
  <c r="X590" i="59" s="1"/>
  <c r="S599" i="59"/>
  <c r="T599" i="59" s="1"/>
  <c r="W603" i="59"/>
  <c r="W604" i="59"/>
  <c r="X604" i="59" s="1"/>
  <c r="S602" i="59"/>
  <c r="T602" i="59" s="1"/>
  <c r="O568" i="59"/>
  <c r="P568" i="59" s="1"/>
  <c r="O590" i="59"/>
  <c r="P590" i="59" s="1"/>
  <c r="W593" i="59"/>
  <c r="X593" i="59" s="1"/>
  <c r="S594" i="59"/>
  <c r="T594" i="59" s="1"/>
  <c r="W598" i="59"/>
  <c r="X598" i="59" s="1"/>
  <c r="W597" i="59"/>
  <c r="W599" i="59"/>
  <c r="X599" i="59" s="1"/>
  <c r="K589" i="59"/>
  <c r="W602" i="59"/>
  <c r="X602" i="59" s="1"/>
  <c r="S606" i="59"/>
  <c r="C600" i="59"/>
  <c r="W605" i="59"/>
  <c r="X605" i="59" s="1"/>
  <c r="W573" i="59"/>
  <c r="W643" i="59"/>
  <c r="X643" i="59" s="1"/>
  <c r="W634" i="59"/>
  <c r="X634" i="59" s="1"/>
  <c r="S640" i="59"/>
  <c r="T640" i="59" s="1"/>
  <c r="S635" i="59"/>
  <c r="T635" i="59" s="1"/>
  <c r="W638" i="59"/>
  <c r="X638" i="59" s="1"/>
  <c r="D633" i="59"/>
  <c r="U641" i="59" s="1"/>
  <c r="W640" i="59"/>
  <c r="X640" i="59" s="1"/>
  <c r="W637" i="59"/>
  <c r="X637" i="59" s="1"/>
  <c r="S642" i="59"/>
  <c r="T642" i="59" s="1"/>
  <c r="S641" i="59"/>
  <c r="W635" i="59"/>
  <c r="X635" i="59" s="1"/>
  <c r="W636" i="59"/>
  <c r="C633" i="59"/>
  <c r="S643" i="59"/>
  <c r="T643" i="59" s="1"/>
  <c r="S638" i="59"/>
  <c r="T638" i="59" s="1"/>
  <c r="S639" i="59"/>
  <c r="W639" i="59"/>
  <c r="O633" i="59"/>
  <c r="P633" i="59" s="1"/>
  <c r="O634" i="59"/>
  <c r="P634" i="59" s="1"/>
  <c r="W547" i="59"/>
  <c r="X547" i="59" s="1"/>
  <c r="S555" i="59"/>
  <c r="T555" i="59" s="1"/>
  <c r="W518" i="59"/>
  <c r="S517" i="59"/>
  <c r="T517" i="59" s="1"/>
  <c r="W514" i="59"/>
  <c r="X514" i="59" s="1"/>
  <c r="K549" i="59"/>
  <c r="L549" i="59" s="1"/>
  <c r="S549" i="59"/>
  <c r="T549" i="59" s="1"/>
  <c r="W522" i="59"/>
  <c r="X522" i="59" s="1"/>
  <c r="S547" i="59"/>
  <c r="T547" i="59" s="1"/>
  <c r="S554" i="59"/>
  <c r="T554" i="59" s="1"/>
  <c r="S521" i="59"/>
  <c r="T521" i="59" s="1"/>
  <c r="K513" i="59"/>
  <c r="W551" i="59"/>
  <c r="K546" i="59"/>
  <c r="S550" i="59"/>
  <c r="T550" i="59" s="1"/>
  <c r="W517" i="59"/>
  <c r="X517" i="59" s="1"/>
  <c r="K512" i="59"/>
  <c r="G513" i="59"/>
  <c r="S518" i="59"/>
  <c r="O512" i="59"/>
  <c r="P512" i="59" s="1"/>
  <c r="S514" i="59"/>
  <c r="T514" i="59" s="1"/>
  <c r="W549" i="59"/>
  <c r="X549" i="59" s="1"/>
  <c r="C545" i="59"/>
  <c r="W555" i="59"/>
  <c r="X555" i="59" s="1"/>
  <c r="S553" i="59"/>
  <c r="G546" i="59"/>
  <c r="W552" i="59"/>
  <c r="X552" i="59" s="1"/>
  <c r="O546" i="59"/>
  <c r="P546" i="59" s="1"/>
  <c r="C512" i="59"/>
  <c r="K516" i="59"/>
  <c r="L516" i="59" s="1"/>
  <c r="S516" i="59"/>
  <c r="T516" i="59" s="1"/>
  <c r="W515" i="59"/>
  <c r="W513" i="59"/>
  <c r="X513" i="59" s="1"/>
  <c r="W519" i="59"/>
  <c r="X519" i="59" s="1"/>
  <c r="S552" i="59"/>
  <c r="T552" i="59" s="1"/>
  <c r="W550" i="59"/>
  <c r="X550" i="59" s="1"/>
  <c r="W554" i="59"/>
  <c r="X554" i="59" s="1"/>
  <c r="O545" i="59"/>
  <c r="P545" i="59" s="1"/>
  <c r="W546" i="59"/>
  <c r="X546" i="59" s="1"/>
  <c r="W521" i="59"/>
  <c r="X521" i="59" s="1"/>
  <c r="S519" i="59"/>
  <c r="T519" i="59" s="1"/>
  <c r="O513" i="59"/>
  <c r="P513" i="59" s="1"/>
  <c r="D512" i="59"/>
  <c r="Q520" i="59" s="1"/>
  <c r="W516" i="59"/>
  <c r="X516" i="59" s="1"/>
  <c r="W571" i="59"/>
  <c r="X571" i="59" s="1"/>
  <c r="K571" i="59"/>
  <c r="L571" i="59" s="1"/>
  <c r="W610" i="59"/>
  <c r="X610" i="59" s="1"/>
  <c r="W600" i="59"/>
  <c r="K601" i="59"/>
  <c r="S604" i="59"/>
  <c r="T604" i="59" s="1"/>
  <c r="K604" i="59"/>
  <c r="L604" i="59" s="1"/>
  <c r="C567" i="59"/>
  <c r="K567" i="59"/>
  <c r="S609" i="59"/>
  <c r="T609" i="59" s="1"/>
  <c r="S605" i="59"/>
  <c r="T605" i="59" s="1"/>
  <c r="W609" i="59"/>
  <c r="X609" i="59" s="1"/>
  <c r="W606" i="59"/>
  <c r="O601" i="59"/>
  <c r="P601" i="59" s="1"/>
  <c r="W576" i="59"/>
  <c r="X576" i="59" s="1"/>
  <c r="S574" i="59"/>
  <c r="T574" i="59" s="1"/>
  <c r="O567" i="59"/>
  <c r="P567" i="59" s="1"/>
  <c r="S569" i="59"/>
  <c r="T569" i="59" s="1"/>
  <c r="G568" i="59"/>
  <c r="K570" i="59"/>
  <c r="L570" i="59" s="1"/>
  <c r="W572" i="59"/>
  <c r="X572" i="59" s="1"/>
  <c r="W568" i="59"/>
  <c r="X568" i="59" s="1"/>
  <c r="S572" i="59"/>
  <c r="T572" i="59" s="1"/>
  <c r="D567" i="59"/>
  <c r="I568" i="59" s="1"/>
  <c r="W574" i="59"/>
  <c r="X574" i="59" s="1"/>
  <c r="S573" i="59"/>
  <c r="W577" i="59"/>
  <c r="X577" i="59" s="1"/>
  <c r="W569" i="59"/>
  <c r="X569" i="59" s="1"/>
  <c r="U559" i="60"/>
  <c r="Q559" i="60"/>
  <c r="U562" i="60"/>
  <c r="I556" i="60"/>
  <c r="Q556" i="60"/>
  <c r="Q564" i="60"/>
  <c r="U556" i="60"/>
  <c r="I557" i="60"/>
  <c r="E556" i="60"/>
  <c r="U564" i="60"/>
  <c r="E557" i="60"/>
  <c r="S626" i="60"/>
  <c r="L625" i="60"/>
  <c r="T628" i="60"/>
  <c r="H623" i="60"/>
  <c r="K626" i="60"/>
  <c r="G623" i="60"/>
  <c r="X624" i="60"/>
  <c r="T632" i="60"/>
  <c r="O623" i="60"/>
  <c r="P623" i="60" s="1"/>
  <c r="X626" i="60"/>
  <c r="W629" i="60"/>
  <c r="K622" i="60"/>
  <c r="W623" i="60"/>
  <c r="W626" i="60"/>
  <c r="S629" i="60"/>
  <c r="X631" i="60"/>
  <c r="W630" i="60"/>
  <c r="X628" i="60"/>
  <c r="X632" i="60"/>
  <c r="X623" i="60"/>
  <c r="T625" i="60"/>
  <c r="D622" i="60"/>
  <c r="W631" i="60"/>
  <c r="T624" i="60"/>
  <c r="S627" i="60"/>
  <c r="X629" i="60"/>
  <c r="W628" i="60"/>
  <c r="T631" i="60"/>
  <c r="S630" i="60"/>
  <c r="K625" i="60"/>
  <c r="L623" i="60"/>
  <c r="O622" i="60"/>
  <c r="P622" i="60" s="1"/>
  <c r="X627" i="60"/>
  <c r="W632" i="60"/>
  <c r="K623" i="60"/>
  <c r="S632" i="60"/>
  <c r="W624" i="60"/>
  <c r="S625" i="60"/>
  <c r="T629" i="60"/>
  <c r="T626" i="60"/>
  <c r="C622" i="60"/>
  <c r="W627" i="60"/>
  <c r="X625" i="60"/>
  <c r="S628" i="60"/>
  <c r="L626" i="60"/>
  <c r="S624" i="60"/>
  <c r="T627" i="60"/>
  <c r="W625" i="60"/>
  <c r="S631" i="60"/>
  <c r="X577" i="60"/>
  <c r="K571" i="60"/>
  <c r="S569" i="60"/>
  <c r="G568" i="60"/>
  <c r="O568" i="60"/>
  <c r="P568" i="60" s="1"/>
  <c r="O567" i="60"/>
  <c r="P567" i="60" s="1"/>
  <c r="T573" i="60"/>
  <c r="L568" i="60"/>
  <c r="L571" i="60"/>
  <c r="W576" i="60"/>
  <c r="K567" i="60"/>
  <c r="K570" i="60"/>
  <c r="X568" i="60"/>
  <c r="H568" i="60"/>
  <c r="T571" i="60"/>
  <c r="C567" i="60"/>
  <c r="S568" i="60"/>
  <c r="T572" i="60"/>
  <c r="S570" i="60"/>
  <c r="X572" i="60"/>
  <c r="S576" i="60"/>
  <c r="T574" i="60"/>
  <c r="L570" i="60"/>
  <c r="X569" i="60"/>
  <c r="K568" i="60"/>
  <c r="W571" i="60"/>
  <c r="X574" i="60"/>
  <c r="W575" i="60"/>
  <c r="S573" i="60"/>
  <c r="S577" i="60"/>
  <c r="W569" i="60"/>
  <c r="T577" i="60"/>
  <c r="W577" i="60"/>
  <c r="S575" i="60"/>
  <c r="D567" i="60"/>
  <c r="X571" i="60"/>
  <c r="T570" i="60"/>
  <c r="W568" i="60"/>
  <c r="S572" i="60"/>
  <c r="X576" i="60"/>
  <c r="T576" i="60"/>
  <c r="X573" i="60"/>
  <c r="T575" i="60"/>
  <c r="S571" i="60"/>
  <c r="L567" i="60"/>
  <c r="W572" i="60"/>
  <c r="T569" i="60"/>
  <c r="W573" i="60"/>
  <c r="W574" i="60"/>
  <c r="S574" i="60"/>
  <c r="X575" i="60"/>
  <c r="X555" i="60"/>
  <c r="S549" i="60"/>
  <c r="G546" i="60"/>
  <c r="C545" i="60"/>
  <c r="T550" i="60"/>
  <c r="T555" i="60"/>
  <c r="W548" i="60"/>
  <c r="W554" i="60"/>
  <c r="W547" i="60"/>
  <c r="T551" i="60"/>
  <c r="W545" i="60"/>
  <c r="S548" i="60"/>
  <c r="X550" i="60"/>
  <c r="X554" i="60"/>
  <c r="S553" i="60"/>
  <c r="T548" i="60"/>
  <c r="D545" i="60"/>
  <c r="W550" i="60"/>
  <c r="H546" i="60"/>
  <c r="X552" i="60"/>
  <c r="S551" i="60"/>
  <c r="T552" i="60"/>
  <c r="L545" i="60"/>
  <c r="X547" i="60"/>
  <c r="W551" i="60"/>
  <c r="O546" i="60"/>
  <c r="P546" i="60" s="1"/>
  <c r="X549" i="60"/>
  <c r="K546" i="60"/>
  <c r="S552" i="60"/>
  <c r="X553" i="60"/>
  <c r="W555" i="60"/>
  <c r="W552" i="60"/>
  <c r="T553" i="60"/>
  <c r="K549" i="60"/>
  <c r="W546" i="60"/>
  <c r="W549" i="60"/>
  <c r="S555" i="60"/>
  <c r="T554" i="60"/>
  <c r="O545" i="60"/>
  <c r="P545" i="60" s="1"/>
  <c r="T547" i="60"/>
  <c r="S547" i="60"/>
  <c r="X546" i="60"/>
  <c r="S550" i="60"/>
  <c r="L546" i="60"/>
  <c r="T549" i="60"/>
  <c r="S554" i="60"/>
  <c r="L549" i="60"/>
  <c r="W553" i="60"/>
  <c r="K545" i="60"/>
  <c r="X551" i="60"/>
  <c r="T637" i="60"/>
  <c r="W636" i="60"/>
  <c r="T641" i="60"/>
  <c r="X643" i="60"/>
  <c r="O634" i="60"/>
  <c r="P634" i="60" s="1"/>
  <c r="T643" i="60"/>
  <c r="L637" i="60"/>
  <c r="L636" i="60"/>
  <c r="S635" i="60"/>
  <c r="O633" i="60"/>
  <c r="T639" i="60"/>
  <c r="K637" i="60"/>
  <c r="W642" i="60"/>
  <c r="W640" i="60"/>
  <c r="W638" i="60"/>
  <c r="W635" i="60"/>
  <c r="H634" i="60"/>
  <c r="D633" i="60"/>
  <c r="X635" i="60"/>
  <c r="W633" i="60"/>
  <c r="T635" i="60"/>
  <c r="S638" i="60"/>
  <c r="X640" i="60"/>
  <c r="X633" i="60"/>
  <c r="X634" i="60"/>
  <c r="X637" i="60"/>
  <c r="S641" i="60"/>
  <c r="S636" i="60"/>
  <c r="X638" i="60"/>
  <c r="G634" i="60"/>
  <c r="K636" i="60"/>
  <c r="T638" i="60"/>
  <c r="W641" i="60"/>
  <c r="X641" i="60"/>
  <c r="K633" i="60"/>
  <c r="X636" i="60"/>
  <c r="S642" i="60"/>
  <c r="L633" i="60"/>
  <c r="T636" i="60"/>
  <c r="T642" i="60"/>
  <c r="S639" i="60"/>
  <c r="C633" i="60"/>
  <c r="W637" i="60"/>
  <c r="X642" i="60"/>
  <c r="S637" i="60"/>
  <c r="W643" i="60"/>
  <c r="X639" i="60"/>
  <c r="K634" i="60"/>
  <c r="L634" i="60"/>
  <c r="W634" i="60"/>
  <c r="W639" i="60"/>
  <c r="S643" i="60"/>
  <c r="T640" i="60"/>
  <c r="S640" i="60"/>
  <c r="X522" i="60"/>
  <c r="L516" i="60"/>
  <c r="C512" i="60"/>
  <c r="T518" i="60"/>
  <c r="W514" i="60"/>
  <c r="O513" i="60"/>
  <c r="P513" i="60" s="1"/>
  <c r="W517" i="60"/>
  <c r="K512" i="60"/>
  <c r="T514" i="60"/>
  <c r="S517" i="60"/>
  <c r="S521" i="60"/>
  <c r="S516" i="60"/>
  <c r="T519" i="60"/>
  <c r="S518" i="60"/>
  <c r="S522" i="60"/>
  <c r="D512" i="60"/>
  <c r="L515" i="60"/>
  <c r="T520" i="60"/>
  <c r="W515" i="60"/>
  <c r="X514" i="60"/>
  <c r="O512" i="60"/>
  <c r="P512" i="60" s="1"/>
  <c r="W519" i="60"/>
  <c r="S515" i="60"/>
  <c r="X517" i="60"/>
  <c r="X521" i="60"/>
  <c r="X513" i="60"/>
  <c r="X516" i="60"/>
  <c r="W520" i="60"/>
  <c r="X518" i="60"/>
  <c r="H513" i="60"/>
  <c r="W513" i="60"/>
  <c r="X519" i="60"/>
  <c r="L513" i="60"/>
  <c r="W518" i="60"/>
  <c r="X520" i="60"/>
  <c r="T522" i="60"/>
  <c r="S514" i="60"/>
  <c r="X515" i="60"/>
  <c r="K515" i="60"/>
  <c r="T521" i="60"/>
  <c r="K516" i="60"/>
  <c r="W516" i="60"/>
  <c r="L512" i="60"/>
  <c r="T515" i="60"/>
  <c r="W522" i="60"/>
  <c r="T516" i="60"/>
  <c r="W521" i="60"/>
  <c r="K513" i="60"/>
  <c r="S519" i="60"/>
  <c r="G513" i="60"/>
  <c r="T517" i="60"/>
  <c r="S520" i="60"/>
  <c r="U647" i="60"/>
  <c r="U644" i="60"/>
  <c r="Q644" i="60"/>
  <c r="I645" i="60"/>
  <c r="Q647" i="60"/>
  <c r="E644" i="60"/>
  <c r="U652" i="60"/>
  <c r="Q652" i="60"/>
  <c r="E645" i="60"/>
  <c r="I644" i="60"/>
  <c r="U650" i="60"/>
  <c r="X544" i="60"/>
  <c r="X535" i="60"/>
  <c r="H535" i="60"/>
  <c r="O535" i="60"/>
  <c r="P535" i="60" s="1"/>
  <c r="L538" i="60"/>
  <c r="W536" i="60"/>
  <c r="D534" i="60"/>
  <c r="X536" i="60"/>
  <c r="G535" i="60"/>
  <c r="W541" i="60"/>
  <c r="K535" i="60"/>
  <c r="X537" i="60"/>
  <c r="S541" i="60"/>
  <c r="X538" i="60"/>
  <c r="W542" i="60"/>
  <c r="X540" i="60"/>
  <c r="T544" i="60"/>
  <c r="T536" i="60"/>
  <c r="S543" i="60"/>
  <c r="T537" i="60"/>
  <c r="W544" i="60"/>
  <c r="X534" i="60"/>
  <c r="T538" i="60"/>
  <c r="W537" i="60"/>
  <c r="W543" i="60"/>
  <c r="W535" i="60"/>
  <c r="W538" i="60"/>
  <c r="X541" i="60"/>
  <c r="T539" i="60"/>
  <c r="T543" i="60"/>
  <c r="S542" i="60"/>
  <c r="O534" i="60"/>
  <c r="P534" i="60" s="1"/>
  <c r="T540" i="60"/>
  <c r="L535" i="60"/>
  <c r="K538" i="60"/>
  <c r="S539" i="60"/>
  <c r="W540" i="60"/>
  <c r="X542" i="60"/>
  <c r="T542" i="60"/>
  <c r="S537" i="60"/>
  <c r="S538" i="60"/>
  <c r="C534" i="60"/>
  <c r="X539" i="60"/>
  <c r="T541" i="60"/>
  <c r="W539" i="60"/>
  <c r="X543" i="60"/>
  <c r="S540" i="60"/>
  <c r="S536" i="60"/>
  <c r="W534" i="60"/>
  <c r="S544" i="60"/>
  <c r="X533" i="60"/>
  <c r="T525" i="60"/>
  <c r="X532" i="60"/>
  <c r="H524" i="60"/>
  <c r="D523" i="60"/>
  <c r="X525" i="60"/>
  <c r="X530" i="60"/>
  <c r="T531" i="60"/>
  <c r="L524" i="60"/>
  <c r="T526" i="60"/>
  <c r="W529" i="60"/>
  <c r="W533" i="60"/>
  <c r="X529" i="60"/>
  <c r="T527" i="60"/>
  <c r="X526" i="60"/>
  <c r="K527" i="60"/>
  <c r="T529" i="60"/>
  <c r="L527" i="60"/>
  <c r="L526" i="60"/>
  <c r="O523" i="60"/>
  <c r="P523" i="60" s="1"/>
  <c r="C523" i="60"/>
  <c r="S526" i="60"/>
  <c r="K524" i="60"/>
  <c r="W526" i="60"/>
  <c r="T533" i="60"/>
  <c r="W532" i="60"/>
  <c r="S527" i="60"/>
  <c r="T530" i="60"/>
  <c r="S531" i="60"/>
  <c r="W524" i="60"/>
  <c r="X528" i="60"/>
  <c r="W528" i="60"/>
  <c r="O524" i="60"/>
  <c r="P524" i="60" s="1"/>
  <c r="K526" i="60"/>
  <c r="T532" i="60"/>
  <c r="S529" i="60"/>
  <c r="W523" i="60"/>
  <c r="S528" i="60"/>
  <c r="S525" i="60"/>
  <c r="X523" i="60"/>
  <c r="X527" i="60"/>
  <c r="X531" i="60"/>
  <c r="S532" i="60"/>
  <c r="W527" i="60"/>
  <c r="G524" i="60"/>
  <c r="T528" i="60"/>
  <c r="S533" i="60"/>
  <c r="W525" i="60"/>
  <c r="W530" i="60"/>
  <c r="S530" i="60"/>
  <c r="X524" i="60"/>
  <c r="W531" i="60"/>
  <c r="X621" i="60"/>
  <c r="T617" i="60"/>
  <c r="T615" i="60"/>
  <c r="O611" i="60"/>
  <c r="P611" i="60" s="1"/>
  <c r="S613" i="60"/>
  <c r="G612" i="60"/>
  <c r="D611" i="60"/>
  <c r="W613" i="60"/>
  <c r="W616" i="60"/>
  <c r="T613" i="60"/>
  <c r="S616" i="60"/>
  <c r="X618" i="60"/>
  <c r="K615" i="60"/>
  <c r="W614" i="60"/>
  <c r="L612" i="60"/>
  <c r="L615" i="60"/>
  <c r="W618" i="60"/>
  <c r="S614" i="60"/>
  <c r="X616" i="60"/>
  <c r="T618" i="60"/>
  <c r="W621" i="60"/>
  <c r="S617" i="60"/>
  <c r="S621" i="60"/>
  <c r="O612" i="60"/>
  <c r="P612" i="60" s="1"/>
  <c r="K612" i="60"/>
  <c r="X612" i="60"/>
  <c r="X613" i="60"/>
  <c r="W612" i="60"/>
  <c r="S618" i="60"/>
  <c r="W619" i="60"/>
  <c r="X619" i="60"/>
  <c r="H612" i="60"/>
  <c r="C611" i="60"/>
  <c r="W620" i="60"/>
  <c r="T620" i="60"/>
  <c r="K614" i="60"/>
  <c r="L611" i="60"/>
  <c r="W615" i="60"/>
  <c r="X615" i="60"/>
  <c r="S615" i="60"/>
  <c r="T616" i="60"/>
  <c r="K611" i="60"/>
  <c r="S620" i="60"/>
  <c r="W617" i="60"/>
  <c r="T621" i="60"/>
  <c r="X617" i="60"/>
  <c r="X620" i="60"/>
  <c r="X599" i="60"/>
  <c r="S593" i="60"/>
  <c r="T593" i="60"/>
  <c r="G590" i="60"/>
  <c r="X590" i="60"/>
  <c r="C589" i="60"/>
  <c r="T594" i="60"/>
  <c r="O590" i="60"/>
  <c r="P590" i="60" s="1"/>
  <c r="X593" i="60"/>
  <c r="O589" i="60"/>
  <c r="P589" i="60" s="1"/>
  <c r="D589" i="60"/>
  <c r="K593" i="60"/>
  <c r="L593" i="60"/>
  <c r="W596" i="60"/>
  <c r="T591" i="60"/>
  <c r="S594" i="60"/>
  <c r="S598" i="60"/>
  <c r="W597" i="60"/>
  <c r="X597" i="60"/>
  <c r="L592" i="60"/>
  <c r="W591" i="60"/>
  <c r="T595" i="60"/>
  <c r="L590" i="60"/>
  <c r="T599" i="60"/>
  <c r="S591" i="60"/>
  <c r="W598" i="60"/>
  <c r="S592" i="60"/>
  <c r="X594" i="60"/>
  <c r="X598" i="60"/>
  <c r="T598" i="60"/>
  <c r="S595" i="60"/>
  <c r="S599" i="60"/>
  <c r="K590" i="60"/>
  <c r="S596" i="60"/>
  <c r="W599" i="60"/>
  <c r="X595" i="60"/>
  <c r="W595" i="60"/>
  <c r="H590" i="60"/>
  <c r="W590" i="60"/>
  <c r="X596" i="60"/>
  <c r="X591" i="60"/>
  <c r="K592" i="60"/>
  <c r="T592" i="60"/>
  <c r="W594" i="60"/>
  <c r="K589" i="60"/>
  <c r="W593" i="60"/>
  <c r="T596" i="60"/>
  <c r="X588" i="60"/>
  <c r="K581" i="60"/>
  <c r="G578" i="60"/>
  <c r="O579" i="60"/>
  <c r="P579" i="60" s="1"/>
  <c r="S580" i="60"/>
  <c r="G579" i="60"/>
  <c r="X579" i="60"/>
  <c r="H579" i="60"/>
  <c r="L581" i="60"/>
  <c r="L579" i="60"/>
  <c r="L582" i="60"/>
  <c r="W587" i="60"/>
  <c r="T580" i="60"/>
  <c r="S583" i="60"/>
  <c r="S587" i="60"/>
  <c r="W586" i="60"/>
  <c r="X586" i="60"/>
  <c r="S582" i="60"/>
  <c r="H578" i="60"/>
  <c r="X582" i="60"/>
  <c r="C578" i="60"/>
  <c r="S579" i="60"/>
  <c r="T583" i="60"/>
  <c r="S581" i="60"/>
  <c r="X583" i="60"/>
  <c r="X587" i="60"/>
  <c r="T587" i="60"/>
  <c r="S584" i="60"/>
  <c r="S588" i="60"/>
  <c r="W580" i="60"/>
  <c r="T584" i="60"/>
  <c r="X580" i="60"/>
  <c r="K579" i="60"/>
  <c r="S585" i="60"/>
  <c r="W588" i="60"/>
  <c r="X584" i="60"/>
  <c r="L578" i="60"/>
  <c r="W584" i="60"/>
  <c r="T582" i="60"/>
  <c r="T581" i="60"/>
  <c r="W579" i="60"/>
  <c r="X585" i="60"/>
  <c r="D578" i="60"/>
  <c r="K582" i="60"/>
  <c r="T588" i="60"/>
  <c r="W583" i="60"/>
  <c r="W585" i="60"/>
  <c r="W582" i="60"/>
  <c r="T585" i="60"/>
  <c r="O578" i="60"/>
  <c r="P578" i="60" s="1"/>
  <c r="K578" i="60"/>
  <c r="X610" i="60"/>
  <c r="L600" i="60"/>
  <c r="L601" i="60"/>
  <c r="O601" i="60"/>
  <c r="P601" i="60" s="1"/>
  <c r="T610" i="60"/>
  <c r="X602" i="60"/>
  <c r="T603" i="60"/>
  <c r="D600" i="60"/>
  <c r="G601" i="60"/>
  <c r="H601" i="60"/>
  <c r="K604" i="60"/>
  <c r="K601" i="60"/>
  <c r="X603" i="60"/>
  <c r="S607" i="60"/>
  <c r="S602" i="60"/>
  <c r="W605" i="60"/>
  <c r="W601" i="60"/>
  <c r="S605" i="60"/>
  <c r="X609" i="60"/>
  <c r="X604" i="60"/>
  <c r="C600" i="60"/>
  <c r="W603" i="60"/>
  <c r="K603" i="60"/>
  <c r="X601" i="60"/>
  <c r="W607" i="60"/>
  <c r="T602" i="60"/>
  <c r="X605" i="60"/>
  <c r="T605" i="60"/>
  <c r="T609" i="60"/>
  <c r="L604" i="60"/>
  <c r="T606" i="60"/>
  <c r="O600" i="60"/>
  <c r="P600" i="60" s="1"/>
  <c r="W602" i="60"/>
  <c r="K600" i="60"/>
  <c r="X607" i="60"/>
  <c r="W610" i="60"/>
  <c r="S606" i="60"/>
  <c r="S603" i="60"/>
  <c r="X600" i="60"/>
  <c r="L603" i="60"/>
  <c r="W600" i="60"/>
  <c r="S609" i="60"/>
  <c r="S604" i="60"/>
  <c r="X606" i="60"/>
  <c r="T604" i="60"/>
  <c r="W609" i="60"/>
  <c r="W606" i="60"/>
  <c r="S610" i="60"/>
  <c r="W604" i="60"/>
  <c r="T607" i="60"/>
  <c r="U713" i="57"/>
  <c r="X713" i="57" s="1"/>
  <c r="E710" i="57"/>
  <c r="U710" i="57"/>
  <c r="Q713" i="57"/>
  <c r="Q718" i="57"/>
  <c r="U718" i="57"/>
  <c r="I710" i="57"/>
  <c r="E711" i="57"/>
  <c r="U716" i="57"/>
  <c r="I711" i="57"/>
  <c r="L711" i="57" s="1"/>
  <c r="Q710" i="57"/>
  <c r="S654" i="57"/>
  <c r="T654" i="57" s="1"/>
  <c r="W647" i="57"/>
  <c r="K648" i="57"/>
  <c r="L648" i="57" s="1"/>
  <c r="W653" i="57"/>
  <c r="X653" i="57" s="1"/>
  <c r="S649" i="57"/>
  <c r="T649" i="57" s="1"/>
  <c r="S648" i="57"/>
  <c r="T648" i="57" s="1"/>
  <c r="S650" i="57"/>
  <c r="W651" i="57"/>
  <c r="X651" i="57" s="1"/>
  <c r="W649" i="57"/>
  <c r="X649" i="57" s="1"/>
  <c r="S646" i="57"/>
  <c r="T646" i="57" s="1"/>
  <c r="W646" i="57"/>
  <c r="X646" i="57" s="1"/>
  <c r="W645" i="57"/>
  <c r="X645" i="57" s="1"/>
  <c r="S653" i="57"/>
  <c r="T653" i="57" s="1"/>
  <c r="W654" i="57"/>
  <c r="X654" i="57" s="1"/>
  <c r="S645" i="57"/>
  <c r="T645" i="57" s="1"/>
  <c r="O644" i="57"/>
  <c r="P644" i="57" s="1"/>
  <c r="W650" i="57"/>
  <c r="S651" i="57"/>
  <c r="T651" i="57" s="1"/>
  <c r="S647" i="57"/>
  <c r="W648" i="57"/>
  <c r="X648" i="57" s="1"/>
  <c r="O645" i="57"/>
  <c r="P645" i="57" s="1"/>
  <c r="Q534" i="59"/>
  <c r="U540" i="59"/>
  <c r="I535" i="59"/>
  <c r="W665" i="57"/>
  <c r="X665" i="57" s="1"/>
  <c r="O656" i="57"/>
  <c r="P656" i="57" s="1"/>
  <c r="W658" i="57"/>
  <c r="S660" i="57"/>
  <c r="T660" i="57" s="1"/>
  <c r="W660" i="57"/>
  <c r="X660" i="57" s="1"/>
  <c r="S659" i="57"/>
  <c r="T659" i="57" s="1"/>
  <c r="K659" i="57"/>
  <c r="L659" i="57" s="1"/>
  <c r="O655" i="57"/>
  <c r="P655" i="57" s="1"/>
  <c r="S662" i="57"/>
  <c r="T662" i="57" s="1"/>
  <c r="W664" i="57"/>
  <c r="X664" i="57" s="1"/>
  <c r="W656" i="57"/>
  <c r="X656" i="57" s="1"/>
  <c r="W661" i="57"/>
  <c r="S658" i="57"/>
  <c r="W655" i="57"/>
  <c r="W662" i="57"/>
  <c r="X662" i="57" s="1"/>
  <c r="S661" i="57"/>
  <c r="S664" i="57"/>
  <c r="T664" i="57" s="1"/>
  <c r="S665" i="57"/>
  <c r="T665" i="57" s="1"/>
  <c r="S657" i="57"/>
  <c r="T657" i="57" s="1"/>
  <c r="W657" i="57"/>
  <c r="X657" i="57" s="1"/>
  <c r="W659" i="57"/>
  <c r="X659" i="57" s="1"/>
  <c r="S656" i="57"/>
  <c r="T656" i="57" s="1"/>
  <c r="O645" i="59"/>
  <c r="P645" i="59" s="1"/>
  <c r="W647" i="59"/>
  <c r="K648" i="59"/>
  <c r="L648" i="59" s="1"/>
  <c r="S647" i="59"/>
  <c r="S654" i="59"/>
  <c r="T654" i="59" s="1"/>
  <c r="W645" i="59"/>
  <c r="X645" i="59" s="1"/>
  <c r="S648" i="59"/>
  <c r="T648" i="59" s="1"/>
  <c r="S649" i="59"/>
  <c r="T649" i="59" s="1"/>
  <c r="S653" i="59"/>
  <c r="T653" i="59" s="1"/>
  <c r="O644" i="59"/>
  <c r="P644" i="59" s="1"/>
  <c r="W646" i="59"/>
  <c r="X646" i="59" s="1"/>
  <c r="S645" i="59"/>
  <c r="T645" i="59" s="1"/>
  <c r="W649" i="59"/>
  <c r="X649" i="59" s="1"/>
  <c r="S650" i="59"/>
  <c r="W650" i="59"/>
  <c r="W648" i="59"/>
  <c r="X648" i="59" s="1"/>
  <c r="W651" i="59"/>
  <c r="X651" i="59" s="1"/>
  <c r="S651" i="59"/>
  <c r="T651" i="59" s="1"/>
  <c r="W653" i="59"/>
  <c r="X653" i="59" s="1"/>
  <c r="K645" i="59"/>
  <c r="W654" i="59"/>
  <c r="X654" i="59" s="1"/>
  <c r="S646" i="59"/>
  <c r="T646" i="59" s="1"/>
  <c r="E578" i="59"/>
  <c r="E623" i="59"/>
  <c r="U628" i="59"/>
  <c r="Q754" i="57"/>
  <c r="I755" i="57"/>
  <c r="L755" i="57" s="1"/>
  <c r="I754" i="57"/>
  <c r="L754" i="57" s="1"/>
  <c r="U757" i="57"/>
  <c r="E754" i="57"/>
  <c r="U754" i="57"/>
  <c r="Q762" i="57"/>
  <c r="U762" i="57"/>
  <c r="U760" i="57"/>
  <c r="Q757" i="57"/>
  <c r="E755" i="57"/>
  <c r="U735" i="57"/>
  <c r="E732" i="57"/>
  <c r="U732" i="57"/>
  <c r="X732" i="57" s="1"/>
  <c r="E733" i="57"/>
  <c r="Q735" i="57"/>
  <c r="Q740" i="57"/>
  <c r="T740" i="57" s="1"/>
  <c r="U740" i="57"/>
  <c r="I732" i="57"/>
  <c r="U738" i="57"/>
  <c r="X738" i="57" s="1"/>
  <c r="Q732" i="57"/>
  <c r="I733" i="57"/>
  <c r="L733" i="57" s="1"/>
  <c r="Q531" i="59"/>
  <c r="Q526" i="59"/>
  <c r="Q523" i="59"/>
  <c r="U531" i="59"/>
  <c r="E523" i="59"/>
  <c r="U523" i="59"/>
  <c r="Q614" i="59"/>
  <c r="I611" i="59"/>
  <c r="U617" i="59"/>
  <c r="Q611" i="59"/>
  <c r="E612" i="59"/>
  <c r="H612" i="59" s="1"/>
  <c r="U611" i="59"/>
  <c r="Q619" i="59"/>
  <c r="U619" i="59"/>
  <c r="E611" i="59"/>
  <c r="I612" i="59"/>
  <c r="Q743" i="57"/>
  <c r="I744" i="57"/>
  <c r="L744" i="57" s="1"/>
  <c r="I743" i="57"/>
  <c r="U746" i="57"/>
  <c r="E743" i="57"/>
  <c r="U743" i="57"/>
  <c r="Q751" i="57"/>
  <c r="T751" i="57" s="1"/>
  <c r="U751" i="57"/>
  <c r="Q746" i="57"/>
  <c r="T746" i="57" s="1"/>
  <c r="U749" i="57"/>
  <c r="E744" i="57"/>
  <c r="Q688" i="57"/>
  <c r="I689" i="57"/>
  <c r="L689" i="57" s="1"/>
  <c r="U696" i="57"/>
  <c r="U691" i="57"/>
  <c r="E688" i="57"/>
  <c r="U688" i="57"/>
  <c r="X688" i="57" s="1"/>
  <c r="Q696" i="57"/>
  <c r="T696" i="57" s="1"/>
  <c r="I688" i="57"/>
  <c r="L688" i="57" s="1"/>
  <c r="Q691" i="57"/>
  <c r="U694" i="57"/>
  <c r="E689" i="57"/>
  <c r="U680" i="57"/>
  <c r="I678" i="57"/>
  <c r="L678" i="57" s="1"/>
  <c r="Q677" i="57"/>
  <c r="U683" i="57"/>
  <c r="E677" i="57"/>
  <c r="U685" i="57"/>
  <c r="Q685" i="57"/>
  <c r="I677" i="57"/>
  <c r="L677" i="57" s="1"/>
  <c r="Q680" i="57"/>
  <c r="T680" i="57" s="1"/>
  <c r="E678" i="57"/>
  <c r="H678" i="57" s="1"/>
  <c r="U677" i="57"/>
  <c r="E667" i="57"/>
  <c r="H667" i="57" s="1"/>
  <c r="U672" i="57"/>
  <c r="X672" i="57" s="1"/>
  <c r="Q669" i="57"/>
  <c r="U669" i="57"/>
  <c r="E666" i="57"/>
  <c r="Q666" i="57"/>
  <c r="I667" i="57"/>
  <c r="L667" i="57" s="1"/>
  <c r="U666" i="57"/>
  <c r="X666" i="57" s="1"/>
  <c r="I666" i="57"/>
  <c r="Q674" i="57"/>
  <c r="T674" i="57" s="1"/>
  <c r="U674" i="57"/>
  <c r="U724" i="57"/>
  <c r="E721" i="57"/>
  <c r="U721" i="57"/>
  <c r="X721" i="57" s="1"/>
  <c r="Q724" i="57"/>
  <c r="Q729" i="57"/>
  <c r="U729" i="57"/>
  <c r="I721" i="57"/>
  <c r="L721" i="57" s="1"/>
  <c r="E722" i="57"/>
  <c r="H722" i="57" s="1"/>
  <c r="U727" i="57"/>
  <c r="Q721" i="57"/>
  <c r="I722" i="57"/>
  <c r="L722" i="57" s="1"/>
  <c r="S566" i="59"/>
  <c r="T566" i="59" s="1"/>
  <c r="G557" i="59"/>
  <c r="W561" i="59"/>
  <c r="X561" i="59" s="1"/>
  <c r="W559" i="59"/>
  <c r="W557" i="59"/>
  <c r="X557" i="59" s="1"/>
  <c r="W562" i="59"/>
  <c r="W566" i="59"/>
  <c r="X566" i="59" s="1"/>
  <c r="C556" i="59"/>
  <c r="S560" i="59"/>
  <c r="T560" i="59" s="1"/>
  <c r="W560" i="59"/>
  <c r="X560" i="59" s="1"/>
  <c r="S563" i="59"/>
  <c r="T563" i="59" s="1"/>
  <c r="S558" i="59"/>
  <c r="T558" i="59" s="1"/>
  <c r="D556" i="59"/>
  <c r="W563" i="59"/>
  <c r="X563" i="59" s="1"/>
  <c r="S564" i="59"/>
  <c r="S559" i="59"/>
  <c r="O557" i="59"/>
  <c r="P557" i="59" s="1"/>
  <c r="K557" i="59"/>
  <c r="S565" i="59"/>
  <c r="T565" i="59" s="1"/>
  <c r="W558" i="59"/>
  <c r="X558" i="59" s="1"/>
  <c r="K560" i="59"/>
  <c r="L560" i="59" s="1"/>
  <c r="W565" i="59"/>
  <c r="X565" i="59" s="1"/>
  <c r="S561" i="59"/>
  <c r="T561" i="59" s="1"/>
  <c r="O556" i="59"/>
  <c r="P556" i="59" s="1"/>
  <c r="S562" i="59"/>
  <c r="E700" i="57"/>
  <c r="H700" i="57" s="1"/>
  <c r="U705" i="57"/>
  <c r="Q702" i="57"/>
  <c r="T702" i="57" s="1"/>
  <c r="U702" i="57"/>
  <c r="U699" i="57"/>
  <c r="Q699" i="57"/>
  <c r="I700" i="57"/>
  <c r="L700" i="57" s="1"/>
  <c r="E699" i="57"/>
  <c r="I699" i="57"/>
  <c r="Q707" i="57"/>
  <c r="T707" i="57" s="1"/>
  <c r="U707" i="57"/>
  <c r="Q548" i="59"/>
  <c r="E545" i="59"/>
  <c r="U548" i="59"/>
  <c r="I545" i="59"/>
  <c r="U545" i="59"/>
  <c r="I546" i="59"/>
  <c r="Q553" i="59"/>
  <c r="U551" i="59"/>
  <c r="E546" i="59"/>
  <c r="Q545" i="59"/>
  <c r="U553" i="59"/>
  <c r="X511" i="60"/>
  <c r="X502" i="60"/>
  <c r="C501" i="60"/>
  <c r="S502" i="60"/>
  <c r="O501" i="60"/>
  <c r="P501" i="60" s="1"/>
  <c r="K502" i="60"/>
  <c r="W503" i="60"/>
  <c r="D501" i="60"/>
  <c r="W502" i="60"/>
  <c r="W504" i="60"/>
  <c r="W508" i="60"/>
  <c r="S504" i="60"/>
  <c r="X506" i="60"/>
  <c r="X505" i="60"/>
  <c r="S507" i="60"/>
  <c r="S511" i="60"/>
  <c r="T502" i="60"/>
  <c r="S503" i="60"/>
  <c r="K505" i="60"/>
  <c r="T511" i="60"/>
  <c r="S505" i="60"/>
  <c r="X509" i="60"/>
  <c r="T504" i="60"/>
  <c r="G502" i="60"/>
  <c r="T503" i="60"/>
  <c r="L505" i="60"/>
  <c r="T509" i="60"/>
  <c r="X504" i="60"/>
  <c r="S510" i="60"/>
  <c r="T506" i="60"/>
  <c r="W509" i="60"/>
  <c r="X507" i="60"/>
  <c r="W505" i="60"/>
  <c r="S508" i="60"/>
  <c r="W507" i="60"/>
  <c r="T510" i="60"/>
  <c r="H502" i="60"/>
  <c r="T507" i="60"/>
  <c r="S506" i="60"/>
  <c r="T508" i="60"/>
  <c r="L502" i="60"/>
  <c r="T505" i="60"/>
  <c r="O502" i="60"/>
  <c r="P502" i="60" s="1"/>
  <c r="W506" i="60"/>
  <c r="W510" i="60"/>
  <c r="X510" i="60"/>
  <c r="S509" i="60"/>
  <c r="X503" i="60"/>
  <c r="X508" i="60"/>
  <c r="W511" i="60"/>
  <c r="Q238" i="59"/>
  <c r="U238" i="59"/>
  <c r="H239" i="59"/>
  <c r="L239" i="59"/>
  <c r="Q239" i="59"/>
  <c r="U239" i="59"/>
  <c r="H240" i="59"/>
  <c r="I240" i="59"/>
  <c r="H241" i="59"/>
  <c r="I241" i="59"/>
  <c r="Q241" i="59"/>
  <c r="U241" i="59"/>
  <c r="H242" i="59"/>
  <c r="L242" i="59"/>
  <c r="Q242" i="59"/>
  <c r="U242" i="59"/>
  <c r="H243" i="59"/>
  <c r="L243" i="59"/>
  <c r="H244" i="59"/>
  <c r="L244" i="59"/>
  <c r="Q244" i="59"/>
  <c r="U244" i="59"/>
  <c r="H245" i="59"/>
  <c r="L245" i="59"/>
  <c r="H246" i="59"/>
  <c r="L246" i="59"/>
  <c r="Q246" i="59"/>
  <c r="U246" i="59"/>
  <c r="H247" i="59"/>
  <c r="L247" i="59"/>
  <c r="Q247" i="59"/>
  <c r="U247" i="59"/>
  <c r="Q249" i="59"/>
  <c r="U249" i="59"/>
  <c r="H250" i="59"/>
  <c r="L250" i="59"/>
  <c r="Q250" i="59"/>
  <c r="U250" i="59"/>
  <c r="H251" i="59"/>
  <c r="I251" i="59"/>
  <c r="H252" i="59"/>
  <c r="I252" i="59"/>
  <c r="Q252" i="59"/>
  <c r="U252" i="59"/>
  <c r="H253" i="59"/>
  <c r="L253" i="59"/>
  <c r="Q253" i="59"/>
  <c r="U253" i="59"/>
  <c r="H254" i="59"/>
  <c r="L254" i="59"/>
  <c r="H255" i="59"/>
  <c r="L255" i="59"/>
  <c r="Q255" i="59"/>
  <c r="U255" i="59"/>
  <c r="H256" i="59"/>
  <c r="L256" i="59"/>
  <c r="H257" i="59"/>
  <c r="L257" i="59"/>
  <c r="Q257" i="59"/>
  <c r="U257" i="59"/>
  <c r="H258" i="59"/>
  <c r="L258" i="59"/>
  <c r="Q258" i="59"/>
  <c r="U258" i="59"/>
  <c r="Q260" i="59"/>
  <c r="U260" i="59"/>
  <c r="H261" i="59"/>
  <c r="L261" i="59"/>
  <c r="Q261" i="59"/>
  <c r="U261" i="59"/>
  <c r="H262" i="59"/>
  <c r="I262" i="59"/>
  <c r="H263" i="59"/>
  <c r="I263" i="59"/>
  <c r="Q263" i="59"/>
  <c r="U263" i="59"/>
  <c r="H264" i="59"/>
  <c r="L264" i="59"/>
  <c r="Q264" i="59"/>
  <c r="U264" i="59"/>
  <c r="H265" i="59"/>
  <c r="L265" i="59"/>
  <c r="H266" i="59"/>
  <c r="L266" i="59"/>
  <c r="Q266" i="59"/>
  <c r="U266" i="59"/>
  <c r="H267" i="59"/>
  <c r="L267" i="59"/>
  <c r="H268" i="59"/>
  <c r="L268" i="59"/>
  <c r="Q268" i="59"/>
  <c r="U268" i="59"/>
  <c r="H269" i="59"/>
  <c r="L269" i="59"/>
  <c r="Q269" i="59"/>
  <c r="U269" i="59"/>
  <c r="X729" i="57" l="1"/>
  <c r="X691" i="57"/>
  <c r="X705" i="57"/>
  <c r="X749" i="57"/>
  <c r="T735" i="57"/>
  <c r="X669" i="57"/>
  <c r="X694" i="57"/>
  <c r="H733" i="57"/>
  <c r="H689" i="57"/>
  <c r="X735" i="57"/>
  <c r="T669" i="57"/>
  <c r="X696" i="57"/>
  <c r="X718" i="57"/>
  <c r="X699" i="57"/>
  <c r="X724" i="57"/>
  <c r="T691" i="57"/>
  <c r="L699" i="57"/>
  <c r="X677" i="57"/>
  <c r="X680" i="57"/>
  <c r="X757" i="57"/>
  <c r="T713" i="57"/>
  <c r="Q592" i="59"/>
  <c r="T685" i="57"/>
  <c r="X685" i="57"/>
  <c r="X754" i="57"/>
  <c r="X727" i="57"/>
  <c r="L611" i="59"/>
  <c r="L612" i="59"/>
  <c r="I534" i="59"/>
  <c r="U537" i="59"/>
  <c r="X537" i="59" s="1"/>
  <c r="Q537" i="59"/>
  <c r="T537" i="59" s="1"/>
  <c r="U534" i="59"/>
  <c r="X534" i="59" s="1"/>
  <c r="U542" i="59"/>
  <c r="Q542" i="59"/>
  <c r="E534" i="59"/>
  <c r="U529" i="59"/>
  <c r="X529" i="59" s="1"/>
  <c r="E524" i="59"/>
  <c r="H524" i="59" s="1"/>
  <c r="U526" i="59"/>
  <c r="X526" i="59" s="1"/>
  <c r="U584" i="59"/>
  <c r="X584" i="59" s="1"/>
  <c r="Q603" i="59"/>
  <c r="T603" i="59" s="1"/>
  <c r="I524" i="59"/>
  <c r="L524" i="59" s="1"/>
  <c r="U578" i="59"/>
  <c r="L710" i="57"/>
  <c r="T757" i="57"/>
  <c r="X716" i="57"/>
  <c r="T718" i="57"/>
  <c r="T729" i="57"/>
  <c r="X683" i="57"/>
  <c r="X743" i="57"/>
  <c r="H711" i="57"/>
  <c r="X760" i="57"/>
  <c r="T526" i="59"/>
  <c r="T724" i="57"/>
  <c r="L535" i="59"/>
  <c r="H535" i="59"/>
  <c r="U606" i="59"/>
  <c r="X606" i="59" s="1"/>
  <c r="X617" i="59"/>
  <c r="X540" i="59"/>
  <c r="X523" i="59"/>
  <c r="I733" i="60"/>
  <c r="Q732" i="60"/>
  <c r="Q735" i="60"/>
  <c r="E733" i="60"/>
  <c r="I732" i="60"/>
  <c r="U738" i="60"/>
  <c r="Q740" i="60"/>
  <c r="U732" i="60"/>
  <c r="U740" i="60"/>
  <c r="U735" i="60"/>
  <c r="E732" i="60"/>
  <c r="U718" i="59"/>
  <c r="X718" i="59" s="1"/>
  <c r="I710" i="59"/>
  <c r="L710" i="59" s="1"/>
  <c r="U713" i="59"/>
  <c r="X713" i="59" s="1"/>
  <c r="Q718" i="59"/>
  <c r="T718" i="59" s="1"/>
  <c r="Q713" i="59"/>
  <c r="T713" i="59" s="1"/>
  <c r="U716" i="59"/>
  <c r="X716" i="59" s="1"/>
  <c r="U710" i="59"/>
  <c r="I711" i="59"/>
  <c r="L711" i="59" s="1"/>
  <c r="E711" i="59"/>
  <c r="H711" i="59" s="1"/>
  <c r="E710" i="59"/>
  <c r="Q710" i="59"/>
  <c r="U702" i="60"/>
  <c r="U699" i="60"/>
  <c r="I700" i="60"/>
  <c r="Q699" i="60"/>
  <c r="U705" i="60"/>
  <c r="Q702" i="60"/>
  <c r="I699" i="60"/>
  <c r="E700" i="60"/>
  <c r="U707" i="60"/>
  <c r="Q707" i="60"/>
  <c r="E699" i="60"/>
  <c r="Q691" i="59"/>
  <c r="T691" i="59" s="1"/>
  <c r="Q696" i="59"/>
  <c r="T696" i="59" s="1"/>
  <c r="I689" i="59"/>
  <c r="L689" i="59" s="1"/>
  <c r="U694" i="59"/>
  <c r="X694" i="59" s="1"/>
  <c r="U691" i="59"/>
  <c r="X691" i="59" s="1"/>
  <c r="Q688" i="59"/>
  <c r="U688" i="59"/>
  <c r="X688" i="59" s="1"/>
  <c r="U696" i="59"/>
  <c r="X696" i="59" s="1"/>
  <c r="E689" i="59"/>
  <c r="H689" i="59" s="1"/>
  <c r="I688" i="59"/>
  <c r="L688" i="59" s="1"/>
  <c r="E688" i="59"/>
  <c r="I743" i="60"/>
  <c r="E744" i="60"/>
  <c r="Q751" i="60"/>
  <c r="U743" i="60"/>
  <c r="U749" i="60"/>
  <c r="I744" i="60"/>
  <c r="U751" i="60"/>
  <c r="Q746" i="60"/>
  <c r="Q743" i="60"/>
  <c r="U746" i="60"/>
  <c r="E743" i="60"/>
  <c r="Q790" i="57"/>
  <c r="T790" i="57" s="1"/>
  <c r="U787" i="57"/>
  <c r="X787" i="57" s="1"/>
  <c r="I788" i="57"/>
  <c r="L788" i="57" s="1"/>
  <c r="Q795" i="57"/>
  <c r="U795" i="57"/>
  <c r="E788" i="57"/>
  <c r="H788" i="57" s="1"/>
  <c r="Q787" i="57"/>
  <c r="U793" i="57"/>
  <c r="X793" i="57" s="1"/>
  <c r="E787" i="57"/>
  <c r="I787" i="57"/>
  <c r="U790" i="57"/>
  <c r="X790" i="57" s="1"/>
  <c r="Q746" i="59"/>
  <c r="T746" i="59" s="1"/>
  <c r="Q743" i="59"/>
  <c r="I744" i="59"/>
  <c r="L744" i="59" s="1"/>
  <c r="U749" i="59"/>
  <c r="X749" i="59" s="1"/>
  <c r="E744" i="59"/>
  <c r="I743" i="59"/>
  <c r="U751" i="59"/>
  <c r="E743" i="59"/>
  <c r="U746" i="59"/>
  <c r="U743" i="59"/>
  <c r="X743" i="59" s="1"/>
  <c r="Q751" i="59"/>
  <c r="T751" i="59" s="1"/>
  <c r="U757" i="60"/>
  <c r="Q754" i="60"/>
  <c r="I754" i="60"/>
  <c r="U754" i="60"/>
  <c r="E755" i="60"/>
  <c r="E754" i="60"/>
  <c r="I755" i="60"/>
  <c r="U760" i="60"/>
  <c r="Q757" i="60"/>
  <c r="U762" i="60"/>
  <c r="Q762" i="60"/>
  <c r="U688" i="60"/>
  <c r="I688" i="60"/>
  <c r="Q696" i="60"/>
  <c r="U694" i="60"/>
  <c r="Q688" i="60"/>
  <c r="U696" i="60"/>
  <c r="Q691" i="60"/>
  <c r="E689" i="60"/>
  <c r="U691" i="60"/>
  <c r="E688" i="60"/>
  <c r="I689" i="60"/>
  <c r="U680" i="60"/>
  <c r="U685" i="60"/>
  <c r="E678" i="60"/>
  <c r="Q685" i="60"/>
  <c r="Q680" i="60"/>
  <c r="E677" i="60"/>
  <c r="Q677" i="60"/>
  <c r="I678" i="60"/>
  <c r="I677" i="60"/>
  <c r="U683" i="60"/>
  <c r="U677" i="60"/>
  <c r="U713" i="60"/>
  <c r="Q710" i="60"/>
  <c r="U710" i="60"/>
  <c r="U716" i="60"/>
  <c r="Q718" i="60"/>
  <c r="I711" i="60"/>
  <c r="E710" i="60"/>
  <c r="E711" i="60"/>
  <c r="Q713" i="60"/>
  <c r="I710" i="60"/>
  <c r="U718" i="60"/>
  <c r="Q776" i="57"/>
  <c r="U779" i="57"/>
  <c r="Q779" i="57"/>
  <c r="T779" i="57" s="1"/>
  <c r="E776" i="57"/>
  <c r="U784" i="57"/>
  <c r="Q784" i="57"/>
  <c r="U782" i="57"/>
  <c r="X782" i="57" s="1"/>
  <c r="U776" i="57"/>
  <c r="X776" i="57" s="1"/>
  <c r="I776" i="57"/>
  <c r="E777" i="57"/>
  <c r="H777" i="57" s="1"/>
  <c r="I777" i="57"/>
  <c r="L777" i="57" s="1"/>
  <c r="U790" i="59"/>
  <c r="X790" i="59" s="1"/>
  <c r="E788" i="59"/>
  <c r="H788" i="59" s="1"/>
  <c r="Q787" i="59"/>
  <c r="U795" i="59"/>
  <c r="U793" i="59"/>
  <c r="X793" i="59" s="1"/>
  <c r="E787" i="59"/>
  <c r="Q790" i="59"/>
  <c r="T790" i="59" s="1"/>
  <c r="I788" i="59"/>
  <c r="L788" i="59" s="1"/>
  <c r="Q795" i="59"/>
  <c r="I787" i="59"/>
  <c r="U787" i="59"/>
  <c r="X787" i="59" s="1"/>
  <c r="U724" i="59"/>
  <c r="X724" i="59" s="1"/>
  <c r="E722" i="59"/>
  <c r="H722" i="59" s="1"/>
  <c r="Q724" i="59"/>
  <c r="T724" i="59" s="1"/>
  <c r="I721" i="59"/>
  <c r="L721" i="59" s="1"/>
  <c r="U721" i="59"/>
  <c r="X721" i="59" s="1"/>
  <c r="Q729" i="59"/>
  <c r="T729" i="59" s="1"/>
  <c r="I722" i="59"/>
  <c r="L722" i="59" s="1"/>
  <c r="U729" i="59"/>
  <c r="X729" i="59" s="1"/>
  <c r="Q721" i="59"/>
  <c r="E721" i="59"/>
  <c r="U727" i="59"/>
  <c r="X727" i="59" s="1"/>
  <c r="Q702" i="59"/>
  <c r="T702" i="59" s="1"/>
  <c r="Q699" i="59"/>
  <c r="E699" i="59"/>
  <c r="I699" i="59"/>
  <c r="L699" i="59" s="1"/>
  <c r="I700" i="59"/>
  <c r="L700" i="59" s="1"/>
  <c r="Q707" i="59"/>
  <c r="T707" i="59" s="1"/>
  <c r="E700" i="59"/>
  <c r="H700" i="59" s="1"/>
  <c r="U705" i="59"/>
  <c r="X705" i="59" s="1"/>
  <c r="U699" i="59"/>
  <c r="X699" i="59" s="1"/>
  <c r="U702" i="59"/>
  <c r="U707" i="59"/>
  <c r="U779" i="60"/>
  <c r="Q784" i="60"/>
  <c r="U782" i="60"/>
  <c r="E777" i="60"/>
  <c r="U784" i="60"/>
  <c r="Q776" i="60"/>
  <c r="E776" i="60"/>
  <c r="I777" i="60"/>
  <c r="U776" i="60"/>
  <c r="Q779" i="60"/>
  <c r="I776" i="60"/>
  <c r="U669" i="60"/>
  <c r="I667" i="60"/>
  <c r="E666" i="60"/>
  <c r="E667" i="60"/>
  <c r="U674" i="60"/>
  <c r="Q669" i="60"/>
  <c r="U672" i="60"/>
  <c r="I666" i="60"/>
  <c r="Q666" i="60"/>
  <c r="Q674" i="60"/>
  <c r="U666" i="60"/>
  <c r="U740" i="59"/>
  <c r="U732" i="59"/>
  <c r="X732" i="59" s="1"/>
  <c r="I732" i="59"/>
  <c r="Q740" i="59"/>
  <c r="T740" i="59" s="1"/>
  <c r="I733" i="59"/>
  <c r="L733" i="59" s="1"/>
  <c r="U738" i="59"/>
  <c r="X738" i="59" s="1"/>
  <c r="Q732" i="59"/>
  <c r="U735" i="59"/>
  <c r="X735" i="59" s="1"/>
  <c r="E732" i="59"/>
  <c r="Q735" i="59"/>
  <c r="T735" i="59" s="1"/>
  <c r="E733" i="59"/>
  <c r="H733" i="59" s="1"/>
  <c r="Q779" i="59"/>
  <c r="T779" i="59" s="1"/>
  <c r="I777" i="59"/>
  <c r="L777" i="59" s="1"/>
  <c r="U776" i="59"/>
  <c r="X776" i="59" s="1"/>
  <c r="Q784" i="59"/>
  <c r="I776" i="59"/>
  <c r="U779" i="59"/>
  <c r="Q776" i="59"/>
  <c r="U784" i="59"/>
  <c r="E776" i="59"/>
  <c r="U782" i="59"/>
  <c r="X782" i="59" s="1"/>
  <c r="E777" i="59"/>
  <c r="H777" i="59" s="1"/>
  <c r="U658" i="60"/>
  <c r="I655" i="60"/>
  <c r="E655" i="60"/>
  <c r="E656" i="60"/>
  <c r="U661" i="60"/>
  <c r="Q655" i="60"/>
  <c r="U663" i="60"/>
  <c r="Q658" i="60"/>
  <c r="U655" i="60"/>
  <c r="Q663" i="60"/>
  <c r="I656" i="60"/>
  <c r="I721" i="60"/>
  <c r="U721" i="60"/>
  <c r="I722" i="60"/>
  <c r="U729" i="60"/>
  <c r="Q724" i="60"/>
  <c r="Q721" i="60"/>
  <c r="Q729" i="60"/>
  <c r="E722" i="60"/>
  <c r="U727" i="60"/>
  <c r="E721" i="60"/>
  <c r="U724" i="60"/>
  <c r="Q680" i="59"/>
  <c r="T680" i="59" s="1"/>
  <c r="Q677" i="59"/>
  <c r="I678" i="59"/>
  <c r="L678" i="59" s="1"/>
  <c r="E678" i="59"/>
  <c r="H678" i="59" s="1"/>
  <c r="U683" i="59"/>
  <c r="X683" i="59" s="1"/>
  <c r="U677" i="59"/>
  <c r="X677" i="59" s="1"/>
  <c r="U680" i="59"/>
  <c r="X680" i="59" s="1"/>
  <c r="E677" i="59"/>
  <c r="I677" i="59"/>
  <c r="L677" i="59" s="1"/>
  <c r="U685" i="59"/>
  <c r="X685" i="59" s="1"/>
  <c r="Q685" i="59"/>
  <c r="T685" i="59" s="1"/>
  <c r="I656" i="59"/>
  <c r="L656" i="59" s="1"/>
  <c r="U655" i="59"/>
  <c r="X655" i="59" s="1"/>
  <c r="Q658" i="59"/>
  <c r="T658" i="59" s="1"/>
  <c r="U663" i="59"/>
  <c r="I655" i="59"/>
  <c r="U658" i="59"/>
  <c r="X658" i="59" s="1"/>
  <c r="E655" i="59"/>
  <c r="U661" i="59"/>
  <c r="X661" i="59" s="1"/>
  <c r="Q663" i="59"/>
  <c r="Q655" i="59"/>
  <c r="E656" i="59"/>
  <c r="Q773" i="57"/>
  <c r="T773" i="57" s="1"/>
  <c r="U773" i="57"/>
  <c r="I765" i="57"/>
  <c r="E766" i="57"/>
  <c r="H766" i="57" s="1"/>
  <c r="Q768" i="57"/>
  <c r="T768" i="57" s="1"/>
  <c r="Q765" i="57"/>
  <c r="I766" i="57"/>
  <c r="L766" i="57" s="1"/>
  <c r="U768" i="57"/>
  <c r="X768" i="57" s="1"/>
  <c r="U771" i="57"/>
  <c r="X771" i="57" s="1"/>
  <c r="E765" i="57"/>
  <c r="U765" i="57"/>
  <c r="X765" i="57" s="1"/>
  <c r="Q757" i="59"/>
  <c r="T757" i="59" s="1"/>
  <c r="I755" i="59"/>
  <c r="L755" i="59" s="1"/>
  <c r="U754" i="59"/>
  <c r="X754" i="59" s="1"/>
  <c r="I754" i="59"/>
  <c r="L754" i="59" s="1"/>
  <c r="Q762" i="59"/>
  <c r="Q754" i="59"/>
  <c r="E754" i="59"/>
  <c r="U762" i="59"/>
  <c r="U760" i="59"/>
  <c r="X760" i="59" s="1"/>
  <c r="E755" i="59"/>
  <c r="U757" i="59"/>
  <c r="X757" i="59" s="1"/>
  <c r="U773" i="59"/>
  <c r="U771" i="59"/>
  <c r="X771" i="59" s="1"/>
  <c r="U768" i="59"/>
  <c r="X768" i="59" s="1"/>
  <c r="E766" i="59"/>
  <c r="H766" i="59" s="1"/>
  <c r="Q765" i="59"/>
  <c r="E765" i="59"/>
  <c r="U765" i="59"/>
  <c r="X765" i="59" s="1"/>
  <c r="Q768" i="59"/>
  <c r="T768" i="59" s="1"/>
  <c r="Q773" i="59"/>
  <c r="T773" i="59" s="1"/>
  <c r="I765" i="59"/>
  <c r="I766" i="59"/>
  <c r="L766" i="59" s="1"/>
  <c r="U768" i="60"/>
  <c r="E765" i="60"/>
  <c r="I765" i="60"/>
  <c r="E766" i="60"/>
  <c r="U765" i="60"/>
  <c r="U771" i="60"/>
  <c r="Q765" i="60"/>
  <c r="I766" i="60"/>
  <c r="U773" i="60"/>
  <c r="Q768" i="60"/>
  <c r="Q773" i="60"/>
  <c r="U672" i="59"/>
  <c r="X672" i="59" s="1"/>
  <c r="Q674" i="59"/>
  <c r="T674" i="59" s="1"/>
  <c r="Q669" i="59"/>
  <c r="T669" i="59" s="1"/>
  <c r="Q666" i="59"/>
  <c r="I666" i="59"/>
  <c r="L666" i="59" s="1"/>
  <c r="U669" i="59"/>
  <c r="X669" i="59" s="1"/>
  <c r="E667" i="59"/>
  <c r="H667" i="59" s="1"/>
  <c r="U674" i="59"/>
  <c r="U666" i="59"/>
  <c r="X666" i="59" s="1"/>
  <c r="E666" i="59"/>
  <c r="I667" i="59"/>
  <c r="L667" i="59" s="1"/>
  <c r="P633" i="60"/>
  <c r="L568" i="59"/>
  <c r="X628" i="59"/>
  <c r="E601" i="59"/>
  <c r="H601" i="59" s="1"/>
  <c r="Q608" i="59"/>
  <c r="U600" i="59"/>
  <c r="X600" i="59" s="1"/>
  <c r="E600" i="59"/>
  <c r="I601" i="59"/>
  <c r="L601" i="59" s="1"/>
  <c r="U603" i="59"/>
  <c r="X603" i="59" s="1"/>
  <c r="Q600" i="59"/>
  <c r="U608" i="59"/>
  <c r="U630" i="59"/>
  <c r="I623" i="59"/>
  <c r="L623" i="59" s="1"/>
  <c r="I622" i="59"/>
  <c r="I579" i="59"/>
  <c r="L579" i="59" s="1"/>
  <c r="U581" i="59"/>
  <c r="I578" i="59"/>
  <c r="U622" i="59"/>
  <c r="Q625" i="59"/>
  <c r="T625" i="59" s="1"/>
  <c r="Q630" i="59"/>
  <c r="Q586" i="59"/>
  <c r="E579" i="59"/>
  <c r="H579" i="59" s="1"/>
  <c r="Q581" i="59"/>
  <c r="T581" i="59" s="1"/>
  <c r="Q622" i="59"/>
  <c r="U625" i="59"/>
  <c r="U586" i="59"/>
  <c r="X586" i="59" s="1"/>
  <c r="X595" i="59"/>
  <c r="U575" i="59"/>
  <c r="E568" i="59"/>
  <c r="H568" i="59" s="1"/>
  <c r="Q570" i="59"/>
  <c r="Q597" i="59"/>
  <c r="Q589" i="59"/>
  <c r="E589" i="59"/>
  <c r="U592" i="59"/>
  <c r="U636" i="59"/>
  <c r="X636" i="59" s="1"/>
  <c r="U597" i="59"/>
  <c r="X597" i="59" s="1"/>
  <c r="U589" i="59"/>
  <c r="I590" i="59"/>
  <c r="L590" i="59" s="1"/>
  <c r="I633" i="59"/>
  <c r="I589" i="59"/>
  <c r="L589" i="59" s="1"/>
  <c r="E590" i="59"/>
  <c r="H590" i="59" s="1"/>
  <c r="E633" i="59"/>
  <c r="Q636" i="59"/>
  <c r="T636" i="59" s="1"/>
  <c r="U639" i="59"/>
  <c r="X639" i="59" s="1"/>
  <c r="U633" i="59"/>
  <c r="Q512" i="59"/>
  <c r="H546" i="59"/>
  <c r="I634" i="59"/>
  <c r="L634" i="59" s="1"/>
  <c r="Q641" i="59"/>
  <c r="T641" i="59" s="1"/>
  <c r="Q633" i="59"/>
  <c r="E634" i="59"/>
  <c r="U520" i="59"/>
  <c r="I513" i="59"/>
  <c r="L513" i="59" s="1"/>
  <c r="E512" i="59"/>
  <c r="U512" i="59"/>
  <c r="E513" i="59"/>
  <c r="H513" i="59" s="1"/>
  <c r="U515" i="59"/>
  <c r="X515" i="59" s="1"/>
  <c r="Q515" i="59"/>
  <c r="I512" i="59"/>
  <c r="L512" i="59" s="1"/>
  <c r="U518" i="59"/>
  <c r="X518" i="59" s="1"/>
  <c r="T553" i="59"/>
  <c r="X551" i="59"/>
  <c r="L546" i="59"/>
  <c r="U567" i="59"/>
  <c r="U573" i="59"/>
  <c r="X573" i="59" s="1"/>
  <c r="Q575" i="59"/>
  <c r="E567" i="59"/>
  <c r="I567" i="59"/>
  <c r="L567" i="59" s="1"/>
  <c r="Q567" i="59"/>
  <c r="U570" i="59"/>
  <c r="U603" i="60"/>
  <c r="Q603" i="60"/>
  <c r="I601" i="60"/>
  <c r="U608" i="60"/>
  <c r="Q608" i="60"/>
  <c r="E601" i="60"/>
  <c r="U606" i="60"/>
  <c r="E600" i="60"/>
  <c r="Q600" i="60"/>
  <c r="U600" i="60"/>
  <c r="I600" i="60"/>
  <c r="U592" i="60"/>
  <c r="E590" i="60"/>
  <c r="I590" i="60"/>
  <c r="Q589" i="60"/>
  <c r="Q597" i="60"/>
  <c r="U589" i="60"/>
  <c r="E589" i="60"/>
  <c r="U595" i="60"/>
  <c r="U597" i="60"/>
  <c r="Q592" i="60"/>
  <c r="I589" i="60"/>
  <c r="U526" i="60"/>
  <c r="U531" i="60"/>
  <c r="E524" i="60"/>
  <c r="I524" i="60"/>
  <c r="Q526" i="60"/>
  <c r="Q523" i="60"/>
  <c r="E523" i="60"/>
  <c r="U523" i="60"/>
  <c r="Q531" i="60"/>
  <c r="I523" i="60"/>
  <c r="U529" i="60"/>
  <c r="U636" i="60"/>
  <c r="I633" i="60"/>
  <c r="I634" i="60"/>
  <c r="Q641" i="60"/>
  <c r="U633" i="60"/>
  <c r="E633" i="60"/>
  <c r="E634" i="60"/>
  <c r="U641" i="60"/>
  <c r="Q636" i="60"/>
  <c r="Q633" i="60"/>
  <c r="U639" i="60"/>
  <c r="U581" i="60"/>
  <c r="Q578" i="60"/>
  <c r="I579" i="60"/>
  <c r="Q586" i="60"/>
  <c r="I578" i="60"/>
  <c r="U584" i="60"/>
  <c r="U586" i="60"/>
  <c r="Q581" i="60"/>
  <c r="U578" i="60"/>
  <c r="E579" i="60"/>
  <c r="E578" i="60"/>
  <c r="U515" i="60"/>
  <c r="E512" i="60"/>
  <c r="U512" i="60"/>
  <c r="U520" i="60"/>
  <c r="Q520" i="60"/>
  <c r="E513" i="60"/>
  <c r="Q512" i="60"/>
  <c r="Q515" i="60"/>
  <c r="I512" i="60"/>
  <c r="I513" i="60"/>
  <c r="U518" i="60"/>
  <c r="U537" i="60"/>
  <c r="E534" i="60"/>
  <c r="U540" i="60"/>
  <c r="Q537" i="60"/>
  <c r="U542" i="60"/>
  <c r="Q542" i="60"/>
  <c r="Q534" i="60"/>
  <c r="I534" i="60"/>
  <c r="E535" i="60"/>
  <c r="I535" i="60"/>
  <c r="U534" i="60"/>
  <c r="U570" i="60"/>
  <c r="I568" i="60"/>
  <c r="U573" i="60"/>
  <c r="U575" i="60"/>
  <c r="I567" i="60"/>
  <c r="Q570" i="60"/>
  <c r="E568" i="60"/>
  <c r="E567" i="60"/>
  <c r="Q575" i="60"/>
  <c r="U567" i="60"/>
  <c r="Q567" i="60"/>
  <c r="U548" i="60"/>
  <c r="Q553" i="60"/>
  <c r="U551" i="60"/>
  <c r="E546" i="60"/>
  <c r="E545" i="60"/>
  <c r="Q545" i="60"/>
  <c r="I545" i="60"/>
  <c r="Q548" i="60"/>
  <c r="I546" i="60"/>
  <c r="U545" i="60"/>
  <c r="U553" i="60"/>
  <c r="U614" i="60"/>
  <c r="I612" i="60"/>
  <c r="I611" i="60"/>
  <c r="E611" i="60"/>
  <c r="E612" i="60"/>
  <c r="U619" i="60"/>
  <c r="U617" i="60"/>
  <c r="Q619" i="60"/>
  <c r="U611" i="60"/>
  <c r="Q614" i="60"/>
  <c r="Q611" i="60"/>
  <c r="U625" i="60"/>
  <c r="I623" i="60"/>
  <c r="Q622" i="60"/>
  <c r="U628" i="60"/>
  <c r="U630" i="60"/>
  <c r="Q630" i="60"/>
  <c r="U622" i="60"/>
  <c r="Q625" i="60"/>
  <c r="I622" i="60"/>
  <c r="E623" i="60"/>
  <c r="E622" i="60"/>
  <c r="Q663" i="57"/>
  <c r="U655" i="57"/>
  <c r="X655" i="57" s="1"/>
  <c r="U661" i="57"/>
  <c r="X661" i="57" s="1"/>
  <c r="E656" i="57"/>
  <c r="I655" i="57"/>
  <c r="I656" i="57"/>
  <c r="L656" i="57" s="1"/>
  <c r="Q655" i="57"/>
  <c r="Q658" i="57"/>
  <c r="T658" i="57" s="1"/>
  <c r="U658" i="57"/>
  <c r="X658" i="57" s="1"/>
  <c r="U663" i="57"/>
  <c r="E655" i="57"/>
  <c r="Q652" i="57"/>
  <c r="U652" i="57"/>
  <c r="I644" i="57"/>
  <c r="I645" i="57"/>
  <c r="L645" i="57" s="1"/>
  <c r="E645" i="57"/>
  <c r="U650" i="57"/>
  <c r="X650" i="57" s="1"/>
  <c r="Q647" i="57"/>
  <c r="T647" i="57" s="1"/>
  <c r="Q644" i="57"/>
  <c r="U644" i="57"/>
  <c r="E644" i="57"/>
  <c r="U647" i="57"/>
  <c r="X647" i="57" s="1"/>
  <c r="Q559" i="59"/>
  <c r="T559" i="59" s="1"/>
  <c r="Q556" i="59"/>
  <c r="I556" i="59"/>
  <c r="U562" i="59"/>
  <c r="X562" i="59" s="1"/>
  <c r="U559" i="59"/>
  <c r="X559" i="59" s="1"/>
  <c r="U564" i="59"/>
  <c r="E556" i="59"/>
  <c r="Q564" i="59"/>
  <c r="T564" i="59" s="1"/>
  <c r="E557" i="59"/>
  <c r="H557" i="59" s="1"/>
  <c r="U556" i="59"/>
  <c r="I557" i="59"/>
  <c r="L557" i="59" s="1"/>
  <c r="Q647" i="59"/>
  <c r="T647" i="59" s="1"/>
  <c r="Q644" i="59"/>
  <c r="U650" i="59"/>
  <c r="X650" i="59" s="1"/>
  <c r="Q652" i="59"/>
  <c r="I644" i="59"/>
  <c r="U652" i="59"/>
  <c r="I645" i="59"/>
  <c r="L645" i="59" s="1"/>
  <c r="E645" i="59"/>
  <c r="U644" i="59"/>
  <c r="U647" i="59"/>
  <c r="X647" i="59" s="1"/>
  <c r="E644" i="59"/>
  <c r="E501" i="60"/>
  <c r="E502" i="60"/>
  <c r="U509" i="60"/>
  <c r="Q509" i="60"/>
  <c r="U501" i="60"/>
  <c r="U507" i="60"/>
  <c r="I502" i="60"/>
  <c r="Q504" i="60"/>
  <c r="Q501" i="60"/>
  <c r="I501" i="60"/>
  <c r="U504" i="60"/>
  <c r="U489" i="59"/>
  <c r="Q489" i="59"/>
  <c r="L489" i="59"/>
  <c r="H489" i="59"/>
  <c r="U488" i="59"/>
  <c r="Q488" i="59"/>
  <c r="L488" i="59"/>
  <c r="H488" i="59"/>
  <c r="L487" i="59"/>
  <c r="H487" i="59"/>
  <c r="U486" i="59"/>
  <c r="Q486" i="59"/>
  <c r="L486" i="59"/>
  <c r="H486" i="59"/>
  <c r="L485" i="59"/>
  <c r="H485" i="59"/>
  <c r="U484" i="59"/>
  <c r="Q484" i="59"/>
  <c r="L484" i="59"/>
  <c r="H484" i="59"/>
  <c r="U483" i="59"/>
  <c r="Q483" i="59"/>
  <c r="I483" i="59"/>
  <c r="H483" i="59"/>
  <c r="I482" i="59"/>
  <c r="H482" i="59"/>
  <c r="U481" i="59"/>
  <c r="Q481" i="59"/>
  <c r="L481" i="59"/>
  <c r="H481" i="59"/>
  <c r="U480" i="59"/>
  <c r="Q480" i="59"/>
  <c r="U478" i="59"/>
  <c r="Q478" i="59"/>
  <c r="L478" i="59"/>
  <c r="H478" i="59"/>
  <c r="U477" i="59"/>
  <c r="Q477" i="59"/>
  <c r="L477" i="59"/>
  <c r="H477" i="59"/>
  <c r="L476" i="59"/>
  <c r="H476" i="59"/>
  <c r="U475" i="59"/>
  <c r="Q475" i="59"/>
  <c r="L475" i="59"/>
  <c r="H475" i="59"/>
  <c r="L474" i="59"/>
  <c r="H474" i="59"/>
  <c r="U473" i="59"/>
  <c r="Q473" i="59"/>
  <c r="L473" i="59"/>
  <c r="H473" i="59"/>
  <c r="U472" i="59"/>
  <c r="Q472" i="59"/>
  <c r="I472" i="59"/>
  <c r="H472" i="59"/>
  <c r="I471" i="59"/>
  <c r="H471" i="59"/>
  <c r="U470" i="59"/>
  <c r="Q470" i="59"/>
  <c r="L470" i="59"/>
  <c r="H470" i="59"/>
  <c r="U469" i="59"/>
  <c r="Q469" i="59"/>
  <c r="U467" i="59"/>
  <c r="Q467" i="59"/>
  <c r="L467" i="59"/>
  <c r="H467" i="59"/>
  <c r="U466" i="59"/>
  <c r="Q466" i="59"/>
  <c r="L466" i="59"/>
  <c r="H466" i="59"/>
  <c r="L465" i="59"/>
  <c r="H465" i="59"/>
  <c r="U464" i="59"/>
  <c r="Q464" i="59"/>
  <c r="L464" i="59"/>
  <c r="H464" i="59"/>
  <c r="L463" i="59"/>
  <c r="H463" i="59"/>
  <c r="U462" i="59"/>
  <c r="Q462" i="59"/>
  <c r="L462" i="59"/>
  <c r="H462" i="59"/>
  <c r="U461" i="59"/>
  <c r="Q461" i="59"/>
  <c r="I461" i="59"/>
  <c r="H461" i="59"/>
  <c r="I460" i="59"/>
  <c r="H460" i="59"/>
  <c r="U459" i="59"/>
  <c r="Q459" i="59"/>
  <c r="L459" i="59"/>
  <c r="H459" i="59"/>
  <c r="U458" i="59"/>
  <c r="Q458" i="59"/>
  <c r="B638" i="57"/>
  <c r="U643" i="57"/>
  <c r="Q643" i="57"/>
  <c r="U642" i="57"/>
  <c r="Q642" i="57"/>
  <c r="U640" i="57"/>
  <c r="Q640" i="57"/>
  <c r="U638" i="57"/>
  <c r="Q638" i="57"/>
  <c r="U637" i="57"/>
  <c r="Q637" i="57"/>
  <c r="I637" i="57"/>
  <c r="I636" i="57"/>
  <c r="U635" i="57"/>
  <c r="Q635" i="57"/>
  <c r="U634" i="57"/>
  <c r="Q634" i="57"/>
  <c r="U632" i="57"/>
  <c r="Q632" i="57"/>
  <c r="U631" i="57"/>
  <c r="Q631" i="57"/>
  <c r="U629" i="57"/>
  <c r="Q629" i="57"/>
  <c r="U627" i="57"/>
  <c r="Q627" i="57"/>
  <c r="U626" i="57"/>
  <c r="Q626" i="57"/>
  <c r="I626" i="57"/>
  <c r="I625" i="57"/>
  <c r="U624" i="57"/>
  <c r="Q624" i="57"/>
  <c r="U623" i="57"/>
  <c r="Q623" i="57"/>
  <c r="U621" i="57"/>
  <c r="Q621" i="57"/>
  <c r="U620" i="57"/>
  <c r="Q620" i="57"/>
  <c r="U618" i="57"/>
  <c r="Q618" i="57"/>
  <c r="U616" i="57"/>
  <c r="Q616" i="57"/>
  <c r="U615" i="57"/>
  <c r="Q615" i="57"/>
  <c r="I615" i="57"/>
  <c r="I614" i="57"/>
  <c r="U613" i="57"/>
  <c r="Q613" i="57"/>
  <c r="U612" i="57"/>
  <c r="Q612" i="57"/>
  <c r="U610" i="57"/>
  <c r="Q610" i="57"/>
  <c r="U609" i="57"/>
  <c r="Q609" i="57"/>
  <c r="U607" i="57"/>
  <c r="Q607" i="57"/>
  <c r="U605" i="57"/>
  <c r="Q605" i="57"/>
  <c r="U604" i="57"/>
  <c r="Q604" i="57"/>
  <c r="I604" i="57"/>
  <c r="I603" i="57"/>
  <c r="U602" i="57"/>
  <c r="Q602" i="57"/>
  <c r="U601" i="57"/>
  <c r="Q601" i="57"/>
  <c r="U599" i="57"/>
  <c r="Q599" i="57"/>
  <c r="U598" i="57"/>
  <c r="Q598" i="57"/>
  <c r="U596" i="57"/>
  <c r="Q596" i="57"/>
  <c r="U594" i="57"/>
  <c r="Q594" i="57"/>
  <c r="U593" i="57"/>
  <c r="Q593" i="57"/>
  <c r="I593" i="57"/>
  <c r="I592" i="57"/>
  <c r="U591" i="57"/>
  <c r="Q591" i="57"/>
  <c r="U590" i="57"/>
  <c r="Q590" i="57"/>
  <c r="U588" i="57"/>
  <c r="Q588" i="57"/>
  <c r="U587" i="57"/>
  <c r="Q587" i="57"/>
  <c r="U585" i="57"/>
  <c r="Q585" i="57"/>
  <c r="U583" i="57"/>
  <c r="Q583" i="57"/>
  <c r="U582" i="57"/>
  <c r="Q582" i="57"/>
  <c r="I582" i="57"/>
  <c r="I581" i="57"/>
  <c r="U580" i="57"/>
  <c r="Q580" i="57"/>
  <c r="U579" i="57"/>
  <c r="Q579" i="57"/>
  <c r="U577" i="57"/>
  <c r="Q577" i="57"/>
  <c r="U576" i="57"/>
  <c r="Q576" i="57"/>
  <c r="U574" i="57"/>
  <c r="Q574" i="57"/>
  <c r="U572" i="57"/>
  <c r="Q572" i="57"/>
  <c r="U571" i="57"/>
  <c r="Q571" i="57"/>
  <c r="I571" i="57"/>
  <c r="I570" i="57"/>
  <c r="U569" i="57"/>
  <c r="Q569" i="57"/>
  <c r="U568" i="57"/>
  <c r="Q568" i="57"/>
  <c r="U566" i="57"/>
  <c r="Q566" i="57"/>
  <c r="U565" i="57"/>
  <c r="Q565" i="57"/>
  <c r="U563" i="57"/>
  <c r="Q563" i="57"/>
  <c r="U561" i="57"/>
  <c r="Q561" i="57"/>
  <c r="U560" i="57"/>
  <c r="Q560" i="57"/>
  <c r="I560" i="57"/>
  <c r="I559" i="57"/>
  <c r="U558" i="57"/>
  <c r="Q558" i="57"/>
  <c r="U557" i="57"/>
  <c r="Q557" i="57"/>
  <c r="U555" i="57"/>
  <c r="Q555" i="57"/>
  <c r="U554" i="57"/>
  <c r="Q554" i="57"/>
  <c r="U552" i="57"/>
  <c r="Q552" i="57"/>
  <c r="U550" i="57"/>
  <c r="Q550" i="57"/>
  <c r="U549" i="57"/>
  <c r="Q549" i="57"/>
  <c r="I549" i="57"/>
  <c r="I548" i="57"/>
  <c r="U547" i="57"/>
  <c r="Q547" i="57"/>
  <c r="U546" i="57"/>
  <c r="Q546" i="57"/>
  <c r="U544" i="57"/>
  <c r="Q544" i="57"/>
  <c r="U543" i="57"/>
  <c r="Q543" i="57"/>
  <c r="U541" i="57"/>
  <c r="Q541" i="57"/>
  <c r="U539" i="57"/>
  <c r="Q539" i="57"/>
  <c r="U538" i="57"/>
  <c r="Q538" i="57"/>
  <c r="I538" i="57"/>
  <c r="I537" i="57"/>
  <c r="U536" i="57"/>
  <c r="Q536" i="57"/>
  <c r="U535" i="57"/>
  <c r="Q535" i="57"/>
  <c r="U533" i="57"/>
  <c r="Q533" i="57"/>
  <c r="U532" i="57"/>
  <c r="Q532" i="57"/>
  <c r="U530" i="57"/>
  <c r="Q530" i="57"/>
  <c r="U528" i="57"/>
  <c r="Q528" i="57"/>
  <c r="U527" i="57"/>
  <c r="Q527" i="57"/>
  <c r="I527" i="57"/>
  <c r="I526" i="57"/>
  <c r="U525" i="57"/>
  <c r="Q525" i="57"/>
  <c r="U524" i="57"/>
  <c r="Q524" i="57"/>
  <c r="U500" i="60"/>
  <c r="Q500" i="60"/>
  <c r="U499" i="60"/>
  <c r="Q499" i="60"/>
  <c r="U497" i="60"/>
  <c r="Q497" i="60"/>
  <c r="U495" i="60"/>
  <c r="Q495" i="60"/>
  <c r="U494" i="60"/>
  <c r="Q494" i="60"/>
  <c r="I494" i="60"/>
  <c r="I493" i="60"/>
  <c r="U492" i="60"/>
  <c r="Q492" i="60"/>
  <c r="U491" i="60"/>
  <c r="Q491" i="60"/>
  <c r="U489" i="60"/>
  <c r="Q489" i="60"/>
  <c r="U488" i="60"/>
  <c r="Q488" i="60"/>
  <c r="U486" i="60"/>
  <c r="Q486" i="60"/>
  <c r="U484" i="60"/>
  <c r="Q484" i="60"/>
  <c r="U483" i="60"/>
  <c r="Q483" i="60"/>
  <c r="I483" i="60"/>
  <c r="I482" i="60"/>
  <c r="U481" i="60"/>
  <c r="Q481" i="60"/>
  <c r="U480" i="60"/>
  <c r="Q480" i="60"/>
  <c r="U478" i="60"/>
  <c r="Q478" i="60"/>
  <c r="U477" i="60"/>
  <c r="Q477" i="60"/>
  <c r="U475" i="60"/>
  <c r="Q475" i="60"/>
  <c r="U473" i="60"/>
  <c r="Q473" i="60"/>
  <c r="U472" i="60"/>
  <c r="Q472" i="60"/>
  <c r="I472" i="60"/>
  <c r="I471" i="60"/>
  <c r="U470" i="60"/>
  <c r="Q470" i="60"/>
  <c r="U469" i="60"/>
  <c r="Q469" i="60"/>
  <c r="U467" i="60"/>
  <c r="Q467" i="60"/>
  <c r="U466" i="60"/>
  <c r="Q466" i="60"/>
  <c r="U464" i="60"/>
  <c r="Q464" i="60"/>
  <c r="U462" i="60"/>
  <c r="Q462" i="60"/>
  <c r="U461" i="60"/>
  <c r="Q461" i="60"/>
  <c r="I461" i="60"/>
  <c r="I460" i="60"/>
  <c r="U459" i="60"/>
  <c r="Q459" i="60"/>
  <c r="U458" i="60"/>
  <c r="Q458" i="60"/>
  <c r="U456" i="60"/>
  <c r="Q456" i="60"/>
  <c r="U455" i="60"/>
  <c r="Q455" i="60"/>
  <c r="U453" i="60"/>
  <c r="Q453" i="60"/>
  <c r="U451" i="60"/>
  <c r="Q451" i="60"/>
  <c r="U450" i="60"/>
  <c r="Q450" i="60"/>
  <c r="I450" i="60"/>
  <c r="I449" i="60"/>
  <c r="U448" i="60"/>
  <c r="Q448" i="60"/>
  <c r="U447" i="60"/>
  <c r="Q447" i="60"/>
  <c r="C633" i="57" l="1"/>
  <c r="D633" i="57"/>
  <c r="K637" i="57"/>
  <c r="S635" i="57"/>
  <c r="W637" i="57"/>
  <c r="X637" i="57" s="1"/>
  <c r="O633" i="57"/>
  <c r="P633" i="57" s="1"/>
  <c r="O634" i="57"/>
  <c r="P634" i="57" s="1"/>
  <c r="W634" i="57"/>
  <c r="X634" i="57" s="1"/>
  <c r="W635" i="57"/>
  <c r="X635" i="57" s="1"/>
  <c r="W636" i="57"/>
  <c r="S637" i="57"/>
  <c r="T637" i="57" s="1"/>
  <c r="W640" i="57"/>
  <c r="X640" i="57" s="1"/>
  <c r="S636" i="57"/>
  <c r="W638" i="57"/>
  <c r="X638" i="57" s="1"/>
  <c r="W642" i="57"/>
  <c r="X642" i="57" s="1"/>
  <c r="W643" i="57"/>
  <c r="X643" i="57" s="1"/>
  <c r="S643" i="57"/>
  <c r="W639" i="57"/>
  <c r="S638" i="57"/>
  <c r="S639" i="57"/>
  <c r="S640" i="57"/>
  <c r="S641" i="57"/>
  <c r="S642" i="57"/>
  <c r="B561" i="57"/>
  <c r="W563" i="57" s="1"/>
  <c r="X563" i="57" s="1"/>
  <c r="B583" i="57"/>
  <c r="B594" i="57"/>
  <c r="B605" i="57"/>
  <c r="B616" i="57"/>
  <c r="B627" i="57"/>
  <c r="D589" i="57" l="1"/>
  <c r="C589" i="57"/>
  <c r="S607" i="57"/>
  <c r="T607" i="57" s="1"/>
  <c r="D600" i="57"/>
  <c r="C600" i="57"/>
  <c r="S625" i="57"/>
  <c r="D622" i="57"/>
  <c r="C622" i="57"/>
  <c r="W579" i="57"/>
  <c r="X579" i="57" s="1"/>
  <c r="D578" i="57"/>
  <c r="C578" i="57"/>
  <c r="D611" i="57"/>
  <c r="C611" i="57"/>
  <c r="T640" i="57"/>
  <c r="T643" i="57"/>
  <c r="T642" i="57"/>
  <c r="T635" i="57"/>
  <c r="L637" i="57"/>
  <c r="B572" i="57"/>
  <c r="B550" i="57"/>
  <c r="W551" i="57" s="1"/>
  <c r="S585" i="57"/>
  <c r="O557" i="57"/>
  <c r="P557" i="57" s="1"/>
  <c r="S566" i="57"/>
  <c r="S564" i="57"/>
  <c r="W583" i="57"/>
  <c r="X583" i="57" s="1"/>
  <c r="S558" i="57"/>
  <c r="O589" i="57"/>
  <c r="P589" i="57" s="1"/>
  <c r="S620" i="57"/>
  <c r="S629" i="57"/>
  <c r="S596" i="57"/>
  <c r="S617" i="57"/>
  <c r="W585" i="57"/>
  <c r="X585" i="57" s="1"/>
  <c r="K582" i="57"/>
  <c r="S599" i="57"/>
  <c r="S594" i="57"/>
  <c r="K581" i="57"/>
  <c r="S561" i="57"/>
  <c r="W584" i="57"/>
  <c r="S559" i="57"/>
  <c r="W558" i="57"/>
  <c r="X558" i="57" s="1"/>
  <c r="W632" i="57"/>
  <c r="X632" i="57" s="1"/>
  <c r="W626" i="57"/>
  <c r="X626" i="57" s="1"/>
  <c r="K626" i="57"/>
  <c r="W627" i="57"/>
  <c r="X627" i="57" s="1"/>
  <c r="W624" i="57"/>
  <c r="X624" i="57" s="1"/>
  <c r="W623" i="57"/>
  <c r="X623" i="57" s="1"/>
  <c r="O623" i="57"/>
  <c r="P623" i="57" s="1"/>
  <c r="O622" i="57"/>
  <c r="P622" i="57" s="1"/>
  <c r="W629" i="57"/>
  <c r="X629" i="57" s="1"/>
  <c r="W631" i="57"/>
  <c r="X631" i="57" s="1"/>
  <c r="S624" i="57"/>
  <c r="S626" i="57"/>
  <c r="T626" i="57" s="1"/>
  <c r="S627" i="57"/>
  <c r="W628" i="57"/>
  <c r="S628" i="57"/>
  <c r="S631" i="57"/>
  <c r="S604" i="57"/>
  <c r="T604" i="57" s="1"/>
  <c r="W603" i="57"/>
  <c r="W602" i="57"/>
  <c r="X602" i="57" s="1"/>
  <c r="W601" i="57"/>
  <c r="X601" i="57" s="1"/>
  <c r="O601" i="57"/>
  <c r="P601" i="57" s="1"/>
  <c r="O600" i="57"/>
  <c r="P600" i="57" s="1"/>
  <c r="W606" i="57"/>
  <c r="S610" i="57"/>
  <c r="S603" i="57"/>
  <c r="G601" i="57"/>
  <c r="W610" i="57"/>
  <c r="X610" i="57" s="1"/>
  <c r="W604" i="57"/>
  <c r="X604" i="57" s="1"/>
  <c r="S602" i="57"/>
  <c r="W605" i="57"/>
  <c r="X605" i="57" s="1"/>
  <c r="K603" i="57"/>
  <c r="W607" i="57"/>
  <c r="X607" i="57" s="1"/>
  <c r="W609" i="57"/>
  <c r="X609" i="57" s="1"/>
  <c r="K604" i="57"/>
  <c r="S605" i="57"/>
  <c r="S609" i="57"/>
  <c r="S606" i="57"/>
  <c r="W588" i="57"/>
  <c r="X588" i="57" s="1"/>
  <c r="S582" i="57"/>
  <c r="T582" i="57" s="1"/>
  <c r="O578" i="57"/>
  <c r="P578" i="57" s="1"/>
  <c r="S580" i="57"/>
  <c r="W587" i="57"/>
  <c r="X587" i="57" s="1"/>
  <c r="G579" i="57"/>
  <c r="S583" i="57"/>
  <c r="S587" i="57"/>
  <c r="S588" i="57"/>
  <c r="S584" i="57"/>
  <c r="W582" i="57"/>
  <c r="X582" i="57" s="1"/>
  <c r="O579" i="57"/>
  <c r="P579" i="57" s="1"/>
  <c r="W580" i="57"/>
  <c r="X580" i="57" s="1"/>
  <c r="S581" i="57"/>
  <c r="W566" i="57"/>
  <c r="X566" i="57" s="1"/>
  <c r="S560" i="57"/>
  <c r="T560" i="57" s="1"/>
  <c r="W559" i="57"/>
  <c r="K560" i="57"/>
  <c r="W560" i="57"/>
  <c r="X560" i="57" s="1"/>
  <c r="S562" i="57"/>
  <c r="S565" i="57"/>
  <c r="W562" i="57"/>
  <c r="W557" i="57"/>
  <c r="X557" i="57" s="1"/>
  <c r="W561" i="57"/>
  <c r="X561" i="57" s="1"/>
  <c r="G557" i="57"/>
  <c r="S563" i="57"/>
  <c r="W565" i="57"/>
  <c r="X565" i="57" s="1"/>
  <c r="O556" i="57"/>
  <c r="P556" i="57" s="1"/>
  <c r="S632" i="57"/>
  <c r="W595" i="57"/>
  <c r="S615" i="57"/>
  <c r="T615" i="57" s="1"/>
  <c r="W613" i="57"/>
  <c r="X613" i="57" s="1"/>
  <c r="W612" i="57"/>
  <c r="X612" i="57" s="1"/>
  <c r="O612" i="57"/>
  <c r="P612" i="57" s="1"/>
  <c r="O611" i="57"/>
  <c r="P611" i="57" s="1"/>
  <c r="W617" i="57"/>
  <c r="S621" i="57"/>
  <c r="G612" i="57"/>
  <c r="W618" i="57"/>
  <c r="X618" i="57" s="1"/>
  <c r="W620" i="57"/>
  <c r="X620" i="57" s="1"/>
  <c r="K615" i="57"/>
  <c r="W621" i="57"/>
  <c r="X621" i="57" s="1"/>
  <c r="W615" i="57"/>
  <c r="X615" i="57" s="1"/>
  <c r="S613" i="57"/>
  <c r="W616" i="57"/>
  <c r="X616" i="57" s="1"/>
  <c r="W599" i="57"/>
  <c r="X599" i="57" s="1"/>
  <c r="W598" i="57"/>
  <c r="X598" i="57" s="1"/>
  <c r="K592" i="57"/>
  <c r="S591" i="57"/>
  <c r="W593" i="57"/>
  <c r="X593" i="57" s="1"/>
  <c r="K593" i="57"/>
  <c r="W594" i="57"/>
  <c r="X594" i="57" s="1"/>
  <c r="S593" i="57"/>
  <c r="T593" i="57" s="1"/>
  <c r="W590" i="57"/>
  <c r="X590" i="57" s="1"/>
  <c r="W596" i="57"/>
  <c r="X596" i="57" s="1"/>
  <c r="W591" i="57"/>
  <c r="X591" i="57" s="1"/>
  <c r="G590" i="57"/>
  <c r="S616" i="57"/>
  <c r="S598" i="57"/>
  <c r="S595" i="57"/>
  <c r="S618" i="57"/>
  <c r="O590" i="57"/>
  <c r="P590" i="57" s="1"/>
  <c r="T638" i="57"/>
  <c r="U522" i="57"/>
  <c r="Q522" i="57"/>
  <c r="U521" i="57"/>
  <c r="Q521" i="57"/>
  <c r="U519" i="57"/>
  <c r="Q519" i="57"/>
  <c r="U517" i="57"/>
  <c r="Q517" i="57"/>
  <c r="U516" i="57"/>
  <c r="Q516" i="57"/>
  <c r="I516" i="57"/>
  <c r="I515" i="57"/>
  <c r="U514" i="57"/>
  <c r="Q514" i="57"/>
  <c r="U513" i="57"/>
  <c r="Q513" i="57"/>
  <c r="U511" i="57"/>
  <c r="Q511" i="57"/>
  <c r="U510" i="57"/>
  <c r="Q510" i="57"/>
  <c r="U508" i="57"/>
  <c r="Q508" i="57"/>
  <c r="U506" i="57"/>
  <c r="Q506" i="57"/>
  <c r="U505" i="57"/>
  <c r="Q505" i="57"/>
  <c r="I505" i="57"/>
  <c r="I504" i="57"/>
  <c r="U503" i="57"/>
  <c r="Q503" i="57"/>
  <c r="U502" i="57"/>
  <c r="Q502" i="57"/>
  <c r="U500" i="57"/>
  <c r="Q500" i="57"/>
  <c r="U499" i="57"/>
  <c r="Q499" i="57"/>
  <c r="U497" i="57"/>
  <c r="Q497" i="57"/>
  <c r="U495" i="57"/>
  <c r="Q495" i="57"/>
  <c r="U494" i="57"/>
  <c r="Q494" i="57"/>
  <c r="I494" i="57"/>
  <c r="I493" i="57"/>
  <c r="U492" i="57"/>
  <c r="Q492" i="57"/>
  <c r="U491" i="57"/>
  <c r="Q491" i="57"/>
  <c r="U489" i="57"/>
  <c r="Q489" i="57"/>
  <c r="U488" i="57"/>
  <c r="Q488" i="57"/>
  <c r="U486" i="57"/>
  <c r="Q486" i="57"/>
  <c r="U484" i="57"/>
  <c r="Q484" i="57"/>
  <c r="U483" i="57"/>
  <c r="Q483" i="57"/>
  <c r="I483" i="57"/>
  <c r="I482" i="57"/>
  <c r="U481" i="57"/>
  <c r="Q481" i="57"/>
  <c r="U480" i="57"/>
  <c r="Q480" i="57"/>
  <c r="U478" i="57"/>
  <c r="Q478" i="57"/>
  <c r="U477" i="57"/>
  <c r="Q477" i="57"/>
  <c r="U475" i="57"/>
  <c r="Q475" i="57"/>
  <c r="U473" i="57"/>
  <c r="Q473" i="57"/>
  <c r="U472" i="57"/>
  <c r="Q472" i="57"/>
  <c r="I472" i="57"/>
  <c r="I471" i="57"/>
  <c r="U470" i="57"/>
  <c r="Q470" i="57"/>
  <c r="U469" i="57"/>
  <c r="Q469" i="57"/>
  <c r="U467" i="57"/>
  <c r="Q467" i="57"/>
  <c r="U466" i="57"/>
  <c r="Q466" i="57"/>
  <c r="U464" i="57"/>
  <c r="Q464" i="57"/>
  <c r="U462" i="57"/>
  <c r="Q462" i="57"/>
  <c r="U461" i="57"/>
  <c r="Q461" i="57"/>
  <c r="I461" i="57"/>
  <c r="I460" i="57"/>
  <c r="U459" i="57"/>
  <c r="Q459" i="57"/>
  <c r="U458" i="57"/>
  <c r="Q458" i="57"/>
  <c r="U456" i="57"/>
  <c r="Q456" i="57"/>
  <c r="U455" i="57"/>
  <c r="Q455" i="57"/>
  <c r="U453" i="57"/>
  <c r="Q453" i="57"/>
  <c r="U451" i="57"/>
  <c r="Q451" i="57"/>
  <c r="U450" i="57"/>
  <c r="Q450" i="57"/>
  <c r="I450" i="57"/>
  <c r="I449" i="57"/>
  <c r="U448" i="57"/>
  <c r="Q448" i="57"/>
  <c r="U447" i="57"/>
  <c r="Q447" i="57"/>
  <c r="U445" i="57"/>
  <c r="Q445" i="57"/>
  <c r="U444" i="57"/>
  <c r="Q444" i="57"/>
  <c r="U442" i="57"/>
  <c r="Q442" i="57"/>
  <c r="U440" i="57"/>
  <c r="Q440" i="57"/>
  <c r="U439" i="57"/>
  <c r="Q439" i="57"/>
  <c r="I439" i="57"/>
  <c r="I438" i="57"/>
  <c r="U437" i="57"/>
  <c r="Q437" i="57"/>
  <c r="U436" i="57"/>
  <c r="Q436" i="57"/>
  <c r="O568" i="57" l="1"/>
  <c r="P568" i="57" s="1"/>
  <c r="D567" i="57"/>
  <c r="C567" i="57"/>
  <c r="S555" i="57"/>
  <c r="T555" i="57" s="1"/>
  <c r="O567" i="57"/>
  <c r="P567" i="57" s="1"/>
  <c r="K571" i="57"/>
  <c r="L571" i="57" s="1"/>
  <c r="S569" i="57"/>
  <c r="T569" i="57" s="1"/>
  <c r="S576" i="57"/>
  <c r="T576" i="57" s="1"/>
  <c r="W569" i="57"/>
  <c r="X569" i="57" s="1"/>
  <c r="S572" i="57"/>
  <c r="T572" i="57" s="1"/>
  <c r="S574" i="57"/>
  <c r="T574" i="57" s="1"/>
  <c r="L560" i="57"/>
  <c r="T583" i="57"/>
  <c r="T609" i="57"/>
  <c r="L604" i="57"/>
  <c r="T624" i="57"/>
  <c r="T594" i="57"/>
  <c r="L582" i="57"/>
  <c r="T596" i="57"/>
  <c r="T613" i="57"/>
  <c r="L615" i="57"/>
  <c r="T563" i="57"/>
  <c r="T602" i="57"/>
  <c r="T566" i="57"/>
  <c r="T585" i="57"/>
  <c r="T618" i="57"/>
  <c r="T616" i="57"/>
  <c r="T591" i="57"/>
  <c r="T621" i="57"/>
  <c r="T632" i="57"/>
  <c r="T565" i="57"/>
  <c r="T588" i="57"/>
  <c r="T605" i="57"/>
  <c r="T610" i="57"/>
  <c r="L626" i="57"/>
  <c r="T561" i="57"/>
  <c r="T599" i="57"/>
  <c r="T629" i="57"/>
  <c r="T558" i="57"/>
  <c r="T598" i="57"/>
  <c r="L593" i="57"/>
  <c r="L592" i="57"/>
  <c r="T587" i="57"/>
  <c r="T580" i="57"/>
  <c r="L603" i="57"/>
  <c r="T631" i="57"/>
  <c r="T627" i="57"/>
  <c r="L581" i="57"/>
  <c r="T620" i="57"/>
  <c r="G568" i="57"/>
  <c r="W555" i="57"/>
  <c r="X555" i="57" s="1"/>
  <c r="W572" i="57"/>
  <c r="X572" i="57" s="1"/>
  <c r="W568" i="57"/>
  <c r="X568" i="57" s="1"/>
  <c r="W571" i="57"/>
  <c r="X571" i="57" s="1"/>
  <c r="S577" i="57"/>
  <c r="W576" i="57"/>
  <c r="X576" i="57" s="1"/>
  <c r="W574" i="57"/>
  <c r="X574" i="57" s="1"/>
  <c r="K567" i="57"/>
  <c r="S573" i="57"/>
  <c r="S571" i="57"/>
  <c r="T571" i="57" s="1"/>
  <c r="W577" i="57"/>
  <c r="X577" i="57" s="1"/>
  <c r="W573" i="57"/>
  <c r="S554" i="57"/>
  <c r="W549" i="57"/>
  <c r="X549" i="57" s="1"/>
  <c r="S552" i="57"/>
  <c r="W547" i="57"/>
  <c r="X547" i="57" s="1"/>
  <c r="S550" i="57"/>
  <c r="G546" i="57"/>
  <c r="S549" i="57"/>
  <c r="T549" i="57" s="1"/>
  <c r="S551" i="57"/>
  <c r="W554" i="57"/>
  <c r="X554" i="57" s="1"/>
  <c r="W552" i="57"/>
  <c r="X552" i="57" s="1"/>
  <c r="W546" i="57"/>
  <c r="X546" i="57" s="1"/>
  <c r="W550" i="57"/>
  <c r="X550" i="57" s="1"/>
  <c r="S553" i="57"/>
  <c r="O546" i="57"/>
  <c r="P546" i="57" s="1"/>
  <c r="O545" i="57"/>
  <c r="P545" i="57" s="1"/>
  <c r="S547" i="57"/>
  <c r="K549" i="57"/>
  <c r="K570" i="57"/>
  <c r="G494" i="26"/>
  <c r="H494" i="26"/>
  <c r="I494" i="26"/>
  <c r="J494" i="26"/>
  <c r="K494" i="26"/>
  <c r="L494" i="26"/>
  <c r="M494" i="26"/>
  <c r="N494" i="26"/>
  <c r="O494" i="26"/>
  <c r="P494" i="26"/>
  <c r="Q494" i="26"/>
  <c r="R494" i="26"/>
  <c r="S494" i="26"/>
  <c r="T494" i="26"/>
  <c r="U494" i="26"/>
  <c r="V494" i="26"/>
  <c r="W494" i="26"/>
  <c r="X494" i="26"/>
  <c r="Y494" i="26"/>
  <c r="Z494" i="26"/>
  <c r="AA494" i="26"/>
  <c r="AB494" i="26"/>
  <c r="AC494" i="26"/>
  <c r="AD494" i="26"/>
  <c r="AE494" i="26"/>
  <c r="AF494" i="26"/>
  <c r="AG494" i="26"/>
  <c r="AH494" i="26"/>
  <c r="AI494" i="26"/>
  <c r="AJ494" i="26"/>
  <c r="AL494" i="26"/>
  <c r="L549" i="57" l="1"/>
  <c r="L570" i="57"/>
  <c r="T554" i="57"/>
  <c r="T547" i="57"/>
  <c r="T550" i="57"/>
  <c r="T552" i="57"/>
  <c r="T577" i="57"/>
  <c r="K669" i="60"/>
  <c r="W611" i="60" l="1"/>
  <c r="K501" i="60"/>
  <c r="G732" i="60"/>
  <c r="S754" i="60"/>
  <c r="W564" i="60"/>
  <c r="K523" i="60"/>
  <c r="K655" i="60"/>
  <c r="W608" i="60"/>
  <c r="AM2" i="26"/>
  <c r="K52" i="10" s="1"/>
  <c r="U434" i="57"/>
  <c r="Q434" i="57"/>
  <c r="U433" i="57"/>
  <c r="Q433" i="57"/>
  <c r="U431" i="57"/>
  <c r="Q431" i="57"/>
  <c r="U429" i="57"/>
  <c r="Q429" i="57"/>
  <c r="U428" i="57"/>
  <c r="Q428" i="57"/>
  <c r="I428" i="57"/>
  <c r="I427" i="57"/>
  <c r="U426" i="57"/>
  <c r="Q426" i="57"/>
  <c r="U425" i="57"/>
  <c r="Q425" i="57"/>
  <c r="H2" i="9"/>
  <c r="AM494" i="26" l="1"/>
  <c r="S634" i="60"/>
  <c r="K765" i="60"/>
  <c r="S600" i="60"/>
  <c r="S590" i="60"/>
  <c r="S619" i="60"/>
  <c r="S586" i="60"/>
  <c r="S623" i="60"/>
  <c r="S765" i="60"/>
  <c r="W578" i="60"/>
  <c r="W589" i="60"/>
  <c r="S721" i="60"/>
  <c r="S557" i="60"/>
  <c r="W592" i="60"/>
  <c r="S545" i="60"/>
  <c r="W501" i="60"/>
  <c r="W512" i="60"/>
  <c r="G622" i="60"/>
  <c r="G633" i="60"/>
  <c r="G567" i="60"/>
  <c r="S710" i="60"/>
  <c r="S612" i="60"/>
  <c r="S633" i="60"/>
  <c r="S597" i="60"/>
  <c r="S608" i="60"/>
  <c r="S546" i="60"/>
  <c r="S776" i="60"/>
  <c r="W581" i="60"/>
  <c r="K754" i="60"/>
  <c r="Y754" i="60" s="1"/>
  <c r="K776" i="60"/>
  <c r="S655" i="60"/>
  <c r="Y655" i="60" s="1"/>
  <c r="G710" i="60"/>
  <c r="G721" i="60"/>
  <c r="G512" i="60"/>
  <c r="S677" i="60"/>
  <c r="Y677" i="60" s="1"/>
  <c r="AL2" i="9"/>
  <c r="S611" i="60"/>
  <c r="S601" i="60"/>
  <c r="S589" i="60"/>
  <c r="S567" i="60"/>
  <c r="S535" i="60"/>
  <c r="G501" i="60"/>
  <c r="G523" i="60"/>
  <c r="S699" i="60"/>
  <c r="G600" i="60"/>
  <c r="G611" i="60"/>
  <c r="G534" i="60"/>
  <c r="G545" i="60"/>
  <c r="S666" i="60"/>
  <c r="Y666" i="60" s="1"/>
  <c r="S732" i="60"/>
  <c r="Y732" i="60" s="1"/>
  <c r="S743" i="60"/>
  <c r="Y743" i="60" s="1"/>
  <c r="W556" i="60"/>
  <c r="W567" i="60"/>
  <c r="S644" i="60"/>
  <c r="Y644" i="60" s="1"/>
  <c r="W559" i="60"/>
  <c r="W570" i="60"/>
  <c r="S688" i="60"/>
  <c r="Y688" i="60" s="1"/>
  <c r="W622" i="60"/>
  <c r="G699" i="60"/>
  <c r="S578" i="60"/>
  <c r="K20" i="10"/>
  <c r="K19" i="10"/>
  <c r="S534" i="60"/>
  <c r="S622" i="60"/>
  <c r="G589" i="60"/>
  <c r="S512" i="60"/>
  <c r="K548" i="60"/>
  <c r="S524" i="60"/>
  <c r="K534" i="60"/>
  <c r="K504" i="60"/>
  <c r="S513" i="60"/>
  <c r="S523" i="60"/>
  <c r="G556" i="60"/>
  <c r="K537" i="60"/>
  <c r="S556" i="60"/>
  <c r="S501" i="60"/>
  <c r="I2" i="9"/>
  <c r="X2" i="9"/>
  <c r="AB2" i="9"/>
  <c r="L2" i="9"/>
  <c r="AJ2" i="9"/>
  <c r="T2" i="9"/>
  <c r="AF2" i="9"/>
  <c r="P2" i="9"/>
  <c r="AI2" i="9"/>
  <c r="AE2" i="9"/>
  <c r="AA2" i="9"/>
  <c r="W2" i="9"/>
  <c r="S2" i="9"/>
  <c r="O2" i="9"/>
  <c r="K2" i="9"/>
  <c r="AH2" i="9"/>
  <c r="AD2" i="9"/>
  <c r="Z2" i="9"/>
  <c r="V2" i="9"/>
  <c r="R2" i="9"/>
  <c r="N2" i="9"/>
  <c r="J2" i="9"/>
  <c r="AK2" i="9"/>
  <c r="AG2" i="9"/>
  <c r="AC2" i="9"/>
  <c r="Y2" i="9"/>
  <c r="U2" i="9"/>
  <c r="Q2" i="9"/>
  <c r="M2" i="9"/>
  <c r="AN823" i="9" l="1" a="1"/>
  <c r="AN823" i="9" s="1"/>
  <c r="AM823" i="9" s="1"/>
  <c r="AN821" i="9" a="1"/>
  <c r="AN821" i="9" s="1"/>
  <c r="AM821" i="9" s="1"/>
  <c r="AN812" i="9" a="1"/>
  <c r="AN812" i="9" s="1"/>
  <c r="AM812" i="9" s="1"/>
  <c r="AN811" i="9" a="1"/>
  <c r="AN811" i="9" s="1"/>
  <c r="AM811" i="9" s="1"/>
  <c r="AN808" i="9" a="1"/>
  <c r="AN808" i="9" s="1"/>
  <c r="AM808" i="9" s="1"/>
  <c r="AN806" i="9" a="1"/>
  <c r="AN806" i="9" s="1"/>
  <c r="AM806" i="9" s="1"/>
  <c r="AN804" i="9" a="1"/>
  <c r="AN804" i="9" s="1"/>
  <c r="AM804" i="9" s="1"/>
  <c r="AN801" i="9" a="1"/>
  <c r="AN801" i="9" s="1"/>
  <c r="AM801" i="9" s="1"/>
  <c r="AN800" i="9" a="1"/>
  <c r="AN800" i="9" s="1"/>
  <c r="AM800" i="9" s="1"/>
  <c r="AN797" i="9" a="1"/>
  <c r="AN797" i="9" s="1"/>
  <c r="AM797" i="9" s="1"/>
  <c r="AN789" i="9" a="1"/>
  <c r="AN789" i="9" s="1"/>
  <c r="AM789" i="9" s="1"/>
  <c r="AN785" i="9" a="1"/>
  <c r="AN785" i="9" s="1"/>
  <c r="AM785" i="9" s="1"/>
  <c r="AN780" i="9" a="1"/>
  <c r="AN780" i="9" s="1"/>
  <c r="AM780" i="9" s="1"/>
  <c r="AN774" i="9" a="1"/>
  <c r="AN774" i="9" s="1"/>
  <c r="AM774" i="9" s="1"/>
  <c r="AN771" i="9" a="1"/>
  <c r="AN771" i="9" s="1"/>
  <c r="AM771" i="9" s="1"/>
  <c r="AN769" i="9" a="1"/>
  <c r="AN769" i="9" s="1"/>
  <c r="AM769" i="9" s="1"/>
  <c r="AN764" i="9" a="1"/>
  <c r="AN764" i="9" s="1"/>
  <c r="AM764" i="9" s="1"/>
  <c r="AN832" i="9" a="1"/>
  <c r="AN832" i="9" s="1"/>
  <c r="AM832" i="9" s="1"/>
  <c r="AN827" i="9" a="1"/>
  <c r="AN827" i="9" s="1"/>
  <c r="AM827" i="9" s="1"/>
  <c r="AN834" i="9" a="1"/>
  <c r="AN834" i="9" s="1"/>
  <c r="AM834" i="9" s="1"/>
  <c r="AN824" i="9" a="1"/>
  <c r="AN824" i="9" s="1"/>
  <c r="AM824" i="9" s="1"/>
  <c r="AN796" i="9" a="1"/>
  <c r="AN796" i="9" s="1"/>
  <c r="AM796" i="9" s="1"/>
  <c r="AN783" i="9" a="1"/>
  <c r="AN783" i="9" s="1"/>
  <c r="AM783" i="9" s="1"/>
  <c r="AN822" i="9" a="1"/>
  <c r="AN822" i="9" s="1"/>
  <c r="AM822" i="9" s="1"/>
  <c r="AN798" i="9" a="1"/>
  <c r="AN798" i="9" s="1"/>
  <c r="AM798" i="9" s="1"/>
  <c r="AN805" i="9" a="1"/>
  <c r="AN805" i="9" s="1"/>
  <c r="AM805" i="9" s="1"/>
  <c r="AN765" i="9" a="1"/>
  <c r="AN765" i="9" s="1"/>
  <c r="AM765" i="9" s="1"/>
  <c r="AN788" i="9" a="1"/>
  <c r="AN788" i="9" s="1"/>
  <c r="AM788" i="9" s="1"/>
  <c r="AN759" i="9" a="1"/>
  <c r="AN759" i="9" s="1"/>
  <c r="AM759" i="9" s="1"/>
  <c r="AN775" i="9" a="1"/>
  <c r="AN775" i="9" s="1"/>
  <c r="AM775" i="9" s="1"/>
  <c r="AN784" i="9" a="1"/>
  <c r="AN784" i="9" s="1"/>
  <c r="AM784" i="9" s="1"/>
  <c r="AN819" i="9" a="1"/>
  <c r="AN819" i="9" s="1"/>
  <c r="AM819" i="9" s="1"/>
  <c r="AN767" i="9" a="1"/>
  <c r="AN767" i="9" s="1"/>
  <c r="AM767" i="9" s="1"/>
  <c r="AN820" i="9" a="1"/>
  <c r="AN820" i="9" s="1"/>
  <c r="AM820" i="9" s="1"/>
  <c r="AN817" i="9" a="1"/>
  <c r="AN817" i="9" s="1"/>
  <c r="AM817" i="9" s="1"/>
  <c r="AN761" i="9" a="1"/>
  <c r="AN761" i="9" s="1"/>
  <c r="AM761" i="9" s="1"/>
  <c r="AN815" i="9" a="1"/>
  <c r="AN815" i="9" s="1"/>
  <c r="AM815" i="9" s="1"/>
  <c r="AN791" i="9" a="1"/>
  <c r="AN791" i="9" s="1"/>
  <c r="AM791" i="9" s="1"/>
  <c r="AN782" i="9" a="1"/>
  <c r="AN782" i="9" s="1"/>
  <c r="AM782" i="9" s="1"/>
  <c r="AN5" i="9" a="1"/>
  <c r="AN5" i="9" s="1"/>
  <c r="AM5" i="9" s="1"/>
  <c r="AN3" i="9" a="1"/>
  <c r="AN3" i="9" s="1"/>
  <c r="AM3" i="9" s="1"/>
  <c r="AN7" i="9" a="1"/>
  <c r="AN7" i="9" s="1"/>
  <c r="AM7" i="9" s="1"/>
  <c r="AN12" i="9" a="1"/>
  <c r="AN12" i="9" s="1"/>
  <c r="AM12" i="9" s="1"/>
  <c r="AN19" i="9" a="1"/>
  <c r="AN19" i="9" s="1"/>
  <c r="AM19" i="9" s="1"/>
  <c r="AN22" i="9" a="1"/>
  <c r="AN22" i="9" s="1"/>
  <c r="AM22" i="9" s="1"/>
  <c r="AN25" i="9" a="1"/>
  <c r="AN25" i="9" s="1"/>
  <c r="AM25" i="9" s="1"/>
  <c r="AN28" i="9" a="1"/>
  <c r="AN28" i="9" s="1"/>
  <c r="AM28" i="9" s="1"/>
  <c r="AN35" i="9" a="1"/>
  <c r="AN35" i="9" s="1"/>
  <c r="AM35" i="9" s="1"/>
  <c r="AN38" i="9" a="1"/>
  <c r="AN38" i="9" s="1"/>
  <c r="AM38" i="9" s="1"/>
  <c r="AN41" i="9" a="1"/>
  <c r="AN41" i="9" s="1"/>
  <c r="AM41" i="9" s="1"/>
  <c r="AN44" i="9" a="1"/>
  <c r="AN44" i="9" s="1"/>
  <c r="AM44" i="9" s="1"/>
  <c r="AN48" i="9" a="1"/>
  <c r="AN48" i="9" s="1"/>
  <c r="AM48" i="9" s="1"/>
  <c r="AN55" i="9" a="1"/>
  <c r="AN55" i="9" s="1"/>
  <c r="AM55" i="9" s="1"/>
  <c r="AN58" i="9" a="1"/>
  <c r="AN58" i="9" s="1"/>
  <c r="AM58" i="9" s="1"/>
  <c r="AN61" i="9" a="1"/>
  <c r="AN61" i="9" s="1"/>
  <c r="AM61" i="9" s="1"/>
  <c r="AN65" i="9" a="1"/>
  <c r="AN65" i="9" s="1"/>
  <c r="AM65" i="9" s="1"/>
  <c r="AN68" i="9" a="1"/>
  <c r="AN68" i="9" s="1"/>
  <c r="AN72" i="9" a="1"/>
  <c r="AN72" i="9" s="1"/>
  <c r="AN79" i="9" a="1"/>
  <c r="AN79" i="9" s="1"/>
  <c r="AM79" i="9" s="1"/>
  <c r="AN83" i="9" a="1"/>
  <c r="AN83" i="9" s="1"/>
  <c r="AM83" i="9" s="1"/>
  <c r="AN86" i="9" a="1"/>
  <c r="AN86" i="9" s="1"/>
  <c r="AM86" i="9" s="1"/>
  <c r="AN89" i="9" a="1"/>
  <c r="AN89" i="9" s="1"/>
  <c r="AM89" i="9" s="1"/>
  <c r="AN92" i="9" a="1"/>
  <c r="AN92" i="9" s="1"/>
  <c r="AM92" i="9" s="1"/>
  <c r="AN96" i="9" a="1"/>
  <c r="AN96" i="9" s="1"/>
  <c r="AM96" i="9" s="1"/>
  <c r="AN103" i="9" a="1"/>
  <c r="AN103" i="9" s="1"/>
  <c r="AM103" i="9" s="1"/>
  <c r="AN107" i="9" a="1"/>
  <c r="AN107" i="9" s="1"/>
  <c r="AM107" i="9" s="1"/>
  <c r="AN110" i="9" a="1"/>
  <c r="AN110" i="9" s="1"/>
  <c r="AM110" i="9" s="1"/>
  <c r="AN114" i="9" a="1"/>
  <c r="AN114" i="9" s="1"/>
  <c r="AN117" i="9" a="1"/>
  <c r="AN117" i="9" s="1"/>
  <c r="AM117" i="9" s="1"/>
  <c r="AO117" i="9" s="1"/>
  <c r="AN121" i="9" a="1"/>
  <c r="AN121" i="9" s="1"/>
  <c r="AM121" i="9" s="1"/>
  <c r="AN124" i="9" a="1"/>
  <c r="AN124" i="9" s="1"/>
  <c r="AM124" i="9" s="1"/>
  <c r="AN128" i="9" a="1"/>
  <c r="AN128" i="9" s="1"/>
  <c r="AN135" i="9" a="1"/>
  <c r="AN135" i="9" s="1"/>
  <c r="AM135" i="9" s="1"/>
  <c r="AO135" i="9" s="1"/>
  <c r="AN138" i="9" a="1"/>
  <c r="AN138" i="9" s="1"/>
  <c r="AM138" i="9" s="1"/>
  <c r="AN141" i="9" a="1"/>
  <c r="AN141" i="9" s="1"/>
  <c r="AM141" i="9" s="1"/>
  <c r="AN145" i="9" a="1"/>
  <c r="AN145" i="9" s="1"/>
  <c r="AN148" i="9" a="1"/>
  <c r="AN148" i="9" s="1"/>
  <c r="AN155" i="9" a="1"/>
  <c r="AN155" i="9" s="1"/>
  <c r="AM155" i="9" s="1"/>
  <c r="AN158" i="9" a="1"/>
  <c r="AN158" i="9" s="1"/>
  <c r="AM158" i="9" s="1"/>
  <c r="AO158" i="9" s="1"/>
  <c r="AN161" i="9" a="1"/>
  <c r="AN161" i="9" s="1"/>
  <c r="AN164" i="9" a="1"/>
  <c r="AN164" i="9" s="1"/>
  <c r="AM164" i="9" s="1"/>
  <c r="AO164" i="9" s="1"/>
  <c r="AN171" i="9" a="1"/>
  <c r="AN171" i="9" s="1"/>
  <c r="AM171" i="9" s="1"/>
  <c r="AN176" i="9" a="1"/>
  <c r="AN176" i="9" s="1"/>
  <c r="AN179" i="9" a="1"/>
  <c r="AN179" i="9" s="1"/>
  <c r="AM179" i="9" s="1"/>
  <c r="AN183" i="9" a="1"/>
  <c r="AN183" i="9" s="1"/>
  <c r="AM183" i="9" s="1"/>
  <c r="AN189" i="9" a="1"/>
  <c r="AN189" i="9" s="1"/>
  <c r="AM189" i="9" s="1"/>
  <c r="AN192" i="9" a="1"/>
  <c r="AN192" i="9" s="1"/>
  <c r="AN195" i="9" a="1"/>
  <c r="AN195" i="9" s="1"/>
  <c r="AN199" i="9" a="1"/>
  <c r="AN199" i="9" s="1"/>
  <c r="AM199" i="9" s="1"/>
  <c r="AO199" i="9" s="1"/>
  <c r="AN205" i="9" a="1"/>
  <c r="AN205" i="9" s="1"/>
  <c r="AM205" i="9" s="1"/>
  <c r="AN208" i="9" a="1"/>
  <c r="AN208" i="9" s="1"/>
  <c r="AN211" i="9" a="1"/>
  <c r="AN211" i="9" s="1"/>
  <c r="AN215" i="9" a="1"/>
  <c r="AN215" i="9" s="1"/>
  <c r="AM215" i="9" s="1"/>
  <c r="AO215" i="9" s="1"/>
  <c r="AN221" i="9" a="1"/>
  <c r="AN221" i="9" s="1"/>
  <c r="AM221" i="9" s="1"/>
  <c r="AN224" i="9" a="1"/>
  <c r="AN224" i="9" s="1"/>
  <c r="AM224" i="9" s="1"/>
  <c r="AN227" i="9" a="1"/>
  <c r="AN227" i="9" s="1"/>
  <c r="AN231" i="9" a="1"/>
  <c r="AN231" i="9" s="1"/>
  <c r="AM231" i="9" s="1"/>
  <c r="AN237" i="9" a="1"/>
  <c r="AN237" i="9" s="1"/>
  <c r="AM237" i="9" s="1"/>
  <c r="AN240" i="9" a="1"/>
  <c r="AN240" i="9" s="1"/>
  <c r="AN243" i="9" a="1"/>
  <c r="AN243" i="9" s="1"/>
  <c r="AN247" i="9" a="1"/>
  <c r="AN247" i="9" s="1"/>
  <c r="AM247" i="9" s="1"/>
  <c r="AO247" i="9" s="1"/>
  <c r="AN253" i="9" a="1"/>
  <c r="AN253" i="9" s="1"/>
  <c r="AM253" i="9" s="1"/>
  <c r="AN256" i="9" a="1"/>
  <c r="AN256" i="9" s="1"/>
  <c r="AN259" i="9" a="1"/>
  <c r="AN259" i="9" s="1"/>
  <c r="AN263" i="9" a="1"/>
  <c r="AN263" i="9" s="1"/>
  <c r="AM263" i="9" s="1"/>
  <c r="AN269" i="9" a="1"/>
  <c r="AN269" i="9" s="1"/>
  <c r="AM269" i="9" s="1"/>
  <c r="AN272" i="9" a="1"/>
  <c r="AN272" i="9" s="1"/>
  <c r="AN275" i="9" a="1"/>
  <c r="AN275" i="9" s="1"/>
  <c r="AN279" i="9" a="1"/>
  <c r="AN279" i="9" s="1"/>
  <c r="AM279" i="9" s="1"/>
  <c r="AN10" i="9" a="1"/>
  <c r="AN10" i="9" s="1"/>
  <c r="AM10" i="9" s="1"/>
  <c r="AN13" i="9" a="1"/>
  <c r="AN13" i="9" s="1"/>
  <c r="AM13" i="9" s="1"/>
  <c r="AN16" i="9" a="1"/>
  <c r="AN16" i="9" s="1"/>
  <c r="AM16" i="9" s="1"/>
  <c r="AN23" i="9" a="1"/>
  <c r="AN23" i="9" s="1"/>
  <c r="AM23" i="9" s="1"/>
  <c r="AN26" i="9" a="1"/>
  <c r="AN26" i="9" s="1"/>
  <c r="AM26" i="9" s="1"/>
  <c r="AN29" i="9" a="1"/>
  <c r="AN29" i="9" s="1"/>
  <c r="AN32" i="9" a="1"/>
  <c r="AN32" i="9" s="1"/>
  <c r="AM32" i="9" s="1"/>
  <c r="AN39" i="9" a="1"/>
  <c r="AN39" i="9" s="1"/>
  <c r="AM39" i="9" s="1"/>
  <c r="AN42" i="9" a="1"/>
  <c r="AN42" i="9" s="1"/>
  <c r="AN45" i="9" a="1"/>
  <c r="AN45" i="9" s="1"/>
  <c r="AM45" i="9" s="1"/>
  <c r="AN49" i="9" a="1"/>
  <c r="AN49" i="9" s="1"/>
  <c r="AM49" i="9" s="1"/>
  <c r="AN52" i="9" a="1"/>
  <c r="AN52" i="9" s="1"/>
  <c r="AM52" i="9" s="1"/>
  <c r="AN59" i="9" a="1"/>
  <c r="AN59" i="9" s="1"/>
  <c r="AM59" i="9" s="1"/>
  <c r="AN62" i="9" a="1"/>
  <c r="AN62" i="9" s="1"/>
  <c r="AM62" i="9" s="1"/>
  <c r="AN66" i="9" a="1"/>
  <c r="AN66" i="9" s="1"/>
  <c r="AN69" i="9" a="1"/>
  <c r="AN69" i="9" s="1"/>
  <c r="AM69" i="9" s="1"/>
  <c r="AN73" i="9" a="1"/>
  <c r="AN73" i="9" s="1"/>
  <c r="AM73" i="9" s="1"/>
  <c r="AN76" i="9" a="1"/>
  <c r="AN76" i="9" s="1"/>
  <c r="AM76" i="9" s="1"/>
  <c r="AN80" i="9" a="1"/>
  <c r="AN80" i="9" s="1"/>
  <c r="AM80" i="9" s="1"/>
  <c r="AN87" i="9" a="1"/>
  <c r="AN87" i="9" s="1"/>
  <c r="AM87" i="9" s="1"/>
  <c r="AN90" i="9" a="1"/>
  <c r="AN90" i="9" s="1"/>
  <c r="AM90" i="9" s="1"/>
  <c r="AN93" i="9" a="1"/>
  <c r="AN93" i="9" s="1"/>
  <c r="AM93" i="9" s="1"/>
  <c r="AN97" i="9" a="1"/>
  <c r="AN97" i="9" s="1"/>
  <c r="AM97" i="9" s="1"/>
  <c r="AN100" i="9" a="1"/>
  <c r="AN100" i="9" s="1"/>
  <c r="AM100" i="9" s="1"/>
  <c r="AN104" i="9" a="1"/>
  <c r="AN104" i="9" s="1"/>
  <c r="AM104" i="9" s="1"/>
  <c r="AN111" i="9" a="1"/>
  <c r="AN111" i="9" s="1"/>
  <c r="AM111" i="9" s="1"/>
  <c r="AN115" i="9" a="1"/>
  <c r="AN115" i="9" s="1"/>
  <c r="AM115" i="9" s="1"/>
  <c r="AN118" i="9" a="1"/>
  <c r="AN118" i="9" s="1"/>
  <c r="AN122" i="9" a="1"/>
  <c r="AN122" i="9" s="1"/>
  <c r="AM122" i="9" s="1"/>
  <c r="AN125" i="9" a="1"/>
  <c r="AN125" i="9" s="1"/>
  <c r="AM125" i="9" s="1"/>
  <c r="AO125" i="9" s="1"/>
  <c r="AN129" i="9" a="1"/>
  <c r="AN129" i="9" s="1"/>
  <c r="AN132" i="9" a="1"/>
  <c r="AN132" i="9" s="1"/>
  <c r="AM132" i="9" s="1"/>
  <c r="AN139" i="9" a="1"/>
  <c r="AN139" i="9" s="1"/>
  <c r="AM139" i="9" s="1"/>
  <c r="AN142" i="9" a="1"/>
  <c r="AN142" i="9" s="1"/>
  <c r="AM142" i="9" s="1"/>
  <c r="AN146" i="9" a="1"/>
  <c r="AN146" i="9" s="1"/>
  <c r="AN149" i="9" a="1"/>
  <c r="AN149" i="9" s="1"/>
  <c r="AM149" i="9" s="1"/>
  <c r="AN152" i="9" a="1"/>
  <c r="AN152" i="9" s="1"/>
  <c r="AM152" i="9" s="1"/>
  <c r="AN159" i="9" a="1"/>
  <c r="AN159" i="9" s="1"/>
  <c r="AN162" i="9" a="1"/>
  <c r="AN162" i="9" s="1"/>
  <c r="AN165" i="9" a="1"/>
  <c r="AN165" i="9" s="1"/>
  <c r="AN168" i="9" a="1"/>
  <c r="AN168" i="9" s="1"/>
  <c r="AM168" i="9" s="1"/>
  <c r="AN174" i="9" a="1"/>
  <c r="AN174" i="9" s="1"/>
  <c r="AN177" i="9" a="1"/>
  <c r="AN177" i="9" s="1"/>
  <c r="AN180" i="9" a="1"/>
  <c r="AN180" i="9" s="1"/>
  <c r="AM180" i="9" s="1"/>
  <c r="AO180" i="9" s="1"/>
  <c r="AN186" i="9" a="1"/>
  <c r="AN186" i="9" s="1"/>
  <c r="AM186" i="9" s="1"/>
  <c r="AN190" i="9" a="1"/>
  <c r="AN190" i="9" s="1"/>
  <c r="AN193" i="9" a="1"/>
  <c r="AN193" i="9" s="1"/>
  <c r="AN196" i="9" a="1"/>
  <c r="AN196" i="9" s="1"/>
  <c r="AN202" i="9" a="1"/>
  <c r="AN202" i="9" s="1"/>
  <c r="AM202" i="9" s="1"/>
  <c r="AN206" i="9" a="1"/>
  <c r="AN206" i="9" s="1"/>
  <c r="AN209" i="9" a="1"/>
  <c r="AN209" i="9" s="1"/>
  <c r="AM209" i="9" s="1"/>
  <c r="AN212" i="9" a="1"/>
  <c r="AN212" i="9" s="1"/>
  <c r="AM212" i="9" s="1"/>
  <c r="AO212" i="9" s="1"/>
  <c r="AN218" i="9" a="1"/>
  <c r="AN218" i="9" s="1"/>
  <c r="AM218" i="9" s="1"/>
  <c r="AN222" i="9" a="1"/>
  <c r="AN222" i="9" s="1"/>
  <c r="AM222" i="9" s="1"/>
  <c r="AN225" i="9" a="1"/>
  <c r="AN225" i="9" s="1"/>
  <c r="AN228" i="9" a="1"/>
  <c r="AN228" i="9" s="1"/>
  <c r="AM228" i="9" s="1"/>
  <c r="AO228" i="9" s="1"/>
  <c r="AN234" i="9" a="1"/>
  <c r="AN234" i="9" s="1"/>
  <c r="AM234" i="9" s="1"/>
  <c r="AO234" i="9" s="1"/>
  <c r="AN238" i="9" a="1"/>
  <c r="AN238" i="9" s="1"/>
  <c r="AN241" i="9" a="1"/>
  <c r="AN241" i="9" s="1"/>
  <c r="AM241" i="9" s="1"/>
  <c r="AO241" i="9" s="1"/>
  <c r="AN244" i="9" a="1"/>
  <c r="AN244" i="9" s="1"/>
  <c r="AM244" i="9" s="1"/>
  <c r="AN250" i="9" a="1"/>
  <c r="AN250" i="9" s="1"/>
  <c r="AM250" i="9" s="1"/>
  <c r="AN254" i="9" a="1"/>
  <c r="AN254" i="9" s="1"/>
  <c r="AN257" i="9" a="1"/>
  <c r="AN257" i="9" s="1"/>
  <c r="AN260" i="9" a="1"/>
  <c r="AN260" i="9" s="1"/>
  <c r="AM260" i="9" s="1"/>
  <c r="AO260" i="9" s="1"/>
  <c r="AN266" i="9" a="1"/>
  <c r="AN266" i="9" s="1"/>
  <c r="AM266" i="9" s="1"/>
  <c r="AO266" i="9" s="1"/>
  <c r="AN270" i="9" a="1"/>
  <c r="AN270" i="9" s="1"/>
  <c r="AM270" i="9" s="1"/>
  <c r="AN273" i="9" a="1"/>
  <c r="AN273" i="9" s="1"/>
  <c r="AN276" i="9" a="1"/>
  <c r="AN276" i="9" s="1"/>
  <c r="AN282" i="9" a="1"/>
  <c r="AN282" i="9" s="1"/>
  <c r="AM282" i="9" s="1"/>
  <c r="AN8" i="9" a="1"/>
  <c r="AN8" i="9" s="1"/>
  <c r="AM8" i="9" s="1"/>
  <c r="AN11" i="9" a="1"/>
  <c r="AN11" i="9" s="1"/>
  <c r="AM11" i="9" s="1"/>
  <c r="AN14" i="9" a="1"/>
  <c r="AN14" i="9" s="1"/>
  <c r="AM14" i="9" s="1"/>
  <c r="AN17" i="9" a="1"/>
  <c r="AN17" i="9" s="1"/>
  <c r="AM17" i="9" s="1"/>
  <c r="AN20" i="9" a="1"/>
  <c r="AN20" i="9" s="1"/>
  <c r="AN27" i="9" a="1"/>
  <c r="AN27" i="9" s="1"/>
  <c r="AM27" i="9" s="1"/>
  <c r="AN30" i="9" a="1"/>
  <c r="AN30" i="9" s="1"/>
  <c r="AM30" i="9" s="1"/>
  <c r="AN33" i="9" a="1"/>
  <c r="AN33" i="9" s="1"/>
  <c r="AM33" i="9" s="1"/>
  <c r="AN36" i="9" a="1"/>
  <c r="AN36" i="9" s="1"/>
  <c r="AM36" i="9" s="1"/>
  <c r="AN43" i="9" a="1"/>
  <c r="AN43" i="9" s="1"/>
  <c r="AM43" i="9" s="1"/>
  <c r="AN46" i="9" a="1"/>
  <c r="AN46" i="9" s="1"/>
  <c r="AM46" i="9" s="1"/>
  <c r="AN50" i="9" a="1"/>
  <c r="AN50" i="9" s="1"/>
  <c r="AM50" i="9" s="1"/>
  <c r="AN53" i="9" a="1"/>
  <c r="AN53" i="9" s="1"/>
  <c r="AM53" i="9" s="1"/>
  <c r="AN56" i="9" a="1"/>
  <c r="AN56" i="9" s="1"/>
  <c r="AM56" i="9" s="1"/>
  <c r="AN63" i="9" a="1"/>
  <c r="AN63" i="9" s="1"/>
  <c r="AM63" i="9" s="1"/>
  <c r="AN67" i="9" a="1"/>
  <c r="AN67" i="9" s="1"/>
  <c r="AM67" i="9" s="1"/>
  <c r="AN70" i="9" a="1"/>
  <c r="AN70" i="9" s="1"/>
  <c r="AM70" i="9" s="1"/>
  <c r="AN74" i="9" a="1"/>
  <c r="AN74" i="9" s="1"/>
  <c r="AM74" i="9" s="1"/>
  <c r="AN77" i="9" a="1"/>
  <c r="AN77" i="9" s="1"/>
  <c r="AM77" i="9" s="1"/>
  <c r="AN81" i="9" a="1"/>
  <c r="AN81" i="9" s="1"/>
  <c r="AM81" i="9" s="1"/>
  <c r="AN84" i="9" a="1"/>
  <c r="AN84" i="9" s="1"/>
  <c r="AM84" i="9" s="1"/>
  <c r="AN91" i="9" a="1"/>
  <c r="AN91" i="9" s="1"/>
  <c r="AM91" i="9" s="1"/>
  <c r="AN94" i="9" a="1"/>
  <c r="AN94" i="9" s="1"/>
  <c r="AM94" i="9" s="1"/>
  <c r="AN98" i="9" a="1"/>
  <c r="AN98" i="9" s="1"/>
  <c r="AM98" i="9" s="1"/>
  <c r="AN101" i="9" a="1"/>
  <c r="AN101" i="9" s="1"/>
  <c r="AM101" i="9" s="1"/>
  <c r="AN105" i="9" a="1"/>
  <c r="AN105" i="9" s="1"/>
  <c r="AM105" i="9" s="1"/>
  <c r="AN108" i="9" a="1"/>
  <c r="AN108" i="9" s="1"/>
  <c r="AM108" i="9" s="1"/>
  <c r="AN112" i="9" a="1"/>
  <c r="AN112" i="9" s="1"/>
  <c r="AM112" i="9" s="1"/>
  <c r="AN119" i="9" a="1"/>
  <c r="AN119" i="9" s="1"/>
  <c r="AM119" i="9" s="1"/>
  <c r="AN123" i="9" a="1"/>
  <c r="AN123" i="9" s="1"/>
  <c r="AN126" i="9" a="1"/>
  <c r="AN126" i="9" s="1"/>
  <c r="AM126" i="9" s="1"/>
  <c r="AN130" i="9" a="1"/>
  <c r="AN130" i="9" s="1"/>
  <c r="AM130" i="9" s="1"/>
  <c r="AN133" i="9" a="1"/>
  <c r="AN133" i="9" s="1"/>
  <c r="AM133" i="9" s="1"/>
  <c r="AN136" i="9" a="1"/>
  <c r="AN136" i="9" s="1"/>
  <c r="AN143" i="9" a="1"/>
  <c r="AN143" i="9" s="1"/>
  <c r="AN147" i="9" a="1"/>
  <c r="AN147" i="9" s="1"/>
  <c r="AM147" i="9" s="1"/>
  <c r="AN150" i="9" a="1"/>
  <c r="AN150" i="9" s="1"/>
  <c r="AM150" i="9" s="1"/>
  <c r="AN153" i="9" a="1"/>
  <c r="AN153" i="9" s="1"/>
  <c r="AN156" i="9" a="1"/>
  <c r="AN156" i="9" s="1"/>
  <c r="AN163" i="9" a="1"/>
  <c r="AN163" i="9" s="1"/>
  <c r="AM163" i="9" s="1"/>
  <c r="AN166" i="9" a="1"/>
  <c r="AN166" i="9" s="1"/>
  <c r="AN169" i="9" a="1"/>
  <c r="AN169" i="9" s="1"/>
  <c r="AN172" i="9" a="1"/>
  <c r="AN172" i="9" s="1"/>
  <c r="AM172" i="9" s="1"/>
  <c r="AN175" i="9" a="1"/>
  <c r="AN175" i="9" s="1"/>
  <c r="AM175" i="9" s="1"/>
  <c r="AO175" i="9" s="1"/>
  <c r="AN181" i="9" a="1"/>
  <c r="AN181" i="9" s="1"/>
  <c r="AN184" i="9" a="1"/>
  <c r="AN184" i="9" s="1"/>
  <c r="AN187" i="9" a="1"/>
  <c r="AN187" i="9" s="1"/>
  <c r="AN191" i="9" a="1"/>
  <c r="AN191" i="9" s="1"/>
  <c r="AM191" i="9" s="1"/>
  <c r="AN197" i="9" a="1"/>
  <c r="AN197" i="9" s="1"/>
  <c r="AN200" i="9" a="1"/>
  <c r="AN200" i="9" s="1"/>
  <c r="AN203" i="9" a="1"/>
  <c r="AN203" i="9" s="1"/>
  <c r="AM203" i="9" s="1"/>
  <c r="AO203" i="9" s="1"/>
  <c r="AN207" i="9" a="1"/>
  <c r="AN207" i="9" s="1"/>
  <c r="AM207" i="9" s="1"/>
  <c r="AO207" i="9" s="1"/>
  <c r="AN213" i="9" a="1"/>
  <c r="AN213" i="9" s="1"/>
  <c r="AN216" i="9" a="1"/>
  <c r="AN216" i="9" s="1"/>
  <c r="AN219" i="9" a="1"/>
  <c r="AN219" i="9" s="1"/>
  <c r="AM219" i="9" s="1"/>
  <c r="AN223" i="9" a="1"/>
  <c r="AN223" i="9" s="1"/>
  <c r="AM223" i="9" s="1"/>
  <c r="AN229" i="9" a="1"/>
  <c r="AN229" i="9" s="1"/>
  <c r="AM229" i="9" s="1"/>
  <c r="AO229" i="9" s="1"/>
  <c r="AN232" i="9" a="1"/>
  <c r="AN232" i="9" s="1"/>
  <c r="AN235" i="9" a="1"/>
  <c r="AN235" i="9" s="1"/>
  <c r="AN239" i="9" a="1"/>
  <c r="AN239" i="9" s="1"/>
  <c r="AM239" i="9" s="1"/>
  <c r="AO239" i="9" s="1"/>
  <c r="AN245" i="9" a="1"/>
  <c r="AN245" i="9" s="1"/>
  <c r="AN248" i="9" a="1"/>
  <c r="AN248" i="9" s="1"/>
  <c r="AN251" i="9" a="1"/>
  <c r="AN251" i="9" s="1"/>
  <c r="AM251" i="9" s="1"/>
  <c r="AO251" i="9" s="1"/>
  <c r="AN255" i="9" a="1"/>
  <c r="AN255" i="9" s="1"/>
  <c r="AM255" i="9" s="1"/>
  <c r="AN261" i="9" a="1"/>
  <c r="AN261" i="9" s="1"/>
  <c r="AN264" i="9" a="1"/>
  <c r="AN264" i="9" s="1"/>
  <c r="AN267" i="9" a="1"/>
  <c r="AN267" i="9" s="1"/>
  <c r="AM267" i="9" s="1"/>
  <c r="AN271" i="9" a="1"/>
  <c r="AN271" i="9" s="1"/>
  <c r="AM271" i="9" s="1"/>
  <c r="AO271" i="9" s="1"/>
  <c r="AN9" i="9" a="1"/>
  <c r="AN9" i="9" s="1"/>
  <c r="AM9" i="9" s="1"/>
  <c r="AN21" i="9" a="1"/>
  <c r="AN21" i="9" s="1"/>
  <c r="AM21" i="9" s="1"/>
  <c r="J24" i="10" s="1"/>
  <c r="AN34" i="9" a="1"/>
  <c r="AN34" i="9" s="1"/>
  <c r="AM34" i="9" s="1"/>
  <c r="AN47" i="9" a="1"/>
  <c r="AN47" i="9" s="1"/>
  <c r="AM47" i="9" s="1"/>
  <c r="AN60" i="9" a="1"/>
  <c r="AN60" i="9" s="1"/>
  <c r="AM60" i="9" s="1"/>
  <c r="AN75" i="9" a="1"/>
  <c r="AN75" i="9" s="1"/>
  <c r="AN88" i="9" a="1"/>
  <c r="AN88" i="9" s="1"/>
  <c r="AM88" i="9" s="1"/>
  <c r="AN102" i="9" a="1"/>
  <c r="AN102" i="9" s="1"/>
  <c r="AM102" i="9" s="1"/>
  <c r="AN116" i="9" a="1"/>
  <c r="AN116" i="9" s="1"/>
  <c r="AM116" i="9" s="1"/>
  <c r="AN131" i="9" a="1"/>
  <c r="AN131" i="9" s="1"/>
  <c r="AN144" i="9" a="1"/>
  <c r="AN144" i="9" s="1"/>
  <c r="AN157" i="9" a="1"/>
  <c r="AN157" i="9" s="1"/>
  <c r="AM157" i="9" s="1"/>
  <c r="AN170" i="9" a="1"/>
  <c r="AN170" i="9" s="1"/>
  <c r="AN182" i="9" a="1"/>
  <c r="AN182" i="9" s="1"/>
  <c r="AN194" i="9" a="1"/>
  <c r="AN194" i="9" s="1"/>
  <c r="AN220" i="9" a="1"/>
  <c r="AN220" i="9" s="1"/>
  <c r="AM220" i="9" s="1"/>
  <c r="AN233" i="9" a="1"/>
  <c r="AN233" i="9" s="1"/>
  <c r="AN246" i="9" a="1"/>
  <c r="AN246" i="9" s="1"/>
  <c r="AN258" i="9" a="1"/>
  <c r="AN258" i="9" s="1"/>
  <c r="AN278" i="9" a="1"/>
  <c r="AN278" i="9" s="1"/>
  <c r="AM278" i="9" s="1"/>
  <c r="AN283" i="9" a="1"/>
  <c r="AN283" i="9" s="1"/>
  <c r="AN287" i="9" a="1"/>
  <c r="AN287" i="9" s="1"/>
  <c r="AN293" i="9" a="1"/>
  <c r="AN293" i="9" s="1"/>
  <c r="AN296" i="9" a="1"/>
  <c r="AN296" i="9" s="1"/>
  <c r="AM296" i="9" s="1"/>
  <c r="AO296" i="9" s="1"/>
  <c r="AN299" i="9" a="1"/>
  <c r="AN299" i="9" s="1"/>
  <c r="AM299" i="9" s="1"/>
  <c r="AO299" i="9" s="1"/>
  <c r="AN303" i="9" a="1"/>
  <c r="AN303" i="9" s="1"/>
  <c r="AN306" i="9" a="1"/>
  <c r="AN306" i="9" s="1"/>
  <c r="AM306" i="9" s="1"/>
  <c r="AN309" i="9" a="1"/>
  <c r="AN309" i="9" s="1"/>
  <c r="AM309" i="9" s="1"/>
  <c r="AN312" i="9" a="1"/>
  <c r="AN312" i="9" s="1"/>
  <c r="AN319" i="9" a="1"/>
  <c r="AN319" i="9" s="1"/>
  <c r="AN322" i="9" a="1"/>
  <c r="AN322" i="9" s="1"/>
  <c r="AN325" i="9" a="1"/>
  <c r="AN325" i="9" s="1"/>
  <c r="AM325" i="9" s="1"/>
  <c r="AN328" i="9" a="1"/>
  <c r="AN328" i="9" s="1"/>
  <c r="AN335" i="9" a="1"/>
  <c r="AN335" i="9" s="1"/>
  <c r="AN338" i="9" a="1"/>
  <c r="AN338" i="9" s="1"/>
  <c r="AM338" i="9" s="1"/>
  <c r="AO338" i="9" s="1"/>
  <c r="AN341" i="9" a="1"/>
  <c r="AN341" i="9" s="1"/>
  <c r="AM341" i="9" s="1"/>
  <c r="AN344" i="9" a="1"/>
  <c r="AN344" i="9" s="1"/>
  <c r="AM344" i="9" s="1"/>
  <c r="AN351" i="9" a="1"/>
  <c r="AN351" i="9" s="1"/>
  <c r="AN354" i="9" a="1"/>
  <c r="AN354" i="9" s="1"/>
  <c r="AN357" i="9" a="1"/>
  <c r="AN357" i="9" s="1"/>
  <c r="AM357" i="9" s="1"/>
  <c r="AN360" i="9" a="1"/>
  <c r="AN360" i="9" s="1"/>
  <c r="AN367" i="9" a="1"/>
  <c r="AN367" i="9" s="1"/>
  <c r="AN370" i="9" a="1"/>
  <c r="AN370" i="9" s="1"/>
  <c r="AN373" i="9" a="1"/>
  <c r="AN373" i="9" s="1"/>
  <c r="AM373" i="9" s="1"/>
  <c r="AN376" i="9" a="1"/>
  <c r="AN376" i="9" s="1"/>
  <c r="AN383" i="9" a="1"/>
  <c r="AN383" i="9" s="1"/>
  <c r="AN386" i="9" a="1"/>
  <c r="AN386" i="9" s="1"/>
  <c r="AM386" i="9" s="1"/>
  <c r="AO386" i="9" s="1"/>
  <c r="AN389" i="9" a="1"/>
  <c r="AN389" i="9" s="1"/>
  <c r="AM389" i="9" s="1"/>
  <c r="AN392" i="9" a="1"/>
  <c r="AN392" i="9" s="1"/>
  <c r="AN399" i="9" a="1"/>
  <c r="AN399" i="9" s="1"/>
  <c r="AN402" i="9" a="1"/>
  <c r="AN402" i="9" s="1"/>
  <c r="AN405" i="9" a="1"/>
  <c r="AN405" i="9" s="1"/>
  <c r="AM405" i="9" s="1"/>
  <c r="AN408" i="9" a="1"/>
  <c r="AN408" i="9" s="1"/>
  <c r="AN415" i="9" a="1"/>
  <c r="AN415" i="9" s="1"/>
  <c r="AN418" i="9" a="1"/>
  <c r="AN418" i="9" s="1"/>
  <c r="AN421" i="9" a="1"/>
  <c r="AN421" i="9" s="1"/>
  <c r="AM421" i="9" s="1"/>
  <c r="AN424" i="9" a="1"/>
  <c r="AN424" i="9" s="1"/>
  <c r="AN431" i="9" a="1"/>
  <c r="AN431" i="9" s="1"/>
  <c r="AN434" i="9" a="1"/>
  <c r="AN434" i="9" s="1"/>
  <c r="AN437" i="9" a="1"/>
  <c r="AN437" i="9" s="1"/>
  <c r="AM437" i="9" s="1"/>
  <c r="AN440" i="9" a="1"/>
  <c r="AN440" i="9" s="1"/>
  <c r="AN447" i="9" a="1"/>
  <c r="AN447" i="9" s="1"/>
  <c r="AN450" i="9" a="1"/>
  <c r="AN450" i="9" s="1"/>
  <c r="AM450" i="9" s="1"/>
  <c r="AO450" i="9" s="1"/>
  <c r="AN453" i="9" a="1"/>
  <c r="AN453" i="9" s="1"/>
  <c r="AN456" i="9" a="1"/>
  <c r="AN456" i="9" s="1"/>
  <c r="AN463" i="9" a="1"/>
  <c r="AN463" i="9" s="1"/>
  <c r="AN466" i="9" a="1"/>
  <c r="AN466" i="9" s="1"/>
  <c r="AM466" i="9" s="1"/>
  <c r="AN469" i="9" a="1"/>
  <c r="AN469" i="9" s="1"/>
  <c r="AM469" i="9" s="1"/>
  <c r="AN472" i="9" a="1"/>
  <c r="AN472" i="9" s="1"/>
  <c r="AM472" i="9" s="1"/>
  <c r="AO472" i="9" s="1"/>
  <c r="AN479" i="9" a="1"/>
  <c r="AN479" i="9" s="1"/>
  <c r="AN482" i="9" a="1"/>
  <c r="AN482" i="9" s="1"/>
  <c r="AN24" i="9" a="1"/>
  <c r="AN24" i="9" s="1"/>
  <c r="AM24" i="9" s="1"/>
  <c r="AN37" i="9" a="1"/>
  <c r="AN37" i="9" s="1"/>
  <c r="AM37" i="9" s="1"/>
  <c r="AN51" i="9" a="1"/>
  <c r="AN51" i="9" s="1"/>
  <c r="AM51" i="9" s="1"/>
  <c r="AN64" i="9" a="1"/>
  <c r="AN64" i="9" s="1"/>
  <c r="AM64" i="9" s="1"/>
  <c r="AN78" i="9" a="1"/>
  <c r="AN78" i="9" s="1"/>
  <c r="AM78" i="9" s="1"/>
  <c r="AN106" i="9" a="1"/>
  <c r="AN106" i="9" s="1"/>
  <c r="AM106" i="9" s="1"/>
  <c r="AN120" i="9" a="1"/>
  <c r="AN120" i="9" s="1"/>
  <c r="AN134" i="9" a="1"/>
  <c r="AN134" i="9" s="1"/>
  <c r="AN160" i="9" a="1"/>
  <c r="AN160" i="9" s="1"/>
  <c r="AN173" i="9" a="1"/>
  <c r="AN173" i="9" s="1"/>
  <c r="AN185" i="9" a="1"/>
  <c r="AN185" i="9" s="1"/>
  <c r="AN198" i="9" a="1"/>
  <c r="AN198" i="9" s="1"/>
  <c r="AM198" i="9" s="1"/>
  <c r="AO198" i="9" s="1"/>
  <c r="AN210" i="9" a="1"/>
  <c r="AN210" i="9" s="1"/>
  <c r="AM210" i="9" s="1"/>
  <c r="AN236" i="9" a="1"/>
  <c r="AN236" i="9" s="1"/>
  <c r="AN249" i="9" a="1"/>
  <c r="AN249" i="9" s="1"/>
  <c r="AN262" i="9" a="1"/>
  <c r="AN262" i="9" s="1"/>
  <c r="AM262" i="9" s="1"/>
  <c r="AO262" i="9" s="1"/>
  <c r="AN280" i="9" a="1"/>
  <c r="AN280" i="9" s="1"/>
  <c r="AM280" i="9" s="1"/>
  <c r="AN284" i="9" a="1"/>
  <c r="AN284" i="9" s="1"/>
  <c r="AM284" i="9" s="1"/>
  <c r="AO284" i="9" s="1"/>
  <c r="AN290" i="9" a="1"/>
  <c r="AN290" i="9" s="1"/>
  <c r="AN294" i="9" a="1"/>
  <c r="AN294" i="9" s="1"/>
  <c r="AM294" i="9" s="1"/>
  <c r="AO294" i="9" s="1"/>
  <c r="AN297" i="9" a="1"/>
  <c r="AN297" i="9" s="1"/>
  <c r="AM297" i="9" s="1"/>
  <c r="AN300" i="9" a="1"/>
  <c r="AN300" i="9" s="1"/>
  <c r="AN307" i="9" a="1"/>
  <c r="AN307" i="9" s="1"/>
  <c r="AN310" i="9" a="1"/>
  <c r="AN310" i="9" s="1"/>
  <c r="AN313" i="9" a="1"/>
  <c r="AN313" i="9" s="1"/>
  <c r="AM313" i="9" s="1"/>
  <c r="AN316" i="9" a="1"/>
  <c r="AN316" i="9" s="1"/>
  <c r="AN323" i="9" a="1"/>
  <c r="AN323" i="9" s="1"/>
  <c r="AN326" i="9" a="1"/>
  <c r="AN326" i="9" s="1"/>
  <c r="AN329" i="9" a="1"/>
  <c r="AN329" i="9" s="1"/>
  <c r="AM329" i="9" s="1"/>
  <c r="AN332" i="9" a="1"/>
  <c r="AN332" i="9" s="1"/>
  <c r="AN339" i="9" a="1"/>
  <c r="AN339" i="9" s="1"/>
  <c r="AN342" i="9" a="1"/>
  <c r="AN342" i="9" s="1"/>
  <c r="AN345" i="9" a="1"/>
  <c r="AN345" i="9" s="1"/>
  <c r="AM345" i="9" s="1"/>
  <c r="AO345" i="9" s="1"/>
  <c r="AN348" i="9" a="1"/>
  <c r="AN348" i="9" s="1"/>
  <c r="AN355" i="9" a="1"/>
  <c r="AN355" i="9" s="1"/>
  <c r="AN358" i="9" a="1"/>
  <c r="AN358" i="9" s="1"/>
  <c r="AN361" i="9" a="1"/>
  <c r="AN361" i="9" s="1"/>
  <c r="AM361" i="9" s="1"/>
  <c r="AN364" i="9" a="1"/>
  <c r="AN364" i="9" s="1"/>
  <c r="AN371" i="9" a="1"/>
  <c r="AN371" i="9" s="1"/>
  <c r="AN374" i="9" a="1"/>
  <c r="AN374" i="9" s="1"/>
  <c r="AN377" i="9" a="1"/>
  <c r="AN377" i="9" s="1"/>
  <c r="AM377" i="9" s="1"/>
  <c r="AN380" i="9" a="1"/>
  <c r="AN380" i="9" s="1"/>
  <c r="AN387" i="9" a="1"/>
  <c r="AN387" i="9" s="1"/>
  <c r="AM387" i="9" s="1"/>
  <c r="AO387" i="9" s="1"/>
  <c r="AN390" i="9" a="1"/>
  <c r="AN390" i="9" s="1"/>
  <c r="AN393" i="9" a="1"/>
  <c r="AN393" i="9" s="1"/>
  <c r="AN396" i="9" a="1"/>
  <c r="AN396" i="9" s="1"/>
  <c r="AN403" i="9" a="1"/>
  <c r="AN403" i="9" s="1"/>
  <c r="AN406" i="9" a="1"/>
  <c r="AN406" i="9" s="1"/>
  <c r="AM406" i="9" s="1"/>
  <c r="AO406" i="9" s="1"/>
  <c r="AN409" i="9" a="1"/>
  <c r="AN409" i="9" s="1"/>
  <c r="AN412" i="9" a="1"/>
  <c r="AN412" i="9" s="1"/>
  <c r="AN419" i="9" a="1"/>
  <c r="AN419" i="9" s="1"/>
  <c r="AN422" i="9" a="1"/>
  <c r="AN422" i="9" s="1"/>
  <c r="AN425" i="9" a="1"/>
  <c r="AN425" i="9" s="1"/>
  <c r="AM425" i="9" s="1"/>
  <c r="AN428" i="9" a="1"/>
  <c r="AN428" i="9" s="1"/>
  <c r="AN435" i="9" a="1"/>
  <c r="AN435" i="9" s="1"/>
  <c r="AM435" i="9" s="1"/>
  <c r="AN438" i="9" a="1"/>
  <c r="AN438" i="9" s="1"/>
  <c r="AM438" i="9" s="1"/>
  <c r="AO438" i="9" s="1"/>
  <c r="AN441" i="9" a="1"/>
  <c r="AN441" i="9" s="1"/>
  <c r="AN444" i="9" a="1"/>
  <c r="AN444" i="9" s="1"/>
  <c r="AN451" i="9" a="1"/>
  <c r="AN451" i="9" s="1"/>
  <c r="AN454" i="9" a="1"/>
  <c r="AN454" i="9" s="1"/>
  <c r="AN457" i="9" a="1"/>
  <c r="AN457" i="9" s="1"/>
  <c r="AN460" i="9" a="1"/>
  <c r="AN460" i="9" s="1"/>
  <c r="AN467" i="9" a="1"/>
  <c r="AN467" i="9" s="1"/>
  <c r="AN470" i="9" a="1"/>
  <c r="AN470" i="9" s="1"/>
  <c r="AM470" i="9" s="1"/>
  <c r="AO470" i="9" s="1"/>
  <c r="AN473" i="9" a="1"/>
  <c r="AN473" i="9" s="1"/>
  <c r="AN476" i="9" a="1"/>
  <c r="AN476" i="9" s="1"/>
  <c r="AN483" i="9" a="1"/>
  <c r="AN483" i="9" s="1"/>
  <c r="AN486" i="9" a="1"/>
  <c r="AN486" i="9" s="1"/>
  <c r="AN489" i="9" a="1"/>
  <c r="AN489" i="9" s="1"/>
  <c r="AM489" i="9" s="1"/>
  <c r="AN492" i="9" a="1"/>
  <c r="AN492" i="9" s="1"/>
  <c r="AN499" i="9" a="1"/>
  <c r="AN499" i="9" s="1"/>
  <c r="AN502" i="9" a="1"/>
  <c r="AN502" i="9" s="1"/>
  <c r="AN505" i="9" a="1"/>
  <c r="AN505" i="9" s="1"/>
  <c r="AN508" i="9" a="1"/>
  <c r="AN508" i="9" s="1"/>
  <c r="AN515" i="9" a="1"/>
  <c r="AN515" i="9" s="1"/>
  <c r="AN518" i="9" a="1"/>
  <c r="AN518" i="9" s="1"/>
  <c r="AM518" i="9" s="1"/>
  <c r="AO518" i="9" s="1"/>
  <c r="AN521" i="9" a="1"/>
  <c r="AN521" i="9" s="1"/>
  <c r="AN524" i="9" a="1"/>
  <c r="AN524" i="9" s="1"/>
  <c r="AN531" i="9" a="1"/>
  <c r="AN531" i="9" s="1"/>
  <c r="AN15" i="9" a="1"/>
  <c r="AN15" i="9" s="1"/>
  <c r="AM15" i="9" s="1"/>
  <c r="AN40" i="9" a="1"/>
  <c r="AN40" i="9" s="1"/>
  <c r="AM40" i="9" s="1"/>
  <c r="AN54" i="9" a="1"/>
  <c r="AN54" i="9" s="1"/>
  <c r="AM54" i="9" s="1"/>
  <c r="AN82" i="9" a="1"/>
  <c r="AN82" i="9" s="1"/>
  <c r="AM82" i="9" s="1"/>
  <c r="AN95" i="9" a="1"/>
  <c r="AN95" i="9" s="1"/>
  <c r="AM95" i="9" s="1"/>
  <c r="AN109" i="9" a="1"/>
  <c r="AN109" i="9" s="1"/>
  <c r="AN137" i="9" a="1"/>
  <c r="AN137" i="9" s="1"/>
  <c r="AN151" i="9" a="1"/>
  <c r="AN151" i="9" s="1"/>
  <c r="AN188" i="9" a="1"/>
  <c r="AN188" i="9" s="1"/>
  <c r="AM188" i="9" s="1"/>
  <c r="AO188" i="9" s="1"/>
  <c r="AN201" i="9" a="1"/>
  <c r="AN201" i="9" s="1"/>
  <c r="AN214" i="9" a="1"/>
  <c r="AN214" i="9" s="1"/>
  <c r="AN226" i="9" a="1"/>
  <c r="AN226" i="9" s="1"/>
  <c r="AN252" i="9" a="1"/>
  <c r="AN252" i="9" s="1"/>
  <c r="AN265" i="9" a="1"/>
  <c r="AN265" i="9" s="1"/>
  <c r="AN274" i="9" a="1"/>
  <c r="AN274" i="9" s="1"/>
  <c r="AN281" i="9" a="1"/>
  <c r="AN281" i="9" s="1"/>
  <c r="AN285" i="9" a="1"/>
  <c r="AN285" i="9" s="1"/>
  <c r="AN288" i="9" a="1"/>
  <c r="AN288" i="9" s="1"/>
  <c r="AN291" i="9" a="1"/>
  <c r="AN291" i="9" s="1"/>
  <c r="AN295" i="9" a="1"/>
  <c r="AN295" i="9" s="1"/>
  <c r="AN301" i="9" a="1"/>
  <c r="AN301" i="9" s="1"/>
  <c r="AM301" i="9" s="1"/>
  <c r="AN304" i="9" a="1"/>
  <c r="AN304" i="9" s="1"/>
  <c r="AN311" i="9" a="1"/>
  <c r="AN311" i="9" s="1"/>
  <c r="AN314" i="9" a="1"/>
  <c r="AN314" i="9" s="1"/>
  <c r="AN317" i="9" a="1"/>
  <c r="AN317" i="9" s="1"/>
  <c r="AM317" i="9" s="1"/>
  <c r="AO317" i="9" s="1"/>
  <c r="AN320" i="9" a="1"/>
  <c r="AN320" i="9" s="1"/>
  <c r="AN327" i="9" a="1"/>
  <c r="AN327" i="9" s="1"/>
  <c r="AN330" i="9" a="1"/>
  <c r="AN330" i="9" s="1"/>
  <c r="AN333" i="9" a="1"/>
  <c r="AN333" i="9" s="1"/>
  <c r="AN336" i="9" a="1"/>
  <c r="AN336" i="9" s="1"/>
  <c r="AN343" i="9" a="1"/>
  <c r="AN343" i="9" s="1"/>
  <c r="AN346" i="9" a="1"/>
  <c r="AN346" i="9" s="1"/>
  <c r="AN349" i="9" a="1"/>
  <c r="AN349" i="9" s="1"/>
  <c r="AN352" i="9" a="1"/>
  <c r="AN352" i="9" s="1"/>
  <c r="AN359" i="9" a="1"/>
  <c r="AN359" i="9" s="1"/>
  <c r="AN362" i="9" a="1"/>
  <c r="AN362" i="9" s="1"/>
  <c r="AN365" i="9" a="1"/>
  <c r="AN365" i="9" s="1"/>
  <c r="AN368" i="9" a="1"/>
  <c r="AN368" i="9" s="1"/>
  <c r="AN375" i="9" a="1"/>
  <c r="AN375" i="9" s="1"/>
  <c r="AN378" i="9" a="1"/>
  <c r="AN378" i="9" s="1"/>
  <c r="AN381" i="9" a="1"/>
  <c r="AN381" i="9" s="1"/>
  <c r="AN384" i="9" a="1"/>
  <c r="AN384" i="9" s="1"/>
  <c r="AN391" i="9" a="1"/>
  <c r="AN391" i="9" s="1"/>
  <c r="AN394" i="9" a="1"/>
  <c r="AN394" i="9" s="1"/>
  <c r="AN397" i="9" a="1"/>
  <c r="AN397" i="9" s="1"/>
  <c r="AN400" i="9" a="1"/>
  <c r="AN400" i="9" s="1"/>
  <c r="AN407" i="9" a="1"/>
  <c r="AN407" i="9" s="1"/>
  <c r="AN410" i="9" a="1"/>
  <c r="AN410" i="9" s="1"/>
  <c r="AN413" i="9" a="1"/>
  <c r="AN413" i="9" s="1"/>
  <c r="AN18" i="9" a="1"/>
  <c r="AN18" i="9" s="1"/>
  <c r="AM18" i="9" s="1"/>
  <c r="AN71" i="9" a="1"/>
  <c r="AN71" i="9" s="1"/>
  <c r="AM71" i="9" s="1"/>
  <c r="AN127" i="9" a="1"/>
  <c r="AN127" i="9" s="1"/>
  <c r="AN178" i="9" a="1"/>
  <c r="AN178" i="9" s="1"/>
  <c r="AN230" i="9" a="1"/>
  <c r="AN230" i="9" s="1"/>
  <c r="AN277" i="9" a="1"/>
  <c r="AN277" i="9" s="1"/>
  <c r="AM277" i="9" s="1"/>
  <c r="AN292" i="9" a="1"/>
  <c r="AN292" i="9" s="1"/>
  <c r="AN305" i="9" a="1"/>
  <c r="AN305" i="9" s="1"/>
  <c r="AN318" i="9" a="1"/>
  <c r="AN318" i="9" s="1"/>
  <c r="AN331" i="9" a="1"/>
  <c r="AN331" i="9" s="1"/>
  <c r="AN356" i="9" a="1"/>
  <c r="AN356" i="9" s="1"/>
  <c r="AN369" i="9" a="1"/>
  <c r="AN369" i="9" s="1"/>
  <c r="AN382" i="9" a="1"/>
  <c r="AN382" i="9" s="1"/>
  <c r="AN395" i="9" a="1"/>
  <c r="AN395" i="9" s="1"/>
  <c r="AM395" i="9" s="1"/>
  <c r="AO395" i="9" s="1"/>
  <c r="AN417" i="9" a="1"/>
  <c r="AN417" i="9" s="1"/>
  <c r="AN430" i="9" a="1"/>
  <c r="AN430" i="9" s="1"/>
  <c r="AN436" i="9" a="1"/>
  <c r="AN436" i="9" s="1"/>
  <c r="AN443" i="9" a="1"/>
  <c r="AN443" i="9" s="1"/>
  <c r="AN449" i="9" a="1"/>
  <c r="AN449" i="9" s="1"/>
  <c r="AN462" i="9" a="1"/>
  <c r="AN462" i="9" s="1"/>
  <c r="AN468" i="9" a="1"/>
  <c r="AN468" i="9" s="1"/>
  <c r="AN475" i="9" a="1"/>
  <c r="AN475" i="9" s="1"/>
  <c r="AN481" i="9" a="1"/>
  <c r="AN481" i="9" s="1"/>
  <c r="AN487" i="9" a="1"/>
  <c r="AN487" i="9" s="1"/>
  <c r="AN491" i="9" a="1"/>
  <c r="AN491" i="9" s="1"/>
  <c r="AN495" i="9" a="1"/>
  <c r="AN495" i="9" s="1"/>
  <c r="AN512" i="9" a="1"/>
  <c r="AN512" i="9" s="1"/>
  <c r="AN516" i="9" a="1"/>
  <c r="AN516" i="9" s="1"/>
  <c r="AN520" i="9" a="1"/>
  <c r="AN520" i="9" s="1"/>
  <c r="AN525" i="9" a="1"/>
  <c r="AN525" i="9" s="1"/>
  <c r="AM525" i="9" s="1"/>
  <c r="AO525" i="9" s="1"/>
  <c r="AN529" i="9" a="1"/>
  <c r="AN529" i="9" s="1"/>
  <c r="AN533" i="9" a="1"/>
  <c r="AN533" i="9" s="1"/>
  <c r="AN536" i="9" a="1"/>
  <c r="AN536" i="9" s="1"/>
  <c r="AN543" i="9" a="1"/>
  <c r="AN543" i="9" s="1"/>
  <c r="AN546" i="9" a="1"/>
  <c r="AN546" i="9" s="1"/>
  <c r="AN549" i="9" a="1"/>
  <c r="AN549" i="9" s="1"/>
  <c r="AN552" i="9" a="1"/>
  <c r="AN552" i="9" s="1"/>
  <c r="AN559" i="9" a="1"/>
  <c r="AN559" i="9" s="1"/>
  <c r="AN562" i="9" a="1"/>
  <c r="AN562" i="9" s="1"/>
  <c r="AN565" i="9" a="1"/>
  <c r="AN565" i="9" s="1"/>
  <c r="AN568" i="9" a="1"/>
  <c r="AN568" i="9" s="1"/>
  <c r="AN575" i="9" a="1"/>
  <c r="AN575" i="9" s="1"/>
  <c r="AN578" i="9" a="1"/>
  <c r="AN578" i="9" s="1"/>
  <c r="AN581" i="9" a="1"/>
  <c r="AN581" i="9" s="1"/>
  <c r="AN584" i="9" a="1"/>
  <c r="AN584" i="9" s="1"/>
  <c r="AN591" i="9" a="1"/>
  <c r="AN591" i="9" s="1"/>
  <c r="AN594" i="9" a="1"/>
  <c r="AN594" i="9" s="1"/>
  <c r="AN597" i="9" a="1"/>
  <c r="AN597" i="9" s="1"/>
  <c r="AN600" i="9" a="1"/>
  <c r="AN600" i="9" s="1"/>
  <c r="AN607" i="9" a="1"/>
  <c r="AN607" i="9" s="1"/>
  <c r="AN610" i="9" a="1"/>
  <c r="AN610" i="9" s="1"/>
  <c r="AN623" i="9" a="1"/>
  <c r="AN623" i="9" s="1"/>
  <c r="AN626" i="9" a="1"/>
  <c r="AN626" i="9" s="1"/>
  <c r="AN631" i="9" a="1"/>
  <c r="AN631" i="9" s="1"/>
  <c r="AN634" i="9" a="1"/>
  <c r="AN634" i="9" s="1"/>
  <c r="AN639" i="9" a="1"/>
  <c r="AN639" i="9" s="1"/>
  <c r="AN642" i="9" a="1"/>
  <c r="AN642" i="9" s="1"/>
  <c r="AN647" i="9" a="1"/>
  <c r="AN647" i="9" s="1"/>
  <c r="AN650" i="9" a="1"/>
  <c r="AN650" i="9" s="1"/>
  <c r="AN655" i="9" a="1"/>
  <c r="AN655" i="9" s="1"/>
  <c r="AN658" i="9" a="1"/>
  <c r="AN658" i="9" s="1"/>
  <c r="AN663" i="9" a="1"/>
  <c r="AN663" i="9" s="1"/>
  <c r="AN666" i="9" a="1"/>
  <c r="AN666" i="9" s="1"/>
  <c r="AN31" i="9" a="1"/>
  <c r="AN31" i="9" s="1"/>
  <c r="AM31" i="9" s="1"/>
  <c r="AN85" i="9" a="1"/>
  <c r="AN85" i="9" s="1"/>
  <c r="AM85" i="9" s="1"/>
  <c r="AN140" i="9" a="1"/>
  <c r="AN140" i="9" s="1"/>
  <c r="AN242" i="9" a="1"/>
  <c r="AN242" i="9" s="1"/>
  <c r="AN308" i="9" a="1"/>
  <c r="AN308" i="9" s="1"/>
  <c r="AN321" i="9" a="1"/>
  <c r="AN321" i="9" s="1"/>
  <c r="AN334" i="9" a="1"/>
  <c r="AN334" i="9" s="1"/>
  <c r="AN347" i="9" a="1"/>
  <c r="AN347" i="9" s="1"/>
  <c r="AN372" i="9" a="1"/>
  <c r="AN372" i="9" s="1"/>
  <c r="AN385" i="9" a="1"/>
  <c r="AN385" i="9" s="1"/>
  <c r="AN398" i="9" a="1"/>
  <c r="AN398" i="9" s="1"/>
  <c r="AN411" i="9" a="1"/>
  <c r="AN411" i="9" s="1"/>
  <c r="AN426" i="9" a="1"/>
  <c r="AN426" i="9" s="1"/>
  <c r="AN432" i="9" a="1"/>
  <c r="AN432" i="9" s="1"/>
  <c r="AN439" i="9" a="1"/>
  <c r="AN439" i="9" s="1"/>
  <c r="AN445" i="9" a="1"/>
  <c r="AN445" i="9" s="1"/>
  <c r="AN458" i="9" a="1"/>
  <c r="AN458" i="9" s="1"/>
  <c r="AN464" i="9" a="1"/>
  <c r="AN464" i="9" s="1"/>
  <c r="AN471" i="9" a="1"/>
  <c r="AN471" i="9" s="1"/>
  <c r="AN477" i="9" a="1"/>
  <c r="AN477" i="9" s="1"/>
  <c r="AN496" i="9" a="1"/>
  <c r="AN496" i="9" s="1"/>
  <c r="AN500" i="9" a="1"/>
  <c r="AN500" i="9" s="1"/>
  <c r="AN504" i="9" a="1"/>
  <c r="AN504" i="9" s="1"/>
  <c r="AN509" i="9" a="1"/>
  <c r="AN509" i="9" s="1"/>
  <c r="AN513" i="9" a="1"/>
  <c r="AN513" i="9" s="1"/>
  <c r="AN517" i="9" a="1"/>
  <c r="AN517" i="9" s="1"/>
  <c r="AN522" i="9" a="1"/>
  <c r="AN522" i="9" s="1"/>
  <c r="AN526" i="9" a="1"/>
  <c r="AN526" i="9" s="1"/>
  <c r="AN530" i="9" a="1"/>
  <c r="AN530" i="9" s="1"/>
  <c r="AN534" i="9" a="1"/>
  <c r="AN534" i="9" s="1"/>
  <c r="AN537" i="9" a="1"/>
  <c r="AN537" i="9" s="1"/>
  <c r="AN540" i="9" a="1"/>
  <c r="AN540" i="9" s="1"/>
  <c r="AN547" i="9" a="1"/>
  <c r="AN547" i="9" s="1"/>
  <c r="AN550" i="9" a="1"/>
  <c r="AN550" i="9" s="1"/>
  <c r="AN553" i="9" a="1"/>
  <c r="AN553" i="9" s="1"/>
  <c r="AN556" i="9" a="1"/>
  <c r="AN556" i="9" s="1"/>
  <c r="AN563" i="9" a="1"/>
  <c r="AN563" i="9" s="1"/>
  <c r="AN566" i="9" a="1"/>
  <c r="AN566" i="9" s="1"/>
  <c r="AN569" i="9" a="1"/>
  <c r="AN569" i="9" s="1"/>
  <c r="AN572" i="9" a="1"/>
  <c r="AN572" i="9" s="1"/>
  <c r="AN579" i="9" a="1"/>
  <c r="AN579" i="9" s="1"/>
  <c r="AN582" i="9" a="1"/>
  <c r="AN582" i="9" s="1"/>
  <c r="AN585" i="9" a="1"/>
  <c r="AN585" i="9" s="1"/>
  <c r="AN588" i="9" a="1"/>
  <c r="AN588" i="9" s="1"/>
  <c r="AN595" i="9" a="1"/>
  <c r="AN595" i="9" s="1"/>
  <c r="AN598" i="9" a="1"/>
  <c r="AN598" i="9" s="1"/>
  <c r="AN601" i="9" a="1"/>
  <c r="AN601" i="9" s="1"/>
  <c r="AN604" i="9" a="1"/>
  <c r="AN604" i="9" s="1"/>
  <c r="AN611" i="9" a="1"/>
  <c r="AN611" i="9" s="1"/>
  <c r="AN613" i="9" a="1"/>
  <c r="AN613" i="9" s="1"/>
  <c r="AN99" i="9" a="1"/>
  <c r="AN99" i="9" s="1"/>
  <c r="AM99" i="9" s="1"/>
  <c r="AN154" i="9" a="1"/>
  <c r="AN154" i="9" s="1"/>
  <c r="AN204" i="9" a="1"/>
  <c r="AN204" i="9" s="1"/>
  <c r="AN286" i="9" a="1"/>
  <c r="AN286" i="9" s="1"/>
  <c r="AN298" i="9" a="1"/>
  <c r="AN298" i="9" s="1"/>
  <c r="AN324" i="9" a="1"/>
  <c r="AN324" i="9" s="1"/>
  <c r="AN337" i="9" a="1"/>
  <c r="AN337" i="9" s="1"/>
  <c r="AN350" i="9" a="1"/>
  <c r="AN350" i="9" s="1"/>
  <c r="AN363" i="9" a="1"/>
  <c r="AN363" i="9" s="1"/>
  <c r="AN388" i="9" a="1"/>
  <c r="AN388" i="9" s="1"/>
  <c r="AN401" i="9" a="1"/>
  <c r="AN401" i="9" s="1"/>
  <c r="AN414" i="9" a="1"/>
  <c r="AN414" i="9" s="1"/>
  <c r="AN420" i="9" a="1"/>
  <c r="AN420" i="9" s="1"/>
  <c r="AN427" i="9" a="1"/>
  <c r="AN427" i="9" s="1"/>
  <c r="AN433" i="9" a="1"/>
  <c r="AN433" i="9" s="1"/>
  <c r="AN446" i="9" a="1"/>
  <c r="AN446" i="9" s="1"/>
  <c r="AN452" i="9" a="1"/>
  <c r="AN452" i="9" s="1"/>
  <c r="AN459" i="9" a="1"/>
  <c r="AN459" i="9" s="1"/>
  <c r="AN465" i="9" a="1"/>
  <c r="AN465" i="9" s="1"/>
  <c r="AN478" i="9" a="1"/>
  <c r="AN478" i="9" s="1"/>
  <c r="AN484" i="9" a="1"/>
  <c r="AN484" i="9" s="1"/>
  <c r="AN488" i="9" a="1"/>
  <c r="AN488" i="9" s="1"/>
  <c r="AN493" i="9" a="1"/>
  <c r="AN493" i="9" s="1"/>
  <c r="AN497" i="9" a="1"/>
  <c r="AN497" i="9" s="1"/>
  <c r="AN501" i="9" a="1"/>
  <c r="AN501" i="9" s="1"/>
  <c r="AN506" i="9" a="1"/>
  <c r="AN506" i="9" s="1"/>
  <c r="AN510" i="9" a="1"/>
  <c r="AN510" i="9" s="1"/>
  <c r="AN514" i="9" a="1"/>
  <c r="AN514" i="9" s="1"/>
  <c r="AN519" i="9" a="1"/>
  <c r="AN519" i="9" s="1"/>
  <c r="AN523" i="9" a="1"/>
  <c r="AN523" i="9" s="1"/>
  <c r="AN527" i="9" a="1"/>
  <c r="AN527" i="9" s="1"/>
  <c r="AN535" i="9" a="1"/>
  <c r="AN535" i="9" s="1"/>
  <c r="AN538" i="9" a="1"/>
  <c r="AN538" i="9" s="1"/>
  <c r="AN541" i="9" a="1"/>
  <c r="AN541" i="9" s="1"/>
  <c r="AN544" i="9" a="1"/>
  <c r="AN544" i="9" s="1"/>
  <c r="AN551" i="9" a="1"/>
  <c r="AN551" i="9" s="1"/>
  <c r="AN554" i="9" a="1"/>
  <c r="AN554" i="9" s="1"/>
  <c r="AN557" i="9" a="1"/>
  <c r="AN557" i="9" s="1"/>
  <c r="AN560" i="9" a="1"/>
  <c r="AN560" i="9" s="1"/>
  <c r="AN567" i="9" a="1"/>
  <c r="AN567" i="9" s="1"/>
  <c r="AN570" i="9" a="1"/>
  <c r="AN570" i="9" s="1"/>
  <c r="AN573" i="9" a="1"/>
  <c r="AN573" i="9" s="1"/>
  <c r="AN576" i="9" a="1"/>
  <c r="AN576" i="9" s="1"/>
  <c r="AN583" i="9" a="1"/>
  <c r="AN583" i="9" s="1"/>
  <c r="AN586" i="9" a="1"/>
  <c r="AN586" i="9" s="1"/>
  <c r="AN589" i="9" a="1"/>
  <c r="AN589" i="9" s="1"/>
  <c r="AN592" i="9" a="1"/>
  <c r="AN592" i="9" s="1"/>
  <c r="AN599" i="9" a="1"/>
  <c r="AN599" i="9" s="1"/>
  <c r="AN602" i="9" a="1"/>
  <c r="AN602" i="9" s="1"/>
  <c r="AN605" i="9" a="1"/>
  <c r="AN605" i="9" s="1"/>
  <c r="AN608" i="9" a="1"/>
  <c r="AN608" i="9" s="1"/>
  <c r="AN622" i="9" a="1"/>
  <c r="AN622" i="9" s="1"/>
  <c r="AN627" i="9" a="1"/>
  <c r="AN627" i="9" s="1"/>
  <c r="AN630" i="9" a="1"/>
  <c r="AN630" i="9" s="1"/>
  <c r="AN635" i="9" a="1"/>
  <c r="AN635" i="9" s="1"/>
  <c r="AN638" i="9" a="1"/>
  <c r="AN638" i="9" s="1"/>
  <c r="AN643" i="9" a="1"/>
  <c r="AN643" i="9" s="1"/>
  <c r="AN646" i="9" a="1"/>
  <c r="AN646" i="9" s="1"/>
  <c r="AN651" i="9" a="1"/>
  <c r="AN651" i="9" s="1"/>
  <c r="AN654" i="9" a="1"/>
  <c r="AN654" i="9" s="1"/>
  <c r="AN659" i="9" a="1"/>
  <c r="AN659" i="9" s="1"/>
  <c r="AN662" i="9" a="1"/>
  <c r="AN662" i="9" s="1"/>
  <c r="AN667" i="9" a="1"/>
  <c r="AN667" i="9" s="1"/>
  <c r="AN57" i="9" a="1"/>
  <c r="AN57" i="9" s="1"/>
  <c r="AM57" i="9" s="1"/>
  <c r="AN268" i="9" a="1"/>
  <c r="AN268" i="9" s="1"/>
  <c r="AN379" i="9" a="1"/>
  <c r="AN379" i="9" s="1"/>
  <c r="AN423" i="9" a="1"/>
  <c r="AN423" i="9" s="1"/>
  <c r="AN448" i="9" a="1"/>
  <c r="AN448" i="9" s="1"/>
  <c r="AN474" i="9" a="1"/>
  <c r="AN474" i="9" s="1"/>
  <c r="AN494" i="9" a="1"/>
  <c r="AN494" i="9" s="1"/>
  <c r="AN511" i="9" a="1"/>
  <c r="AN511" i="9" s="1"/>
  <c r="AN528" i="9" a="1"/>
  <c r="AN528" i="9" s="1"/>
  <c r="AN542" i="9" a="1"/>
  <c r="AN542" i="9" s="1"/>
  <c r="AN555" i="9" a="1"/>
  <c r="AN555" i="9" s="1"/>
  <c r="AN580" i="9" a="1"/>
  <c r="AN580" i="9" s="1"/>
  <c r="AN593" i="9" a="1"/>
  <c r="AN593" i="9" s="1"/>
  <c r="AN606" i="9" a="1"/>
  <c r="AN606" i="9" s="1"/>
  <c r="AN615" i="9" a="1"/>
  <c r="AN615" i="9" s="1"/>
  <c r="AN619" i="9" a="1"/>
  <c r="AN619" i="9" s="1"/>
  <c r="AN624" i="9" a="1"/>
  <c r="AN624" i="9" s="1"/>
  <c r="AN629" i="9" a="1"/>
  <c r="AN629" i="9" s="1"/>
  <c r="AN640" i="9" a="1"/>
  <c r="AN640" i="9" s="1"/>
  <c r="AN645" i="9" a="1"/>
  <c r="AN645" i="9" s="1"/>
  <c r="AN656" i="9" a="1"/>
  <c r="AN656" i="9" s="1"/>
  <c r="AN661" i="9" a="1"/>
  <c r="AN661" i="9" s="1"/>
  <c r="AN673" i="9" a="1"/>
  <c r="AN673" i="9" s="1"/>
  <c r="AN676" i="9" a="1"/>
  <c r="AN676" i="9" s="1"/>
  <c r="AN681" i="9" a="1"/>
  <c r="AN681" i="9" s="1"/>
  <c r="AN684" i="9" a="1"/>
  <c r="AN684" i="9" s="1"/>
  <c r="AN689" i="9" a="1"/>
  <c r="AN689" i="9" s="1"/>
  <c r="AN692" i="9" a="1"/>
  <c r="AN692" i="9" s="1"/>
  <c r="AN697" i="9" a="1"/>
  <c r="AN697" i="9" s="1"/>
  <c r="AN700" i="9" a="1"/>
  <c r="AN700" i="9" s="1"/>
  <c r="AN705" i="9" a="1"/>
  <c r="AN705" i="9" s="1"/>
  <c r="AN708" i="9" a="1"/>
  <c r="AN708" i="9" s="1"/>
  <c r="AN713" i="9" a="1"/>
  <c r="AN713" i="9" s="1"/>
  <c r="AM713" i="9" s="1"/>
  <c r="AN716" i="9" a="1"/>
  <c r="AN716" i="9" s="1"/>
  <c r="AM716" i="9" s="1"/>
  <c r="AN721" i="9" a="1"/>
  <c r="AN721" i="9" s="1"/>
  <c r="AM721" i="9" s="1"/>
  <c r="AN724" i="9" a="1"/>
  <c r="AN724" i="9" s="1"/>
  <c r="AM724" i="9" s="1"/>
  <c r="AN729" i="9" a="1"/>
  <c r="AN729" i="9" s="1"/>
  <c r="AM729" i="9" s="1"/>
  <c r="AN732" i="9" a="1"/>
  <c r="AN732" i="9" s="1"/>
  <c r="AM732" i="9" s="1"/>
  <c r="AN737" i="9" a="1"/>
  <c r="AN737" i="9" s="1"/>
  <c r="AM737" i="9" s="1"/>
  <c r="AN740" i="9" a="1"/>
  <c r="AN740" i="9" s="1"/>
  <c r="AM740" i="9" s="1"/>
  <c r="AN745" i="9" a="1"/>
  <c r="AN745" i="9" s="1"/>
  <c r="AM745" i="9" s="1"/>
  <c r="AN748" i="9" a="1"/>
  <c r="AN748" i="9" s="1"/>
  <c r="AM748" i="9" s="1"/>
  <c r="AN753" i="9" a="1"/>
  <c r="AN753" i="9" s="1"/>
  <c r="AM753" i="9" s="1"/>
  <c r="AN756" i="9" a="1"/>
  <c r="AN756" i="9" s="1"/>
  <c r="AM756" i="9" s="1"/>
  <c r="AN772" i="9" a="1"/>
  <c r="AN772" i="9" s="1"/>
  <c r="AM772" i="9" s="1"/>
  <c r="AN777" i="9" a="1"/>
  <c r="AN777" i="9" s="1"/>
  <c r="AM777" i="9" s="1"/>
  <c r="AN793" i="9" a="1"/>
  <c r="AN793" i="9" s="1"/>
  <c r="AM793" i="9" s="1"/>
  <c r="AN809" i="9" a="1"/>
  <c r="AN809" i="9" s="1"/>
  <c r="AM809" i="9" s="1"/>
  <c r="AN825" i="9" a="1"/>
  <c r="AN825" i="9" s="1"/>
  <c r="AM825" i="9" s="1"/>
  <c r="AN828" i="9" a="1"/>
  <c r="AN828" i="9" s="1"/>
  <c r="AM828" i="9" s="1"/>
  <c r="AN833" i="9" a="1"/>
  <c r="AN833" i="9" s="1"/>
  <c r="AM833" i="9" s="1"/>
  <c r="AN836" i="9" a="1"/>
  <c r="AN836" i="9" s="1"/>
  <c r="AM836" i="9" s="1"/>
  <c r="AN707" i="9" a="1"/>
  <c r="AN707" i="9" s="1"/>
  <c r="AN723" i="9" a="1"/>
  <c r="AN723" i="9" s="1"/>
  <c r="AM723" i="9" s="1"/>
  <c r="AN734" i="9" a="1"/>
  <c r="AN734" i="9" s="1"/>
  <c r="AM734" i="9" s="1"/>
  <c r="AN750" i="9" a="1"/>
  <c r="AN750" i="9" s="1"/>
  <c r="AM750" i="9" s="1"/>
  <c r="AN763" i="9" a="1"/>
  <c r="AN763" i="9" s="1"/>
  <c r="AM763" i="9" s="1"/>
  <c r="AN790" i="9" a="1"/>
  <c r="AN790" i="9" s="1"/>
  <c r="AM790" i="9" s="1"/>
  <c r="AN814" i="9" a="1"/>
  <c r="AN814" i="9" s="1"/>
  <c r="AM814" i="9" s="1"/>
  <c r="AN113" i="9" a="1"/>
  <c r="AN113" i="9" s="1"/>
  <c r="AN289" i="9" a="1"/>
  <c r="AN289" i="9" s="1"/>
  <c r="AN340" i="9" a="1"/>
  <c r="AN340" i="9" s="1"/>
  <c r="AN429" i="9" a="1"/>
  <c r="AN429" i="9" s="1"/>
  <c r="AN455" i="9" a="1"/>
  <c r="AN455" i="9" s="1"/>
  <c r="AN480" i="9" a="1"/>
  <c r="AN480" i="9" s="1"/>
  <c r="AN498" i="9" a="1"/>
  <c r="AN498" i="9" s="1"/>
  <c r="AN532" i="9" a="1"/>
  <c r="AN532" i="9" s="1"/>
  <c r="AN545" i="9" a="1"/>
  <c r="AN545" i="9" s="1"/>
  <c r="AN558" i="9" a="1"/>
  <c r="AN558" i="9" s="1"/>
  <c r="AN571" i="9" a="1"/>
  <c r="AN571" i="9" s="1"/>
  <c r="AN596" i="9" a="1"/>
  <c r="AN596" i="9" s="1"/>
  <c r="AN609" i="9" a="1"/>
  <c r="AN609" i="9" s="1"/>
  <c r="AN616" i="9" a="1"/>
  <c r="AN616" i="9" s="1"/>
  <c r="AN620" i="9" a="1"/>
  <c r="AN620" i="9" s="1"/>
  <c r="AN625" i="9" a="1"/>
  <c r="AN625" i="9" s="1"/>
  <c r="AN636" i="9" a="1"/>
  <c r="AN636" i="9" s="1"/>
  <c r="AN641" i="9" a="1"/>
  <c r="AN641" i="9" s="1"/>
  <c r="AN652" i="9" a="1"/>
  <c r="AN652" i="9" s="1"/>
  <c r="AN657" i="9" a="1"/>
  <c r="AN657" i="9" s="1"/>
  <c r="AN668" i="9" a="1"/>
  <c r="AN668" i="9" s="1"/>
  <c r="AN671" i="9" a="1"/>
  <c r="AN671" i="9" s="1"/>
  <c r="AN674" i="9" a="1"/>
  <c r="AN674" i="9" s="1"/>
  <c r="AN679" i="9" a="1"/>
  <c r="AN679" i="9" s="1"/>
  <c r="AN682" i="9" a="1"/>
  <c r="AN682" i="9" s="1"/>
  <c r="AN687" i="9" a="1"/>
  <c r="AN687" i="9" s="1"/>
  <c r="AN690" i="9" a="1"/>
  <c r="AN690" i="9" s="1"/>
  <c r="AN695" i="9" a="1"/>
  <c r="AN695" i="9" s="1"/>
  <c r="AN698" i="9" a="1"/>
  <c r="AN698" i="9" s="1"/>
  <c r="AN703" i="9" a="1"/>
  <c r="AN703" i="9" s="1"/>
  <c r="AN706" i="9" a="1"/>
  <c r="AN706" i="9" s="1"/>
  <c r="AN711" i="9" a="1"/>
  <c r="AN711" i="9" s="1"/>
  <c r="AM711" i="9" s="1"/>
  <c r="AN714" i="9" a="1"/>
  <c r="AN714" i="9" s="1"/>
  <c r="AM714" i="9" s="1"/>
  <c r="AN719" i="9" a="1"/>
  <c r="AN719" i="9" s="1"/>
  <c r="AM719" i="9" s="1"/>
  <c r="AN722" i="9" a="1"/>
  <c r="AN722" i="9" s="1"/>
  <c r="AM722" i="9" s="1"/>
  <c r="AN727" i="9" a="1"/>
  <c r="AN727" i="9" s="1"/>
  <c r="AM727" i="9" s="1"/>
  <c r="AN730" i="9" a="1"/>
  <c r="AN730" i="9" s="1"/>
  <c r="AM730" i="9" s="1"/>
  <c r="AN735" i="9" a="1"/>
  <c r="AN735" i="9" s="1"/>
  <c r="AM735" i="9" s="1"/>
  <c r="AN738" i="9" a="1"/>
  <c r="AN738" i="9" s="1"/>
  <c r="AM738" i="9" s="1"/>
  <c r="AN743" i="9" a="1"/>
  <c r="AN743" i="9" s="1"/>
  <c r="AM743" i="9" s="1"/>
  <c r="AN746" i="9" a="1"/>
  <c r="AN746" i="9" s="1"/>
  <c r="AM746" i="9" s="1"/>
  <c r="AN751" i="9" a="1"/>
  <c r="AN751" i="9" s="1"/>
  <c r="AM751" i="9" s="1"/>
  <c r="AN754" i="9" a="1"/>
  <c r="AN754" i="9" s="1"/>
  <c r="AM754" i="9" s="1"/>
  <c r="AN762" i="9" a="1"/>
  <c r="AN762" i="9" s="1"/>
  <c r="AM762" i="9" s="1"/>
  <c r="AN770" i="9" a="1"/>
  <c r="AN770" i="9" s="1"/>
  <c r="AM770" i="9" s="1"/>
  <c r="AN778" i="9" a="1"/>
  <c r="AN778" i="9" s="1"/>
  <c r="AM778" i="9" s="1"/>
  <c r="AN786" i="9" a="1"/>
  <c r="AN786" i="9" s="1"/>
  <c r="AM786" i="9" s="1"/>
  <c r="AN794" i="9" a="1"/>
  <c r="AN794" i="9" s="1"/>
  <c r="AM794" i="9" s="1"/>
  <c r="AN799" i="9" a="1"/>
  <c r="AN799" i="9" s="1"/>
  <c r="AM799" i="9" s="1"/>
  <c r="AN802" i="9" a="1"/>
  <c r="AN802" i="9" s="1"/>
  <c r="AM802" i="9" s="1"/>
  <c r="AN807" i="9" a="1"/>
  <c r="AN807" i="9" s="1"/>
  <c r="AM807" i="9" s="1"/>
  <c r="AN810" i="9" a="1"/>
  <c r="AN810" i="9" s="1"/>
  <c r="AM810" i="9" s="1"/>
  <c r="AN818" i="9" a="1"/>
  <c r="AN818" i="9" s="1"/>
  <c r="AM818" i="9" s="1"/>
  <c r="AN826" i="9" a="1"/>
  <c r="AN826" i="9" s="1"/>
  <c r="AM826" i="9" s="1"/>
  <c r="AN831" i="9" a="1"/>
  <c r="AN831" i="9" s="1"/>
  <c r="AM831" i="9" s="1"/>
  <c r="AN366" i="9" a="1"/>
  <c r="AN366" i="9" s="1"/>
  <c r="AN442" i="9" a="1"/>
  <c r="AN442" i="9" s="1"/>
  <c r="AN507" i="9" a="1"/>
  <c r="AN507" i="9" s="1"/>
  <c r="AN564" i="9" a="1"/>
  <c r="AN564" i="9" s="1"/>
  <c r="AN590" i="9" a="1"/>
  <c r="AN590" i="9" s="1"/>
  <c r="AN614" i="9" a="1"/>
  <c r="AN614" i="9" s="1"/>
  <c r="AN628" i="9" a="1"/>
  <c r="AN628" i="9" s="1"/>
  <c r="AN644" i="9" a="1"/>
  <c r="AN644" i="9" s="1"/>
  <c r="AN660" i="9" a="1"/>
  <c r="AN660" i="9" s="1"/>
  <c r="AN670" i="9" a="1"/>
  <c r="AN670" i="9" s="1"/>
  <c r="AN678" i="9" a="1"/>
  <c r="AN678" i="9" s="1"/>
  <c r="AN686" i="9" a="1"/>
  <c r="AN686" i="9" s="1"/>
  <c r="AN694" i="9" a="1"/>
  <c r="AN694" i="9" s="1"/>
  <c r="AN702" i="9" a="1"/>
  <c r="AN702" i="9" s="1"/>
  <c r="AN715" i="9" a="1"/>
  <c r="AN715" i="9" s="1"/>
  <c r="AM715" i="9" s="1"/>
  <c r="AN726" i="9" a="1"/>
  <c r="AN726" i="9" s="1"/>
  <c r="AM726" i="9" s="1"/>
  <c r="AN739" i="9" a="1"/>
  <c r="AN739" i="9" s="1"/>
  <c r="AM739" i="9" s="1"/>
  <c r="AN747" i="9" a="1"/>
  <c r="AN747" i="9" s="1"/>
  <c r="AM747" i="9" s="1"/>
  <c r="AN758" i="9" a="1"/>
  <c r="AN758" i="9" s="1"/>
  <c r="AM758" i="9" s="1"/>
  <c r="AN779" i="9" a="1"/>
  <c r="AN779" i="9" s="1"/>
  <c r="AM779" i="9" s="1"/>
  <c r="AN795" i="9" a="1"/>
  <c r="AN795" i="9" s="1"/>
  <c r="AM795" i="9" s="1"/>
  <c r="AN830" i="9" a="1"/>
  <c r="AN830" i="9" s="1"/>
  <c r="AM830" i="9" s="1"/>
  <c r="AN167" i="9" a="1"/>
  <c r="AN167" i="9" s="1"/>
  <c r="AN302" i="9" a="1"/>
  <c r="AN302" i="9" s="1"/>
  <c r="AN353" i="9" a="1"/>
  <c r="AN353" i="9" s="1"/>
  <c r="AN404" i="9" a="1"/>
  <c r="AN404" i="9" s="1"/>
  <c r="AN461" i="9" a="1"/>
  <c r="AN461" i="9" s="1"/>
  <c r="AN485" i="9" a="1"/>
  <c r="AN485" i="9" s="1"/>
  <c r="AN503" i="9" a="1"/>
  <c r="AN503" i="9" s="1"/>
  <c r="AN548" i="9" a="1"/>
  <c r="AN548" i="9" s="1"/>
  <c r="AN561" i="9" a="1"/>
  <c r="AN561" i="9" s="1"/>
  <c r="AN574" i="9" a="1"/>
  <c r="AN574" i="9" s="1"/>
  <c r="AN587" i="9" a="1"/>
  <c r="AN587" i="9" s="1"/>
  <c r="AN612" i="9" a="1"/>
  <c r="AN612" i="9" s="1"/>
  <c r="AN617" i="9" a="1"/>
  <c r="AN617" i="9" s="1"/>
  <c r="AN621" i="9" a="1"/>
  <c r="AN621" i="9" s="1"/>
  <c r="AN632" i="9" a="1"/>
  <c r="AN632" i="9" s="1"/>
  <c r="AN637" i="9" a="1"/>
  <c r="AN637" i="9" s="1"/>
  <c r="AN648" i="9" a="1"/>
  <c r="AN648" i="9" s="1"/>
  <c r="AN653" i="9" a="1"/>
  <c r="AN653" i="9" s="1"/>
  <c r="AN664" i="9" a="1"/>
  <c r="AN664" i="9" s="1"/>
  <c r="AN669" i="9" a="1"/>
  <c r="AN669" i="9" s="1"/>
  <c r="AN672" i="9" a="1"/>
  <c r="AN672" i="9" s="1"/>
  <c r="AN677" i="9" a="1"/>
  <c r="AN677" i="9" s="1"/>
  <c r="AN680" i="9" a="1"/>
  <c r="AN680" i="9" s="1"/>
  <c r="AN685" i="9" a="1"/>
  <c r="AN685" i="9" s="1"/>
  <c r="AN688" i="9" a="1"/>
  <c r="AN688" i="9" s="1"/>
  <c r="AN693" i="9" a="1"/>
  <c r="AN693" i="9" s="1"/>
  <c r="AN696" i="9" a="1"/>
  <c r="AN696" i="9" s="1"/>
  <c r="AN701" i="9" a="1"/>
  <c r="AN701" i="9" s="1"/>
  <c r="AN704" i="9" a="1"/>
  <c r="AN704" i="9" s="1"/>
  <c r="AN709" i="9" a="1"/>
  <c r="AN709" i="9" s="1"/>
  <c r="AM709" i="9" s="1"/>
  <c r="AN712" i="9" a="1"/>
  <c r="AN712" i="9" s="1"/>
  <c r="AM712" i="9" s="1"/>
  <c r="AN717" i="9" a="1"/>
  <c r="AN717" i="9" s="1"/>
  <c r="AM717" i="9" s="1"/>
  <c r="AN720" i="9" a="1"/>
  <c r="AN720" i="9" s="1"/>
  <c r="AM720" i="9" s="1"/>
  <c r="AN725" i="9" a="1"/>
  <c r="AN725" i="9" s="1"/>
  <c r="AM725" i="9" s="1"/>
  <c r="AN728" i="9" a="1"/>
  <c r="AN728" i="9" s="1"/>
  <c r="AM728" i="9" s="1"/>
  <c r="AN733" i="9" a="1"/>
  <c r="AN733" i="9" s="1"/>
  <c r="AM733" i="9" s="1"/>
  <c r="AN736" i="9" a="1"/>
  <c r="AN736" i="9" s="1"/>
  <c r="AM736" i="9" s="1"/>
  <c r="AN741" i="9" a="1"/>
  <c r="AN741" i="9" s="1"/>
  <c r="AM741" i="9" s="1"/>
  <c r="AN744" i="9" a="1"/>
  <c r="AN744" i="9" s="1"/>
  <c r="AM744" i="9" s="1"/>
  <c r="AN749" i="9" a="1"/>
  <c r="AN749" i="9" s="1"/>
  <c r="AM749" i="9" s="1"/>
  <c r="AN752" i="9" a="1"/>
  <c r="AN752" i="9" s="1"/>
  <c r="AM752" i="9" s="1"/>
  <c r="AN757" i="9" a="1"/>
  <c r="AN757" i="9" s="1"/>
  <c r="AM757" i="9" s="1"/>
  <c r="AN760" i="9" a="1"/>
  <c r="AN760" i="9" s="1"/>
  <c r="AM760" i="9" s="1"/>
  <c r="AN768" i="9" a="1"/>
  <c r="AN768" i="9" s="1"/>
  <c r="AM768" i="9" s="1"/>
  <c r="AN773" i="9" a="1"/>
  <c r="AN773" i="9" s="1"/>
  <c r="AM773" i="9" s="1"/>
  <c r="AN776" i="9" a="1"/>
  <c r="AN776" i="9" s="1"/>
  <c r="AM776" i="9" s="1"/>
  <c r="AN781" i="9" a="1"/>
  <c r="AN781" i="9" s="1"/>
  <c r="AM781" i="9" s="1"/>
  <c r="AN792" i="9" a="1"/>
  <c r="AN792" i="9" s="1"/>
  <c r="AM792" i="9" s="1"/>
  <c r="AN813" i="9" a="1"/>
  <c r="AN813" i="9" s="1"/>
  <c r="AM813" i="9" s="1"/>
  <c r="AN816" i="9" a="1"/>
  <c r="AN816" i="9" s="1"/>
  <c r="AM816" i="9" s="1"/>
  <c r="AN829" i="9" a="1"/>
  <c r="AN829" i="9" s="1"/>
  <c r="AM829" i="9" s="1"/>
  <c r="AN837" i="9" a="1"/>
  <c r="AN837" i="9" s="1"/>
  <c r="AM837" i="9" s="1"/>
  <c r="AN6" i="9" a="1"/>
  <c r="AN6" i="9" s="1"/>
  <c r="AN217" i="9" a="1"/>
  <c r="AN217" i="9" s="1"/>
  <c r="AN315" i="9" a="1"/>
  <c r="AN315" i="9" s="1"/>
  <c r="AN416" i="9" a="1"/>
  <c r="AN416" i="9" s="1"/>
  <c r="AM416" i="9" s="1"/>
  <c r="AN490" i="9" a="1"/>
  <c r="AN490" i="9" s="1"/>
  <c r="AN539" i="9" a="1"/>
  <c r="AN539" i="9" s="1"/>
  <c r="AN577" i="9" a="1"/>
  <c r="AN577" i="9" s="1"/>
  <c r="AN603" i="9" a="1"/>
  <c r="AN603" i="9" s="1"/>
  <c r="AN618" i="9" a="1"/>
  <c r="AN618" i="9" s="1"/>
  <c r="AN633" i="9" a="1"/>
  <c r="AN633" i="9" s="1"/>
  <c r="AN649" i="9" a="1"/>
  <c r="AN649" i="9" s="1"/>
  <c r="AN665" i="9" a="1"/>
  <c r="AN665" i="9" s="1"/>
  <c r="AN675" i="9" a="1"/>
  <c r="AN675" i="9" s="1"/>
  <c r="AN683" i="9" a="1"/>
  <c r="AN683" i="9" s="1"/>
  <c r="AN691" i="9" a="1"/>
  <c r="AN691" i="9" s="1"/>
  <c r="AN699" i="9" a="1"/>
  <c r="AN699" i="9" s="1"/>
  <c r="AN710" i="9" a="1"/>
  <c r="AN710" i="9" s="1"/>
  <c r="AM710" i="9" s="1"/>
  <c r="AN718" i="9" a="1"/>
  <c r="AN718" i="9" s="1"/>
  <c r="AM718" i="9" s="1"/>
  <c r="AN731" i="9" a="1"/>
  <c r="AN731" i="9" s="1"/>
  <c r="AM731" i="9" s="1"/>
  <c r="AN742" i="9" a="1"/>
  <c r="AN742" i="9" s="1"/>
  <c r="AM742" i="9" s="1"/>
  <c r="AN755" i="9" a="1"/>
  <c r="AN755" i="9" s="1"/>
  <c r="AM755" i="9" s="1"/>
  <c r="AN766" i="9" a="1"/>
  <c r="AN766" i="9" s="1"/>
  <c r="AM766" i="9" s="1"/>
  <c r="AN787" i="9" a="1"/>
  <c r="AN787" i="9" s="1"/>
  <c r="AM787" i="9" s="1"/>
  <c r="AN803" i="9" a="1"/>
  <c r="AN803" i="9" s="1"/>
  <c r="AM803" i="9" s="1"/>
  <c r="AN835" i="9" a="1"/>
  <c r="AN835" i="9" s="1"/>
  <c r="AM835" i="9" s="1"/>
  <c r="AO121" i="9"/>
  <c r="AO149" i="9"/>
  <c r="AO152" i="9"/>
  <c r="AO171" i="9"/>
  <c r="AO210" i="9"/>
  <c r="AO223" i="9"/>
  <c r="AO250" i="9"/>
  <c r="AO253" i="9"/>
  <c r="AO278" i="9"/>
  <c r="AO282" i="9"/>
  <c r="AO325" i="9"/>
  <c r="AO357" i="9"/>
  <c r="AO361" i="9"/>
  <c r="AO115" i="9"/>
  <c r="AO119" i="9"/>
  <c r="AO122" i="9"/>
  <c r="AO147" i="9"/>
  <c r="AO150" i="9"/>
  <c r="AO157" i="9"/>
  <c r="AO163" i="9"/>
  <c r="AO168" i="9"/>
  <c r="AO202" i="9"/>
  <c r="AO205" i="9"/>
  <c r="AO220" i="9"/>
  <c r="AO279" i="9"/>
  <c r="AO133" i="9"/>
  <c r="AO139" i="9"/>
  <c r="AO183" i="9"/>
  <c r="AO466" i="9"/>
  <c r="AO116" i="9"/>
  <c r="AO141" i="9"/>
  <c r="AO172" i="9"/>
  <c r="AO179" i="9"/>
  <c r="AO191" i="9"/>
  <c r="AO209" i="9"/>
  <c r="AO221" i="9"/>
  <c r="AO309" i="9"/>
  <c r="AO377" i="9"/>
  <c r="AO389" i="9"/>
  <c r="AO405" i="9"/>
  <c r="AO421" i="9"/>
  <c r="AO425" i="9"/>
  <c r="AO437" i="9"/>
  <c r="AO469" i="9"/>
  <c r="AO489" i="9"/>
  <c r="AO124" i="9"/>
  <c r="AO186" i="9"/>
  <c r="AO222" i="9"/>
  <c r="AO435" i="9"/>
  <c r="AO132" i="9"/>
  <c r="AO126" i="9"/>
  <c r="AO237" i="9"/>
  <c r="AO280" i="9"/>
  <c r="AO306" i="9"/>
  <c r="AO341" i="9"/>
  <c r="AO130" i="9"/>
  <c r="AO142" i="9"/>
  <c r="AO155" i="9"/>
  <c r="AO297" i="9"/>
  <c r="AO373" i="9"/>
  <c r="AO218" i="9"/>
  <c r="AO244" i="9"/>
  <c r="AO313" i="9"/>
  <c r="Y633" i="60"/>
  <c r="Y545" i="60"/>
  <c r="Y765" i="60"/>
  <c r="Y611" i="60"/>
  <c r="Y589" i="60"/>
  <c r="Y578" i="60"/>
  <c r="Y721" i="60"/>
  <c r="Y776" i="60"/>
  <c r="Y710" i="60"/>
  <c r="Y600" i="60"/>
  <c r="Y699" i="60"/>
  <c r="AP275" i="9"/>
  <c r="Y622" i="60"/>
  <c r="Y567" i="60"/>
  <c r="Y512" i="60"/>
  <c r="Y523" i="60"/>
  <c r="Y534" i="60"/>
  <c r="Y501" i="60"/>
  <c r="Y556" i="60"/>
  <c r="AS19" i="10"/>
  <c r="AS18" i="10"/>
  <c r="AS17" i="10"/>
  <c r="AS16" i="10"/>
  <c r="AS15" i="10"/>
  <c r="N44" i="10" s="1"/>
  <c r="AS14" i="10"/>
  <c r="AS13" i="10"/>
  <c r="J22" i="10" l="1"/>
  <c r="AO134" i="9"/>
  <c r="AM134" i="9"/>
  <c r="AO143" i="9"/>
  <c r="AM143" i="9"/>
  <c r="AO148" i="9"/>
  <c r="AM148" i="9"/>
  <c r="AO120" i="9"/>
  <c r="AM120" i="9"/>
  <c r="AO145" i="9"/>
  <c r="AM145" i="9"/>
  <c r="AO114" i="9"/>
  <c r="AM114" i="9"/>
  <c r="AO109" i="9"/>
  <c r="AM109" i="9"/>
  <c r="AO140" i="9"/>
  <c r="AM140" i="9"/>
  <c r="AO113" i="9"/>
  <c r="AM113" i="9"/>
  <c r="AO144" i="9"/>
  <c r="AM144" i="9"/>
  <c r="AO153" i="9"/>
  <c r="AM153" i="9"/>
  <c r="AO123" i="9"/>
  <c r="AM123" i="9"/>
  <c r="AO146" i="9"/>
  <c r="AM146" i="9"/>
  <c r="L24" i="10"/>
  <c r="M24" i="10" s="1"/>
  <c r="N24" i="10" s="1"/>
  <c r="AM6" i="9"/>
  <c r="J21" i="10"/>
  <c r="AM20" i="9"/>
  <c r="J53" i="10" s="1"/>
  <c r="L53" i="10"/>
  <c r="J43" i="10"/>
  <c r="AP111" i="9"/>
  <c r="L43" i="10"/>
  <c r="AM66" i="9"/>
  <c r="L42" i="10"/>
  <c r="L48" i="10"/>
  <c r="L49" i="10"/>
  <c r="J23" i="10"/>
  <c r="L23" i="10"/>
  <c r="L50" i="10"/>
  <c r="L51" i="10"/>
  <c r="L59" i="10"/>
  <c r="L56" i="10"/>
  <c r="J56" i="10"/>
  <c r="AM72" i="9"/>
  <c r="L57" i="10"/>
  <c r="AM29" i="9"/>
  <c r="J41" i="10" s="1"/>
  <c r="L41" i="10"/>
  <c r="AM42" i="9"/>
  <c r="L47" i="10"/>
  <c r="L52" i="10"/>
  <c r="L58" i="10"/>
  <c r="M58" i="10" s="1"/>
  <c r="L46" i="10"/>
  <c r="L39" i="10"/>
  <c r="J39" i="10"/>
  <c r="L35" i="10"/>
  <c r="L22" i="10"/>
  <c r="L21" i="10"/>
  <c r="N37" i="10"/>
  <c r="N28" i="10"/>
  <c r="N27" i="10"/>
  <c r="N25" i="10"/>
  <c r="N29" i="10"/>
  <c r="N26" i="10"/>
  <c r="AM691" i="9"/>
  <c r="AO691" i="9" s="1"/>
  <c r="AM577" i="9"/>
  <c r="AO577" i="9" s="1"/>
  <c r="AM683" i="9"/>
  <c r="AO683" i="9" s="1"/>
  <c r="AM633" i="9"/>
  <c r="AO633" i="9" s="1"/>
  <c r="AM539" i="9"/>
  <c r="AO539" i="9" s="1"/>
  <c r="AM217" i="9"/>
  <c r="AO217" i="9" s="1"/>
  <c r="AM693" i="9"/>
  <c r="AO693" i="9" s="1"/>
  <c r="AM677" i="9"/>
  <c r="AO677" i="9" s="1"/>
  <c r="AM653" i="9"/>
  <c r="AO653" i="9" s="1"/>
  <c r="AM621" i="9"/>
  <c r="AO621" i="9" s="1"/>
  <c r="AM574" i="9"/>
  <c r="AO574" i="9" s="1"/>
  <c r="AM485" i="9"/>
  <c r="AO485" i="9" s="1"/>
  <c r="AM302" i="9"/>
  <c r="AO302" i="9" s="1"/>
  <c r="AM686" i="9"/>
  <c r="AO686" i="9" s="1"/>
  <c r="AM644" i="9"/>
  <c r="AO644" i="9" s="1"/>
  <c r="AM564" i="9"/>
  <c r="AO564" i="9" s="1"/>
  <c r="AM706" i="9"/>
  <c r="AO706" i="9" s="1"/>
  <c r="AM690" i="9"/>
  <c r="AO690" i="9" s="1"/>
  <c r="AM674" i="9"/>
  <c r="AO674" i="9" s="1"/>
  <c r="AM652" i="9"/>
  <c r="AO652" i="9" s="1"/>
  <c r="AM620" i="9"/>
  <c r="AO620" i="9" s="1"/>
  <c r="AM571" i="9"/>
  <c r="AO571" i="9" s="1"/>
  <c r="AM498" i="9"/>
  <c r="AO498" i="9" s="1"/>
  <c r="AM340" i="9"/>
  <c r="AO340" i="9" s="1"/>
  <c r="AM700" i="9"/>
  <c r="AO700" i="9" s="1"/>
  <c r="AM684" i="9"/>
  <c r="AO684" i="9" s="1"/>
  <c r="AM661" i="9"/>
  <c r="AO661" i="9" s="1"/>
  <c r="AM629" i="9"/>
  <c r="AO629" i="9" s="1"/>
  <c r="AM606" i="9"/>
  <c r="AO606" i="9" s="1"/>
  <c r="AM542" i="9"/>
  <c r="AO542" i="9" s="1"/>
  <c r="AM474" i="9"/>
  <c r="AO474" i="9" s="1"/>
  <c r="AM268" i="9"/>
  <c r="AO268" i="9" s="1"/>
  <c r="AM659" i="9"/>
  <c r="AO659" i="9" s="1"/>
  <c r="AM643" i="9"/>
  <c r="AO643" i="9" s="1"/>
  <c r="AM627" i="9"/>
  <c r="AO627" i="9" s="1"/>
  <c r="AM602" i="9"/>
  <c r="AO602" i="9" s="1"/>
  <c r="AM586" i="9"/>
  <c r="AO586" i="9" s="1"/>
  <c r="AM570" i="9"/>
  <c r="AO570" i="9" s="1"/>
  <c r="AM554" i="9"/>
  <c r="AO554" i="9" s="1"/>
  <c r="AM538" i="9"/>
  <c r="AO538" i="9" s="1"/>
  <c r="AM519" i="9"/>
  <c r="AO519" i="9" s="1"/>
  <c r="AM501" i="9"/>
  <c r="AO501" i="9" s="1"/>
  <c r="AM484" i="9"/>
  <c r="AO484" i="9" s="1"/>
  <c r="AM452" i="9"/>
  <c r="AO452" i="9" s="1"/>
  <c r="AM420" i="9"/>
  <c r="AO420" i="9" s="1"/>
  <c r="AM363" i="9"/>
  <c r="AO363" i="9" s="1"/>
  <c r="AM298" i="9"/>
  <c r="AO298" i="9" s="1"/>
  <c r="AM601" i="9"/>
  <c r="AO601" i="9" s="1"/>
  <c r="AM585" i="9"/>
  <c r="AO585" i="9" s="1"/>
  <c r="AM569" i="9"/>
  <c r="AO569" i="9" s="1"/>
  <c r="AM553" i="9"/>
  <c r="AO553" i="9" s="1"/>
  <c r="AM537" i="9"/>
  <c r="AO537" i="9" s="1"/>
  <c r="AM522" i="9"/>
  <c r="AO522" i="9" s="1"/>
  <c r="AM504" i="9"/>
  <c r="AO504" i="9" s="1"/>
  <c r="AM471" i="9"/>
  <c r="AO471" i="9" s="1"/>
  <c r="AM439" i="9"/>
  <c r="AO439" i="9" s="1"/>
  <c r="AM398" i="9"/>
  <c r="AO398" i="9" s="1"/>
  <c r="AM334" i="9"/>
  <c r="AO334" i="9" s="1"/>
  <c r="AM663" i="9"/>
  <c r="AO663" i="9" s="1"/>
  <c r="AM647" i="9"/>
  <c r="AO647" i="9" s="1"/>
  <c r="AM631" i="9"/>
  <c r="AO631" i="9" s="1"/>
  <c r="AM607" i="9"/>
  <c r="AO607" i="9" s="1"/>
  <c r="AM591" i="9"/>
  <c r="AO591" i="9" s="1"/>
  <c r="AM575" i="9"/>
  <c r="AO575" i="9" s="1"/>
  <c r="AM559" i="9"/>
  <c r="AO559" i="9" s="1"/>
  <c r="AM543" i="9"/>
  <c r="AO543" i="9" s="1"/>
  <c r="AM495" i="9"/>
  <c r="AO495" i="9" s="1"/>
  <c r="AM475" i="9"/>
  <c r="AO475" i="9" s="1"/>
  <c r="AM443" i="9"/>
  <c r="AO443" i="9" s="1"/>
  <c r="AM331" i="9"/>
  <c r="AO331" i="9" s="1"/>
  <c r="AM407" i="9"/>
  <c r="AO407" i="9" s="1"/>
  <c r="AM391" i="9"/>
  <c r="AO391" i="9" s="1"/>
  <c r="AM375" i="9"/>
  <c r="AO375" i="9" s="1"/>
  <c r="AM359" i="9"/>
  <c r="AO359" i="9" s="1"/>
  <c r="AM343" i="9"/>
  <c r="AO343" i="9" s="1"/>
  <c r="AM327" i="9"/>
  <c r="AO327" i="9" s="1"/>
  <c r="AM311" i="9"/>
  <c r="AO311" i="9" s="1"/>
  <c r="AM291" i="9"/>
  <c r="AO291" i="9" s="1"/>
  <c r="AM274" i="9"/>
  <c r="AO274" i="9" s="1"/>
  <c r="AM214" i="9"/>
  <c r="AO214" i="9" s="1"/>
  <c r="AM137" i="9"/>
  <c r="AO137" i="9" s="1"/>
  <c r="AM524" i="9"/>
  <c r="AO524" i="9" s="1"/>
  <c r="AM508" i="9"/>
  <c r="AO508" i="9" s="1"/>
  <c r="AM492" i="9"/>
  <c r="AO492" i="9" s="1"/>
  <c r="AM476" i="9"/>
  <c r="AO476" i="9" s="1"/>
  <c r="AM460" i="9"/>
  <c r="AO460" i="9" s="1"/>
  <c r="AM444" i="9"/>
  <c r="AO444" i="9" s="1"/>
  <c r="AM428" i="9"/>
  <c r="AO428" i="9" s="1"/>
  <c r="AM412" i="9"/>
  <c r="AO412" i="9" s="1"/>
  <c r="AM396" i="9"/>
  <c r="AO396" i="9" s="1"/>
  <c r="AM380" i="9"/>
  <c r="AO380" i="9" s="1"/>
  <c r="AM364" i="9"/>
  <c r="AO364" i="9" s="1"/>
  <c r="AM348" i="9"/>
  <c r="AO348" i="9" s="1"/>
  <c r="AM332" i="9"/>
  <c r="AO332" i="9" s="1"/>
  <c r="AM316" i="9"/>
  <c r="AO316" i="9" s="1"/>
  <c r="AM300" i="9"/>
  <c r="AO300" i="9" s="1"/>
  <c r="AM236" i="9"/>
  <c r="AO236" i="9" s="1"/>
  <c r="AM173" i="9"/>
  <c r="AO173" i="9" s="1"/>
  <c r="AM456" i="9"/>
  <c r="AO456" i="9" s="1"/>
  <c r="AM440" i="9"/>
  <c r="AO440" i="9" s="1"/>
  <c r="AM424" i="9"/>
  <c r="AO424" i="9" s="1"/>
  <c r="AM408" i="9"/>
  <c r="AO408" i="9" s="1"/>
  <c r="AM392" i="9"/>
  <c r="AO392" i="9" s="1"/>
  <c r="AM376" i="9"/>
  <c r="AO376" i="9" s="1"/>
  <c r="AM360" i="9"/>
  <c r="AO360" i="9" s="1"/>
  <c r="AM328" i="9"/>
  <c r="AO328" i="9" s="1"/>
  <c r="AM312" i="9"/>
  <c r="AO312" i="9" s="1"/>
  <c r="AM283" i="9"/>
  <c r="AO283" i="9" s="1"/>
  <c r="AM233" i="9"/>
  <c r="AO233" i="9" s="1"/>
  <c r="AM170" i="9"/>
  <c r="AO170" i="9" s="1"/>
  <c r="AM261" i="9"/>
  <c r="AO261" i="9" s="1"/>
  <c r="AM245" i="9"/>
  <c r="AO245" i="9" s="1"/>
  <c r="AM213" i="9"/>
  <c r="AO213" i="9" s="1"/>
  <c r="AM197" i="9"/>
  <c r="AO197" i="9" s="1"/>
  <c r="AM181" i="9"/>
  <c r="AO181" i="9" s="1"/>
  <c r="AM166" i="9"/>
  <c r="AO166" i="9" s="1"/>
  <c r="AM254" i="9"/>
  <c r="AO254" i="9" s="1"/>
  <c r="AM238" i="9"/>
  <c r="AO238" i="9" s="1"/>
  <c r="AM206" i="9"/>
  <c r="AO206" i="9" s="1"/>
  <c r="AM190" i="9"/>
  <c r="AO190" i="9" s="1"/>
  <c r="AM174" i="9"/>
  <c r="AO174" i="9" s="1"/>
  <c r="AM159" i="9"/>
  <c r="AO159" i="9" s="1"/>
  <c r="AM272" i="9"/>
  <c r="AO272" i="9" s="1"/>
  <c r="AM256" i="9"/>
  <c r="AO256" i="9" s="1"/>
  <c r="AM240" i="9"/>
  <c r="AO240" i="9" s="1"/>
  <c r="AM208" i="9"/>
  <c r="AO208" i="9" s="1"/>
  <c r="AM192" i="9"/>
  <c r="AO192" i="9" s="1"/>
  <c r="AM176" i="9"/>
  <c r="AO176" i="9" s="1"/>
  <c r="AM675" i="9"/>
  <c r="AO675" i="9" s="1"/>
  <c r="AM618" i="9"/>
  <c r="AO618" i="9" s="1"/>
  <c r="AM490" i="9"/>
  <c r="AO490" i="9" s="1"/>
  <c r="AM704" i="9"/>
  <c r="AO704" i="9" s="1"/>
  <c r="AM688" i="9"/>
  <c r="AO688" i="9" s="1"/>
  <c r="AM672" i="9"/>
  <c r="AO672" i="9" s="1"/>
  <c r="AM648" i="9"/>
  <c r="AO648" i="9" s="1"/>
  <c r="AM617" i="9"/>
  <c r="AO617" i="9" s="1"/>
  <c r="AM561" i="9"/>
  <c r="AO561" i="9" s="1"/>
  <c r="AM461" i="9"/>
  <c r="AO461" i="9" s="1"/>
  <c r="AM167" i="9"/>
  <c r="AO167" i="9" s="1"/>
  <c r="AM678" i="9"/>
  <c r="AO678" i="9" s="1"/>
  <c r="AM628" i="9"/>
  <c r="AO628" i="9" s="1"/>
  <c r="AM507" i="9"/>
  <c r="AO507" i="9" s="1"/>
  <c r="AM703" i="9"/>
  <c r="AO703" i="9" s="1"/>
  <c r="AM687" i="9"/>
  <c r="AO687" i="9" s="1"/>
  <c r="AM671" i="9"/>
  <c r="AO671" i="9" s="1"/>
  <c r="AM641" i="9"/>
  <c r="AO641" i="9" s="1"/>
  <c r="AM616" i="9"/>
  <c r="AO616" i="9" s="1"/>
  <c r="AM558" i="9"/>
  <c r="AO558" i="9" s="1"/>
  <c r="AM480" i="9"/>
  <c r="AO480" i="9" s="1"/>
  <c r="AM289" i="9"/>
  <c r="AO289" i="9" s="1"/>
  <c r="AM707" i="9"/>
  <c r="AO707" i="9" s="1"/>
  <c r="AM697" i="9"/>
  <c r="AO697" i="9" s="1"/>
  <c r="AM681" i="9"/>
  <c r="AO681" i="9" s="1"/>
  <c r="AM656" i="9"/>
  <c r="AO656" i="9" s="1"/>
  <c r="AM624" i="9"/>
  <c r="AO624" i="9" s="1"/>
  <c r="AM593" i="9"/>
  <c r="AO593" i="9" s="1"/>
  <c r="AM528" i="9"/>
  <c r="AO528" i="9" s="1"/>
  <c r="AM448" i="9"/>
  <c r="AO448" i="9" s="1"/>
  <c r="AM654" i="9"/>
  <c r="AO654" i="9" s="1"/>
  <c r="AM638" i="9"/>
  <c r="AO638" i="9" s="1"/>
  <c r="AM622" i="9"/>
  <c r="AO622" i="9" s="1"/>
  <c r="AM599" i="9"/>
  <c r="AO599" i="9" s="1"/>
  <c r="AM583" i="9"/>
  <c r="AO583" i="9" s="1"/>
  <c r="AM567" i="9"/>
  <c r="AO567" i="9" s="1"/>
  <c r="AM551" i="9"/>
  <c r="AO551" i="9" s="1"/>
  <c r="AM535" i="9"/>
  <c r="AO535" i="9" s="1"/>
  <c r="AM514" i="9"/>
  <c r="AO514" i="9" s="1"/>
  <c r="AM497" i="9"/>
  <c r="AO497" i="9" s="1"/>
  <c r="AM478" i="9"/>
  <c r="AO478" i="9" s="1"/>
  <c r="AM446" i="9"/>
  <c r="AO446" i="9" s="1"/>
  <c r="AM414" i="9"/>
  <c r="AO414" i="9" s="1"/>
  <c r="AM350" i="9"/>
  <c r="AO350" i="9" s="1"/>
  <c r="AM286" i="9"/>
  <c r="AO286" i="9" s="1"/>
  <c r="AM613" i="9"/>
  <c r="AO613" i="9" s="1"/>
  <c r="AM598" i="9"/>
  <c r="AO598" i="9" s="1"/>
  <c r="AM582" i="9"/>
  <c r="AO582" i="9" s="1"/>
  <c r="AM566" i="9"/>
  <c r="AO566" i="9" s="1"/>
  <c r="AM550" i="9"/>
  <c r="AO550" i="9" s="1"/>
  <c r="AM534" i="9"/>
  <c r="AO534" i="9" s="1"/>
  <c r="AM517" i="9"/>
  <c r="AO517" i="9" s="1"/>
  <c r="AM500" i="9"/>
  <c r="AO500" i="9" s="1"/>
  <c r="AM464" i="9"/>
  <c r="AO464" i="9" s="1"/>
  <c r="AM432" i="9"/>
  <c r="AO432" i="9" s="1"/>
  <c r="AM385" i="9"/>
  <c r="AO385" i="9" s="1"/>
  <c r="AM321" i="9"/>
  <c r="AO321" i="9" s="1"/>
  <c r="AM658" i="9"/>
  <c r="AO658" i="9" s="1"/>
  <c r="AM642" i="9"/>
  <c r="AO642" i="9" s="1"/>
  <c r="AM626" i="9"/>
  <c r="AO626" i="9" s="1"/>
  <c r="AM600" i="9"/>
  <c r="AO600" i="9" s="1"/>
  <c r="AM584" i="9"/>
  <c r="AO584" i="9" s="1"/>
  <c r="AM568" i="9"/>
  <c r="AO568" i="9" s="1"/>
  <c r="AM552" i="9"/>
  <c r="AO552" i="9" s="1"/>
  <c r="AM536" i="9"/>
  <c r="AO536" i="9" s="1"/>
  <c r="AM520" i="9"/>
  <c r="AO520" i="9" s="1"/>
  <c r="AM491" i="9"/>
  <c r="AO491" i="9" s="1"/>
  <c r="AM468" i="9"/>
  <c r="AO468" i="9" s="1"/>
  <c r="AM436" i="9"/>
  <c r="AO436" i="9" s="1"/>
  <c r="AM382" i="9"/>
  <c r="AO382" i="9" s="1"/>
  <c r="AM318" i="9"/>
  <c r="AO318" i="9" s="1"/>
  <c r="AM230" i="9"/>
  <c r="AO230" i="9" s="1"/>
  <c r="AM400" i="9"/>
  <c r="AO400" i="9" s="1"/>
  <c r="AM384" i="9"/>
  <c r="AO384" i="9" s="1"/>
  <c r="AM368" i="9"/>
  <c r="AO368" i="9" s="1"/>
  <c r="AM352" i="9"/>
  <c r="AO352" i="9" s="1"/>
  <c r="AM336" i="9"/>
  <c r="AO336" i="9" s="1"/>
  <c r="AM320" i="9"/>
  <c r="AO320" i="9" s="1"/>
  <c r="AM304" i="9"/>
  <c r="AO304" i="9" s="1"/>
  <c r="AM288" i="9"/>
  <c r="AO288" i="9" s="1"/>
  <c r="AM265" i="9"/>
  <c r="AO265" i="9" s="1"/>
  <c r="AM201" i="9"/>
  <c r="AO201" i="9" s="1"/>
  <c r="AM521" i="9"/>
  <c r="AO521" i="9" s="1"/>
  <c r="AM505" i="9"/>
  <c r="AO505" i="9" s="1"/>
  <c r="AM473" i="9"/>
  <c r="AO473" i="9" s="1"/>
  <c r="AM457" i="9"/>
  <c r="AO457" i="9" s="1"/>
  <c r="AM441" i="9"/>
  <c r="AO441" i="9" s="1"/>
  <c r="AM409" i="9"/>
  <c r="AO409" i="9" s="1"/>
  <c r="AM393" i="9"/>
  <c r="AO393" i="9" s="1"/>
  <c r="AM160" i="9"/>
  <c r="AO160" i="9" s="1"/>
  <c r="AM453" i="9"/>
  <c r="AO453" i="9" s="1"/>
  <c r="AM699" i="9"/>
  <c r="AO699" i="9" s="1"/>
  <c r="AM665" i="9"/>
  <c r="AO665" i="9" s="1"/>
  <c r="AM603" i="9"/>
  <c r="AO603" i="9" s="1"/>
  <c r="AM701" i="9"/>
  <c r="AO701" i="9" s="1"/>
  <c r="AM685" i="9"/>
  <c r="AO685" i="9" s="1"/>
  <c r="AM669" i="9"/>
  <c r="AO669" i="9" s="1"/>
  <c r="AM637" i="9"/>
  <c r="AO637" i="9" s="1"/>
  <c r="AM612" i="9"/>
  <c r="AO612" i="9" s="1"/>
  <c r="AM548" i="9"/>
  <c r="AO548" i="9" s="1"/>
  <c r="AM404" i="9"/>
  <c r="AO404" i="9" s="1"/>
  <c r="AM702" i="9"/>
  <c r="AO702" i="9" s="1"/>
  <c r="AM670" i="9"/>
  <c r="AO670" i="9" s="1"/>
  <c r="AM614" i="9"/>
  <c r="AO614" i="9" s="1"/>
  <c r="AM442" i="9"/>
  <c r="AO442" i="9" s="1"/>
  <c r="AM698" i="9"/>
  <c r="AO698" i="9" s="1"/>
  <c r="AM682" i="9"/>
  <c r="AO682" i="9" s="1"/>
  <c r="AM668" i="9"/>
  <c r="AO668" i="9" s="1"/>
  <c r="AM636" i="9"/>
  <c r="AO636" i="9" s="1"/>
  <c r="AM609" i="9"/>
  <c r="AO609" i="9" s="1"/>
  <c r="AM545" i="9"/>
  <c r="AO545" i="9" s="1"/>
  <c r="AM455" i="9"/>
  <c r="AO455" i="9" s="1"/>
  <c r="AM708" i="9"/>
  <c r="AO708" i="9" s="1"/>
  <c r="AM692" i="9"/>
  <c r="AO692" i="9" s="1"/>
  <c r="AM676" i="9"/>
  <c r="AO676" i="9" s="1"/>
  <c r="AM645" i="9"/>
  <c r="AO645" i="9" s="1"/>
  <c r="AM619" i="9"/>
  <c r="AO619" i="9" s="1"/>
  <c r="AM580" i="9"/>
  <c r="AO580" i="9" s="1"/>
  <c r="AM511" i="9"/>
  <c r="AO511" i="9" s="1"/>
  <c r="AM423" i="9"/>
  <c r="AO423" i="9" s="1"/>
  <c r="AM667" i="9"/>
  <c r="AO667" i="9" s="1"/>
  <c r="AM651" i="9"/>
  <c r="AO651" i="9" s="1"/>
  <c r="AM635" i="9"/>
  <c r="AO635" i="9" s="1"/>
  <c r="AM608" i="9"/>
  <c r="AO608" i="9" s="1"/>
  <c r="AM592" i="9"/>
  <c r="AO592" i="9" s="1"/>
  <c r="AM576" i="9"/>
  <c r="AO576" i="9" s="1"/>
  <c r="AM560" i="9"/>
  <c r="AO560" i="9" s="1"/>
  <c r="AM544" i="9"/>
  <c r="AO544" i="9" s="1"/>
  <c r="AM527" i="9"/>
  <c r="AO527" i="9" s="1"/>
  <c r="AM510" i="9"/>
  <c r="AO510" i="9" s="1"/>
  <c r="AM493" i="9"/>
  <c r="AO493" i="9" s="1"/>
  <c r="AM465" i="9"/>
  <c r="AO465" i="9" s="1"/>
  <c r="AM433" i="9"/>
  <c r="AO433" i="9" s="1"/>
  <c r="AM401" i="9"/>
  <c r="AO401" i="9" s="1"/>
  <c r="AM337" i="9"/>
  <c r="AO337" i="9" s="1"/>
  <c r="AM204" i="9"/>
  <c r="AO204" i="9" s="1"/>
  <c r="AM611" i="9"/>
  <c r="AO611" i="9" s="1"/>
  <c r="AM595" i="9"/>
  <c r="AO595" i="9" s="1"/>
  <c r="AM579" i="9"/>
  <c r="AO579" i="9" s="1"/>
  <c r="AM563" i="9"/>
  <c r="AO563" i="9" s="1"/>
  <c r="AM547" i="9"/>
  <c r="AO547" i="9" s="1"/>
  <c r="AM530" i="9"/>
  <c r="AO530" i="9" s="1"/>
  <c r="AM513" i="9"/>
  <c r="AO513" i="9" s="1"/>
  <c r="AM496" i="9"/>
  <c r="AO496" i="9" s="1"/>
  <c r="AM458" i="9"/>
  <c r="AO458" i="9" s="1"/>
  <c r="AM426" i="9"/>
  <c r="AO426" i="9" s="1"/>
  <c r="AM372" i="9"/>
  <c r="AO372" i="9" s="1"/>
  <c r="AM308" i="9"/>
  <c r="AO308" i="9" s="1"/>
  <c r="AM655" i="9"/>
  <c r="AO655" i="9" s="1"/>
  <c r="AM639" i="9"/>
  <c r="AO639" i="9" s="1"/>
  <c r="AM623" i="9"/>
  <c r="AO623" i="9" s="1"/>
  <c r="AM597" i="9"/>
  <c r="AO597" i="9" s="1"/>
  <c r="AM581" i="9"/>
  <c r="AO581" i="9" s="1"/>
  <c r="AM565" i="9"/>
  <c r="AO565" i="9" s="1"/>
  <c r="AM549" i="9"/>
  <c r="AO549" i="9" s="1"/>
  <c r="AM533" i="9"/>
  <c r="AO533" i="9" s="1"/>
  <c r="AM516" i="9"/>
  <c r="AO516" i="9" s="1"/>
  <c r="AM487" i="9"/>
  <c r="AO487" i="9" s="1"/>
  <c r="AM462" i="9"/>
  <c r="AO462" i="9" s="1"/>
  <c r="AM430" i="9"/>
  <c r="AO430" i="9" s="1"/>
  <c r="AM369" i="9"/>
  <c r="AO369" i="9" s="1"/>
  <c r="AM305" i="9"/>
  <c r="AO305" i="9" s="1"/>
  <c r="AM178" i="9"/>
  <c r="AO178" i="9" s="1"/>
  <c r="AM413" i="9"/>
  <c r="AO413" i="9" s="1"/>
  <c r="AM397" i="9"/>
  <c r="AO397" i="9" s="1"/>
  <c r="AM381" i="9"/>
  <c r="AO381" i="9" s="1"/>
  <c r="AM365" i="9"/>
  <c r="AO365" i="9" s="1"/>
  <c r="AM349" i="9"/>
  <c r="AO349" i="9" s="1"/>
  <c r="AM333" i="9"/>
  <c r="AO333" i="9" s="1"/>
  <c r="AM285" i="9"/>
  <c r="AO285" i="9" s="1"/>
  <c r="AM252" i="9"/>
  <c r="AO252" i="9" s="1"/>
  <c r="AM502" i="9"/>
  <c r="AO502" i="9" s="1"/>
  <c r="AM486" i="9"/>
  <c r="AO486" i="9" s="1"/>
  <c r="AM454" i="9"/>
  <c r="AO454" i="9" s="1"/>
  <c r="AM422" i="9"/>
  <c r="AO422" i="9" s="1"/>
  <c r="AM390" i="9"/>
  <c r="AO390" i="9" s="1"/>
  <c r="AM374" i="9"/>
  <c r="AO374" i="9" s="1"/>
  <c r="AM358" i="9"/>
  <c r="AO358" i="9" s="1"/>
  <c r="AM342" i="9"/>
  <c r="AO342" i="9" s="1"/>
  <c r="AM326" i="9"/>
  <c r="AO326" i="9" s="1"/>
  <c r="AM310" i="9"/>
  <c r="AO310" i="9" s="1"/>
  <c r="AM482" i="9"/>
  <c r="AO482" i="9" s="1"/>
  <c r="AM434" i="9"/>
  <c r="AO434" i="9" s="1"/>
  <c r="AM418" i="9"/>
  <c r="AO418" i="9" s="1"/>
  <c r="AM402" i="9"/>
  <c r="AO402" i="9" s="1"/>
  <c r="AM370" i="9"/>
  <c r="AO370" i="9" s="1"/>
  <c r="AM354" i="9"/>
  <c r="AO354" i="9" s="1"/>
  <c r="AM322" i="9"/>
  <c r="AO322" i="9" s="1"/>
  <c r="AM293" i="9"/>
  <c r="AO293" i="9" s="1"/>
  <c r="AM258" i="9"/>
  <c r="AO258" i="9" s="1"/>
  <c r="AM194" i="9"/>
  <c r="AO194" i="9" s="1"/>
  <c r="AM235" i="9"/>
  <c r="AO235" i="9" s="1"/>
  <c r="AM187" i="9"/>
  <c r="AO187" i="9" s="1"/>
  <c r="AM156" i="9"/>
  <c r="AO156" i="9" s="1"/>
  <c r="AM276" i="9"/>
  <c r="AO276" i="9" s="1"/>
  <c r="AM196" i="9"/>
  <c r="AO196" i="9" s="1"/>
  <c r="AM165" i="9"/>
  <c r="AO165" i="9" s="1"/>
  <c r="AM118" i="9"/>
  <c r="AO118" i="9" s="1"/>
  <c r="L34" i="10"/>
  <c r="AM68" i="9"/>
  <c r="AM649" i="9"/>
  <c r="AO649" i="9" s="1"/>
  <c r="AM315" i="9"/>
  <c r="AO315" i="9" s="1"/>
  <c r="AM696" i="9"/>
  <c r="AO696" i="9" s="1"/>
  <c r="AM680" i="9"/>
  <c r="AO680" i="9" s="1"/>
  <c r="AM664" i="9"/>
  <c r="AO664" i="9" s="1"/>
  <c r="AM632" i="9"/>
  <c r="AO632" i="9" s="1"/>
  <c r="AM587" i="9"/>
  <c r="AO587" i="9" s="1"/>
  <c r="AM503" i="9"/>
  <c r="AO503" i="9" s="1"/>
  <c r="AM353" i="9"/>
  <c r="AO353" i="9" s="1"/>
  <c r="AM694" i="9"/>
  <c r="AO694" i="9" s="1"/>
  <c r="AM660" i="9"/>
  <c r="AO660" i="9" s="1"/>
  <c r="AM590" i="9"/>
  <c r="AO590" i="9" s="1"/>
  <c r="AM366" i="9"/>
  <c r="AO366" i="9" s="1"/>
  <c r="AM695" i="9"/>
  <c r="AO695" i="9" s="1"/>
  <c r="AM679" i="9"/>
  <c r="AO679" i="9" s="1"/>
  <c r="AM657" i="9"/>
  <c r="AO657" i="9" s="1"/>
  <c r="AM625" i="9"/>
  <c r="AO625" i="9" s="1"/>
  <c r="AM596" i="9"/>
  <c r="AO596" i="9" s="1"/>
  <c r="AM532" i="9"/>
  <c r="AO532" i="9" s="1"/>
  <c r="AM429" i="9"/>
  <c r="AO429" i="9" s="1"/>
  <c r="AM705" i="9"/>
  <c r="AO705" i="9" s="1"/>
  <c r="AM689" i="9"/>
  <c r="AO689" i="9" s="1"/>
  <c r="AM673" i="9"/>
  <c r="AO673" i="9" s="1"/>
  <c r="AM640" i="9"/>
  <c r="AO640" i="9" s="1"/>
  <c r="AM615" i="9"/>
  <c r="AO615" i="9" s="1"/>
  <c r="AM555" i="9"/>
  <c r="AO555" i="9" s="1"/>
  <c r="AM494" i="9"/>
  <c r="AO494" i="9" s="1"/>
  <c r="AM379" i="9"/>
  <c r="AO379" i="9" s="1"/>
  <c r="AM662" i="9"/>
  <c r="AO662" i="9" s="1"/>
  <c r="AM646" i="9"/>
  <c r="AO646" i="9" s="1"/>
  <c r="AM630" i="9"/>
  <c r="AO630" i="9" s="1"/>
  <c r="AM605" i="9"/>
  <c r="AO605" i="9" s="1"/>
  <c r="AM589" i="9"/>
  <c r="AO589" i="9" s="1"/>
  <c r="AM573" i="9"/>
  <c r="AO573" i="9" s="1"/>
  <c r="AM557" i="9"/>
  <c r="AO557" i="9" s="1"/>
  <c r="AM541" i="9"/>
  <c r="AO541" i="9" s="1"/>
  <c r="AM523" i="9"/>
  <c r="AO523" i="9" s="1"/>
  <c r="AM506" i="9"/>
  <c r="AO506" i="9" s="1"/>
  <c r="AM488" i="9"/>
  <c r="AO488" i="9" s="1"/>
  <c r="AM459" i="9"/>
  <c r="AO459" i="9" s="1"/>
  <c r="AM427" i="9"/>
  <c r="AO427" i="9" s="1"/>
  <c r="AM388" i="9"/>
  <c r="AO388" i="9" s="1"/>
  <c r="AM324" i="9"/>
  <c r="AO324" i="9" s="1"/>
  <c r="AM154" i="9"/>
  <c r="AO154" i="9" s="1"/>
  <c r="AM604" i="9"/>
  <c r="AO604" i="9" s="1"/>
  <c r="AM588" i="9"/>
  <c r="AO588" i="9" s="1"/>
  <c r="AM572" i="9"/>
  <c r="AO572" i="9" s="1"/>
  <c r="AM556" i="9"/>
  <c r="AO556" i="9" s="1"/>
  <c r="AM540" i="9"/>
  <c r="AO540" i="9" s="1"/>
  <c r="AM526" i="9"/>
  <c r="AO526" i="9" s="1"/>
  <c r="AM509" i="9"/>
  <c r="AO509" i="9" s="1"/>
  <c r="AM477" i="9"/>
  <c r="AO477" i="9" s="1"/>
  <c r="AM445" i="9"/>
  <c r="AO445" i="9" s="1"/>
  <c r="AM411" i="9"/>
  <c r="AO411" i="9" s="1"/>
  <c r="AM347" i="9"/>
  <c r="AO347" i="9" s="1"/>
  <c r="AM242" i="9"/>
  <c r="AO242" i="9" s="1"/>
  <c r="AM666" i="9"/>
  <c r="AO666" i="9" s="1"/>
  <c r="AM650" i="9"/>
  <c r="AO650" i="9" s="1"/>
  <c r="AM634" i="9"/>
  <c r="AO634" i="9" s="1"/>
  <c r="AM610" i="9"/>
  <c r="AO610" i="9" s="1"/>
  <c r="AM594" i="9"/>
  <c r="AO594" i="9" s="1"/>
  <c r="AM578" i="9"/>
  <c r="AO578" i="9" s="1"/>
  <c r="AM562" i="9"/>
  <c r="AO562" i="9" s="1"/>
  <c r="AM546" i="9"/>
  <c r="AO546" i="9" s="1"/>
  <c r="AM529" i="9"/>
  <c r="AO529" i="9" s="1"/>
  <c r="AM512" i="9"/>
  <c r="AO512" i="9" s="1"/>
  <c r="AM481" i="9"/>
  <c r="AO481" i="9" s="1"/>
  <c r="AM449" i="9"/>
  <c r="AO449" i="9" s="1"/>
  <c r="AM417" i="9"/>
  <c r="AO417" i="9" s="1"/>
  <c r="AM356" i="9"/>
  <c r="AO356" i="9" s="1"/>
  <c r="AM292" i="9"/>
  <c r="AO292" i="9" s="1"/>
  <c r="AM127" i="9"/>
  <c r="AM410" i="9"/>
  <c r="AO410" i="9" s="1"/>
  <c r="AM394" i="9"/>
  <c r="AO394" i="9" s="1"/>
  <c r="AM378" i="9"/>
  <c r="AO378" i="9" s="1"/>
  <c r="AM362" i="9"/>
  <c r="AO362" i="9" s="1"/>
  <c r="AM346" i="9"/>
  <c r="AO346" i="9" s="1"/>
  <c r="AM330" i="9"/>
  <c r="AO330" i="9" s="1"/>
  <c r="AM314" i="9"/>
  <c r="AO314" i="9" s="1"/>
  <c r="AM295" i="9"/>
  <c r="AO295" i="9" s="1"/>
  <c r="AM281" i="9"/>
  <c r="AO281" i="9" s="1"/>
  <c r="AM226" i="9"/>
  <c r="AO226" i="9" s="1"/>
  <c r="AM151" i="9"/>
  <c r="AO151" i="9" s="1"/>
  <c r="AM531" i="9"/>
  <c r="AO531" i="9" s="1"/>
  <c r="AM515" i="9"/>
  <c r="AO515" i="9" s="1"/>
  <c r="AM499" i="9"/>
  <c r="AO499" i="9" s="1"/>
  <c r="AM483" i="9"/>
  <c r="AO483" i="9" s="1"/>
  <c r="AM467" i="9"/>
  <c r="AO467" i="9" s="1"/>
  <c r="AM451" i="9"/>
  <c r="AO451" i="9" s="1"/>
  <c r="AM419" i="9"/>
  <c r="AO419" i="9" s="1"/>
  <c r="AM403" i="9"/>
  <c r="AO403" i="9" s="1"/>
  <c r="AM371" i="9"/>
  <c r="AO371" i="9" s="1"/>
  <c r="AM355" i="9"/>
  <c r="AO355" i="9" s="1"/>
  <c r="AM339" i="9"/>
  <c r="AO339" i="9" s="1"/>
  <c r="AM323" i="9"/>
  <c r="AO323" i="9" s="1"/>
  <c r="AM307" i="9"/>
  <c r="AO307" i="9" s="1"/>
  <c r="AM290" i="9"/>
  <c r="AO290" i="9" s="1"/>
  <c r="AM249" i="9"/>
  <c r="AO249" i="9" s="1"/>
  <c r="AM185" i="9"/>
  <c r="AO185" i="9" s="1"/>
  <c r="AM479" i="9"/>
  <c r="AO479" i="9" s="1"/>
  <c r="AM463" i="9"/>
  <c r="AO463" i="9" s="1"/>
  <c r="AM447" i="9"/>
  <c r="AO447" i="9" s="1"/>
  <c r="AM431" i="9"/>
  <c r="AO431" i="9" s="1"/>
  <c r="AM415" i="9"/>
  <c r="AO415" i="9" s="1"/>
  <c r="AM399" i="9"/>
  <c r="AO399" i="9" s="1"/>
  <c r="AM383" i="9"/>
  <c r="AO383" i="9" s="1"/>
  <c r="AM367" i="9"/>
  <c r="AO367" i="9" s="1"/>
  <c r="AM351" i="9"/>
  <c r="AO351" i="9" s="1"/>
  <c r="AM335" i="9"/>
  <c r="AO335" i="9" s="1"/>
  <c r="AM319" i="9"/>
  <c r="AO319" i="9" s="1"/>
  <c r="AM303" i="9"/>
  <c r="AO303" i="9" s="1"/>
  <c r="AM287" i="9"/>
  <c r="AO287" i="9" s="1"/>
  <c r="AM246" i="9"/>
  <c r="AO246" i="9" s="1"/>
  <c r="AM182" i="9"/>
  <c r="AO182" i="9" s="1"/>
  <c r="AM131" i="9"/>
  <c r="AO131" i="9" s="1"/>
  <c r="AM75" i="9"/>
  <c r="AO75" i="9" s="1"/>
  <c r="AM264" i="9"/>
  <c r="AO264" i="9" s="1"/>
  <c r="AM248" i="9"/>
  <c r="AO248" i="9" s="1"/>
  <c r="AM232" i="9"/>
  <c r="AO232" i="9" s="1"/>
  <c r="AM216" i="9"/>
  <c r="AO216" i="9" s="1"/>
  <c r="AM200" i="9"/>
  <c r="AO200" i="9" s="1"/>
  <c r="AM184" i="9"/>
  <c r="AO184" i="9" s="1"/>
  <c r="AM169" i="9"/>
  <c r="AO169" i="9" s="1"/>
  <c r="AM136" i="9"/>
  <c r="AO136" i="9" s="1"/>
  <c r="AM273" i="9"/>
  <c r="AO273" i="9" s="1"/>
  <c r="AM257" i="9"/>
  <c r="AO257" i="9" s="1"/>
  <c r="AM225" i="9"/>
  <c r="AO225" i="9" s="1"/>
  <c r="AM193" i="9"/>
  <c r="AO193" i="9" s="1"/>
  <c r="AM177" i="9"/>
  <c r="AO177" i="9" s="1"/>
  <c r="AM162" i="9"/>
  <c r="AO162" i="9" s="1"/>
  <c r="AM129" i="9"/>
  <c r="AO129" i="9" s="1"/>
  <c r="AM275" i="9"/>
  <c r="AO275" i="9" s="1"/>
  <c r="AM259" i="9"/>
  <c r="AO259" i="9" s="1"/>
  <c r="AM243" i="9"/>
  <c r="AO243" i="9" s="1"/>
  <c r="AM227" i="9"/>
  <c r="AO227" i="9" s="1"/>
  <c r="AM211" i="9"/>
  <c r="AO211" i="9" s="1"/>
  <c r="AM195" i="9"/>
  <c r="AO195" i="9" s="1"/>
  <c r="AM161" i="9"/>
  <c r="AO161" i="9" s="1"/>
  <c r="AM128" i="9"/>
  <c r="AO128" i="9" s="1"/>
  <c r="S831" i="57"/>
  <c r="T831" i="57" s="1"/>
  <c r="S795" i="57"/>
  <c r="T795" i="57" s="1"/>
  <c r="S795" i="59"/>
  <c r="T795" i="59" s="1"/>
  <c r="AC847" i="57"/>
  <c r="L33" i="10"/>
  <c r="J33" i="10"/>
  <c r="AO269" i="9"/>
  <c r="K831" i="57"/>
  <c r="L831" i="57" s="1"/>
  <c r="AO270" i="9"/>
  <c r="S820" i="57"/>
  <c r="T820" i="57" s="1"/>
  <c r="AO267" i="9"/>
  <c r="G831" i="57"/>
  <c r="G820" i="57"/>
  <c r="G810" i="57"/>
  <c r="H810" i="57" s="1"/>
  <c r="G755" i="59"/>
  <c r="H755" i="59" s="1"/>
  <c r="W795" i="59"/>
  <c r="X795" i="59" s="1"/>
  <c r="S614" i="59"/>
  <c r="T614" i="59" s="1"/>
  <c r="G755" i="57"/>
  <c r="H755" i="57" s="1"/>
  <c r="G744" i="59"/>
  <c r="H744" i="59" s="1"/>
  <c r="AO263" i="9"/>
  <c r="G799" i="57"/>
  <c r="H799" i="57" s="1"/>
  <c r="AO111" i="9"/>
  <c r="S784" i="59"/>
  <c r="T784" i="59" s="1"/>
  <c r="K713" i="59"/>
  <c r="L713" i="59" s="1"/>
  <c r="W779" i="59"/>
  <c r="X779" i="59" s="1"/>
  <c r="W784" i="59"/>
  <c r="X784" i="59" s="1"/>
  <c r="W644" i="59"/>
  <c r="X644" i="59" s="1"/>
  <c r="S634" i="59"/>
  <c r="T634" i="59" s="1"/>
  <c r="S630" i="59"/>
  <c r="T630" i="59" s="1"/>
  <c r="AO189" i="9"/>
  <c r="S542" i="59"/>
  <c r="T542" i="59" s="1"/>
  <c r="S568" i="57"/>
  <c r="T568" i="57" s="1"/>
  <c r="S568" i="59"/>
  <c r="T568" i="59" s="1"/>
  <c r="AO112" i="9"/>
  <c r="AP112" i="9"/>
  <c r="AO110" i="9"/>
  <c r="AP110" i="9"/>
  <c r="AP809" i="9"/>
  <c r="AP813" i="9"/>
  <c r="AP791" i="9"/>
  <c r="AP762" i="9"/>
  <c r="AP818" i="9"/>
  <c r="AP802" i="9"/>
  <c r="AP793" i="9"/>
  <c r="AP761" i="9"/>
  <c r="AO757" i="9"/>
  <c r="AP757" i="9"/>
  <c r="AO741" i="9"/>
  <c r="AP741" i="9"/>
  <c r="AO725" i="9"/>
  <c r="AP725" i="9"/>
  <c r="AO709" i="9"/>
  <c r="AP709" i="9"/>
  <c r="AP788" i="9"/>
  <c r="AP772" i="9"/>
  <c r="AO756" i="9"/>
  <c r="AP756" i="9"/>
  <c r="AO740" i="9"/>
  <c r="AP740" i="9"/>
  <c r="AO724" i="9"/>
  <c r="AP724" i="9"/>
  <c r="AP783" i="9"/>
  <c r="AP767" i="9"/>
  <c r="AO751" i="9"/>
  <c r="AP751" i="9"/>
  <c r="AO735" i="9"/>
  <c r="AP735" i="9"/>
  <c r="AO719" i="9"/>
  <c r="AP719" i="9"/>
  <c r="AO78" i="9"/>
  <c r="AP78" i="9"/>
  <c r="AO77" i="9"/>
  <c r="AP77" i="9"/>
  <c r="AO63" i="9"/>
  <c r="AP63" i="9"/>
  <c r="AO79" i="9"/>
  <c r="AP79" i="9"/>
  <c r="AO61" i="9"/>
  <c r="AP61" i="9"/>
  <c r="AP758" i="9"/>
  <c r="AP766" i="9"/>
  <c r="AP796" i="9"/>
  <c r="AP798" i="9"/>
  <c r="AO722" i="9"/>
  <c r="AP722" i="9"/>
  <c r="AP812" i="9"/>
  <c r="AO742" i="9"/>
  <c r="AP742" i="9"/>
  <c r="AP789" i="9"/>
  <c r="AP822" i="9"/>
  <c r="AP781" i="9"/>
  <c r="AP808" i="9"/>
  <c r="AP786" i="9"/>
  <c r="AO750" i="9"/>
  <c r="AP750" i="9"/>
  <c r="AP815" i="9"/>
  <c r="AP799" i="9"/>
  <c r="AP785" i="9"/>
  <c r="AO746" i="9"/>
  <c r="AP746" i="9"/>
  <c r="AO753" i="9"/>
  <c r="AP753" i="9"/>
  <c r="AO737" i="9"/>
  <c r="AP737" i="9"/>
  <c r="AO721" i="9"/>
  <c r="AP721" i="9"/>
  <c r="AP784" i="9"/>
  <c r="AP768" i="9"/>
  <c r="AO752" i="9"/>
  <c r="AP752" i="9"/>
  <c r="AO736" i="9"/>
  <c r="AP736" i="9"/>
  <c r="AO720" i="9"/>
  <c r="AP720" i="9"/>
  <c r="AP779" i="9"/>
  <c r="AP763" i="9"/>
  <c r="AO747" i="9"/>
  <c r="AP747" i="9"/>
  <c r="AO731" i="9"/>
  <c r="AP731" i="9"/>
  <c r="AO715" i="9"/>
  <c r="AP715" i="9"/>
  <c r="AO76" i="9"/>
  <c r="AP76" i="9"/>
  <c r="AO62" i="9"/>
  <c r="AP62" i="9"/>
  <c r="AO754" i="9"/>
  <c r="AP754" i="9"/>
  <c r="AO726" i="9"/>
  <c r="AP726" i="9"/>
  <c r="AO710" i="9"/>
  <c r="AP710" i="9"/>
  <c r="AP811" i="9"/>
  <c r="AP765" i="9"/>
  <c r="AP821" i="9"/>
  <c r="AP805" i="9"/>
  <c r="AP778" i="9"/>
  <c r="AO734" i="9"/>
  <c r="AP734" i="9"/>
  <c r="AP810" i="9"/>
  <c r="AP797" i="9"/>
  <c r="AP777" i="9"/>
  <c r="AO730" i="9"/>
  <c r="AP730" i="9"/>
  <c r="AO749" i="9"/>
  <c r="AP749" i="9"/>
  <c r="AO733" i="9"/>
  <c r="AP733" i="9"/>
  <c r="AO717" i="9"/>
  <c r="AP717" i="9"/>
  <c r="AP792" i="9"/>
  <c r="AP780" i="9"/>
  <c r="AP764" i="9"/>
  <c r="AO748" i="9"/>
  <c r="AP748" i="9"/>
  <c r="AO732" i="9"/>
  <c r="AP732" i="9"/>
  <c r="AO716" i="9"/>
  <c r="AP716" i="9"/>
  <c r="AP775" i="9"/>
  <c r="AP759" i="9"/>
  <c r="AO743" i="9"/>
  <c r="AP743" i="9"/>
  <c r="AO727" i="9"/>
  <c r="AP727" i="9"/>
  <c r="AO711" i="9"/>
  <c r="AP711" i="9"/>
  <c r="AP820" i="9"/>
  <c r="AP803" i="9"/>
  <c r="AP817" i="9"/>
  <c r="AP774" i="9"/>
  <c r="AP819" i="9"/>
  <c r="AP794" i="9"/>
  <c r="AP801" i="9"/>
  <c r="AP814" i="9"/>
  <c r="AP773" i="9"/>
  <c r="AP804" i="9"/>
  <c r="AP782" i="9"/>
  <c r="AP806" i="9"/>
  <c r="AO738" i="9"/>
  <c r="AP738" i="9"/>
  <c r="AP816" i="9"/>
  <c r="AP800" i="9"/>
  <c r="AP770" i="9"/>
  <c r="AO718" i="9"/>
  <c r="AP718" i="9"/>
  <c r="AP823" i="9"/>
  <c r="AP807" i="9"/>
  <c r="AP795" i="9"/>
  <c r="AP769" i="9"/>
  <c r="AO714" i="9"/>
  <c r="AP714" i="9"/>
  <c r="AO64" i="9"/>
  <c r="AP64" i="9"/>
  <c r="AO745" i="9"/>
  <c r="AP745" i="9"/>
  <c r="AO729" i="9"/>
  <c r="AP729" i="9"/>
  <c r="AO713" i="9"/>
  <c r="AP713" i="9"/>
  <c r="AP790" i="9"/>
  <c r="AP776" i="9"/>
  <c r="AP760" i="9"/>
  <c r="AO744" i="9"/>
  <c r="AP744" i="9"/>
  <c r="AO728" i="9"/>
  <c r="AP728" i="9"/>
  <c r="AO712" i="9"/>
  <c r="AP712" i="9"/>
  <c r="AP787" i="9"/>
  <c r="AP771" i="9"/>
  <c r="AO755" i="9"/>
  <c r="AP755" i="9"/>
  <c r="AO739" i="9"/>
  <c r="AP739" i="9"/>
  <c r="AO723" i="9"/>
  <c r="AP723" i="9"/>
  <c r="AO53" i="9"/>
  <c r="AP53" i="9"/>
  <c r="AO65" i="9"/>
  <c r="AP65" i="9"/>
  <c r="W746" i="59"/>
  <c r="X746" i="59" s="1"/>
  <c r="AO11" i="9"/>
  <c r="AP11" i="9"/>
  <c r="AO10" i="9"/>
  <c r="AP10" i="9"/>
  <c r="AP9" i="9"/>
  <c r="AO8" i="9"/>
  <c r="AP8" i="9"/>
  <c r="AO7" i="9"/>
  <c r="AP7" i="9"/>
  <c r="AO4" i="9"/>
  <c r="AP4" i="9"/>
  <c r="S663" i="57"/>
  <c r="T663" i="57" s="1"/>
  <c r="S663" i="59"/>
  <c r="T663" i="59" s="1"/>
  <c r="S590" i="59"/>
  <c r="T590" i="59" s="1"/>
  <c r="W674" i="59"/>
  <c r="X674" i="59" s="1"/>
  <c r="W641" i="59"/>
  <c r="X641" i="59" s="1"/>
  <c r="G634" i="59"/>
  <c r="H634" i="59" s="1"/>
  <c r="G623" i="59"/>
  <c r="H623" i="59" s="1"/>
  <c r="K776" i="59"/>
  <c r="L776" i="59" s="1"/>
  <c r="W740" i="59"/>
  <c r="X740" i="59" s="1"/>
  <c r="K625" i="57"/>
  <c r="L625" i="57" s="1"/>
  <c r="K625" i="59"/>
  <c r="L625" i="59" s="1"/>
  <c r="K633" i="59"/>
  <c r="L633" i="59" s="1"/>
  <c r="K622" i="59"/>
  <c r="L622" i="59" s="1"/>
  <c r="S586" i="59"/>
  <c r="T586" i="59" s="1"/>
  <c r="W751" i="59"/>
  <c r="X751" i="59" s="1"/>
  <c r="AP518" i="9"/>
  <c r="AP516" i="9"/>
  <c r="AP517" i="9"/>
  <c r="AP515" i="9"/>
  <c r="AP514" i="9"/>
  <c r="G688" i="59"/>
  <c r="H688" i="59" s="1"/>
  <c r="S619" i="59"/>
  <c r="T619" i="59" s="1"/>
  <c r="W592" i="59"/>
  <c r="X592" i="59" s="1"/>
  <c r="G787" i="59"/>
  <c r="H787" i="59" s="1"/>
  <c r="W531" i="59"/>
  <c r="X531" i="59" s="1"/>
  <c r="W542" i="59"/>
  <c r="X542" i="59" s="1"/>
  <c r="S623" i="59"/>
  <c r="T623" i="59" s="1"/>
  <c r="S557" i="59"/>
  <c r="T557" i="59" s="1"/>
  <c r="G645" i="59"/>
  <c r="H645" i="59" s="1"/>
  <c r="G656" i="59"/>
  <c r="H656" i="59" s="1"/>
  <c r="W773" i="59"/>
  <c r="X773" i="59" s="1"/>
  <c r="G523" i="59"/>
  <c r="H523" i="59" s="1"/>
  <c r="K691" i="57"/>
  <c r="L691" i="57" s="1"/>
  <c r="K691" i="59"/>
  <c r="L691" i="59" s="1"/>
  <c r="W589" i="59"/>
  <c r="X589" i="59" s="1"/>
  <c r="S787" i="59"/>
  <c r="T787" i="59" s="1"/>
  <c r="S762" i="59"/>
  <c r="T762" i="59" s="1"/>
  <c r="W762" i="59"/>
  <c r="X762" i="59" s="1"/>
  <c r="K680" i="59"/>
  <c r="L680" i="59" s="1"/>
  <c r="K622" i="57"/>
  <c r="K644" i="59"/>
  <c r="L644" i="59" s="1"/>
  <c r="AP75" i="9"/>
  <c r="AO5" i="9"/>
  <c r="AP5" i="9"/>
  <c r="AO6" i="9"/>
  <c r="AP6" i="9"/>
  <c r="AO55" i="9"/>
  <c r="AP55" i="9"/>
  <c r="AO54" i="9"/>
  <c r="AP54" i="9"/>
  <c r="AO52" i="9"/>
  <c r="AP52" i="9"/>
  <c r="AO51" i="9"/>
  <c r="AP51" i="9"/>
  <c r="AO80" i="9"/>
  <c r="AP80" i="9"/>
  <c r="AO81" i="9"/>
  <c r="AP81" i="9"/>
  <c r="W581" i="59"/>
  <c r="X581" i="59" s="1"/>
  <c r="G721" i="59"/>
  <c r="H721" i="59" s="1"/>
  <c r="G732" i="59"/>
  <c r="H732" i="59" s="1"/>
  <c r="W578" i="57"/>
  <c r="W578" i="59"/>
  <c r="X578" i="59" s="1"/>
  <c r="K647" i="59"/>
  <c r="L647" i="59" s="1"/>
  <c r="S546" i="59"/>
  <c r="T546" i="59" s="1"/>
  <c r="S608" i="59"/>
  <c r="T608" i="59" s="1"/>
  <c r="S612" i="59"/>
  <c r="T612" i="59" s="1"/>
  <c r="W652" i="59"/>
  <c r="X652" i="59" s="1"/>
  <c r="W663" i="59"/>
  <c r="X663" i="59" s="1"/>
  <c r="K787" i="59"/>
  <c r="K669" i="59"/>
  <c r="L669" i="59" s="1"/>
  <c r="AP276" i="9"/>
  <c r="AP277" i="9"/>
  <c r="AP274" i="9"/>
  <c r="K658" i="59"/>
  <c r="L658" i="59" s="1"/>
  <c r="G655" i="59"/>
  <c r="H655" i="59" s="1"/>
  <c r="W641" i="57"/>
  <c r="S652" i="59"/>
  <c r="T652" i="59" s="1"/>
  <c r="K636" i="59"/>
  <c r="L636" i="59" s="1"/>
  <c r="S597" i="59"/>
  <c r="T597" i="59" s="1"/>
  <c r="S592" i="59"/>
  <c r="T592" i="59" s="1"/>
  <c r="AP279" i="9"/>
  <c r="AP278" i="9"/>
  <c r="AP280" i="9"/>
  <c r="W570" i="59"/>
  <c r="X570" i="59" s="1"/>
  <c r="W520" i="59"/>
  <c r="X520" i="59" s="1"/>
  <c r="AP341" i="9"/>
  <c r="AP329" i="9"/>
  <c r="AP446" i="9"/>
  <c r="AP272" i="9"/>
  <c r="AP398" i="9"/>
  <c r="S743" i="59"/>
  <c r="T743" i="59" s="1"/>
  <c r="S601" i="59"/>
  <c r="T601" i="59" s="1"/>
  <c r="S570" i="59"/>
  <c r="T570" i="59" s="1"/>
  <c r="G666" i="59"/>
  <c r="H666" i="59" s="1"/>
  <c r="AP644" i="9"/>
  <c r="AP273" i="9"/>
  <c r="AP526" i="9"/>
  <c r="AP574" i="9"/>
  <c r="AP510" i="9"/>
  <c r="AP542" i="9"/>
  <c r="AP478" i="9"/>
  <c r="AP633" i="9"/>
  <c r="AP570" i="9"/>
  <c r="AP554" i="9"/>
  <c r="AP522" i="9"/>
  <c r="AP506" i="9"/>
  <c r="AP454" i="9"/>
  <c r="AP373" i="9"/>
  <c r="AP212" i="9"/>
  <c r="AP611" i="9"/>
  <c r="AP579" i="9"/>
  <c r="AP531" i="9"/>
  <c r="AP499" i="9"/>
  <c r="AP383" i="9"/>
  <c r="AP637" i="9"/>
  <c r="AP575" i="9"/>
  <c r="AP543" i="9"/>
  <c r="AP527" i="9"/>
  <c r="AP479" i="9"/>
  <c r="AP451" i="9"/>
  <c r="AP367" i="9"/>
  <c r="AP459" i="9"/>
  <c r="AP363" i="9"/>
  <c r="AP185" i="9"/>
  <c r="AP464" i="9"/>
  <c r="AP416" i="9"/>
  <c r="AP384" i="9"/>
  <c r="AP368" i="9"/>
  <c r="AP352" i="9"/>
  <c r="AP387" i="9"/>
  <c r="AP371" i="9"/>
  <c r="AP355" i="9"/>
  <c r="AP286" i="9"/>
  <c r="AP207" i="9"/>
  <c r="AP264" i="9"/>
  <c r="AP217" i="9"/>
  <c r="AP205" i="9"/>
  <c r="AP186" i="9"/>
  <c r="AP169" i="9"/>
  <c r="AP153" i="9"/>
  <c r="AP121" i="9"/>
  <c r="AO105" i="9"/>
  <c r="AP105" i="9"/>
  <c r="AP210" i="9"/>
  <c r="AP177" i="9"/>
  <c r="AP114" i="9"/>
  <c r="AO37" i="9"/>
  <c r="AP37" i="9"/>
  <c r="AP176" i="9"/>
  <c r="AP126" i="9"/>
  <c r="AP29" i="9"/>
  <c r="AP561" i="9"/>
  <c r="AP497" i="9"/>
  <c r="AP389" i="9"/>
  <c r="AP609" i="9"/>
  <c r="AP545" i="9"/>
  <c r="AP634" i="9"/>
  <c r="AP529" i="9"/>
  <c r="AP463" i="9"/>
  <c r="AO103" i="9"/>
  <c r="AP103" i="9"/>
  <c r="AP599" i="9"/>
  <c r="AP583" i="9"/>
  <c r="AP551" i="9"/>
  <c r="AP535" i="9"/>
  <c r="AP503" i="9"/>
  <c r="AP487" i="9"/>
  <c r="AP471" i="9"/>
  <c r="AP360" i="9"/>
  <c r="AP187" i="9"/>
  <c r="AP572" i="9"/>
  <c r="AP556" i="9"/>
  <c r="AP508" i="9"/>
  <c r="AP453" i="9"/>
  <c r="AP370" i="9"/>
  <c r="AP206" i="9"/>
  <c r="AO32" i="9"/>
  <c r="AP32" i="9"/>
  <c r="AP632" i="9"/>
  <c r="AP600" i="9"/>
  <c r="AP584" i="9"/>
  <c r="AP568" i="9"/>
  <c r="AP552" i="9"/>
  <c r="AP488" i="9"/>
  <c r="AP472" i="9"/>
  <c r="AP354" i="9"/>
  <c r="AP285" i="9"/>
  <c r="AP468" i="9"/>
  <c r="AP452" i="9"/>
  <c r="AP388" i="9"/>
  <c r="AP372" i="9"/>
  <c r="AP356" i="9"/>
  <c r="AP203" i="9"/>
  <c r="AP151" i="9"/>
  <c r="AP461" i="9"/>
  <c r="AP381" i="9"/>
  <c r="AP365" i="9"/>
  <c r="AP349" i="9"/>
  <c r="AP215" i="9"/>
  <c r="AP190" i="9"/>
  <c r="AP380" i="9"/>
  <c r="AP364" i="9"/>
  <c r="AP200" i="9"/>
  <c r="AP214" i="9"/>
  <c r="AP199" i="9"/>
  <c r="AP181" i="9"/>
  <c r="AP150" i="9"/>
  <c r="AP118" i="9"/>
  <c r="AO102" i="9"/>
  <c r="AP102" i="9"/>
  <c r="AO35" i="9"/>
  <c r="AP35" i="9"/>
  <c r="AP204" i="9"/>
  <c r="AP174" i="9"/>
  <c r="AP127" i="9"/>
  <c r="AO66" i="9"/>
  <c r="AP66" i="9"/>
  <c r="AO34" i="9"/>
  <c r="AP34" i="9"/>
  <c r="AP13" i="9"/>
  <c r="AP171" i="9"/>
  <c r="AP155" i="9"/>
  <c r="AP123" i="9"/>
  <c r="AO107" i="9"/>
  <c r="AP107" i="9"/>
  <c r="L19" i="10"/>
  <c r="AP622" i="9"/>
  <c r="AP351" i="9"/>
  <c r="AP647" i="9"/>
  <c r="AP532" i="9"/>
  <c r="AP418" i="9"/>
  <c r="AP624" i="9"/>
  <c r="AP580" i="9"/>
  <c r="AP576" i="9"/>
  <c r="AP560" i="9"/>
  <c r="AP544" i="9"/>
  <c r="AP528" i="9"/>
  <c r="AP635" i="9"/>
  <c r="AP623" i="9"/>
  <c r="AP569" i="9"/>
  <c r="AP553" i="9"/>
  <c r="AP415" i="9"/>
  <c r="AP357" i="9"/>
  <c r="AP178" i="9"/>
  <c r="AP581" i="9"/>
  <c r="AP533" i="9"/>
  <c r="AP501" i="9"/>
  <c r="AP485" i="9"/>
  <c r="AP469" i="9"/>
  <c r="AP268" i="9"/>
  <c r="AP417" i="9"/>
  <c r="AP385" i="9"/>
  <c r="AP369" i="9"/>
  <c r="AP353" i="9"/>
  <c r="AP288" i="9"/>
  <c r="AP266" i="9"/>
  <c r="AP197" i="9"/>
  <c r="AP458" i="9"/>
  <c r="AP362" i="9"/>
  <c r="AP209" i="9"/>
  <c r="AP184" i="9"/>
  <c r="AP122" i="9"/>
  <c r="AP14" i="9"/>
  <c r="AP361" i="9"/>
  <c r="AP269" i="9"/>
  <c r="AP218" i="9"/>
  <c r="AP188" i="9"/>
  <c r="AP119" i="9"/>
  <c r="AP287" i="9"/>
  <c r="AP211" i="9"/>
  <c r="AP175" i="9"/>
  <c r="AP115" i="9"/>
  <c r="AO83" i="9"/>
  <c r="AP83" i="9"/>
  <c r="AO31" i="9"/>
  <c r="AP31" i="9"/>
  <c r="AP219" i="9"/>
  <c r="AP201" i="9"/>
  <c r="AP183" i="9"/>
  <c r="AP168" i="9"/>
  <c r="AP152" i="9"/>
  <c r="AP120" i="9"/>
  <c r="AO104" i="9"/>
  <c r="AP104" i="9"/>
  <c r="AO30" i="9"/>
  <c r="AP30" i="9"/>
  <c r="AP182" i="9"/>
  <c r="AP116" i="9"/>
  <c r="AO36" i="9"/>
  <c r="AP36" i="9"/>
  <c r="AO82" i="9"/>
  <c r="AP82" i="9"/>
  <c r="AP500" i="9"/>
  <c r="AP577" i="9"/>
  <c r="AP648" i="9"/>
  <c r="AP523" i="9"/>
  <c r="AP450" i="9"/>
  <c r="AP571" i="9"/>
  <c r="AP507" i="9"/>
  <c r="AP555" i="9"/>
  <c r="AP636" i="9"/>
  <c r="AP573" i="9"/>
  <c r="AP509" i="9"/>
  <c r="AP477" i="9"/>
  <c r="AP460" i="9"/>
  <c r="AP386" i="9"/>
  <c r="AP621" i="9"/>
  <c r="AP582" i="9"/>
  <c r="AP550" i="9"/>
  <c r="AP534" i="9"/>
  <c r="AP486" i="9"/>
  <c r="AP470" i="9"/>
  <c r="AP128" i="9"/>
  <c r="AP578" i="9"/>
  <c r="AP562" i="9"/>
  <c r="AP546" i="9"/>
  <c r="AP530" i="9"/>
  <c r="AP498" i="9"/>
  <c r="AP462" i="9"/>
  <c r="AP414" i="9"/>
  <c r="AP382" i="9"/>
  <c r="AP366" i="9"/>
  <c r="AP350" i="9"/>
  <c r="AP284" i="9"/>
  <c r="AP125" i="9"/>
  <c r="AP455" i="9"/>
  <c r="AP375" i="9"/>
  <c r="AP359" i="9"/>
  <c r="AP270" i="9"/>
  <c r="AP202" i="9"/>
  <c r="AP173" i="9"/>
  <c r="AP109" i="9"/>
  <c r="AP390" i="9"/>
  <c r="AP374" i="9"/>
  <c r="AP358" i="9"/>
  <c r="AP265" i="9"/>
  <c r="AP213" i="9"/>
  <c r="AP170" i="9"/>
  <c r="AO106" i="9"/>
  <c r="AP106" i="9"/>
  <c r="AP267" i="9"/>
  <c r="AP208" i="9"/>
  <c r="AP172" i="9"/>
  <c r="AP124" i="9"/>
  <c r="AO108" i="9"/>
  <c r="AP108" i="9"/>
  <c r="AP216" i="9"/>
  <c r="AP198" i="9"/>
  <c r="AP180" i="9"/>
  <c r="AP117" i="9"/>
  <c r="L20" i="10"/>
  <c r="AP179" i="9"/>
  <c r="AP113" i="9"/>
  <c r="AO33" i="9"/>
  <c r="AP33" i="9"/>
  <c r="AP12" i="9"/>
  <c r="AP704" i="9"/>
  <c r="AP688" i="9"/>
  <c r="AP695" i="9"/>
  <c r="AP679" i="9"/>
  <c r="AP700" i="9"/>
  <c r="AP684" i="9"/>
  <c r="AP702" i="9"/>
  <c r="AP701" i="9"/>
  <c r="AP685" i="9"/>
  <c r="AP707" i="9"/>
  <c r="AP706" i="9"/>
  <c r="AP690" i="9"/>
  <c r="AP699" i="9"/>
  <c r="AP697" i="9"/>
  <c r="AP681" i="9"/>
  <c r="AP694" i="9"/>
  <c r="AP696" i="9"/>
  <c r="AP680" i="9"/>
  <c r="AP691" i="9"/>
  <c r="AP703" i="9"/>
  <c r="AP687" i="9"/>
  <c r="AP686" i="9"/>
  <c r="AP708" i="9"/>
  <c r="AP692" i="9"/>
  <c r="AP676" i="9"/>
  <c r="AP683" i="9"/>
  <c r="AP693" i="9"/>
  <c r="AP677" i="9"/>
  <c r="AP678" i="9"/>
  <c r="AP698" i="9"/>
  <c r="AP682" i="9"/>
  <c r="AP705" i="9"/>
  <c r="AP689" i="9"/>
  <c r="AP397" i="9"/>
  <c r="AP271" i="9"/>
  <c r="AP401" i="9"/>
  <c r="AP322" i="9"/>
  <c r="AP335" i="9"/>
  <c r="AP638" i="9"/>
  <c r="AP598" i="9"/>
  <c r="AP664" i="9"/>
  <c r="AP645" i="9"/>
  <c r="AP615" i="9"/>
  <c r="AP590" i="9"/>
  <c r="AP547" i="9"/>
  <c r="AP511" i="9"/>
  <c r="AP423" i="9"/>
  <c r="AP313" i="9"/>
  <c r="AP227" i="9"/>
  <c r="AP651" i="9"/>
  <c r="AP476" i="9"/>
  <c r="AP291" i="9"/>
  <c r="AP674" i="9"/>
  <c r="AP658" i="9"/>
  <c r="AP639" i="9"/>
  <c r="AP614" i="9"/>
  <c r="AP596" i="9"/>
  <c r="AP564" i="9"/>
  <c r="AP433" i="9"/>
  <c r="AP337" i="9"/>
  <c r="AP262" i="9"/>
  <c r="AP160" i="9"/>
  <c r="AP675" i="9"/>
  <c r="AP630" i="9"/>
  <c r="AP594" i="9"/>
  <c r="AP548" i="9"/>
  <c r="AP230" i="9"/>
  <c r="AP660" i="9"/>
  <c r="AP620" i="9"/>
  <c r="AP602" i="9"/>
  <c r="AP563" i="9"/>
  <c r="AP502" i="9"/>
  <c r="AP444" i="9"/>
  <c r="AP334" i="9"/>
  <c r="AP281" i="9"/>
  <c r="AP221" i="9"/>
  <c r="AP475" i="9"/>
  <c r="AP440" i="9"/>
  <c r="AP422" i="9"/>
  <c r="AP347" i="9"/>
  <c r="AP315" i="9"/>
  <c r="AP300" i="9"/>
  <c r="AP252" i="9"/>
  <c r="AP236" i="9"/>
  <c r="AP220" i="9"/>
  <c r="AP163" i="9"/>
  <c r="AP84" i="9"/>
  <c r="AP541" i="9"/>
  <c r="AP496" i="9"/>
  <c r="AP467" i="9"/>
  <c r="AP439" i="9"/>
  <c r="AP421" i="9"/>
  <c r="AP400" i="9"/>
  <c r="AP343" i="9"/>
  <c r="AP325" i="9"/>
  <c r="AP305" i="9"/>
  <c r="AP289" i="9"/>
  <c r="AP261" i="9"/>
  <c r="AP245" i="9"/>
  <c r="AP229" i="9"/>
  <c r="AP165" i="9"/>
  <c r="AP146" i="9"/>
  <c r="AP68" i="9"/>
  <c r="AP484" i="9"/>
  <c r="AP445" i="9"/>
  <c r="AP431" i="9"/>
  <c r="AP413" i="9"/>
  <c r="AP399" i="9"/>
  <c r="AP345" i="9"/>
  <c r="AP331" i="9"/>
  <c r="AP314" i="9"/>
  <c r="AP298" i="9"/>
  <c r="AP260" i="9"/>
  <c r="AP244" i="9"/>
  <c r="AP228" i="9"/>
  <c r="AP164" i="9"/>
  <c r="AP145" i="9"/>
  <c r="AP39" i="9"/>
  <c r="AP135" i="9"/>
  <c r="AP87" i="9"/>
  <c r="AP60" i="9"/>
  <c r="AP38" i="9"/>
  <c r="AP19" i="9"/>
  <c r="AP131" i="9"/>
  <c r="AP86" i="9"/>
  <c r="AP50" i="9"/>
  <c r="AP21" i="9"/>
  <c r="AP133" i="9"/>
  <c r="AP95" i="9"/>
  <c r="AP69" i="9"/>
  <c r="AP43" i="9"/>
  <c r="AP670" i="9"/>
  <c r="AP627" i="9"/>
  <c r="AP591" i="9"/>
  <c r="AP661" i="9"/>
  <c r="AP640" i="9"/>
  <c r="AP604" i="9"/>
  <c r="AP586" i="9"/>
  <c r="AP539" i="9"/>
  <c r="AP504" i="9"/>
  <c r="AP394" i="9"/>
  <c r="AP301" i="9"/>
  <c r="AP189" i="9"/>
  <c r="AP512" i="9"/>
  <c r="AP426" i="9"/>
  <c r="AP243" i="9"/>
  <c r="AP671" i="9"/>
  <c r="AP655" i="9"/>
  <c r="AP631" i="9"/>
  <c r="AP610" i="9"/>
  <c r="AP592" i="9"/>
  <c r="AP557" i="9"/>
  <c r="AP495" i="9"/>
  <c r="AP419" i="9"/>
  <c r="AP323" i="9"/>
  <c r="AP249" i="9"/>
  <c r="AP48" i="9"/>
  <c r="AP662" i="9"/>
  <c r="AP619" i="9"/>
  <c r="AP587" i="9"/>
  <c r="AP540" i="9"/>
  <c r="AP139" i="9"/>
  <c r="AP673" i="9"/>
  <c r="AP657" i="9"/>
  <c r="AP641" i="9"/>
  <c r="AP616" i="9"/>
  <c r="AP595" i="9"/>
  <c r="AP549" i="9"/>
  <c r="AP494" i="9"/>
  <c r="AP430" i="9"/>
  <c r="AP320" i="9"/>
  <c r="AP259" i="9"/>
  <c r="AP157" i="9"/>
  <c r="AP457" i="9"/>
  <c r="AP436" i="9"/>
  <c r="AP411" i="9"/>
  <c r="AP393" i="9"/>
  <c r="AP344" i="9"/>
  <c r="AP326" i="9"/>
  <c r="AP312" i="9"/>
  <c r="AP296" i="9"/>
  <c r="AP248" i="9"/>
  <c r="AP232" i="9"/>
  <c r="AP194" i="9"/>
  <c r="AP156" i="9"/>
  <c r="AP58" i="9"/>
  <c r="AP537" i="9"/>
  <c r="AP492" i="9"/>
  <c r="AP449" i="9"/>
  <c r="AP435" i="9"/>
  <c r="AP410" i="9"/>
  <c r="AP396" i="9"/>
  <c r="AP339" i="9"/>
  <c r="AP321" i="9"/>
  <c r="AP302" i="9"/>
  <c r="AP283" i="9"/>
  <c r="AP257" i="9"/>
  <c r="AP241" i="9"/>
  <c r="AP225" i="9"/>
  <c r="AP162" i="9"/>
  <c r="AP142" i="9"/>
  <c r="AP42" i="9"/>
  <c r="AP473" i="9"/>
  <c r="AP441" i="9"/>
  <c r="AP427" i="9"/>
  <c r="AP409" i="9"/>
  <c r="AP395" i="9"/>
  <c r="AP342" i="9"/>
  <c r="AP328" i="9"/>
  <c r="AP311" i="9"/>
  <c r="AP295" i="9"/>
  <c r="AP256" i="9"/>
  <c r="AP240" i="9"/>
  <c r="AP224" i="9"/>
  <c r="AP161" i="9"/>
  <c r="AP140" i="9"/>
  <c r="AP23" i="9"/>
  <c r="AP96" i="9"/>
  <c r="AP74" i="9"/>
  <c r="AP57" i="9"/>
  <c r="AP28" i="9"/>
  <c r="AP16" i="9"/>
  <c r="AP99" i="9"/>
  <c r="AP73" i="9"/>
  <c r="AP47" i="9"/>
  <c r="AP18" i="9"/>
  <c r="AP130" i="9"/>
  <c r="AP88" i="9"/>
  <c r="AP59" i="9"/>
  <c r="AP27" i="9"/>
  <c r="AP659" i="9"/>
  <c r="AP612" i="9"/>
  <c r="AP672" i="9"/>
  <c r="AP656" i="9"/>
  <c r="AP629" i="9"/>
  <c r="AP597" i="9"/>
  <c r="AP565" i="9"/>
  <c r="AP524" i="9"/>
  <c r="AP490" i="9"/>
  <c r="AP154" i="9"/>
  <c r="AP493" i="9"/>
  <c r="AP412" i="9"/>
  <c r="AP167" i="9"/>
  <c r="AP666" i="9"/>
  <c r="AP650" i="9"/>
  <c r="AP626" i="9"/>
  <c r="AP607" i="9"/>
  <c r="AP589" i="9"/>
  <c r="AP538" i="9"/>
  <c r="AP489" i="9"/>
  <c r="AP405" i="9"/>
  <c r="AP310" i="9"/>
  <c r="AP237" i="9"/>
  <c r="AP654" i="9"/>
  <c r="AP608" i="9"/>
  <c r="AP566" i="9"/>
  <c r="AP525" i="9"/>
  <c r="AP316" i="9"/>
  <c r="AP668" i="9"/>
  <c r="AP652" i="9"/>
  <c r="AP628" i="9"/>
  <c r="AP613" i="9"/>
  <c r="AP588" i="9"/>
  <c r="AP536" i="9"/>
  <c r="AP483" i="9"/>
  <c r="AP307" i="9"/>
  <c r="AP246" i="9"/>
  <c r="AP144" i="9"/>
  <c r="AP447" i="9"/>
  <c r="AP429" i="9"/>
  <c r="AP408" i="9"/>
  <c r="AP379" i="9"/>
  <c r="AP340" i="9"/>
  <c r="AP306" i="9"/>
  <c r="AP290" i="9"/>
  <c r="AP258" i="9"/>
  <c r="AP242" i="9"/>
  <c r="AP226" i="9"/>
  <c r="AP191" i="9"/>
  <c r="AP147" i="9"/>
  <c r="AP45" i="9"/>
  <c r="AP481" i="9"/>
  <c r="AP432" i="9"/>
  <c r="AP407" i="9"/>
  <c r="AP378" i="9"/>
  <c r="AP336" i="9"/>
  <c r="AP318" i="9"/>
  <c r="AP299" i="9"/>
  <c r="AP254" i="9"/>
  <c r="AP238" i="9"/>
  <c r="AP222" i="9"/>
  <c r="AP159" i="9"/>
  <c r="AP132" i="9"/>
  <c r="AP26" i="9"/>
  <c r="AP466" i="9"/>
  <c r="AP438" i="9"/>
  <c r="AP424" i="9"/>
  <c r="AP406" i="9"/>
  <c r="AP392" i="9"/>
  <c r="AP338" i="9"/>
  <c r="AP324" i="9"/>
  <c r="AP308" i="9"/>
  <c r="AP292" i="9"/>
  <c r="AP250" i="9"/>
  <c r="AP234" i="9"/>
  <c r="AP196" i="9"/>
  <c r="AP158" i="9"/>
  <c r="AP129" i="9"/>
  <c r="AP141" i="9"/>
  <c r="AP93" i="9"/>
  <c r="AP71" i="9"/>
  <c r="AP44" i="9"/>
  <c r="AP25" i="9"/>
  <c r="AP137" i="9"/>
  <c r="AP92" i="9"/>
  <c r="AP70" i="9"/>
  <c r="AP40" i="9"/>
  <c r="AP143" i="9"/>
  <c r="AP101" i="9"/>
  <c r="AP85" i="9"/>
  <c r="AP49" i="9"/>
  <c r="AP20" i="9"/>
  <c r="AP646" i="9"/>
  <c r="AP605" i="9"/>
  <c r="AP669" i="9"/>
  <c r="AP653" i="9"/>
  <c r="AP618" i="9"/>
  <c r="AP593" i="9"/>
  <c r="AP558" i="9"/>
  <c r="AP520" i="9"/>
  <c r="AP437" i="9"/>
  <c r="AP327" i="9"/>
  <c r="AP253" i="9"/>
  <c r="AP100" i="9"/>
  <c r="AP667" i="9"/>
  <c r="AP480" i="9"/>
  <c r="AP330" i="9"/>
  <c r="AP663" i="9"/>
  <c r="AP642" i="9"/>
  <c r="AP617" i="9"/>
  <c r="AP603" i="9"/>
  <c r="AP585" i="9"/>
  <c r="AP519" i="9"/>
  <c r="AP448" i="9"/>
  <c r="AP391" i="9"/>
  <c r="AP297" i="9"/>
  <c r="AP195" i="9"/>
  <c r="AP643" i="9"/>
  <c r="AP601" i="9"/>
  <c r="AP559" i="9"/>
  <c r="AP521" i="9"/>
  <c r="AP665" i="9"/>
  <c r="AP649" i="9"/>
  <c r="AP625" i="9"/>
  <c r="AP606" i="9"/>
  <c r="AP567" i="9"/>
  <c r="AP505" i="9"/>
  <c r="AP465" i="9"/>
  <c r="AP348" i="9"/>
  <c r="AP294" i="9"/>
  <c r="AP233" i="9"/>
  <c r="AP482" i="9"/>
  <c r="AP443" i="9"/>
  <c r="AP425" i="9"/>
  <c r="AP404" i="9"/>
  <c r="AP376" i="9"/>
  <c r="AP333" i="9"/>
  <c r="AP319" i="9"/>
  <c r="AP303" i="9"/>
  <c r="AP255" i="9"/>
  <c r="AP239" i="9"/>
  <c r="AP223" i="9"/>
  <c r="AP166" i="9"/>
  <c r="AP97" i="9"/>
  <c r="AP17" i="9"/>
  <c r="AP513" i="9"/>
  <c r="AP474" i="9"/>
  <c r="AP442" i="9"/>
  <c r="AP428" i="9"/>
  <c r="AP403" i="9"/>
  <c r="AP346" i="9"/>
  <c r="AP332" i="9"/>
  <c r="AP309" i="9"/>
  <c r="AP293" i="9"/>
  <c r="AP251" i="9"/>
  <c r="AP235" i="9"/>
  <c r="AP193" i="9"/>
  <c r="AP149" i="9"/>
  <c r="AP94" i="9"/>
  <c r="AP491" i="9"/>
  <c r="AP456" i="9"/>
  <c r="AP434" i="9"/>
  <c r="AP420" i="9"/>
  <c r="AP402" i="9"/>
  <c r="AP377" i="9"/>
  <c r="AP317" i="9"/>
  <c r="AP304" i="9"/>
  <c r="AP282" i="9"/>
  <c r="AP263" i="9"/>
  <c r="AP247" i="9"/>
  <c r="AP231" i="9"/>
  <c r="AP192" i="9"/>
  <c r="AP148" i="9"/>
  <c r="AP91" i="9"/>
  <c r="AP138" i="9"/>
  <c r="AP90" i="9"/>
  <c r="AP67" i="9"/>
  <c r="AP41" i="9"/>
  <c r="AP22" i="9"/>
  <c r="AP134" i="9"/>
  <c r="AP89" i="9"/>
  <c r="AP56" i="9"/>
  <c r="AP24" i="9"/>
  <c r="AP136" i="9"/>
  <c r="AP98" i="9"/>
  <c r="AP72" i="9"/>
  <c r="AP46" i="9"/>
  <c r="AP15" i="9"/>
  <c r="W702" i="59"/>
  <c r="X702" i="59" s="1"/>
  <c r="W548" i="59"/>
  <c r="X548" i="59" s="1"/>
  <c r="S578" i="59"/>
  <c r="T578" i="59" s="1"/>
  <c r="W710" i="59"/>
  <c r="X710" i="59" s="1"/>
  <c r="S721" i="59"/>
  <c r="K600" i="59"/>
  <c r="L600" i="59" s="1"/>
  <c r="S548" i="59"/>
  <c r="T548" i="59" s="1"/>
  <c r="G710" i="59"/>
  <c r="H710" i="59" s="1"/>
  <c r="W707" i="59"/>
  <c r="X707" i="59" s="1"/>
  <c r="S575" i="59"/>
  <c r="T575" i="59" s="1"/>
  <c r="W545" i="59"/>
  <c r="X545" i="59" s="1"/>
  <c r="S579" i="59"/>
  <c r="T579" i="59" s="1"/>
  <c r="S677" i="59"/>
  <c r="T677" i="59" s="1"/>
  <c r="G765" i="59"/>
  <c r="H765" i="59" s="1"/>
  <c r="S776" i="59"/>
  <c r="T776" i="59" s="1"/>
  <c r="S765" i="59"/>
  <c r="T765" i="59" s="1"/>
  <c r="W556" i="59"/>
  <c r="X556" i="59" s="1"/>
  <c r="K743" i="59"/>
  <c r="L743" i="59" s="1"/>
  <c r="S754" i="59"/>
  <c r="T754" i="59" s="1"/>
  <c r="G754" i="59"/>
  <c r="S710" i="59"/>
  <c r="G677" i="59"/>
  <c r="K732" i="59"/>
  <c r="G776" i="59"/>
  <c r="G699" i="59"/>
  <c r="G743" i="59"/>
  <c r="K655" i="59"/>
  <c r="S732" i="59"/>
  <c r="T732" i="59" s="1"/>
  <c r="S688" i="59"/>
  <c r="K765" i="59"/>
  <c r="S666" i="59"/>
  <c r="S699" i="59"/>
  <c r="T699" i="59" s="1"/>
  <c r="S655" i="59"/>
  <c r="T655" i="59" s="1"/>
  <c r="W619" i="59"/>
  <c r="X619" i="59" s="1"/>
  <c r="S524" i="59"/>
  <c r="T524" i="59" s="1"/>
  <c r="K548" i="59"/>
  <c r="L548" i="59" s="1"/>
  <c r="W614" i="59"/>
  <c r="X614" i="59" s="1"/>
  <c r="K534" i="59"/>
  <c r="L534" i="59" s="1"/>
  <c r="G633" i="59"/>
  <c r="H633" i="59" s="1"/>
  <c r="S520" i="59"/>
  <c r="T520" i="59" s="1"/>
  <c r="W575" i="59"/>
  <c r="X575" i="59" s="1"/>
  <c r="W564" i="59"/>
  <c r="X564" i="59" s="1"/>
  <c r="G699" i="57"/>
  <c r="H699" i="57" s="1"/>
  <c r="K666" i="57"/>
  <c r="L666" i="57" s="1"/>
  <c r="W633" i="59"/>
  <c r="X633" i="59" s="1"/>
  <c r="W630" i="59"/>
  <c r="X630" i="59" s="1"/>
  <c r="W625" i="59"/>
  <c r="X625" i="59" s="1"/>
  <c r="W622" i="59"/>
  <c r="X622" i="59" s="1"/>
  <c r="W567" i="59"/>
  <c r="X567" i="59" s="1"/>
  <c r="K559" i="59"/>
  <c r="L559" i="59" s="1"/>
  <c r="K545" i="59"/>
  <c r="L545" i="59" s="1"/>
  <c r="S535" i="59"/>
  <c r="T535" i="59" s="1"/>
  <c r="S531" i="59"/>
  <c r="T531" i="59" s="1"/>
  <c r="K515" i="59"/>
  <c r="L515" i="59" s="1"/>
  <c r="G754" i="57"/>
  <c r="H754" i="57" s="1"/>
  <c r="S633" i="59"/>
  <c r="S644" i="59"/>
  <c r="T644" i="59" s="1"/>
  <c r="S515" i="59"/>
  <c r="T515" i="59" s="1"/>
  <c r="S622" i="59"/>
  <c r="T622" i="59" s="1"/>
  <c r="G622" i="59"/>
  <c r="H622" i="59" s="1"/>
  <c r="S556" i="59"/>
  <c r="T556" i="59" s="1"/>
  <c r="W608" i="59"/>
  <c r="X608" i="59" s="1"/>
  <c r="S513" i="59"/>
  <c r="T513" i="59" s="1"/>
  <c r="W553" i="57"/>
  <c r="W553" i="59"/>
  <c r="X553" i="59" s="1"/>
  <c r="S589" i="59"/>
  <c r="T589" i="59" s="1"/>
  <c r="G578" i="59"/>
  <c r="H578" i="59" s="1"/>
  <c r="W611" i="57"/>
  <c r="W611" i="59"/>
  <c r="X611" i="59" s="1"/>
  <c r="W512" i="59"/>
  <c r="X512" i="59" s="1"/>
  <c r="S567" i="59"/>
  <c r="T567" i="59" s="1"/>
  <c r="S545" i="59"/>
  <c r="T545" i="59" s="1"/>
  <c r="K537" i="59"/>
  <c r="L537" i="59" s="1"/>
  <c r="G644" i="59"/>
  <c r="K523" i="59"/>
  <c r="L523" i="59" s="1"/>
  <c r="W608" i="57"/>
  <c r="G534" i="59"/>
  <c r="H534" i="59" s="1"/>
  <c r="S644" i="57"/>
  <c r="T644" i="57" s="1"/>
  <c r="S534" i="59"/>
  <c r="S512" i="59"/>
  <c r="T512" i="59" s="1"/>
  <c r="G622" i="57"/>
  <c r="G512" i="59"/>
  <c r="G578" i="57"/>
  <c r="G545" i="59"/>
  <c r="S611" i="57"/>
  <c r="S611" i="59"/>
  <c r="T611" i="59" s="1"/>
  <c r="G611" i="57"/>
  <c r="G611" i="59"/>
  <c r="G589" i="57"/>
  <c r="G589" i="59"/>
  <c r="S633" i="57"/>
  <c r="S523" i="59"/>
  <c r="K578" i="57"/>
  <c r="K578" i="59"/>
  <c r="G567" i="57"/>
  <c r="G567" i="59"/>
  <c r="S600" i="59"/>
  <c r="T600" i="59" s="1"/>
  <c r="G600" i="57"/>
  <c r="G600" i="59"/>
  <c r="G556" i="57"/>
  <c r="G556" i="59"/>
  <c r="H556" i="59" s="1"/>
  <c r="K556" i="57"/>
  <c r="K556" i="59"/>
  <c r="K545" i="57"/>
  <c r="W597" i="57"/>
  <c r="W586" i="57"/>
  <c r="W592" i="57"/>
  <c r="W581" i="57"/>
  <c r="S589" i="57"/>
  <c r="G545" i="57"/>
  <c r="W600" i="57"/>
  <c r="W589" i="57"/>
  <c r="K589" i="57"/>
  <c r="G633" i="57"/>
  <c r="K611" i="57"/>
  <c r="L363" i="59"/>
  <c r="Q445" i="59"/>
  <c r="Q444" i="59"/>
  <c r="Q442" i="59"/>
  <c r="Q440" i="59"/>
  <c r="Q439" i="59"/>
  <c r="Q437" i="59"/>
  <c r="Q436" i="59"/>
  <c r="Q434" i="59"/>
  <c r="Q433" i="59"/>
  <c r="Q431" i="59"/>
  <c r="Q429" i="59"/>
  <c r="Q428" i="59"/>
  <c r="Q426" i="59"/>
  <c r="Q425" i="59"/>
  <c r="Q423" i="59"/>
  <c r="Q422" i="59"/>
  <c r="Q420" i="59"/>
  <c r="Q418" i="59"/>
  <c r="Q417" i="59"/>
  <c r="Q415" i="59"/>
  <c r="Q414" i="59"/>
  <c r="Q412" i="59"/>
  <c r="Q411" i="59"/>
  <c r="Q409" i="59"/>
  <c r="Q407" i="59"/>
  <c r="Q406" i="59"/>
  <c r="Q404" i="59"/>
  <c r="Q403" i="59"/>
  <c r="Q401" i="59"/>
  <c r="Q400" i="59"/>
  <c r="Q398" i="59"/>
  <c r="Q396" i="59"/>
  <c r="Q395" i="59"/>
  <c r="Q393" i="59"/>
  <c r="Q392" i="59"/>
  <c r="Q390" i="59"/>
  <c r="Q389" i="59"/>
  <c r="Q387" i="59"/>
  <c r="Q385" i="59"/>
  <c r="Q384" i="59"/>
  <c r="Q382" i="59"/>
  <c r="Q381" i="59"/>
  <c r="Q379" i="59"/>
  <c r="Q378" i="59"/>
  <c r="Q376" i="59"/>
  <c r="Q374" i="59"/>
  <c r="Q373" i="59"/>
  <c r="Q371" i="59"/>
  <c r="Q370" i="59"/>
  <c r="Q368" i="59"/>
  <c r="Q367" i="59"/>
  <c r="Q365" i="59"/>
  <c r="Q363" i="59"/>
  <c r="Q362" i="59"/>
  <c r="Q360" i="59"/>
  <c r="Q359" i="59"/>
  <c r="Q357" i="59"/>
  <c r="Q356" i="59"/>
  <c r="Q354" i="59"/>
  <c r="Q352" i="59"/>
  <c r="Q351" i="59"/>
  <c r="Q349" i="59"/>
  <c r="Q348" i="59"/>
  <c r="Q346" i="59"/>
  <c r="Q345" i="59"/>
  <c r="Q343" i="59"/>
  <c r="Q341" i="59"/>
  <c r="Q340" i="59"/>
  <c r="Q338" i="59"/>
  <c r="Q337" i="59"/>
  <c r="Q335" i="59"/>
  <c r="Q334" i="59"/>
  <c r="Q332" i="59"/>
  <c r="Q330" i="59"/>
  <c r="Q329" i="59"/>
  <c r="Q327" i="59"/>
  <c r="Q326" i="59"/>
  <c r="Q324" i="59"/>
  <c r="Q323" i="59"/>
  <c r="Q321" i="59"/>
  <c r="Q319" i="59"/>
  <c r="Q318" i="59"/>
  <c r="Q316" i="59"/>
  <c r="Q315" i="59"/>
  <c r="Q313" i="59"/>
  <c r="Q312" i="59"/>
  <c r="Q310" i="59"/>
  <c r="Q308" i="59"/>
  <c r="Q307" i="59"/>
  <c r="Q305" i="59"/>
  <c r="Q304" i="59"/>
  <c r="Q302" i="59"/>
  <c r="Q301" i="59"/>
  <c r="Q299" i="59"/>
  <c r="Q297" i="59"/>
  <c r="Q296" i="59"/>
  <c r="Q294" i="59"/>
  <c r="Q293" i="59"/>
  <c r="Q291" i="59"/>
  <c r="Q290" i="59"/>
  <c r="Q288" i="59"/>
  <c r="Q286" i="59"/>
  <c r="Q285" i="59"/>
  <c r="Q283" i="59"/>
  <c r="Q282" i="59"/>
  <c r="Q280" i="59"/>
  <c r="Q279" i="59"/>
  <c r="Q277" i="59"/>
  <c r="Q275" i="59"/>
  <c r="Q274" i="59"/>
  <c r="Q272" i="59"/>
  <c r="Q271" i="59"/>
  <c r="Q236" i="59"/>
  <c r="Q235" i="59"/>
  <c r="Q233" i="59"/>
  <c r="Q231" i="59"/>
  <c r="Q230" i="59"/>
  <c r="Q228" i="59"/>
  <c r="Q227" i="59"/>
  <c r="Q225" i="59"/>
  <c r="Q224" i="59"/>
  <c r="Q222" i="59"/>
  <c r="Q220" i="59"/>
  <c r="Q219" i="59"/>
  <c r="Q217" i="59"/>
  <c r="Q216" i="59"/>
  <c r="Q214" i="59"/>
  <c r="Q213" i="59"/>
  <c r="Q211" i="59"/>
  <c r="Q209" i="59"/>
  <c r="Q208" i="59"/>
  <c r="Q206" i="59"/>
  <c r="Q205" i="59"/>
  <c r="Q203" i="59"/>
  <c r="Q202" i="59"/>
  <c r="Q200" i="59"/>
  <c r="Q198" i="59"/>
  <c r="Q197" i="59"/>
  <c r="Q195" i="59"/>
  <c r="Q194" i="59"/>
  <c r="Q192" i="59"/>
  <c r="Q191" i="59"/>
  <c r="Q189" i="59"/>
  <c r="Q187" i="59"/>
  <c r="Q186" i="59"/>
  <c r="Q184" i="59"/>
  <c r="Q183" i="59"/>
  <c r="Q181" i="59"/>
  <c r="Q180" i="59"/>
  <c r="Q178" i="59"/>
  <c r="Q176" i="59"/>
  <c r="Q175" i="59"/>
  <c r="Q173" i="59"/>
  <c r="Q172" i="59"/>
  <c r="Q170" i="59"/>
  <c r="Q169" i="59"/>
  <c r="Q167" i="59"/>
  <c r="Q165" i="59"/>
  <c r="Q164" i="59"/>
  <c r="Q162" i="59"/>
  <c r="Q161" i="59"/>
  <c r="Q159" i="59"/>
  <c r="Q158" i="59"/>
  <c r="Q156" i="59"/>
  <c r="Q154" i="59"/>
  <c r="Q153" i="59"/>
  <c r="Q151" i="59"/>
  <c r="Q150" i="59"/>
  <c r="Q148" i="59"/>
  <c r="Q147" i="59"/>
  <c r="Q145" i="59"/>
  <c r="Q143" i="59"/>
  <c r="Q142" i="59"/>
  <c r="Q140" i="59"/>
  <c r="Q139" i="59"/>
  <c r="Q137" i="59"/>
  <c r="Q136" i="59"/>
  <c r="Q134" i="59"/>
  <c r="Q132" i="59"/>
  <c r="Q131" i="59"/>
  <c r="Q129" i="59"/>
  <c r="Q128" i="59"/>
  <c r="Q126" i="59"/>
  <c r="Q125" i="59"/>
  <c r="Q123" i="59"/>
  <c r="Q121" i="59"/>
  <c r="Q120" i="59"/>
  <c r="Q118" i="59"/>
  <c r="Q117" i="59"/>
  <c r="Q115" i="59"/>
  <c r="Q114" i="59"/>
  <c r="Q112" i="59"/>
  <c r="Q110" i="59"/>
  <c r="Q109" i="59"/>
  <c r="Q107" i="59"/>
  <c r="Q106" i="59"/>
  <c r="Q104" i="59"/>
  <c r="Q103" i="59"/>
  <c r="Q101" i="59"/>
  <c r="Q99" i="59"/>
  <c r="Q98" i="59"/>
  <c r="Q96" i="59"/>
  <c r="Q95" i="59"/>
  <c r="Q93" i="59"/>
  <c r="Q92" i="59"/>
  <c r="Q90" i="59"/>
  <c r="Q88" i="59"/>
  <c r="Q87" i="59"/>
  <c r="Q85" i="59"/>
  <c r="Q84" i="59"/>
  <c r="Q82" i="59"/>
  <c r="Q81" i="59"/>
  <c r="Q79" i="59"/>
  <c r="Q77" i="59"/>
  <c r="Q76" i="59"/>
  <c r="Q74" i="59"/>
  <c r="Q73" i="59"/>
  <c r="Q71" i="59"/>
  <c r="Q70" i="59"/>
  <c r="Q68" i="59"/>
  <c r="Q66" i="59"/>
  <c r="Q65" i="59"/>
  <c r="Q63" i="59"/>
  <c r="Q62" i="59"/>
  <c r="Q60" i="59"/>
  <c r="Q59" i="59"/>
  <c r="Q57" i="59"/>
  <c r="Q55" i="59"/>
  <c r="Q54" i="59"/>
  <c r="Q52" i="59"/>
  <c r="Q51" i="59"/>
  <c r="Q49" i="59"/>
  <c r="Q48" i="59"/>
  <c r="Q46" i="59"/>
  <c r="Q44" i="59"/>
  <c r="Q43" i="59"/>
  <c r="Q41" i="59"/>
  <c r="Q40" i="59"/>
  <c r="Q38" i="59"/>
  <c r="Q37" i="59"/>
  <c r="Q35" i="59"/>
  <c r="Q33" i="59"/>
  <c r="Q32" i="59"/>
  <c r="Q30" i="59"/>
  <c r="Q29" i="59"/>
  <c r="U434" i="60"/>
  <c r="Q434" i="60"/>
  <c r="L434" i="60"/>
  <c r="H434" i="60"/>
  <c r="U433" i="60"/>
  <c r="Q433" i="60"/>
  <c r="L433" i="60"/>
  <c r="H433" i="60"/>
  <c r="L432" i="60"/>
  <c r="H432" i="60"/>
  <c r="U431" i="60"/>
  <c r="Q431" i="60"/>
  <c r="L431" i="60"/>
  <c r="H431" i="60"/>
  <c r="L430" i="60"/>
  <c r="H430" i="60"/>
  <c r="U429" i="60"/>
  <c r="Q429" i="60"/>
  <c r="L429" i="60"/>
  <c r="H429" i="60"/>
  <c r="U428" i="60"/>
  <c r="Q428" i="60"/>
  <c r="I428" i="60"/>
  <c r="H428" i="60"/>
  <c r="I427" i="60"/>
  <c r="H427" i="60"/>
  <c r="U426" i="60"/>
  <c r="Q426" i="60"/>
  <c r="L426" i="60"/>
  <c r="H426" i="60"/>
  <c r="U425" i="60"/>
  <c r="Q425" i="60"/>
  <c r="U423" i="60"/>
  <c r="Q423" i="60"/>
  <c r="L423" i="60"/>
  <c r="H423" i="60"/>
  <c r="U422" i="60"/>
  <c r="Q422" i="60"/>
  <c r="L422" i="60"/>
  <c r="H422" i="60"/>
  <c r="L421" i="60"/>
  <c r="H421" i="60"/>
  <c r="U420" i="60"/>
  <c r="Q420" i="60"/>
  <c r="L420" i="60"/>
  <c r="H420" i="60"/>
  <c r="L419" i="60"/>
  <c r="H419" i="60"/>
  <c r="U418" i="60"/>
  <c r="Q418" i="60"/>
  <c r="L418" i="60"/>
  <c r="H418" i="60"/>
  <c r="U417" i="60"/>
  <c r="Q417" i="60"/>
  <c r="I417" i="60"/>
  <c r="H417" i="60"/>
  <c r="I416" i="60"/>
  <c r="H416" i="60"/>
  <c r="U415" i="60"/>
  <c r="Q415" i="60"/>
  <c r="L415" i="60"/>
  <c r="H415" i="60"/>
  <c r="U414" i="60"/>
  <c r="Q414" i="60"/>
  <c r="U412" i="60"/>
  <c r="Q412" i="60"/>
  <c r="L412" i="60"/>
  <c r="H412" i="60"/>
  <c r="U411" i="60"/>
  <c r="Q411" i="60"/>
  <c r="L411" i="60"/>
  <c r="H411" i="60"/>
  <c r="L410" i="60"/>
  <c r="H410" i="60"/>
  <c r="U409" i="60"/>
  <c r="Q409" i="60"/>
  <c r="L409" i="60"/>
  <c r="H409" i="60"/>
  <c r="L408" i="60"/>
  <c r="H408" i="60"/>
  <c r="U407" i="60"/>
  <c r="Q407" i="60"/>
  <c r="L407" i="60"/>
  <c r="H407" i="60"/>
  <c r="U406" i="60"/>
  <c r="Q406" i="60"/>
  <c r="I406" i="60"/>
  <c r="H406" i="60"/>
  <c r="I405" i="60"/>
  <c r="H405" i="60"/>
  <c r="U404" i="60"/>
  <c r="Q404" i="60"/>
  <c r="L404" i="60"/>
  <c r="H404" i="60"/>
  <c r="U403" i="60"/>
  <c r="Q403" i="60"/>
  <c r="U401" i="60"/>
  <c r="Q401" i="60"/>
  <c r="L401" i="60"/>
  <c r="H401" i="60"/>
  <c r="U400" i="60"/>
  <c r="Q400" i="60"/>
  <c r="L400" i="60"/>
  <c r="H400" i="60"/>
  <c r="L399" i="60"/>
  <c r="H399" i="60"/>
  <c r="U398" i="60"/>
  <c r="Q398" i="60"/>
  <c r="L398" i="60"/>
  <c r="H398" i="60"/>
  <c r="L397" i="60"/>
  <c r="H397" i="60"/>
  <c r="U396" i="60"/>
  <c r="Q396" i="60"/>
  <c r="L396" i="60"/>
  <c r="H396" i="60"/>
  <c r="U395" i="60"/>
  <c r="Q395" i="60"/>
  <c r="I395" i="60"/>
  <c r="H395" i="60"/>
  <c r="I394" i="60"/>
  <c r="H394" i="60"/>
  <c r="U393" i="60"/>
  <c r="Q393" i="60"/>
  <c r="L393" i="60"/>
  <c r="H393" i="60"/>
  <c r="U392" i="60"/>
  <c r="Q392" i="60"/>
  <c r="U390" i="60"/>
  <c r="Q390" i="60"/>
  <c r="L390" i="60"/>
  <c r="H390" i="60"/>
  <c r="U389" i="60"/>
  <c r="Q389" i="60"/>
  <c r="L389" i="60"/>
  <c r="H389" i="60"/>
  <c r="L388" i="60"/>
  <c r="H388" i="60"/>
  <c r="U387" i="60"/>
  <c r="Q387" i="60"/>
  <c r="L387" i="60"/>
  <c r="H387" i="60"/>
  <c r="L386" i="60"/>
  <c r="H386" i="60"/>
  <c r="U385" i="60"/>
  <c r="Q385" i="60"/>
  <c r="L385" i="60"/>
  <c r="H385" i="60"/>
  <c r="U384" i="60"/>
  <c r="Q384" i="60"/>
  <c r="I384" i="60"/>
  <c r="H384" i="60"/>
  <c r="I383" i="60"/>
  <c r="H383" i="60"/>
  <c r="U382" i="60"/>
  <c r="Q382" i="60"/>
  <c r="L382" i="60"/>
  <c r="H382" i="60"/>
  <c r="U381" i="60"/>
  <c r="Q381" i="60"/>
  <c r="U379" i="60"/>
  <c r="Q379" i="60"/>
  <c r="L379" i="60"/>
  <c r="H379" i="60"/>
  <c r="U378" i="60"/>
  <c r="Q378" i="60"/>
  <c r="L378" i="60"/>
  <c r="H378" i="60"/>
  <c r="L377" i="60"/>
  <c r="H377" i="60"/>
  <c r="U376" i="60"/>
  <c r="Q376" i="60"/>
  <c r="L376" i="60"/>
  <c r="H376" i="60"/>
  <c r="L375" i="60"/>
  <c r="H375" i="60"/>
  <c r="U374" i="60"/>
  <c r="Q374" i="60"/>
  <c r="L374" i="60"/>
  <c r="H374" i="60"/>
  <c r="U373" i="60"/>
  <c r="Q373" i="60"/>
  <c r="I373" i="60"/>
  <c r="H373" i="60"/>
  <c r="I372" i="60"/>
  <c r="H372" i="60"/>
  <c r="U371" i="60"/>
  <c r="Q371" i="60"/>
  <c r="L371" i="60"/>
  <c r="H371" i="60"/>
  <c r="U370" i="60"/>
  <c r="Q370" i="60"/>
  <c r="U368" i="60"/>
  <c r="Q368" i="60"/>
  <c r="L368" i="60"/>
  <c r="H368" i="60"/>
  <c r="U367" i="60"/>
  <c r="Q367" i="60"/>
  <c r="L367" i="60"/>
  <c r="H367" i="60"/>
  <c r="L366" i="60"/>
  <c r="H366" i="60"/>
  <c r="U365" i="60"/>
  <c r="Q365" i="60"/>
  <c r="L365" i="60"/>
  <c r="H365" i="60"/>
  <c r="L364" i="60"/>
  <c r="H364" i="60"/>
  <c r="U363" i="60"/>
  <c r="Q363" i="60"/>
  <c r="L363" i="60"/>
  <c r="H363" i="60"/>
  <c r="U362" i="60"/>
  <c r="Q362" i="60"/>
  <c r="I362" i="60"/>
  <c r="H362" i="60"/>
  <c r="I361" i="60"/>
  <c r="H361" i="60"/>
  <c r="U360" i="60"/>
  <c r="Q360" i="60"/>
  <c r="L360" i="60"/>
  <c r="H360" i="60"/>
  <c r="U359" i="60"/>
  <c r="Q359" i="60"/>
  <c r="U357" i="60"/>
  <c r="Q357" i="60"/>
  <c r="L357" i="60"/>
  <c r="H357" i="60"/>
  <c r="U356" i="60"/>
  <c r="Q356" i="60"/>
  <c r="L356" i="60"/>
  <c r="H356" i="60"/>
  <c r="L355" i="60"/>
  <c r="H355" i="60"/>
  <c r="U354" i="60"/>
  <c r="Q354" i="60"/>
  <c r="L354" i="60"/>
  <c r="H354" i="60"/>
  <c r="L353" i="60"/>
  <c r="H353" i="60"/>
  <c r="U352" i="60"/>
  <c r="Q352" i="60"/>
  <c r="L352" i="60"/>
  <c r="H352" i="60"/>
  <c r="U351" i="60"/>
  <c r="Q351" i="60"/>
  <c r="I351" i="60"/>
  <c r="H351" i="60"/>
  <c r="I350" i="60"/>
  <c r="H350" i="60"/>
  <c r="U349" i="60"/>
  <c r="Q349" i="60"/>
  <c r="L349" i="60"/>
  <c r="H349" i="60"/>
  <c r="U348" i="60"/>
  <c r="Q348" i="60"/>
  <c r="U346" i="60"/>
  <c r="Q346" i="60"/>
  <c r="L346" i="60"/>
  <c r="H346" i="60"/>
  <c r="U345" i="60"/>
  <c r="Q345" i="60"/>
  <c r="L345" i="60"/>
  <c r="H345" i="60"/>
  <c r="L344" i="60"/>
  <c r="H344" i="60"/>
  <c r="U343" i="60"/>
  <c r="Q343" i="60"/>
  <c r="L343" i="60"/>
  <c r="H343" i="60"/>
  <c r="L342" i="60"/>
  <c r="H342" i="60"/>
  <c r="U341" i="60"/>
  <c r="Q341" i="60"/>
  <c r="L341" i="60"/>
  <c r="H341" i="60"/>
  <c r="U340" i="60"/>
  <c r="Q340" i="60"/>
  <c r="I340" i="60"/>
  <c r="H340" i="60"/>
  <c r="I339" i="60"/>
  <c r="H339" i="60"/>
  <c r="U338" i="60"/>
  <c r="Q338" i="60"/>
  <c r="L338" i="60"/>
  <c r="H338" i="60"/>
  <c r="U337" i="60"/>
  <c r="Q337" i="60"/>
  <c r="U335" i="60"/>
  <c r="Q335" i="60"/>
  <c r="L335" i="60"/>
  <c r="H335" i="60"/>
  <c r="U334" i="60"/>
  <c r="Q334" i="60"/>
  <c r="L334" i="60"/>
  <c r="H334" i="60"/>
  <c r="L333" i="60"/>
  <c r="H333" i="60"/>
  <c r="U332" i="60"/>
  <c r="Q332" i="60"/>
  <c r="L332" i="60"/>
  <c r="H332" i="60"/>
  <c r="L331" i="60"/>
  <c r="H331" i="60"/>
  <c r="U330" i="60"/>
  <c r="Q330" i="60"/>
  <c r="L330" i="60"/>
  <c r="H330" i="60"/>
  <c r="U329" i="60"/>
  <c r="Q329" i="60"/>
  <c r="I329" i="60"/>
  <c r="H329" i="60"/>
  <c r="I328" i="60"/>
  <c r="H328" i="60"/>
  <c r="U327" i="60"/>
  <c r="Q327" i="60"/>
  <c r="L327" i="60"/>
  <c r="H327" i="60"/>
  <c r="U326" i="60"/>
  <c r="Q326" i="60"/>
  <c r="U324" i="60"/>
  <c r="Q324" i="60"/>
  <c r="L324" i="60"/>
  <c r="H324" i="60"/>
  <c r="U323" i="60"/>
  <c r="Q323" i="60"/>
  <c r="L323" i="60"/>
  <c r="H323" i="60"/>
  <c r="L322" i="60"/>
  <c r="H322" i="60"/>
  <c r="U321" i="60"/>
  <c r="Q321" i="60"/>
  <c r="L321" i="60"/>
  <c r="H321" i="60"/>
  <c r="L320" i="60"/>
  <c r="H320" i="60"/>
  <c r="U319" i="60"/>
  <c r="Q319" i="60"/>
  <c r="L319" i="60"/>
  <c r="H319" i="60"/>
  <c r="U318" i="60"/>
  <c r="Q318" i="60"/>
  <c r="I318" i="60"/>
  <c r="H318" i="60"/>
  <c r="I317" i="60"/>
  <c r="H317" i="60"/>
  <c r="U316" i="60"/>
  <c r="Q316" i="60"/>
  <c r="L316" i="60"/>
  <c r="H316" i="60"/>
  <c r="U315" i="60"/>
  <c r="Q315" i="60"/>
  <c r="U313" i="60"/>
  <c r="Q313" i="60"/>
  <c r="L313" i="60"/>
  <c r="H313" i="60"/>
  <c r="U312" i="60"/>
  <c r="Q312" i="60"/>
  <c r="L312" i="60"/>
  <c r="H312" i="60"/>
  <c r="L311" i="60"/>
  <c r="H311" i="60"/>
  <c r="U310" i="60"/>
  <c r="Q310" i="60"/>
  <c r="L310" i="60"/>
  <c r="H310" i="60"/>
  <c r="L309" i="60"/>
  <c r="H309" i="60"/>
  <c r="U308" i="60"/>
  <c r="Q308" i="60"/>
  <c r="L308" i="60"/>
  <c r="H308" i="60"/>
  <c r="U307" i="60"/>
  <c r="Q307" i="60"/>
  <c r="I307" i="60"/>
  <c r="H307" i="60"/>
  <c r="I306" i="60"/>
  <c r="H306" i="60"/>
  <c r="U305" i="60"/>
  <c r="Q305" i="60"/>
  <c r="L305" i="60"/>
  <c r="H305" i="60"/>
  <c r="U304" i="60"/>
  <c r="Q304" i="60"/>
  <c r="U302" i="60"/>
  <c r="Q302" i="60"/>
  <c r="L302" i="60"/>
  <c r="H302" i="60"/>
  <c r="U301" i="60"/>
  <c r="Q301" i="60"/>
  <c r="L301" i="60"/>
  <c r="H301" i="60"/>
  <c r="L300" i="60"/>
  <c r="H300" i="60"/>
  <c r="U299" i="60"/>
  <c r="Q299" i="60"/>
  <c r="L299" i="60"/>
  <c r="H299" i="60"/>
  <c r="L298" i="60"/>
  <c r="H298" i="60"/>
  <c r="U297" i="60"/>
  <c r="Q297" i="60"/>
  <c r="L297" i="60"/>
  <c r="H297" i="60"/>
  <c r="U296" i="60"/>
  <c r="Q296" i="60"/>
  <c r="I296" i="60"/>
  <c r="H296" i="60"/>
  <c r="I295" i="60"/>
  <c r="H295" i="60"/>
  <c r="U294" i="60"/>
  <c r="Q294" i="60"/>
  <c r="L294" i="60"/>
  <c r="H294" i="60"/>
  <c r="U293" i="60"/>
  <c r="Q293" i="60"/>
  <c r="U291" i="60"/>
  <c r="Q291" i="60"/>
  <c r="L291" i="60"/>
  <c r="H291" i="60"/>
  <c r="U290" i="60"/>
  <c r="Q290" i="60"/>
  <c r="L290" i="60"/>
  <c r="H290" i="60"/>
  <c r="L289" i="60"/>
  <c r="H289" i="60"/>
  <c r="U288" i="60"/>
  <c r="Q288" i="60"/>
  <c r="L288" i="60"/>
  <c r="H288" i="60"/>
  <c r="L287" i="60"/>
  <c r="H287" i="60"/>
  <c r="U286" i="60"/>
  <c r="Q286" i="60"/>
  <c r="L286" i="60"/>
  <c r="H286" i="60"/>
  <c r="U285" i="60"/>
  <c r="Q285" i="60"/>
  <c r="I285" i="60"/>
  <c r="H285" i="60"/>
  <c r="I284" i="60"/>
  <c r="H284" i="60"/>
  <c r="U283" i="60"/>
  <c r="Q283" i="60"/>
  <c r="L283" i="60"/>
  <c r="H283" i="60"/>
  <c r="U282" i="60"/>
  <c r="Q282" i="60"/>
  <c r="U280" i="60"/>
  <c r="Q280" i="60"/>
  <c r="L280" i="60"/>
  <c r="H280" i="60"/>
  <c r="U279" i="60"/>
  <c r="Q279" i="60"/>
  <c r="L279" i="60"/>
  <c r="H279" i="60"/>
  <c r="L278" i="60"/>
  <c r="H278" i="60"/>
  <c r="U277" i="60"/>
  <c r="Q277" i="60"/>
  <c r="L277" i="60"/>
  <c r="H277" i="60"/>
  <c r="L276" i="60"/>
  <c r="H276" i="60"/>
  <c r="U275" i="60"/>
  <c r="Q275" i="60"/>
  <c r="L275" i="60"/>
  <c r="H275" i="60"/>
  <c r="U274" i="60"/>
  <c r="Q274" i="60"/>
  <c r="I274" i="60"/>
  <c r="H274" i="60"/>
  <c r="I273" i="60"/>
  <c r="H273" i="60"/>
  <c r="U272" i="60"/>
  <c r="Q272" i="60"/>
  <c r="L272" i="60"/>
  <c r="H272" i="60"/>
  <c r="U271" i="60"/>
  <c r="Q271" i="60"/>
  <c r="U269" i="60"/>
  <c r="Q269" i="60"/>
  <c r="L269" i="60"/>
  <c r="H269" i="60"/>
  <c r="U268" i="60"/>
  <c r="Q268" i="60"/>
  <c r="L268" i="60"/>
  <c r="H268" i="60"/>
  <c r="L267" i="60"/>
  <c r="H267" i="60"/>
  <c r="U266" i="60"/>
  <c r="Q266" i="60"/>
  <c r="L266" i="60"/>
  <c r="H266" i="60"/>
  <c r="L265" i="60"/>
  <c r="H265" i="60"/>
  <c r="U264" i="60"/>
  <c r="Q264" i="60"/>
  <c r="L264" i="60"/>
  <c r="H264" i="60"/>
  <c r="U263" i="60"/>
  <c r="Q263" i="60"/>
  <c r="I263" i="60"/>
  <c r="H263" i="60"/>
  <c r="I262" i="60"/>
  <c r="H262" i="60"/>
  <c r="U261" i="60"/>
  <c r="Q261" i="60"/>
  <c r="L261" i="60"/>
  <c r="H261" i="60"/>
  <c r="U260" i="60"/>
  <c r="Q260" i="60"/>
  <c r="U258" i="60"/>
  <c r="Q258" i="60"/>
  <c r="L258" i="60"/>
  <c r="H258" i="60"/>
  <c r="U257" i="60"/>
  <c r="Q257" i="60"/>
  <c r="L257" i="60"/>
  <c r="H257" i="60"/>
  <c r="L256" i="60"/>
  <c r="H256" i="60"/>
  <c r="U255" i="60"/>
  <c r="Q255" i="60"/>
  <c r="L255" i="60"/>
  <c r="H255" i="60"/>
  <c r="L254" i="60"/>
  <c r="H254" i="60"/>
  <c r="U253" i="60"/>
  <c r="Q253" i="60"/>
  <c r="L253" i="60"/>
  <c r="H253" i="60"/>
  <c r="U252" i="60"/>
  <c r="Q252" i="60"/>
  <c r="I252" i="60"/>
  <c r="H252" i="60"/>
  <c r="I251" i="60"/>
  <c r="H251" i="60"/>
  <c r="U250" i="60"/>
  <c r="Q250" i="60"/>
  <c r="L250" i="60"/>
  <c r="H250" i="60"/>
  <c r="U249" i="60"/>
  <c r="Q249" i="60"/>
  <c r="U247" i="60"/>
  <c r="Q247" i="60"/>
  <c r="L247" i="60"/>
  <c r="H247" i="60"/>
  <c r="U246" i="60"/>
  <c r="Q246" i="60"/>
  <c r="L246" i="60"/>
  <c r="H246" i="60"/>
  <c r="L245" i="60"/>
  <c r="H245" i="60"/>
  <c r="U244" i="60"/>
  <c r="Q244" i="60"/>
  <c r="L244" i="60"/>
  <c r="H244" i="60"/>
  <c r="L243" i="60"/>
  <c r="H243" i="60"/>
  <c r="U242" i="60"/>
  <c r="Q242" i="60"/>
  <c r="L242" i="60"/>
  <c r="H242" i="60"/>
  <c r="U241" i="60"/>
  <c r="Q241" i="60"/>
  <c r="I241" i="60"/>
  <c r="H241" i="60"/>
  <c r="I240" i="60"/>
  <c r="H240" i="60"/>
  <c r="U239" i="60"/>
  <c r="Q239" i="60"/>
  <c r="L239" i="60"/>
  <c r="H239" i="60"/>
  <c r="U238" i="60"/>
  <c r="Q238" i="60"/>
  <c r="U236" i="60"/>
  <c r="Q236" i="60"/>
  <c r="L236" i="60"/>
  <c r="H236" i="60"/>
  <c r="U235" i="60"/>
  <c r="Q235" i="60"/>
  <c r="L235" i="60"/>
  <c r="H235" i="60"/>
  <c r="L234" i="60"/>
  <c r="H234" i="60"/>
  <c r="U233" i="60"/>
  <c r="Q233" i="60"/>
  <c r="L233" i="60"/>
  <c r="H233" i="60"/>
  <c r="L232" i="60"/>
  <c r="H232" i="60"/>
  <c r="U231" i="60"/>
  <c r="Q231" i="60"/>
  <c r="L231" i="60"/>
  <c r="H231" i="60"/>
  <c r="U230" i="60"/>
  <c r="Q230" i="60"/>
  <c r="I230" i="60"/>
  <c r="H230" i="60"/>
  <c r="I229" i="60"/>
  <c r="H229" i="60"/>
  <c r="U228" i="60"/>
  <c r="Q228" i="60"/>
  <c r="L228" i="60"/>
  <c r="H228" i="60"/>
  <c r="U227" i="60"/>
  <c r="Q227" i="60"/>
  <c r="U225" i="60"/>
  <c r="Q225" i="60"/>
  <c r="L225" i="60"/>
  <c r="H225" i="60"/>
  <c r="U224" i="60"/>
  <c r="Q224" i="60"/>
  <c r="L224" i="60"/>
  <c r="H224" i="60"/>
  <c r="L223" i="60"/>
  <c r="H223" i="60"/>
  <c r="U222" i="60"/>
  <c r="Q222" i="60"/>
  <c r="L222" i="60"/>
  <c r="H222" i="60"/>
  <c r="L221" i="60"/>
  <c r="H221" i="60"/>
  <c r="U220" i="60"/>
  <c r="Q220" i="60"/>
  <c r="L220" i="60"/>
  <c r="H220" i="60"/>
  <c r="U219" i="60"/>
  <c r="Q219" i="60"/>
  <c r="I219" i="60"/>
  <c r="H219" i="60"/>
  <c r="I218" i="60"/>
  <c r="H218" i="60"/>
  <c r="U217" i="60"/>
  <c r="Q217" i="60"/>
  <c r="L217" i="60"/>
  <c r="H217" i="60"/>
  <c r="U216" i="60"/>
  <c r="Q216" i="60"/>
  <c r="U214" i="60"/>
  <c r="Q214" i="60"/>
  <c r="L214" i="60"/>
  <c r="H214" i="60"/>
  <c r="U213" i="60"/>
  <c r="Q213" i="60"/>
  <c r="L213" i="60"/>
  <c r="H213" i="60"/>
  <c r="L212" i="60"/>
  <c r="H212" i="60"/>
  <c r="U211" i="60"/>
  <c r="Q211" i="60"/>
  <c r="L211" i="60"/>
  <c r="H211" i="60"/>
  <c r="L210" i="60"/>
  <c r="H210" i="60"/>
  <c r="U209" i="60"/>
  <c r="Q209" i="60"/>
  <c r="L209" i="60"/>
  <c r="H209" i="60"/>
  <c r="U208" i="60"/>
  <c r="Q208" i="60"/>
  <c r="I208" i="60"/>
  <c r="H208" i="60"/>
  <c r="I207" i="60"/>
  <c r="H207" i="60"/>
  <c r="U206" i="60"/>
  <c r="Q206" i="60"/>
  <c r="L206" i="60"/>
  <c r="H206" i="60"/>
  <c r="U205" i="60"/>
  <c r="Q205" i="60"/>
  <c r="U203" i="60"/>
  <c r="Q203" i="60"/>
  <c r="L203" i="60"/>
  <c r="H203" i="60"/>
  <c r="U202" i="60"/>
  <c r="Q202" i="60"/>
  <c r="L202" i="60"/>
  <c r="H202" i="60"/>
  <c r="L201" i="60"/>
  <c r="H201" i="60"/>
  <c r="U200" i="60"/>
  <c r="Q200" i="60"/>
  <c r="L200" i="60"/>
  <c r="H200" i="60"/>
  <c r="L199" i="60"/>
  <c r="H199" i="60"/>
  <c r="U198" i="60"/>
  <c r="Q198" i="60"/>
  <c r="L198" i="60"/>
  <c r="H198" i="60"/>
  <c r="U197" i="60"/>
  <c r="Q197" i="60"/>
  <c r="I197" i="60"/>
  <c r="H197" i="60"/>
  <c r="I196" i="60"/>
  <c r="H196" i="60"/>
  <c r="U195" i="60"/>
  <c r="Q195" i="60"/>
  <c r="L195" i="60"/>
  <c r="H195" i="60"/>
  <c r="U194" i="60"/>
  <c r="Q194" i="60"/>
  <c r="U192" i="60"/>
  <c r="Q192" i="60"/>
  <c r="L192" i="60"/>
  <c r="H192" i="60"/>
  <c r="U191" i="60"/>
  <c r="Q191" i="60"/>
  <c r="L191" i="60"/>
  <c r="H191" i="60"/>
  <c r="L190" i="60"/>
  <c r="H190" i="60"/>
  <c r="U189" i="60"/>
  <c r="Q189" i="60"/>
  <c r="L189" i="60"/>
  <c r="H189" i="60"/>
  <c r="L188" i="60"/>
  <c r="H188" i="60"/>
  <c r="U187" i="60"/>
  <c r="Q187" i="60"/>
  <c r="L187" i="60"/>
  <c r="H187" i="60"/>
  <c r="U186" i="60"/>
  <c r="Q186" i="60"/>
  <c r="I186" i="60"/>
  <c r="H186" i="60"/>
  <c r="I185" i="60"/>
  <c r="H185" i="60"/>
  <c r="U184" i="60"/>
  <c r="Q184" i="60"/>
  <c r="L184" i="60"/>
  <c r="H184" i="60"/>
  <c r="U183" i="60"/>
  <c r="Q183" i="60"/>
  <c r="U181" i="60"/>
  <c r="Q181" i="60"/>
  <c r="L181" i="60"/>
  <c r="H181" i="60"/>
  <c r="U180" i="60"/>
  <c r="Q180" i="60"/>
  <c r="L180" i="60"/>
  <c r="H180" i="60"/>
  <c r="L179" i="60"/>
  <c r="H179" i="60"/>
  <c r="U178" i="60"/>
  <c r="Q178" i="60"/>
  <c r="L178" i="60"/>
  <c r="H178" i="60"/>
  <c r="L177" i="60"/>
  <c r="H177" i="60"/>
  <c r="U176" i="60"/>
  <c r="Q176" i="60"/>
  <c r="L176" i="60"/>
  <c r="H176" i="60"/>
  <c r="U175" i="60"/>
  <c r="Q175" i="60"/>
  <c r="I175" i="60"/>
  <c r="H175" i="60"/>
  <c r="I174" i="60"/>
  <c r="H174" i="60"/>
  <c r="U173" i="60"/>
  <c r="Q173" i="60"/>
  <c r="L173" i="60"/>
  <c r="H173" i="60"/>
  <c r="U172" i="60"/>
  <c r="Q172" i="60"/>
  <c r="U170" i="60"/>
  <c r="Q170" i="60"/>
  <c r="L170" i="60"/>
  <c r="H170" i="60"/>
  <c r="U169" i="60"/>
  <c r="Q169" i="60"/>
  <c r="L169" i="60"/>
  <c r="H169" i="60"/>
  <c r="L168" i="60"/>
  <c r="H168" i="60"/>
  <c r="U167" i="60"/>
  <c r="Q167" i="60"/>
  <c r="L167" i="60"/>
  <c r="H167" i="60"/>
  <c r="L166" i="60"/>
  <c r="H166" i="60"/>
  <c r="U165" i="60"/>
  <c r="Q165" i="60"/>
  <c r="L165" i="60"/>
  <c r="H165" i="60"/>
  <c r="U164" i="60"/>
  <c r="Q164" i="60"/>
  <c r="I164" i="60"/>
  <c r="H164" i="60"/>
  <c r="I163" i="60"/>
  <c r="H163" i="60"/>
  <c r="U162" i="60"/>
  <c r="Q162" i="60"/>
  <c r="L162" i="60"/>
  <c r="H162" i="60"/>
  <c r="U161" i="60"/>
  <c r="Q161" i="60"/>
  <c r="U159" i="60"/>
  <c r="Q159" i="60"/>
  <c r="L159" i="60"/>
  <c r="H159" i="60"/>
  <c r="U158" i="60"/>
  <c r="Q158" i="60"/>
  <c r="L158" i="60"/>
  <c r="H158" i="60"/>
  <c r="L157" i="60"/>
  <c r="H157" i="60"/>
  <c r="U156" i="60"/>
  <c r="Q156" i="60"/>
  <c r="L156" i="60"/>
  <c r="H156" i="60"/>
  <c r="L155" i="60"/>
  <c r="H155" i="60"/>
  <c r="U154" i="60"/>
  <c r="Q154" i="60"/>
  <c r="L154" i="60"/>
  <c r="H154" i="60"/>
  <c r="U153" i="60"/>
  <c r="Q153" i="60"/>
  <c r="I153" i="60"/>
  <c r="H153" i="60"/>
  <c r="I152" i="60"/>
  <c r="H152" i="60"/>
  <c r="U151" i="60"/>
  <c r="Q151" i="60"/>
  <c r="L151" i="60"/>
  <c r="H151" i="60"/>
  <c r="U150" i="60"/>
  <c r="Q150" i="60"/>
  <c r="U148" i="60"/>
  <c r="Q148" i="60"/>
  <c r="L148" i="60"/>
  <c r="H148" i="60"/>
  <c r="U147" i="60"/>
  <c r="Q147" i="60"/>
  <c r="L147" i="60"/>
  <c r="H147" i="60"/>
  <c r="L146" i="60"/>
  <c r="H146" i="60"/>
  <c r="U145" i="60"/>
  <c r="Q145" i="60"/>
  <c r="L145" i="60"/>
  <c r="H145" i="60"/>
  <c r="L144" i="60"/>
  <c r="H144" i="60"/>
  <c r="U143" i="60"/>
  <c r="Q143" i="60"/>
  <c r="L143" i="60"/>
  <c r="H143" i="60"/>
  <c r="U142" i="60"/>
  <c r="Q142" i="60"/>
  <c r="I142" i="60"/>
  <c r="H142" i="60"/>
  <c r="I141" i="60"/>
  <c r="H141" i="60"/>
  <c r="U140" i="60"/>
  <c r="Q140" i="60"/>
  <c r="L140" i="60"/>
  <c r="H140" i="60"/>
  <c r="U139" i="60"/>
  <c r="Q139" i="60"/>
  <c r="U137" i="60"/>
  <c r="Q137" i="60"/>
  <c r="L137" i="60"/>
  <c r="H137" i="60"/>
  <c r="U136" i="60"/>
  <c r="Q136" i="60"/>
  <c r="L136" i="60"/>
  <c r="H136" i="60"/>
  <c r="L135" i="60"/>
  <c r="H135" i="60"/>
  <c r="U134" i="60"/>
  <c r="Q134" i="60"/>
  <c r="L134" i="60"/>
  <c r="H134" i="60"/>
  <c r="L133" i="60"/>
  <c r="H133" i="60"/>
  <c r="U132" i="60"/>
  <c r="Q132" i="60"/>
  <c r="L132" i="60"/>
  <c r="H132" i="60"/>
  <c r="U131" i="60"/>
  <c r="Q131" i="60"/>
  <c r="I131" i="60"/>
  <c r="H131" i="60"/>
  <c r="I130" i="60"/>
  <c r="H130" i="60"/>
  <c r="U129" i="60"/>
  <c r="Q129" i="60"/>
  <c r="L129" i="60"/>
  <c r="H129" i="60"/>
  <c r="U128" i="60"/>
  <c r="Q128" i="60"/>
  <c r="U126" i="60"/>
  <c r="Q126" i="60"/>
  <c r="L126" i="60"/>
  <c r="H126" i="60"/>
  <c r="U125" i="60"/>
  <c r="Q125" i="60"/>
  <c r="L125" i="60"/>
  <c r="H125" i="60"/>
  <c r="L124" i="60"/>
  <c r="H124" i="60"/>
  <c r="U123" i="60"/>
  <c r="Q123" i="60"/>
  <c r="L123" i="60"/>
  <c r="H123" i="60"/>
  <c r="L122" i="60"/>
  <c r="H122" i="60"/>
  <c r="U121" i="60"/>
  <c r="Q121" i="60"/>
  <c r="L121" i="60"/>
  <c r="H121" i="60"/>
  <c r="U120" i="60"/>
  <c r="Q120" i="60"/>
  <c r="I120" i="60"/>
  <c r="H120" i="60"/>
  <c r="I119" i="60"/>
  <c r="H119" i="60"/>
  <c r="U118" i="60"/>
  <c r="Q118" i="60"/>
  <c r="L118" i="60"/>
  <c r="H118" i="60"/>
  <c r="U117" i="60"/>
  <c r="Q117" i="60"/>
  <c r="U115" i="60"/>
  <c r="Q115" i="60"/>
  <c r="L115" i="60"/>
  <c r="H115" i="60"/>
  <c r="U114" i="60"/>
  <c r="Q114" i="60"/>
  <c r="L114" i="60"/>
  <c r="H114" i="60"/>
  <c r="L113" i="60"/>
  <c r="H113" i="60"/>
  <c r="U112" i="60"/>
  <c r="Q112" i="60"/>
  <c r="L112" i="60"/>
  <c r="H112" i="60"/>
  <c r="L111" i="60"/>
  <c r="H111" i="60"/>
  <c r="U110" i="60"/>
  <c r="Q110" i="60"/>
  <c r="L110" i="60"/>
  <c r="H110" i="60"/>
  <c r="U109" i="60"/>
  <c r="Q109" i="60"/>
  <c r="I109" i="60"/>
  <c r="H109" i="60"/>
  <c r="I108" i="60"/>
  <c r="H108" i="60"/>
  <c r="U107" i="60"/>
  <c r="Q107" i="60"/>
  <c r="L107" i="60"/>
  <c r="H107" i="60"/>
  <c r="U106" i="60"/>
  <c r="Q106" i="60"/>
  <c r="U104" i="60"/>
  <c r="Q104" i="60"/>
  <c r="L104" i="60"/>
  <c r="H104" i="60"/>
  <c r="U103" i="60"/>
  <c r="Q103" i="60"/>
  <c r="L103" i="60"/>
  <c r="H103" i="60"/>
  <c r="L102" i="60"/>
  <c r="H102" i="60"/>
  <c r="U101" i="60"/>
  <c r="Q101" i="60"/>
  <c r="L101" i="60"/>
  <c r="H101" i="60"/>
  <c r="L100" i="60"/>
  <c r="H100" i="60"/>
  <c r="U99" i="60"/>
  <c r="Q99" i="60"/>
  <c r="L99" i="60"/>
  <c r="H99" i="60"/>
  <c r="U98" i="60"/>
  <c r="Q98" i="60"/>
  <c r="I98" i="60"/>
  <c r="H98" i="60"/>
  <c r="I97" i="60"/>
  <c r="H97" i="60"/>
  <c r="U96" i="60"/>
  <c r="Q96" i="60"/>
  <c r="L96" i="60"/>
  <c r="H96" i="60"/>
  <c r="U95" i="60"/>
  <c r="Q95" i="60"/>
  <c r="U93" i="60"/>
  <c r="Q93" i="60"/>
  <c r="L93" i="60"/>
  <c r="H93" i="60"/>
  <c r="U92" i="60"/>
  <c r="Q92" i="60"/>
  <c r="L92" i="60"/>
  <c r="H92" i="60"/>
  <c r="L91" i="60"/>
  <c r="H91" i="60"/>
  <c r="U90" i="60"/>
  <c r="Q90" i="60"/>
  <c r="L90" i="60"/>
  <c r="H90" i="60"/>
  <c r="L89" i="60"/>
  <c r="H89" i="60"/>
  <c r="U88" i="60"/>
  <c r="Q88" i="60"/>
  <c r="L88" i="60"/>
  <c r="H88" i="60"/>
  <c r="U87" i="60"/>
  <c r="Q87" i="60"/>
  <c r="I87" i="60"/>
  <c r="H87" i="60"/>
  <c r="I86" i="60"/>
  <c r="H86" i="60"/>
  <c r="U85" i="60"/>
  <c r="Q85" i="60"/>
  <c r="L85" i="60"/>
  <c r="H85" i="60"/>
  <c r="U84" i="60"/>
  <c r="Q84" i="60"/>
  <c r="U82" i="60"/>
  <c r="Q82" i="60"/>
  <c r="L82" i="60"/>
  <c r="H82" i="60"/>
  <c r="U81" i="60"/>
  <c r="Q81" i="60"/>
  <c r="L81" i="60"/>
  <c r="H81" i="60"/>
  <c r="L80" i="60"/>
  <c r="H80" i="60"/>
  <c r="U79" i="60"/>
  <c r="Q79" i="60"/>
  <c r="L79" i="60"/>
  <c r="H79" i="60"/>
  <c r="L78" i="60"/>
  <c r="H78" i="60"/>
  <c r="U77" i="60"/>
  <c r="Q77" i="60"/>
  <c r="L77" i="60"/>
  <c r="H77" i="60"/>
  <c r="U76" i="60"/>
  <c r="Q76" i="60"/>
  <c r="I76" i="60"/>
  <c r="H76" i="60"/>
  <c r="I75" i="60"/>
  <c r="H75" i="60"/>
  <c r="U74" i="60"/>
  <c r="Q74" i="60"/>
  <c r="L74" i="60"/>
  <c r="H74" i="60"/>
  <c r="U73" i="60"/>
  <c r="Q73" i="60"/>
  <c r="U71" i="60"/>
  <c r="Q71" i="60"/>
  <c r="L71" i="60"/>
  <c r="H71" i="60"/>
  <c r="U70" i="60"/>
  <c r="Q70" i="60"/>
  <c r="L70" i="60"/>
  <c r="H70" i="60"/>
  <c r="L69" i="60"/>
  <c r="H69" i="60"/>
  <c r="U68" i="60"/>
  <c r="Q68" i="60"/>
  <c r="L68" i="60"/>
  <c r="H68" i="60"/>
  <c r="L67" i="60"/>
  <c r="H67" i="60"/>
  <c r="U66" i="60"/>
  <c r="Q66" i="60"/>
  <c r="L66" i="60"/>
  <c r="H66" i="60"/>
  <c r="U65" i="60"/>
  <c r="Q65" i="60"/>
  <c r="I65" i="60"/>
  <c r="H65" i="60"/>
  <c r="I64" i="60"/>
  <c r="H64" i="60"/>
  <c r="U63" i="60"/>
  <c r="Q63" i="60"/>
  <c r="L63" i="60"/>
  <c r="H63" i="60"/>
  <c r="U62" i="60"/>
  <c r="Q62" i="60"/>
  <c r="U60" i="60"/>
  <c r="Q60" i="60"/>
  <c r="L60" i="60"/>
  <c r="H60" i="60"/>
  <c r="U59" i="60"/>
  <c r="Q59" i="60"/>
  <c r="L59" i="60"/>
  <c r="H59" i="60"/>
  <c r="L58" i="60"/>
  <c r="H58" i="60"/>
  <c r="U57" i="60"/>
  <c r="Q57" i="60"/>
  <c r="L57" i="60"/>
  <c r="H57" i="60"/>
  <c r="L56" i="60"/>
  <c r="H56" i="60"/>
  <c r="U55" i="60"/>
  <c r="Q55" i="60"/>
  <c r="L55" i="60"/>
  <c r="H55" i="60"/>
  <c r="U54" i="60"/>
  <c r="Q54" i="60"/>
  <c r="I54" i="60"/>
  <c r="H54" i="60"/>
  <c r="I53" i="60"/>
  <c r="H53" i="60"/>
  <c r="U52" i="60"/>
  <c r="Q52" i="60"/>
  <c r="L52" i="60"/>
  <c r="H52" i="60"/>
  <c r="U51" i="60"/>
  <c r="Q51" i="60"/>
  <c r="U49" i="60"/>
  <c r="Q49" i="60"/>
  <c r="L49" i="60"/>
  <c r="H49" i="60"/>
  <c r="U48" i="60"/>
  <c r="Q48" i="60"/>
  <c r="L48" i="60"/>
  <c r="H48" i="60"/>
  <c r="L47" i="60"/>
  <c r="H47" i="60"/>
  <c r="U46" i="60"/>
  <c r="Q46" i="60"/>
  <c r="L46" i="60"/>
  <c r="H46" i="60"/>
  <c r="L45" i="60"/>
  <c r="H45" i="60"/>
  <c r="U44" i="60"/>
  <c r="Q44" i="60"/>
  <c r="L44" i="60"/>
  <c r="H44" i="60"/>
  <c r="U43" i="60"/>
  <c r="Q43" i="60"/>
  <c r="I43" i="60"/>
  <c r="H43" i="60"/>
  <c r="I42" i="60"/>
  <c r="H42" i="60"/>
  <c r="U41" i="60"/>
  <c r="Q41" i="60"/>
  <c r="L41" i="60"/>
  <c r="H41" i="60"/>
  <c r="U40" i="60"/>
  <c r="Q40" i="60"/>
  <c r="U38" i="60"/>
  <c r="Q38" i="60"/>
  <c r="L38" i="60"/>
  <c r="H38" i="60"/>
  <c r="U37" i="60"/>
  <c r="Q37" i="60"/>
  <c r="L37" i="60"/>
  <c r="H37" i="60"/>
  <c r="L36" i="60"/>
  <c r="H36" i="60"/>
  <c r="U35" i="60"/>
  <c r="Q35" i="60"/>
  <c r="L35" i="60"/>
  <c r="H35" i="60"/>
  <c r="L34" i="60"/>
  <c r="H34" i="60"/>
  <c r="U33" i="60"/>
  <c r="Q33" i="60"/>
  <c r="L33" i="60"/>
  <c r="H33" i="60"/>
  <c r="U32" i="60"/>
  <c r="Q32" i="60"/>
  <c r="I32" i="60"/>
  <c r="H32" i="60"/>
  <c r="I31" i="60"/>
  <c r="H31" i="60"/>
  <c r="U30" i="60"/>
  <c r="Q30" i="60"/>
  <c r="L30" i="60"/>
  <c r="H30" i="60"/>
  <c r="U29" i="60"/>
  <c r="Q29" i="60"/>
  <c r="U27" i="60"/>
  <c r="Q27" i="60"/>
  <c r="L27" i="60"/>
  <c r="H27" i="60"/>
  <c r="U26" i="60"/>
  <c r="Q26" i="60"/>
  <c r="L26" i="60"/>
  <c r="H26" i="60"/>
  <c r="L25" i="60"/>
  <c r="H25" i="60"/>
  <c r="U24" i="60"/>
  <c r="Q24" i="60"/>
  <c r="L24" i="60"/>
  <c r="H24" i="60"/>
  <c r="L23" i="60"/>
  <c r="H23" i="60"/>
  <c r="U22" i="60"/>
  <c r="Q22" i="60"/>
  <c r="L22" i="60"/>
  <c r="H22" i="60"/>
  <c r="U21" i="60"/>
  <c r="Q21" i="60"/>
  <c r="I21" i="60"/>
  <c r="H21" i="60"/>
  <c r="I20" i="60"/>
  <c r="H20" i="60"/>
  <c r="U19" i="60"/>
  <c r="Q19" i="60"/>
  <c r="L19" i="60"/>
  <c r="H19" i="60"/>
  <c r="U18" i="60"/>
  <c r="Q18" i="60"/>
  <c r="L16" i="60"/>
  <c r="L15" i="60"/>
  <c r="L14" i="60"/>
  <c r="L13" i="60"/>
  <c r="L12" i="60"/>
  <c r="L11" i="60"/>
  <c r="L8" i="60"/>
  <c r="H16" i="60"/>
  <c r="H15" i="60"/>
  <c r="H14" i="60"/>
  <c r="H13" i="60"/>
  <c r="H12" i="60"/>
  <c r="H11" i="60"/>
  <c r="H10" i="60"/>
  <c r="H9" i="60"/>
  <c r="H8" i="60"/>
  <c r="M22" i="10" l="1"/>
  <c r="N22" i="10" s="1"/>
  <c r="M21" i="10"/>
  <c r="N21" i="10" s="1"/>
  <c r="J47" i="10"/>
  <c r="M47" i="10" s="1"/>
  <c r="N47" i="10" s="1"/>
  <c r="M53" i="10"/>
  <c r="N53" i="10" s="1"/>
  <c r="J48" i="10"/>
  <c r="M48" i="10" s="1"/>
  <c r="N48" i="10" s="1"/>
  <c r="M43" i="10"/>
  <c r="N43" i="10" s="1"/>
  <c r="J42" i="10"/>
  <c r="M42" i="10" s="1"/>
  <c r="N42" i="10" s="1"/>
  <c r="J57" i="10"/>
  <c r="M57" i="10" s="1"/>
  <c r="N57" i="10" s="1"/>
  <c r="J49" i="10"/>
  <c r="M49" i="10" s="1"/>
  <c r="N49" i="10" s="1"/>
  <c r="J51" i="10"/>
  <c r="M51" i="10" s="1"/>
  <c r="N51" i="10" s="1"/>
  <c r="M23" i="10"/>
  <c r="N23" i="10" s="1"/>
  <c r="M39" i="10"/>
  <c r="N39" i="10" s="1"/>
  <c r="M56" i="10"/>
  <c r="N56" i="10" s="1"/>
  <c r="AO127" i="9"/>
  <c r="J50" i="10"/>
  <c r="M50" i="10" s="1"/>
  <c r="N50" i="10" s="1"/>
  <c r="J52" i="10"/>
  <c r="M52" i="10" s="1"/>
  <c r="J46" i="10"/>
  <c r="M46" i="10" s="1"/>
  <c r="N46" i="10" s="1"/>
  <c r="J59" i="10"/>
  <c r="M59" i="10" s="1"/>
  <c r="N59" i="10" s="1"/>
  <c r="M41" i="10"/>
  <c r="N41" i="10" s="1"/>
  <c r="J35" i="10"/>
  <c r="M35" i="10" s="1"/>
  <c r="N35" i="10" s="1"/>
  <c r="J34" i="10"/>
  <c r="M34" i="10" s="1"/>
  <c r="N34" i="10" s="1"/>
  <c r="N58" i="10"/>
  <c r="M33" i="10"/>
  <c r="N33" i="10" s="1"/>
  <c r="Y820" i="57"/>
  <c r="AC825" i="57" s="1"/>
  <c r="H820" i="57"/>
  <c r="Y831" i="57"/>
  <c r="AC836" i="57" s="1"/>
  <c r="H831" i="57"/>
  <c r="W784" i="57"/>
  <c r="X784" i="57" s="1"/>
  <c r="W795" i="57"/>
  <c r="X795" i="57" s="1"/>
  <c r="AO416" i="9"/>
  <c r="S614" i="57"/>
  <c r="AO255" i="9"/>
  <c r="G744" i="57"/>
  <c r="H744" i="57" s="1"/>
  <c r="AO344" i="9"/>
  <c r="AO329" i="9"/>
  <c r="S784" i="57"/>
  <c r="T784" i="57" s="1"/>
  <c r="AO301" i="9"/>
  <c r="AO277" i="9"/>
  <c r="K713" i="57"/>
  <c r="L713" i="57" s="1"/>
  <c r="AO138" i="9"/>
  <c r="AO231" i="9"/>
  <c r="W644" i="57"/>
  <c r="X644" i="57" s="1"/>
  <c r="AO224" i="9"/>
  <c r="AO219" i="9"/>
  <c r="S630" i="57"/>
  <c r="W746" i="57"/>
  <c r="X746" i="57" s="1"/>
  <c r="W779" i="57"/>
  <c r="X779" i="57" s="1"/>
  <c r="AO9" i="9"/>
  <c r="S634" i="57"/>
  <c r="T634" i="57" s="1"/>
  <c r="S655" i="57"/>
  <c r="T655" i="57" s="1"/>
  <c r="W751" i="57"/>
  <c r="X751" i="57" s="1"/>
  <c r="W740" i="57"/>
  <c r="X740" i="57" s="1"/>
  <c r="S590" i="57"/>
  <c r="T590" i="57" s="1"/>
  <c r="S586" i="57"/>
  <c r="K776" i="57"/>
  <c r="L776" i="57" s="1"/>
  <c r="G634" i="57"/>
  <c r="G623" i="57"/>
  <c r="G655" i="57"/>
  <c r="H655" i="57" s="1"/>
  <c r="K644" i="57"/>
  <c r="L644" i="57" s="1"/>
  <c r="K633" i="57"/>
  <c r="K798" i="57"/>
  <c r="L798" i="57" s="1"/>
  <c r="G809" i="57"/>
  <c r="H809" i="57" s="1"/>
  <c r="W773" i="57"/>
  <c r="X773" i="57" s="1"/>
  <c r="S623" i="57"/>
  <c r="T623" i="57" s="1"/>
  <c r="W663" i="57"/>
  <c r="X663" i="57" s="1"/>
  <c r="W674" i="57"/>
  <c r="X674" i="57" s="1"/>
  <c r="K680" i="57"/>
  <c r="L680" i="57" s="1"/>
  <c r="K809" i="57"/>
  <c r="L809" i="57" s="1"/>
  <c r="G645" i="57"/>
  <c r="H645" i="57" s="1"/>
  <c r="G656" i="57"/>
  <c r="H656" i="57" s="1"/>
  <c r="S557" i="57"/>
  <c r="T557" i="57" s="1"/>
  <c r="G798" i="57"/>
  <c r="H798" i="57" s="1"/>
  <c r="S809" i="57"/>
  <c r="S798" i="57"/>
  <c r="G732" i="57"/>
  <c r="H732" i="57" s="1"/>
  <c r="G787" i="57"/>
  <c r="H787" i="57" s="1"/>
  <c r="W762" i="57"/>
  <c r="X762" i="57" s="1"/>
  <c r="S762" i="57"/>
  <c r="T762" i="57" s="1"/>
  <c r="S677" i="57"/>
  <c r="T677" i="57" s="1"/>
  <c r="K658" i="57"/>
  <c r="L658" i="57" s="1"/>
  <c r="K669" i="57"/>
  <c r="L669" i="57" s="1"/>
  <c r="S787" i="57"/>
  <c r="T787" i="57" s="1"/>
  <c r="K787" i="57"/>
  <c r="Y787" i="59"/>
  <c r="AC793" i="59" s="1"/>
  <c r="L787" i="59"/>
  <c r="S592" i="57"/>
  <c r="S608" i="57"/>
  <c r="K636" i="57"/>
  <c r="L636" i="57" s="1"/>
  <c r="K647" i="57"/>
  <c r="L647" i="57" s="1"/>
  <c r="S546" i="57"/>
  <c r="T546" i="57" s="1"/>
  <c r="S612" i="57"/>
  <c r="T612" i="57" s="1"/>
  <c r="S743" i="57"/>
  <c r="T743" i="57" s="1"/>
  <c r="S601" i="57"/>
  <c r="T601" i="57" s="1"/>
  <c r="G666" i="57"/>
  <c r="H666" i="57" s="1"/>
  <c r="AO29" i="9"/>
  <c r="G721" i="57"/>
  <c r="H721" i="57" s="1"/>
  <c r="S652" i="57"/>
  <c r="T652" i="57" s="1"/>
  <c r="W652" i="57"/>
  <c r="X652" i="57" s="1"/>
  <c r="S597" i="57"/>
  <c r="S556" i="57"/>
  <c r="S570" i="57"/>
  <c r="W570" i="57"/>
  <c r="J20" i="10"/>
  <c r="M20" i="10" s="1"/>
  <c r="N20" i="10" s="1"/>
  <c r="AO14" i="9"/>
  <c r="AO12" i="9"/>
  <c r="AO13" i="9"/>
  <c r="J19" i="10"/>
  <c r="M19" i="10" s="1"/>
  <c r="N19" i="10" s="1"/>
  <c r="Y721" i="59"/>
  <c r="AC727" i="59" s="1"/>
  <c r="T721" i="59"/>
  <c r="K614" i="57"/>
  <c r="L614" i="57" s="1"/>
  <c r="W619" i="57"/>
  <c r="K765" i="57"/>
  <c r="L765" i="57" s="1"/>
  <c r="G743" i="57"/>
  <c r="H743" i="57" s="1"/>
  <c r="G765" i="57"/>
  <c r="H765" i="57" s="1"/>
  <c r="G688" i="57"/>
  <c r="H688" i="57" s="1"/>
  <c r="K655" i="57"/>
  <c r="L655" i="57" s="1"/>
  <c r="G677" i="57"/>
  <c r="H677" i="57" s="1"/>
  <c r="K732" i="57"/>
  <c r="L732" i="57" s="1"/>
  <c r="S732" i="57"/>
  <c r="T732" i="57" s="1"/>
  <c r="S754" i="57"/>
  <c r="T754" i="57" s="1"/>
  <c r="G776" i="57"/>
  <c r="S776" i="57"/>
  <c r="T776" i="57" s="1"/>
  <c r="S765" i="57"/>
  <c r="T765" i="57" s="1"/>
  <c r="S619" i="57"/>
  <c r="W564" i="57"/>
  <c r="Y765" i="59"/>
  <c r="AC771" i="59" s="1"/>
  <c r="L765" i="59"/>
  <c r="Y743" i="59"/>
  <c r="AC749" i="59" s="1"/>
  <c r="H743" i="59"/>
  <c r="H776" i="59"/>
  <c r="Y776" i="59"/>
  <c r="AC782" i="59" s="1"/>
  <c r="H677" i="59"/>
  <c r="Y677" i="59"/>
  <c r="AC683" i="59" s="1"/>
  <c r="Y754" i="59"/>
  <c r="AC760" i="59" s="1"/>
  <c r="H754" i="59"/>
  <c r="Y666" i="59"/>
  <c r="AC672" i="59" s="1"/>
  <c r="T666" i="59"/>
  <c r="Y688" i="59"/>
  <c r="AC694" i="59" s="1"/>
  <c r="T688" i="59"/>
  <c r="Y655" i="59"/>
  <c r="AC661" i="59" s="1"/>
  <c r="L655" i="59"/>
  <c r="H699" i="59"/>
  <c r="Y699" i="59"/>
  <c r="AC705" i="59" s="1"/>
  <c r="Y732" i="59"/>
  <c r="AC738" i="59" s="1"/>
  <c r="L732" i="59"/>
  <c r="Y710" i="59"/>
  <c r="AC716" i="59" s="1"/>
  <c r="T710" i="59"/>
  <c r="K743" i="57"/>
  <c r="L743" i="57" s="1"/>
  <c r="W556" i="57"/>
  <c r="W625" i="57"/>
  <c r="W614" i="57"/>
  <c r="S688" i="57"/>
  <c r="T688" i="57" s="1"/>
  <c r="K559" i="57"/>
  <c r="L559" i="57" s="1"/>
  <c r="K548" i="57"/>
  <c r="L548" i="57" s="1"/>
  <c r="S699" i="57"/>
  <c r="Y633" i="59"/>
  <c r="AC639" i="59" s="1"/>
  <c r="W567" i="57"/>
  <c r="W575" i="57"/>
  <c r="W633" i="57"/>
  <c r="W622" i="57"/>
  <c r="T633" i="59"/>
  <c r="G644" i="57"/>
  <c r="Y622" i="59"/>
  <c r="AC628" i="59" s="1"/>
  <c r="Y644" i="59"/>
  <c r="AC650" i="59" s="1"/>
  <c r="H644" i="59"/>
  <c r="Y534" i="59"/>
  <c r="AC540" i="59" s="1"/>
  <c r="T534" i="59"/>
  <c r="Y512" i="59"/>
  <c r="AC518" i="59" s="1"/>
  <c r="H512" i="59"/>
  <c r="Y545" i="59"/>
  <c r="AC551" i="59" s="1"/>
  <c r="H545" i="59"/>
  <c r="Y611" i="59"/>
  <c r="AC617" i="59" s="1"/>
  <c r="H611" i="59"/>
  <c r="Y589" i="59"/>
  <c r="AC595" i="59" s="1"/>
  <c r="H589" i="59"/>
  <c r="Y523" i="59"/>
  <c r="AC529" i="59" s="1"/>
  <c r="T523" i="59"/>
  <c r="Y578" i="59"/>
  <c r="AC584" i="59" s="1"/>
  <c r="L578" i="59"/>
  <c r="Y567" i="59"/>
  <c r="AC573" i="59" s="1"/>
  <c r="H567" i="59"/>
  <c r="Y600" i="59"/>
  <c r="AC606" i="59" s="1"/>
  <c r="H600" i="59"/>
  <c r="Y556" i="59"/>
  <c r="AC562" i="59" s="1"/>
  <c r="L556" i="59"/>
  <c r="E7" i="68"/>
  <c r="D7" i="68"/>
  <c r="Y633" i="57" l="1"/>
  <c r="AC638" i="57" s="1"/>
  <c r="Y589" i="57"/>
  <c r="AC594" i="57" s="1"/>
  <c r="Y798" i="57"/>
  <c r="AC803" i="57" s="1"/>
  <c r="T798" i="57"/>
  <c r="Y809" i="57"/>
  <c r="AC814" i="57" s="1"/>
  <c r="T809" i="57"/>
  <c r="Y644" i="57"/>
  <c r="AC649" i="57" s="1"/>
  <c r="Y787" i="57"/>
  <c r="AC792" i="57" s="1"/>
  <c r="L787" i="57"/>
  <c r="Y754" i="57"/>
  <c r="AC759" i="57" s="1"/>
  <c r="Y655" i="57"/>
  <c r="AC660" i="57" s="1"/>
  <c r="H776" i="57"/>
  <c r="Y776" i="57"/>
  <c r="AC781" i="57" s="1"/>
  <c r="Y732" i="57"/>
  <c r="AC737" i="57" s="1"/>
  <c r="Y677" i="57"/>
  <c r="AC682" i="57" s="1"/>
  <c r="Y765" i="57"/>
  <c r="AC770" i="57" s="1"/>
  <c r="Y611" i="57"/>
  <c r="AC616" i="57" s="1"/>
  <c r="Y743" i="57"/>
  <c r="AC748" i="57" s="1"/>
  <c r="Y556" i="57"/>
  <c r="AC561" i="57" s="1"/>
  <c r="Y688" i="57"/>
  <c r="AC693" i="57" s="1"/>
  <c r="T699" i="57"/>
  <c r="H644" i="57"/>
  <c r="U456" i="59"/>
  <c r="Q456" i="59"/>
  <c r="L456" i="59"/>
  <c r="H456" i="59"/>
  <c r="U455" i="59"/>
  <c r="Q455" i="59"/>
  <c r="L455" i="59"/>
  <c r="H455" i="59"/>
  <c r="L454" i="59"/>
  <c r="H454" i="59"/>
  <c r="U453" i="59"/>
  <c r="Q453" i="59"/>
  <c r="L453" i="59"/>
  <c r="H453" i="59"/>
  <c r="L452" i="59"/>
  <c r="H452" i="59"/>
  <c r="U451" i="59"/>
  <c r="Q451" i="59"/>
  <c r="L451" i="59"/>
  <c r="H451" i="59"/>
  <c r="U450" i="59"/>
  <c r="Q450" i="59"/>
  <c r="I450" i="59"/>
  <c r="H450" i="59"/>
  <c r="I449" i="59"/>
  <c r="H449" i="59"/>
  <c r="U448" i="59"/>
  <c r="Q448" i="59"/>
  <c r="L448" i="59"/>
  <c r="H448" i="59"/>
  <c r="U447" i="59"/>
  <c r="Q447" i="59"/>
  <c r="U434" i="59"/>
  <c r="L434" i="59"/>
  <c r="H434" i="59"/>
  <c r="U433" i="59"/>
  <c r="L433" i="59"/>
  <c r="H433" i="59"/>
  <c r="L432" i="59"/>
  <c r="H432" i="59"/>
  <c r="U431" i="59"/>
  <c r="L431" i="59"/>
  <c r="H431" i="59"/>
  <c r="L430" i="59"/>
  <c r="H430" i="59"/>
  <c r="U429" i="59"/>
  <c r="L429" i="59"/>
  <c r="H429" i="59"/>
  <c r="U428" i="59"/>
  <c r="I428" i="59"/>
  <c r="H428" i="59"/>
  <c r="I427" i="59"/>
  <c r="H427" i="59"/>
  <c r="U426" i="59"/>
  <c r="L426" i="59"/>
  <c r="H426" i="59"/>
  <c r="U425" i="59"/>
  <c r="U423" i="59"/>
  <c r="L423" i="59"/>
  <c r="H423" i="59"/>
  <c r="U422" i="59"/>
  <c r="L422" i="59"/>
  <c r="H422" i="59"/>
  <c r="L421" i="59"/>
  <c r="H421" i="59"/>
  <c r="U420" i="59"/>
  <c r="L420" i="59"/>
  <c r="H420" i="59"/>
  <c r="L419" i="59"/>
  <c r="H419" i="59"/>
  <c r="U418" i="59"/>
  <c r="L418" i="59"/>
  <c r="H418" i="59"/>
  <c r="U417" i="59"/>
  <c r="I417" i="59"/>
  <c r="H417" i="59"/>
  <c r="I416" i="59"/>
  <c r="H416" i="59"/>
  <c r="U415" i="59"/>
  <c r="L415" i="59"/>
  <c r="H415" i="59"/>
  <c r="U414" i="59"/>
  <c r="U412" i="59"/>
  <c r="L412" i="59"/>
  <c r="H412" i="59"/>
  <c r="U411" i="59"/>
  <c r="L411" i="59"/>
  <c r="H411" i="59"/>
  <c r="L410" i="59"/>
  <c r="H410" i="59"/>
  <c r="U409" i="59"/>
  <c r="L409" i="59"/>
  <c r="H409" i="59"/>
  <c r="L408" i="59"/>
  <c r="H408" i="59"/>
  <c r="U407" i="59"/>
  <c r="L407" i="59"/>
  <c r="H407" i="59"/>
  <c r="U406" i="59"/>
  <c r="I406" i="59"/>
  <c r="H406" i="59"/>
  <c r="I405" i="59"/>
  <c r="H405" i="59"/>
  <c r="U404" i="59"/>
  <c r="L404" i="59"/>
  <c r="H404" i="59"/>
  <c r="U403" i="59"/>
  <c r="U401" i="59"/>
  <c r="L401" i="59"/>
  <c r="H401" i="59"/>
  <c r="U400" i="59"/>
  <c r="L400" i="59"/>
  <c r="H400" i="59"/>
  <c r="L399" i="59"/>
  <c r="H399" i="59"/>
  <c r="U398" i="59"/>
  <c r="L398" i="59"/>
  <c r="H398" i="59"/>
  <c r="L397" i="59"/>
  <c r="H397" i="59"/>
  <c r="U396" i="59"/>
  <c r="L396" i="59"/>
  <c r="H396" i="59"/>
  <c r="U395" i="59"/>
  <c r="I395" i="59"/>
  <c r="H395" i="59"/>
  <c r="I394" i="59"/>
  <c r="H394" i="59"/>
  <c r="U393" i="59"/>
  <c r="L393" i="59"/>
  <c r="H393" i="59"/>
  <c r="U392" i="59"/>
  <c r="U500" i="59"/>
  <c r="Q500" i="59"/>
  <c r="L500" i="59"/>
  <c r="H500" i="59"/>
  <c r="U499" i="59"/>
  <c r="Q499" i="59"/>
  <c r="L499" i="59"/>
  <c r="H499" i="59"/>
  <c r="L498" i="59"/>
  <c r="H498" i="59"/>
  <c r="U497" i="59"/>
  <c r="Q497" i="59"/>
  <c r="L497" i="59"/>
  <c r="H497" i="59"/>
  <c r="L496" i="59"/>
  <c r="H496" i="59"/>
  <c r="U495" i="59"/>
  <c r="Q495" i="59"/>
  <c r="L495" i="59"/>
  <c r="H495" i="59"/>
  <c r="U494" i="59"/>
  <c r="Q494" i="59"/>
  <c r="I494" i="59"/>
  <c r="H494" i="59"/>
  <c r="I493" i="59"/>
  <c r="H493" i="59"/>
  <c r="U492" i="59"/>
  <c r="Q492" i="59"/>
  <c r="L492" i="59"/>
  <c r="H492" i="59"/>
  <c r="U491" i="59"/>
  <c r="Q491" i="59"/>
  <c r="U445" i="59"/>
  <c r="L445" i="59"/>
  <c r="H445" i="59"/>
  <c r="U444" i="59"/>
  <c r="L444" i="59"/>
  <c r="H444" i="59"/>
  <c r="L443" i="59"/>
  <c r="H443" i="59"/>
  <c r="U442" i="59"/>
  <c r="L442" i="59"/>
  <c r="H442" i="59"/>
  <c r="L441" i="59"/>
  <c r="H441" i="59"/>
  <c r="U440" i="59"/>
  <c r="L440" i="59"/>
  <c r="H440" i="59"/>
  <c r="U439" i="59"/>
  <c r="I439" i="59"/>
  <c r="H439" i="59"/>
  <c r="I438" i="59"/>
  <c r="H438" i="59"/>
  <c r="U437" i="59"/>
  <c r="L437" i="59"/>
  <c r="H437" i="59"/>
  <c r="U436" i="59"/>
  <c r="U390" i="59"/>
  <c r="L390" i="59"/>
  <c r="H390" i="59"/>
  <c r="U389" i="59"/>
  <c r="L389" i="59"/>
  <c r="H389" i="59"/>
  <c r="L388" i="59"/>
  <c r="H388" i="59"/>
  <c r="U387" i="59"/>
  <c r="L387" i="59"/>
  <c r="H387" i="59"/>
  <c r="L386" i="59"/>
  <c r="H386" i="59"/>
  <c r="U385" i="59"/>
  <c r="L385" i="59"/>
  <c r="H385" i="59"/>
  <c r="U384" i="59"/>
  <c r="I384" i="59"/>
  <c r="H384" i="59"/>
  <c r="I383" i="59"/>
  <c r="H383" i="59"/>
  <c r="U382" i="59"/>
  <c r="L382" i="59"/>
  <c r="H382" i="59"/>
  <c r="U381" i="59"/>
  <c r="U379" i="59"/>
  <c r="L379" i="59"/>
  <c r="H379" i="59"/>
  <c r="U378" i="59"/>
  <c r="L378" i="59"/>
  <c r="H378" i="59"/>
  <c r="L377" i="59"/>
  <c r="H377" i="59"/>
  <c r="U376" i="59"/>
  <c r="L376" i="59"/>
  <c r="H376" i="59"/>
  <c r="L375" i="59"/>
  <c r="H375" i="59"/>
  <c r="U374" i="59"/>
  <c r="L374" i="59"/>
  <c r="H374" i="59"/>
  <c r="U373" i="59"/>
  <c r="I373" i="59"/>
  <c r="H373" i="59"/>
  <c r="I372" i="59"/>
  <c r="H372" i="59"/>
  <c r="U371" i="59"/>
  <c r="L371" i="59"/>
  <c r="H371" i="59"/>
  <c r="U370" i="59"/>
  <c r="U368" i="59"/>
  <c r="L368" i="59"/>
  <c r="H368" i="59"/>
  <c r="U367" i="59"/>
  <c r="L367" i="59"/>
  <c r="H367" i="59"/>
  <c r="L366" i="59"/>
  <c r="H366" i="59"/>
  <c r="U365" i="59"/>
  <c r="L365" i="59"/>
  <c r="H365" i="59"/>
  <c r="L364" i="59"/>
  <c r="H364" i="59"/>
  <c r="U363" i="59"/>
  <c r="H363" i="59"/>
  <c r="U362" i="59"/>
  <c r="I362" i="59"/>
  <c r="H362" i="59"/>
  <c r="I361" i="59"/>
  <c r="H361" i="59"/>
  <c r="U360" i="59"/>
  <c r="L360" i="59"/>
  <c r="H360" i="59"/>
  <c r="U359" i="59"/>
  <c r="U357" i="59"/>
  <c r="L357" i="59"/>
  <c r="H357" i="59"/>
  <c r="U356" i="59"/>
  <c r="L356" i="59"/>
  <c r="H356" i="59"/>
  <c r="L355" i="59"/>
  <c r="H355" i="59"/>
  <c r="U354" i="59"/>
  <c r="L354" i="59"/>
  <c r="H354" i="59"/>
  <c r="L353" i="59"/>
  <c r="H353" i="59"/>
  <c r="U352" i="59"/>
  <c r="L352" i="59"/>
  <c r="H352" i="59"/>
  <c r="U351" i="59"/>
  <c r="I351" i="59"/>
  <c r="H351" i="59"/>
  <c r="I350" i="59"/>
  <c r="H350" i="59"/>
  <c r="U349" i="59"/>
  <c r="L349" i="59"/>
  <c r="H349" i="59"/>
  <c r="U348" i="59"/>
  <c r="U346" i="59"/>
  <c r="L346" i="59"/>
  <c r="H346" i="59"/>
  <c r="U345" i="59"/>
  <c r="L345" i="59"/>
  <c r="H345" i="59"/>
  <c r="L344" i="59"/>
  <c r="H344" i="59"/>
  <c r="U343" i="59"/>
  <c r="L343" i="59"/>
  <c r="H343" i="59"/>
  <c r="L342" i="59"/>
  <c r="H342" i="59"/>
  <c r="U341" i="59"/>
  <c r="L341" i="59"/>
  <c r="H341" i="59"/>
  <c r="U340" i="59"/>
  <c r="I340" i="59"/>
  <c r="H340" i="59"/>
  <c r="I339" i="59"/>
  <c r="H339" i="59"/>
  <c r="U338" i="59"/>
  <c r="L338" i="59"/>
  <c r="H338" i="59"/>
  <c r="U337" i="59"/>
  <c r="U335" i="59"/>
  <c r="L335" i="59"/>
  <c r="H335" i="59"/>
  <c r="U334" i="59"/>
  <c r="L334" i="59"/>
  <c r="H334" i="59"/>
  <c r="L333" i="59"/>
  <c r="H333" i="59"/>
  <c r="U332" i="59"/>
  <c r="L332" i="59"/>
  <c r="H332" i="59"/>
  <c r="L331" i="59"/>
  <c r="H331" i="59"/>
  <c r="U330" i="59"/>
  <c r="L330" i="59"/>
  <c r="H330" i="59"/>
  <c r="U329" i="59"/>
  <c r="I329" i="59"/>
  <c r="H329" i="59"/>
  <c r="I328" i="59"/>
  <c r="H328" i="59"/>
  <c r="U327" i="59"/>
  <c r="L327" i="59"/>
  <c r="H327" i="59"/>
  <c r="U326" i="59"/>
  <c r="U324" i="59"/>
  <c r="L324" i="59"/>
  <c r="H324" i="59"/>
  <c r="U323" i="59"/>
  <c r="L323" i="59"/>
  <c r="H323" i="59"/>
  <c r="L322" i="59"/>
  <c r="H322" i="59"/>
  <c r="U321" i="59"/>
  <c r="L321" i="59"/>
  <c r="H321" i="59"/>
  <c r="L320" i="59"/>
  <c r="H320" i="59"/>
  <c r="U319" i="59"/>
  <c r="L319" i="59"/>
  <c r="H319" i="59"/>
  <c r="U318" i="59"/>
  <c r="I318" i="59"/>
  <c r="H318" i="59"/>
  <c r="I317" i="59"/>
  <c r="H317" i="59"/>
  <c r="U316" i="59"/>
  <c r="L316" i="59"/>
  <c r="H316" i="59"/>
  <c r="U315" i="59"/>
  <c r="U313" i="59"/>
  <c r="L313" i="59"/>
  <c r="H313" i="59"/>
  <c r="U312" i="59"/>
  <c r="L312" i="59"/>
  <c r="H312" i="59"/>
  <c r="L311" i="59"/>
  <c r="H311" i="59"/>
  <c r="U310" i="59"/>
  <c r="L310" i="59"/>
  <c r="H310" i="59"/>
  <c r="L309" i="59"/>
  <c r="H309" i="59"/>
  <c r="U308" i="59"/>
  <c r="L308" i="59"/>
  <c r="H308" i="59"/>
  <c r="U307" i="59"/>
  <c r="I307" i="59"/>
  <c r="H307" i="59"/>
  <c r="I306" i="59"/>
  <c r="H306" i="59"/>
  <c r="U305" i="59"/>
  <c r="L305" i="59"/>
  <c r="H305" i="59"/>
  <c r="U304" i="59"/>
  <c r="U302" i="59"/>
  <c r="L302" i="59"/>
  <c r="H302" i="59"/>
  <c r="U301" i="59"/>
  <c r="L301" i="59"/>
  <c r="H301" i="59"/>
  <c r="L300" i="59"/>
  <c r="H300" i="59"/>
  <c r="U299" i="59"/>
  <c r="L299" i="59"/>
  <c r="H299" i="59"/>
  <c r="L298" i="59"/>
  <c r="H298" i="59"/>
  <c r="U297" i="59"/>
  <c r="L297" i="59"/>
  <c r="H297" i="59"/>
  <c r="U296" i="59"/>
  <c r="I296" i="59"/>
  <c r="H296" i="59"/>
  <c r="I295" i="59"/>
  <c r="H295" i="59"/>
  <c r="U294" i="59"/>
  <c r="L294" i="59"/>
  <c r="H294" i="59"/>
  <c r="U293" i="59"/>
  <c r="U291" i="59"/>
  <c r="L291" i="59"/>
  <c r="H291" i="59"/>
  <c r="U290" i="59"/>
  <c r="L290" i="59"/>
  <c r="H290" i="59"/>
  <c r="L289" i="59"/>
  <c r="H289" i="59"/>
  <c r="U288" i="59"/>
  <c r="L288" i="59"/>
  <c r="H288" i="59"/>
  <c r="L287" i="59"/>
  <c r="H287" i="59"/>
  <c r="U286" i="59"/>
  <c r="L286" i="59"/>
  <c r="H286" i="59"/>
  <c r="U285" i="59"/>
  <c r="I285" i="59"/>
  <c r="H285" i="59"/>
  <c r="I284" i="59"/>
  <c r="H284" i="59"/>
  <c r="U283" i="59"/>
  <c r="L283" i="59"/>
  <c r="H283" i="59"/>
  <c r="U282" i="59"/>
  <c r="U280" i="59"/>
  <c r="L280" i="59"/>
  <c r="H280" i="59"/>
  <c r="U279" i="59"/>
  <c r="L279" i="59"/>
  <c r="H279" i="59"/>
  <c r="L278" i="59"/>
  <c r="H278" i="59"/>
  <c r="U277" i="59"/>
  <c r="L277" i="59"/>
  <c r="H277" i="59"/>
  <c r="L276" i="59"/>
  <c r="H276" i="59"/>
  <c r="U275" i="59"/>
  <c r="L275" i="59"/>
  <c r="H275" i="59"/>
  <c r="U274" i="59"/>
  <c r="I274" i="59"/>
  <c r="H274" i="59"/>
  <c r="I273" i="59"/>
  <c r="H273" i="59"/>
  <c r="U272" i="59"/>
  <c r="L272" i="59"/>
  <c r="H272" i="59"/>
  <c r="U271" i="59"/>
  <c r="U423" i="57"/>
  <c r="Q423" i="57"/>
  <c r="U422" i="57"/>
  <c r="Q422" i="57"/>
  <c r="U420" i="57"/>
  <c r="Q420" i="57"/>
  <c r="U418" i="57"/>
  <c r="Q418" i="57"/>
  <c r="U417" i="57"/>
  <c r="Q417" i="57"/>
  <c r="I417" i="57"/>
  <c r="I416" i="57"/>
  <c r="U415" i="57"/>
  <c r="Q415" i="57"/>
  <c r="U414" i="57"/>
  <c r="Q414" i="57"/>
  <c r="U412" i="57"/>
  <c r="Q412" i="57"/>
  <c r="U411" i="57"/>
  <c r="Q411" i="57"/>
  <c r="U409" i="57"/>
  <c r="Q409" i="57"/>
  <c r="U407" i="57"/>
  <c r="Q407" i="57"/>
  <c r="U406" i="57"/>
  <c r="Q406" i="57"/>
  <c r="I406" i="57"/>
  <c r="I405" i="57"/>
  <c r="U404" i="57"/>
  <c r="Q404" i="57"/>
  <c r="U403" i="57"/>
  <c r="Q403" i="57"/>
  <c r="U401" i="57"/>
  <c r="Q401" i="57"/>
  <c r="U400" i="57"/>
  <c r="Q400" i="57"/>
  <c r="U398" i="57"/>
  <c r="Q398" i="57"/>
  <c r="U396" i="57"/>
  <c r="Q396" i="57"/>
  <c r="U395" i="57"/>
  <c r="Q395" i="57"/>
  <c r="I395" i="57"/>
  <c r="I394" i="57"/>
  <c r="U393" i="57"/>
  <c r="Q393" i="57"/>
  <c r="U392" i="57"/>
  <c r="Q392" i="57"/>
  <c r="U390" i="57"/>
  <c r="Q390" i="57"/>
  <c r="U389" i="57"/>
  <c r="Q389" i="57"/>
  <c r="U387" i="57"/>
  <c r="Q387" i="57"/>
  <c r="U385" i="57"/>
  <c r="Q385" i="57"/>
  <c r="U384" i="57"/>
  <c r="Q384" i="57"/>
  <c r="I384" i="57"/>
  <c r="I383" i="57"/>
  <c r="U382" i="57"/>
  <c r="Q382" i="57"/>
  <c r="U381" i="57"/>
  <c r="Q381" i="57"/>
  <c r="U379" i="57"/>
  <c r="Q379" i="57"/>
  <c r="U378" i="57"/>
  <c r="Q378" i="57"/>
  <c r="U376" i="57"/>
  <c r="Q376" i="57"/>
  <c r="U374" i="57"/>
  <c r="Q374" i="57"/>
  <c r="U373" i="57"/>
  <c r="Q373" i="57"/>
  <c r="I373" i="57"/>
  <c r="I372" i="57"/>
  <c r="U371" i="57"/>
  <c r="Q371" i="57"/>
  <c r="U370" i="57"/>
  <c r="Q370" i="57"/>
  <c r="U368" i="57"/>
  <c r="Q368" i="57"/>
  <c r="U367" i="57"/>
  <c r="Q367" i="57"/>
  <c r="U365" i="57"/>
  <c r="Q365" i="57"/>
  <c r="U363" i="57"/>
  <c r="Q363" i="57"/>
  <c r="U362" i="57"/>
  <c r="Q362" i="57"/>
  <c r="I362" i="57"/>
  <c r="I361" i="57"/>
  <c r="U360" i="57"/>
  <c r="Q360" i="57"/>
  <c r="U359" i="57"/>
  <c r="Q359" i="57"/>
  <c r="U357" i="57"/>
  <c r="Q357" i="57"/>
  <c r="U356" i="57"/>
  <c r="Q356" i="57"/>
  <c r="U354" i="57"/>
  <c r="Q354" i="57"/>
  <c r="U352" i="57"/>
  <c r="Q352" i="57"/>
  <c r="U351" i="57"/>
  <c r="Q351" i="57"/>
  <c r="I351" i="57"/>
  <c r="I350" i="57"/>
  <c r="U349" i="57"/>
  <c r="Q349" i="57"/>
  <c r="U348" i="57"/>
  <c r="Q348" i="57"/>
  <c r="U346" i="57"/>
  <c r="Q346" i="57"/>
  <c r="U345" i="57"/>
  <c r="Q345" i="57"/>
  <c r="U343" i="57"/>
  <c r="Q343" i="57"/>
  <c r="U341" i="57"/>
  <c r="Q341" i="57"/>
  <c r="U340" i="57"/>
  <c r="Q340" i="57"/>
  <c r="I340" i="57"/>
  <c r="I339" i="57"/>
  <c r="U338" i="57"/>
  <c r="Q338" i="57"/>
  <c r="U337" i="57"/>
  <c r="Q337" i="57"/>
  <c r="U335" i="57"/>
  <c r="Q335" i="57"/>
  <c r="U334" i="57"/>
  <c r="Q334" i="57"/>
  <c r="U332" i="57"/>
  <c r="Q332" i="57"/>
  <c r="U330" i="57"/>
  <c r="Q330" i="57"/>
  <c r="U329" i="57"/>
  <c r="Q329" i="57"/>
  <c r="I329" i="57"/>
  <c r="I328" i="57"/>
  <c r="U327" i="57"/>
  <c r="Q327" i="57"/>
  <c r="U326" i="57"/>
  <c r="Q326" i="57"/>
  <c r="U324" i="57"/>
  <c r="Q324" i="57"/>
  <c r="U323" i="57"/>
  <c r="Q323" i="57"/>
  <c r="U321" i="57"/>
  <c r="Q321" i="57"/>
  <c r="U319" i="57"/>
  <c r="Q319" i="57"/>
  <c r="U318" i="57"/>
  <c r="Q318" i="57"/>
  <c r="I318" i="57"/>
  <c r="I317" i="57"/>
  <c r="U316" i="57"/>
  <c r="Q316" i="57"/>
  <c r="U315" i="57"/>
  <c r="Q315" i="57"/>
  <c r="U313" i="57"/>
  <c r="Q313" i="57"/>
  <c r="U312" i="57"/>
  <c r="Q312" i="57"/>
  <c r="U310" i="57"/>
  <c r="Q310" i="57"/>
  <c r="U308" i="57"/>
  <c r="Q308" i="57"/>
  <c r="U307" i="57"/>
  <c r="Q307" i="57"/>
  <c r="I307" i="57"/>
  <c r="I306" i="57"/>
  <c r="U305" i="57"/>
  <c r="Q305" i="57"/>
  <c r="U304" i="57"/>
  <c r="Q304" i="57"/>
  <c r="U302" i="57"/>
  <c r="Q302" i="57"/>
  <c r="U301" i="57"/>
  <c r="Q301" i="57"/>
  <c r="U299" i="57"/>
  <c r="Q299" i="57"/>
  <c r="U297" i="57"/>
  <c r="Q297" i="57"/>
  <c r="U296" i="57"/>
  <c r="Q296" i="57"/>
  <c r="I296" i="57"/>
  <c r="I295" i="57"/>
  <c r="U294" i="57"/>
  <c r="Q294" i="57"/>
  <c r="U293" i="57"/>
  <c r="Q293" i="57"/>
  <c r="U291" i="57"/>
  <c r="Q291" i="57"/>
  <c r="U290" i="57"/>
  <c r="Q290" i="57"/>
  <c r="U288" i="57"/>
  <c r="Q288" i="57"/>
  <c r="U286" i="57"/>
  <c r="Q286" i="57"/>
  <c r="U285" i="57"/>
  <c r="Q285" i="57"/>
  <c r="I285" i="57"/>
  <c r="I284" i="57"/>
  <c r="U283" i="57"/>
  <c r="Q283" i="57"/>
  <c r="U282" i="57"/>
  <c r="Q282" i="57"/>
  <c r="U280" i="57"/>
  <c r="Q280" i="57"/>
  <c r="U279" i="57"/>
  <c r="Q279" i="57"/>
  <c r="U277" i="57"/>
  <c r="Q277" i="57"/>
  <c r="U275" i="57"/>
  <c r="Q275" i="57"/>
  <c r="U274" i="57"/>
  <c r="Q274" i="57"/>
  <c r="I274" i="57"/>
  <c r="I273" i="57"/>
  <c r="U272" i="57"/>
  <c r="Q272" i="57"/>
  <c r="U271" i="57"/>
  <c r="Q271" i="57"/>
  <c r="AS3" i="10"/>
  <c r="AS4" i="10"/>
  <c r="N54" i="10" s="1"/>
  <c r="AS5" i="10"/>
  <c r="AS6" i="10"/>
  <c r="AS7" i="10"/>
  <c r="AS8" i="10"/>
  <c r="AS2" i="10"/>
  <c r="N52" i="10" l="1"/>
  <c r="B462" i="59"/>
  <c r="B473" i="59"/>
  <c r="B484" i="59"/>
  <c r="B495" i="59"/>
  <c r="B429" i="59"/>
  <c r="B440" i="59"/>
  <c r="B451" i="59"/>
  <c r="B418" i="60" l="1"/>
  <c r="K416" i="60" s="1"/>
  <c r="L416" i="60" s="1"/>
  <c r="B418" i="59"/>
  <c r="B396" i="60"/>
  <c r="S401" i="60" s="1"/>
  <c r="T401" i="60" s="1"/>
  <c r="B396" i="59"/>
  <c r="B374" i="60"/>
  <c r="W378" i="60" s="1"/>
  <c r="X378" i="60" s="1"/>
  <c r="B374" i="59"/>
  <c r="B352" i="60"/>
  <c r="W357" i="60" s="1"/>
  <c r="X357" i="60" s="1"/>
  <c r="B352" i="59"/>
  <c r="B506" i="57"/>
  <c r="W504" i="57" s="1"/>
  <c r="B506" i="59"/>
  <c r="B407" i="60"/>
  <c r="S408" i="60" s="1"/>
  <c r="B407" i="59"/>
  <c r="B385" i="60"/>
  <c r="W389" i="60" s="1"/>
  <c r="X389" i="60" s="1"/>
  <c r="B385" i="59"/>
  <c r="B363" i="60"/>
  <c r="W367" i="60" s="1"/>
  <c r="X367" i="60" s="1"/>
  <c r="B363" i="59"/>
  <c r="B517" i="57"/>
  <c r="W514" i="57" s="1"/>
  <c r="X514" i="57" s="1"/>
  <c r="W467" i="59"/>
  <c r="X467" i="59" s="1"/>
  <c r="S461" i="59"/>
  <c r="T461" i="59" s="1"/>
  <c r="S459" i="59"/>
  <c r="T459" i="59" s="1"/>
  <c r="W458" i="59"/>
  <c r="X458" i="59" s="1"/>
  <c r="O458" i="59"/>
  <c r="P458" i="59" s="1"/>
  <c r="S458" i="59"/>
  <c r="T458" i="59" s="1"/>
  <c r="K461" i="59"/>
  <c r="L461" i="59" s="1"/>
  <c r="W461" i="59"/>
  <c r="X461" i="59" s="1"/>
  <c r="W459" i="59"/>
  <c r="X459" i="59" s="1"/>
  <c r="S457" i="59"/>
  <c r="W464" i="59"/>
  <c r="X464" i="59" s="1"/>
  <c r="W462" i="59"/>
  <c r="X462" i="59" s="1"/>
  <c r="O457" i="59"/>
  <c r="P457" i="59" s="1"/>
  <c r="W460" i="59"/>
  <c r="S467" i="59"/>
  <c r="T467" i="59" s="1"/>
  <c r="W465" i="59"/>
  <c r="K457" i="59"/>
  <c r="W466" i="59"/>
  <c r="X466" i="59" s="1"/>
  <c r="W457" i="59"/>
  <c r="S464" i="59"/>
  <c r="T464" i="59" s="1"/>
  <c r="G457" i="59"/>
  <c r="K460" i="59"/>
  <c r="L460" i="59" s="1"/>
  <c r="S466" i="59"/>
  <c r="T466" i="59" s="1"/>
  <c r="G458" i="59"/>
  <c r="K458" i="59"/>
  <c r="S460" i="59"/>
  <c r="S463" i="59"/>
  <c r="W463" i="59"/>
  <c r="S465" i="59"/>
  <c r="S462" i="59"/>
  <c r="T462" i="59" s="1"/>
  <c r="W483" i="59"/>
  <c r="X483" i="59" s="1"/>
  <c r="K483" i="59"/>
  <c r="L483" i="59" s="1"/>
  <c r="S482" i="59"/>
  <c r="W481" i="59"/>
  <c r="X481" i="59" s="1"/>
  <c r="S480" i="59"/>
  <c r="T480" i="59" s="1"/>
  <c r="G480" i="59"/>
  <c r="K479" i="59"/>
  <c r="W489" i="59"/>
  <c r="X489" i="59" s="1"/>
  <c r="K482" i="59"/>
  <c r="L482" i="59" s="1"/>
  <c r="W479" i="59"/>
  <c r="G479" i="59"/>
  <c r="W488" i="59"/>
  <c r="X488" i="59" s="1"/>
  <c r="W486" i="59"/>
  <c r="X486" i="59" s="1"/>
  <c r="W484" i="59"/>
  <c r="X484" i="59" s="1"/>
  <c r="W485" i="59"/>
  <c r="O480" i="59"/>
  <c r="P480" i="59" s="1"/>
  <c r="W487" i="59"/>
  <c r="S483" i="59"/>
  <c r="T483" i="59" s="1"/>
  <c r="W482" i="59"/>
  <c r="S481" i="59"/>
  <c r="T481" i="59" s="1"/>
  <c r="W480" i="59"/>
  <c r="X480" i="59" s="1"/>
  <c r="K480" i="59"/>
  <c r="S479" i="59"/>
  <c r="S489" i="59"/>
  <c r="T489" i="59" s="1"/>
  <c r="O479" i="59"/>
  <c r="P479" i="59" s="1"/>
  <c r="S486" i="59"/>
  <c r="T486" i="59" s="1"/>
  <c r="S485" i="59"/>
  <c r="S487" i="59"/>
  <c r="S488" i="59"/>
  <c r="T488" i="59" s="1"/>
  <c r="S484" i="59"/>
  <c r="T484" i="59" s="1"/>
  <c r="W478" i="59"/>
  <c r="X478" i="59" s="1"/>
  <c r="S472" i="59"/>
  <c r="T472" i="59" s="1"/>
  <c r="S470" i="59"/>
  <c r="T470" i="59" s="1"/>
  <c r="W469" i="59"/>
  <c r="X469" i="59" s="1"/>
  <c r="O469" i="59"/>
  <c r="P469" i="59" s="1"/>
  <c r="W475" i="59"/>
  <c r="X475" i="59" s="1"/>
  <c r="S469" i="59"/>
  <c r="T469" i="59" s="1"/>
  <c r="K472" i="59"/>
  <c r="L472" i="59" s="1"/>
  <c r="W472" i="59"/>
  <c r="X472" i="59" s="1"/>
  <c r="W470" i="59"/>
  <c r="X470" i="59" s="1"/>
  <c r="S468" i="59"/>
  <c r="K468" i="59"/>
  <c r="W477" i="59"/>
  <c r="X477" i="59" s="1"/>
  <c r="O468" i="59"/>
  <c r="P468" i="59" s="1"/>
  <c r="W471" i="59"/>
  <c r="S478" i="59"/>
  <c r="T478" i="59" s="1"/>
  <c r="W476" i="59"/>
  <c r="G469" i="59"/>
  <c r="W468" i="59"/>
  <c r="S475" i="59"/>
  <c r="T475" i="59" s="1"/>
  <c r="W473" i="59"/>
  <c r="X473" i="59" s="1"/>
  <c r="G468" i="59"/>
  <c r="K471" i="59"/>
  <c r="L471" i="59" s="1"/>
  <c r="S474" i="59"/>
  <c r="K469" i="59"/>
  <c r="S476" i="59"/>
  <c r="S477" i="59"/>
  <c r="T477" i="59" s="1"/>
  <c r="S471" i="59"/>
  <c r="W474" i="59"/>
  <c r="S473" i="59"/>
  <c r="T473" i="59" s="1"/>
  <c r="B440" i="57"/>
  <c r="O436" i="57" s="1"/>
  <c r="P436" i="57" s="1"/>
  <c r="B440" i="60"/>
  <c r="B528" i="57"/>
  <c r="B484" i="57"/>
  <c r="O480" i="57" s="1"/>
  <c r="P480" i="57" s="1"/>
  <c r="B462" i="57"/>
  <c r="O458" i="57" s="1"/>
  <c r="P458" i="57" s="1"/>
  <c r="B462" i="60"/>
  <c r="B451" i="57"/>
  <c r="B451" i="60"/>
  <c r="B539" i="57"/>
  <c r="B495" i="57"/>
  <c r="S500" i="57" s="1"/>
  <c r="B473" i="57"/>
  <c r="S478" i="57" s="1"/>
  <c r="B473" i="60"/>
  <c r="G886" i="57"/>
  <c r="K886" i="57"/>
  <c r="O886" i="57"/>
  <c r="P886" i="57" s="1"/>
  <c r="S886" i="57"/>
  <c r="W886" i="57"/>
  <c r="K505" i="57"/>
  <c r="O502" i="57"/>
  <c r="P502" i="57" s="1"/>
  <c r="B429" i="60"/>
  <c r="W427" i="60" s="1"/>
  <c r="B429" i="57"/>
  <c r="W416" i="60"/>
  <c r="S416" i="60"/>
  <c r="G414" i="60"/>
  <c r="W413" i="60"/>
  <c r="S419" i="60"/>
  <c r="W415" i="60"/>
  <c r="X415" i="60" s="1"/>
  <c r="S414" i="60"/>
  <c r="T414" i="60" s="1"/>
  <c r="O414" i="60"/>
  <c r="P414" i="60" s="1"/>
  <c r="S423" i="60"/>
  <c r="T423" i="60" s="1"/>
  <c r="W422" i="60"/>
  <c r="X422" i="60" s="1"/>
  <c r="W418" i="60"/>
  <c r="X418" i="60" s="1"/>
  <c r="S418" i="60"/>
  <c r="T418" i="60" s="1"/>
  <c r="K417" i="60"/>
  <c r="L417" i="60" s="1"/>
  <c r="W420" i="60"/>
  <c r="X420" i="60" s="1"/>
  <c r="S400" i="60"/>
  <c r="T400" i="60" s="1"/>
  <c r="S396" i="60"/>
  <c r="T396" i="60" s="1"/>
  <c r="G392" i="60"/>
  <c r="W379" i="60"/>
  <c r="X379" i="60" s="1"/>
  <c r="S379" i="60"/>
  <c r="T379" i="60" s="1"/>
  <c r="S378" i="60"/>
  <c r="T378" i="60" s="1"/>
  <c r="S377" i="60"/>
  <c r="W376" i="60"/>
  <c r="X376" i="60" s="1"/>
  <c r="W375" i="60"/>
  <c r="S375" i="60"/>
  <c r="W374" i="60"/>
  <c r="X374" i="60" s="1"/>
  <c r="W373" i="60"/>
  <c r="X373" i="60" s="1"/>
  <c r="S373" i="60"/>
  <c r="T373" i="60" s="1"/>
  <c r="K373" i="60"/>
  <c r="L373" i="60" s="1"/>
  <c r="S371" i="60"/>
  <c r="T371" i="60" s="1"/>
  <c r="W370" i="60"/>
  <c r="X370" i="60" s="1"/>
  <c r="O370" i="60"/>
  <c r="P370" i="60" s="1"/>
  <c r="G369" i="60"/>
  <c r="S372" i="60"/>
  <c r="K370" i="60"/>
  <c r="O369" i="60"/>
  <c r="P369" i="60" s="1"/>
  <c r="W372" i="60"/>
  <c r="G370" i="60"/>
  <c r="S357" i="60"/>
  <c r="T357" i="60" s="1"/>
  <c r="S356" i="60"/>
  <c r="T356" i="60" s="1"/>
  <c r="W354" i="60"/>
  <c r="X354" i="60" s="1"/>
  <c r="S353" i="60"/>
  <c r="S352" i="60"/>
  <c r="T352" i="60" s="1"/>
  <c r="K351" i="60"/>
  <c r="L351" i="60" s="1"/>
  <c r="S349" i="60"/>
  <c r="T349" i="60" s="1"/>
  <c r="S348" i="60"/>
  <c r="T348" i="60" s="1"/>
  <c r="W350" i="60"/>
  <c r="O347" i="60"/>
  <c r="P347" i="60" s="1"/>
  <c r="G348" i="60"/>
  <c r="B418" i="57"/>
  <c r="S416" i="57" s="1"/>
  <c r="B396" i="57"/>
  <c r="S394" i="57" s="1"/>
  <c r="B374" i="57"/>
  <c r="S372" i="57" s="1"/>
  <c r="B352" i="57"/>
  <c r="W353" i="57" s="1"/>
  <c r="B407" i="57"/>
  <c r="S412" i="57" s="1"/>
  <c r="B385" i="57"/>
  <c r="S390" i="57" s="1"/>
  <c r="B363" i="57"/>
  <c r="S368" i="57" s="1"/>
  <c r="B253" i="59"/>
  <c r="O392" i="60" l="1"/>
  <c r="P392" i="60" s="1"/>
  <c r="W405" i="60"/>
  <c r="S511" i="57"/>
  <c r="T511" i="57" s="1"/>
  <c r="W358" i="60"/>
  <c r="S388" i="60"/>
  <c r="W366" i="60"/>
  <c r="S407" i="60"/>
  <c r="T407" i="60" s="1"/>
  <c r="K348" i="60"/>
  <c r="W348" i="60"/>
  <c r="X348" i="60" s="1"/>
  <c r="S351" i="60"/>
  <c r="T351" i="60" s="1"/>
  <c r="S354" i="60"/>
  <c r="T354" i="60" s="1"/>
  <c r="W356" i="60"/>
  <c r="X356" i="60" s="1"/>
  <c r="W391" i="60"/>
  <c r="S393" i="60"/>
  <c r="T393" i="60" s="1"/>
  <c r="W397" i="60"/>
  <c r="W401" i="60"/>
  <c r="X401" i="60" s="1"/>
  <c r="K358" i="60"/>
  <c r="S367" i="60"/>
  <c r="T367" i="60" s="1"/>
  <c r="S411" i="60"/>
  <c r="T411" i="60" s="1"/>
  <c r="K392" i="60"/>
  <c r="W393" i="60"/>
  <c r="X393" i="60" s="1"/>
  <c r="S398" i="60"/>
  <c r="T398" i="60" s="1"/>
  <c r="S362" i="60"/>
  <c r="T362" i="60" s="1"/>
  <c r="W412" i="60"/>
  <c r="X412" i="60" s="1"/>
  <c r="K350" i="60"/>
  <c r="L350" i="60" s="1"/>
  <c r="G347" i="60"/>
  <c r="S350" i="60"/>
  <c r="W352" i="60"/>
  <c r="X352" i="60" s="1"/>
  <c r="S355" i="60"/>
  <c r="K394" i="60"/>
  <c r="L394" i="60" s="1"/>
  <c r="K391" i="60"/>
  <c r="W395" i="60"/>
  <c r="X395" i="60" s="1"/>
  <c r="W399" i="60"/>
  <c r="W362" i="60"/>
  <c r="X362" i="60" s="1"/>
  <c r="G403" i="60"/>
  <c r="S405" i="60"/>
  <c r="S522" i="57"/>
  <c r="T522" i="57" s="1"/>
  <c r="W501" i="57"/>
  <c r="K504" i="57"/>
  <c r="L504" i="57" s="1"/>
  <c r="S502" i="57"/>
  <c r="T502" i="57" s="1"/>
  <c r="S509" i="57"/>
  <c r="W505" i="57"/>
  <c r="X505" i="57" s="1"/>
  <c r="S508" i="57"/>
  <c r="T508" i="57" s="1"/>
  <c r="K501" i="57"/>
  <c r="S383" i="60"/>
  <c r="W503" i="57"/>
  <c r="X503" i="57" s="1"/>
  <c r="O501" i="57"/>
  <c r="P501" i="57" s="1"/>
  <c r="G502" i="57"/>
  <c r="W394" i="60"/>
  <c r="S394" i="60"/>
  <c r="S392" i="60"/>
  <c r="T392" i="60" s="1"/>
  <c r="K395" i="60"/>
  <c r="L395" i="60" s="1"/>
  <c r="W396" i="60"/>
  <c r="X396" i="60" s="1"/>
  <c r="W398" i="60"/>
  <c r="X398" i="60" s="1"/>
  <c r="W400" i="60"/>
  <c r="X400" i="60" s="1"/>
  <c r="O359" i="60"/>
  <c r="P359" i="60" s="1"/>
  <c r="S364" i="60"/>
  <c r="W407" i="60"/>
  <c r="X407" i="60" s="1"/>
  <c r="W408" i="60"/>
  <c r="W347" i="60"/>
  <c r="O348" i="60"/>
  <c r="P348" i="60" s="1"/>
  <c r="W349" i="60"/>
  <c r="X349" i="60" s="1"/>
  <c r="W351" i="60"/>
  <c r="X351" i="60" s="1"/>
  <c r="W353" i="60"/>
  <c r="W355" i="60"/>
  <c r="O391" i="60"/>
  <c r="P391" i="60" s="1"/>
  <c r="G391" i="60"/>
  <c r="W392" i="60"/>
  <c r="X392" i="60" s="1"/>
  <c r="S395" i="60"/>
  <c r="T395" i="60" s="1"/>
  <c r="S397" i="60"/>
  <c r="S399" i="60"/>
  <c r="O358" i="60"/>
  <c r="P358" i="60" s="1"/>
  <c r="W359" i="60"/>
  <c r="X359" i="60" s="1"/>
  <c r="S365" i="60"/>
  <c r="T365" i="60" s="1"/>
  <c r="W403" i="60"/>
  <c r="X403" i="60" s="1"/>
  <c r="S410" i="60"/>
  <c r="K359" i="60"/>
  <c r="W360" i="60"/>
  <c r="X360" i="60" s="1"/>
  <c r="W364" i="60"/>
  <c r="S368" i="60"/>
  <c r="T368" i="60" s="1"/>
  <c r="W406" i="60"/>
  <c r="X406" i="60" s="1"/>
  <c r="S404" i="60"/>
  <c r="T404" i="60" s="1"/>
  <c r="W409" i="60"/>
  <c r="X409" i="60" s="1"/>
  <c r="G359" i="60"/>
  <c r="G358" i="60"/>
  <c r="S360" i="60"/>
  <c r="T360" i="60" s="1"/>
  <c r="S363" i="60"/>
  <c r="T363" i="60" s="1"/>
  <c r="S366" i="60"/>
  <c r="W368" i="60"/>
  <c r="X368" i="60" s="1"/>
  <c r="K406" i="60"/>
  <c r="L406" i="60" s="1"/>
  <c r="S403" i="60"/>
  <c r="T403" i="60" s="1"/>
  <c r="W411" i="60"/>
  <c r="X411" i="60" s="1"/>
  <c r="K402" i="60"/>
  <c r="W361" i="60"/>
  <c r="S361" i="60"/>
  <c r="S359" i="60"/>
  <c r="T359" i="60" s="1"/>
  <c r="K362" i="60"/>
  <c r="L362" i="60" s="1"/>
  <c r="W363" i="60"/>
  <c r="X363" i="60" s="1"/>
  <c r="W365" i="60"/>
  <c r="X365" i="60" s="1"/>
  <c r="S384" i="60"/>
  <c r="T384" i="60" s="1"/>
  <c r="S406" i="60"/>
  <c r="T406" i="60" s="1"/>
  <c r="O403" i="60"/>
  <c r="P403" i="60" s="1"/>
  <c r="W404" i="60"/>
  <c r="X404" i="60" s="1"/>
  <c r="O402" i="60"/>
  <c r="P402" i="60" s="1"/>
  <c r="K403" i="60"/>
  <c r="S412" i="60"/>
  <c r="T412" i="60" s="1"/>
  <c r="S409" i="60"/>
  <c r="T409" i="60" s="1"/>
  <c r="K405" i="60"/>
  <c r="L405" i="60" s="1"/>
  <c r="G402" i="60"/>
  <c r="T368" i="57"/>
  <c r="T412" i="57"/>
  <c r="T390" i="57"/>
  <c r="T478" i="57"/>
  <c r="L505" i="57"/>
  <c r="T500" i="57"/>
  <c r="K483" i="57"/>
  <c r="O380" i="60"/>
  <c r="P380" i="60" s="1"/>
  <c r="S382" i="60"/>
  <c r="T382" i="60" s="1"/>
  <c r="W386" i="60"/>
  <c r="W390" i="60"/>
  <c r="X390" i="60" s="1"/>
  <c r="W520" i="57"/>
  <c r="K380" i="60"/>
  <c r="W384" i="60"/>
  <c r="X384" i="60" s="1"/>
  <c r="W388" i="60"/>
  <c r="S521" i="57"/>
  <c r="K383" i="60"/>
  <c r="L383" i="60" s="1"/>
  <c r="W381" i="60"/>
  <c r="X381" i="60" s="1"/>
  <c r="S386" i="60"/>
  <c r="S390" i="60"/>
  <c r="T390" i="60" s="1"/>
  <c r="O512" i="57"/>
  <c r="P512" i="57" s="1"/>
  <c r="K512" i="57"/>
  <c r="W517" i="57"/>
  <c r="X517" i="57" s="1"/>
  <c r="O513" i="57"/>
  <c r="P513" i="57" s="1"/>
  <c r="S514" i="57"/>
  <c r="W512" i="57"/>
  <c r="G513" i="57"/>
  <c r="S518" i="57"/>
  <c r="S519" i="57"/>
  <c r="G512" i="57"/>
  <c r="K372" i="60"/>
  <c r="L372" i="60" s="1"/>
  <c r="W369" i="60"/>
  <c r="K369" i="60"/>
  <c r="W371" i="60"/>
  <c r="X371" i="60" s="1"/>
  <c r="S374" i="60"/>
  <c r="T374" i="60" s="1"/>
  <c r="S376" i="60"/>
  <c r="T376" i="60" s="1"/>
  <c r="W419" i="60"/>
  <c r="S417" i="60"/>
  <c r="T417" i="60" s="1"/>
  <c r="W421" i="60"/>
  <c r="W423" i="60"/>
  <c r="X423" i="60" s="1"/>
  <c r="W414" i="60"/>
  <c r="X414" i="60" s="1"/>
  <c r="S421" i="60"/>
  <c r="K414" i="60"/>
  <c r="G381" i="60"/>
  <c r="W380" i="60"/>
  <c r="O381" i="60"/>
  <c r="P381" i="60" s="1"/>
  <c r="W382" i="60"/>
  <c r="X382" i="60" s="1"/>
  <c r="S385" i="60"/>
  <c r="T385" i="60" s="1"/>
  <c r="S387" i="60"/>
  <c r="T387" i="60" s="1"/>
  <c r="S389" i="60"/>
  <c r="T389" i="60" s="1"/>
  <c r="S517" i="57"/>
  <c r="W518" i="57"/>
  <c r="W522" i="57"/>
  <c r="X522" i="57" s="1"/>
  <c r="S515" i="57"/>
  <c r="K515" i="57"/>
  <c r="K516" i="57"/>
  <c r="S512" i="57"/>
  <c r="W507" i="57"/>
  <c r="S507" i="57"/>
  <c r="W508" i="57"/>
  <c r="X508" i="57" s="1"/>
  <c r="W510" i="57"/>
  <c r="X510" i="57" s="1"/>
  <c r="S504" i="57"/>
  <c r="S506" i="57"/>
  <c r="W502" i="57"/>
  <c r="X502" i="57" s="1"/>
  <c r="S420" i="60"/>
  <c r="T420" i="60" s="1"/>
  <c r="W417" i="60"/>
  <c r="X417" i="60" s="1"/>
  <c r="S422" i="60"/>
  <c r="T422" i="60" s="1"/>
  <c r="G413" i="60"/>
  <c r="S415" i="60"/>
  <c r="T415" i="60" s="1"/>
  <c r="O413" i="60"/>
  <c r="P413" i="60" s="1"/>
  <c r="W383" i="60"/>
  <c r="K381" i="60"/>
  <c r="S381" i="60"/>
  <c r="T381" i="60" s="1"/>
  <c r="K384" i="60"/>
  <c r="L384" i="60" s="1"/>
  <c r="W385" i="60"/>
  <c r="X385" i="60" s="1"/>
  <c r="W387" i="60"/>
  <c r="X387" i="60" s="1"/>
  <c r="S520" i="57"/>
  <c r="W519" i="57"/>
  <c r="X519" i="57" s="1"/>
  <c r="W516" i="57"/>
  <c r="X516" i="57" s="1"/>
  <c r="S516" i="57"/>
  <c r="T516" i="57" s="1"/>
  <c r="W515" i="57"/>
  <c r="W521" i="57"/>
  <c r="X521" i="57" s="1"/>
  <c r="W513" i="57"/>
  <c r="X513" i="57" s="1"/>
  <c r="S510" i="57"/>
  <c r="S505" i="57"/>
  <c r="T505" i="57" s="1"/>
  <c r="S503" i="57"/>
  <c r="W511" i="57"/>
  <c r="X511" i="57" s="1"/>
  <c r="W506" i="57"/>
  <c r="X506" i="57" s="1"/>
  <c r="W509" i="57"/>
  <c r="W460" i="57"/>
  <c r="S444" i="57"/>
  <c r="S258" i="59"/>
  <c r="T258" i="59" s="1"/>
  <c r="S253" i="59"/>
  <c r="T253" i="59" s="1"/>
  <c r="S254" i="59"/>
  <c r="S255" i="59"/>
  <c r="T255" i="59" s="1"/>
  <c r="S256" i="59"/>
  <c r="S257" i="59"/>
  <c r="T257" i="59" s="1"/>
  <c r="W252" i="59"/>
  <c r="X252" i="59" s="1"/>
  <c r="W251" i="59"/>
  <c r="W250" i="59"/>
  <c r="X250" i="59" s="1"/>
  <c r="O249" i="59"/>
  <c r="P249" i="59" s="1"/>
  <c r="W248" i="59"/>
  <c r="K248" i="59"/>
  <c r="W257" i="59"/>
  <c r="X257" i="59" s="1"/>
  <c r="W255" i="59"/>
  <c r="X255" i="59" s="1"/>
  <c r="W253" i="59"/>
  <c r="X253" i="59" s="1"/>
  <c r="S251" i="59"/>
  <c r="S249" i="59"/>
  <c r="T249" i="59" s="1"/>
  <c r="G248" i="59"/>
  <c r="K252" i="59"/>
  <c r="L252" i="59" s="1"/>
  <c r="K251" i="59"/>
  <c r="L251" i="59" s="1"/>
  <c r="W249" i="59"/>
  <c r="X249" i="59" s="1"/>
  <c r="K249" i="59"/>
  <c r="O248" i="59"/>
  <c r="P248" i="59" s="1"/>
  <c r="W258" i="59"/>
  <c r="X258" i="59" s="1"/>
  <c r="W256" i="59"/>
  <c r="W254" i="59"/>
  <c r="S252" i="59"/>
  <c r="T252" i="59" s="1"/>
  <c r="S250" i="59"/>
  <c r="T250" i="59" s="1"/>
  <c r="G249" i="59"/>
  <c r="S248" i="59"/>
  <c r="S452" i="57"/>
  <c r="O446" i="57"/>
  <c r="P446" i="57" s="1"/>
  <c r="S487" i="57"/>
  <c r="W447" i="57"/>
  <c r="X447" i="57" s="1"/>
  <c r="W485" i="57"/>
  <c r="W453" i="57"/>
  <c r="X453" i="57" s="1"/>
  <c r="W489" i="57"/>
  <c r="X489" i="57" s="1"/>
  <c r="W449" i="57"/>
  <c r="W451" i="57"/>
  <c r="X451" i="57" s="1"/>
  <c r="S489" i="57"/>
  <c r="S453" i="57"/>
  <c r="W456" i="57"/>
  <c r="X456" i="57" s="1"/>
  <c r="S481" i="57"/>
  <c r="O479" i="57"/>
  <c r="P479" i="57" s="1"/>
  <c r="K479" i="57"/>
  <c r="W454" i="57"/>
  <c r="S449" i="57"/>
  <c r="S450" i="57"/>
  <c r="T450" i="57" s="1"/>
  <c r="S488" i="57"/>
  <c r="S485" i="57"/>
  <c r="S480" i="57"/>
  <c r="T480" i="57" s="1"/>
  <c r="W450" i="57"/>
  <c r="X450" i="57" s="1"/>
  <c r="S454" i="57"/>
  <c r="G447" i="57"/>
  <c r="S448" i="57"/>
  <c r="W446" i="57"/>
  <c r="K450" i="57"/>
  <c r="W488" i="57"/>
  <c r="X488" i="57" s="1"/>
  <c r="S486" i="57"/>
  <c r="S484" i="57"/>
  <c r="K482" i="57"/>
  <c r="W479" i="57"/>
  <c r="G446" i="57"/>
  <c r="K446" i="57"/>
  <c r="O447" i="57"/>
  <c r="P447" i="57" s="1"/>
  <c r="W448" i="57"/>
  <c r="X448" i="57" s="1"/>
  <c r="S451" i="57"/>
  <c r="W487" i="57"/>
  <c r="S482" i="57"/>
  <c r="W486" i="57"/>
  <c r="X486" i="57" s="1"/>
  <c r="W484" i="57"/>
  <c r="X484" i="57" s="1"/>
  <c r="W483" i="57"/>
  <c r="X483" i="57" s="1"/>
  <c r="G479" i="57"/>
  <c r="S475" i="57"/>
  <c r="O468" i="57"/>
  <c r="P468" i="57" s="1"/>
  <c r="S476" i="57"/>
  <c r="O469" i="57"/>
  <c r="P469" i="57" s="1"/>
  <c r="W478" i="57"/>
  <c r="X478" i="57" s="1"/>
  <c r="S470" i="57"/>
  <c r="W471" i="57"/>
  <c r="W468" i="57"/>
  <c r="W467" i="57"/>
  <c r="X467" i="57" s="1"/>
  <c r="S462" i="57"/>
  <c r="W462" i="57"/>
  <c r="X462" i="57" s="1"/>
  <c r="S491" i="57"/>
  <c r="T491" i="57" s="1"/>
  <c r="W493" i="57"/>
  <c r="W491" i="57"/>
  <c r="X491" i="57" s="1"/>
  <c r="O491" i="57"/>
  <c r="P491" i="57" s="1"/>
  <c r="W495" i="57"/>
  <c r="X495" i="57" s="1"/>
  <c r="S499" i="57"/>
  <c r="W494" i="57"/>
  <c r="X494" i="57" s="1"/>
  <c r="S494" i="57"/>
  <c r="T494" i="57" s="1"/>
  <c r="W497" i="57"/>
  <c r="X497" i="57" s="1"/>
  <c r="S493" i="57"/>
  <c r="G490" i="57"/>
  <c r="S492" i="57"/>
  <c r="W496" i="57"/>
  <c r="W500" i="57"/>
  <c r="X500" i="57" s="1"/>
  <c r="W438" i="57"/>
  <c r="W458" i="57"/>
  <c r="X458" i="57" s="1"/>
  <c r="W464" i="57"/>
  <c r="X464" i="57" s="1"/>
  <c r="S465" i="57"/>
  <c r="S463" i="57"/>
  <c r="W472" i="57"/>
  <c r="X472" i="57" s="1"/>
  <c r="W476" i="57"/>
  <c r="S471" i="57"/>
  <c r="W474" i="57"/>
  <c r="G469" i="57"/>
  <c r="S477" i="57"/>
  <c r="S468" i="57"/>
  <c r="K471" i="57"/>
  <c r="S469" i="57"/>
  <c r="T469" i="57" s="1"/>
  <c r="W477" i="57"/>
  <c r="X477" i="57" s="1"/>
  <c r="W469" i="57"/>
  <c r="X469" i="57" s="1"/>
  <c r="S474" i="57"/>
  <c r="S473" i="57"/>
  <c r="K472" i="57"/>
  <c r="K460" i="57"/>
  <c r="G457" i="57"/>
  <c r="S461" i="57"/>
  <c r="T461" i="57" s="1"/>
  <c r="W435" i="57"/>
  <c r="W470" i="57"/>
  <c r="X470" i="57" s="1"/>
  <c r="K468" i="57"/>
  <c r="G468" i="57"/>
  <c r="W475" i="57"/>
  <c r="X475" i="57" s="1"/>
  <c r="S472" i="57"/>
  <c r="T472" i="57" s="1"/>
  <c r="W473" i="57"/>
  <c r="X473" i="57" s="1"/>
  <c r="S498" i="57"/>
  <c r="W492" i="57"/>
  <c r="X492" i="57" s="1"/>
  <c r="G491" i="57"/>
  <c r="K493" i="57"/>
  <c r="S459" i="57"/>
  <c r="W463" i="57"/>
  <c r="K457" i="57"/>
  <c r="S436" i="57"/>
  <c r="T436" i="57" s="1"/>
  <c r="K449" i="57"/>
  <c r="S447" i="57"/>
  <c r="T447" i="57" s="1"/>
  <c r="W455" i="57"/>
  <c r="X455" i="57" s="1"/>
  <c r="W452" i="57"/>
  <c r="S456" i="57"/>
  <c r="S455" i="57"/>
  <c r="G480" i="57"/>
  <c r="S479" i="57"/>
  <c r="W480" i="57"/>
  <c r="X480" i="57" s="1"/>
  <c r="S483" i="57"/>
  <c r="T483" i="57" s="1"/>
  <c r="W481" i="57"/>
  <c r="X481" i="57" s="1"/>
  <c r="W482" i="57"/>
  <c r="O490" i="57"/>
  <c r="P490" i="57" s="1"/>
  <c r="K490" i="57"/>
  <c r="S497" i="57"/>
  <c r="S496" i="57"/>
  <c r="W499" i="57"/>
  <c r="X499" i="57" s="1"/>
  <c r="K494" i="57"/>
  <c r="S495" i="57"/>
  <c r="G435" i="57"/>
  <c r="W440" i="57"/>
  <c r="X440" i="57" s="1"/>
  <c r="K435" i="57"/>
  <c r="G436" i="57"/>
  <c r="S442" i="57"/>
  <c r="S445" i="57"/>
  <c r="W444" i="57"/>
  <c r="X444" i="57" s="1"/>
  <c r="Y468" i="59"/>
  <c r="AC474" i="59" s="1"/>
  <c r="W437" i="57"/>
  <c r="X437" i="57" s="1"/>
  <c r="S439" i="57"/>
  <c r="T439" i="57" s="1"/>
  <c r="S435" i="57"/>
  <c r="S443" i="57"/>
  <c r="K461" i="57"/>
  <c r="W466" i="57"/>
  <c r="X466" i="57" s="1"/>
  <c r="S458" i="57"/>
  <c r="T458" i="57" s="1"/>
  <c r="S467" i="57"/>
  <c r="W461" i="57"/>
  <c r="X461" i="57" s="1"/>
  <c r="W459" i="57"/>
  <c r="X459" i="57" s="1"/>
  <c r="S460" i="57"/>
  <c r="G458" i="57"/>
  <c r="Y457" i="59"/>
  <c r="AC463" i="59" s="1"/>
  <c r="Y479" i="59"/>
  <c r="AC485" i="59" s="1"/>
  <c r="S464" i="57"/>
  <c r="W465" i="57"/>
  <c r="O457" i="57"/>
  <c r="P457" i="57" s="1"/>
  <c r="W457" i="57"/>
  <c r="S466" i="57"/>
  <c r="W442" i="57"/>
  <c r="X442" i="57" s="1"/>
  <c r="O435" i="57"/>
  <c r="P435" i="57" s="1"/>
  <c r="W436" i="57"/>
  <c r="X436" i="57" s="1"/>
  <c r="S441" i="57"/>
  <c r="S440" i="57"/>
  <c r="W441" i="57"/>
  <c r="K439" i="57"/>
  <c r="W445" i="57"/>
  <c r="X445" i="57" s="1"/>
  <c r="K438" i="57"/>
  <c r="W439" i="57"/>
  <c r="X439" i="57" s="1"/>
  <c r="S438" i="57"/>
  <c r="S437" i="57"/>
  <c r="W443" i="57"/>
  <c r="W472" i="60"/>
  <c r="W468" i="60"/>
  <c r="O468" i="60"/>
  <c r="P468" i="60" s="1"/>
  <c r="S471" i="60"/>
  <c r="O469" i="60"/>
  <c r="P469" i="60" s="1"/>
  <c r="W469" i="60"/>
  <c r="W470" i="60"/>
  <c r="T472" i="60"/>
  <c r="X473" i="60"/>
  <c r="X474" i="60"/>
  <c r="X475" i="60"/>
  <c r="X476" i="60"/>
  <c r="X477" i="60"/>
  <c r="X478" i="60"/>
  <c r="G468" i="60"/>
  <c r="S468" i="60"/>
  <c r="G469" i="60"/>
  <c r="S469" i="60"/>
  <c r="S470" i="60"/>
  <c r="K471" i="60"/>
  <c r="W471" i="60"/>
  <c r="S472" i="60"/>
  <c r="T473" i="60"/>
  <c r="T474" i="60"/>
  <c r="T475" i="60"/>
  <c r="T476" i="60"/>
  <c r="T477" i="60"/>
  <c r="T478" i="60"/>
  <c r="K469" i="60"/>
  <c r="K468" i="60"/>
  <c r="L471" i="60"/>
  <c r="S473" i="60"/>
  <c r="S475" i="60"/>
  <c r="S477" i="60"/>
  <c r="X469" i="60"/>
  <c r="T471" i="60"/>
  <c r="X472" i="60"/>
  <c r="W474" i="60"/>
  <c r="W476" i="60"/>
  <c r="W478" i="60"/>
  <c r="H469" i="60"/>
  <c r="T470" i="60"/>
  <c r="K472" i="60"/>
  <c r="S474" i="60"/>
  <c r="S476" i="60"/>
  <c r="S478" i="60"/>
  <c r="L468" i="60"/>
  <c r="L469" i="60"/>
  <c r="X470" i="60"/>
  <c r="L472" i="60"/>
  <c r="W473" i="60"/>
  <c r="W475" i="60"/>
  <c r="W477" i="60"/>
  <c r="T498" i="60"/>
  <c r="W500" i="60"/>
  <c r="T500" i="60"/>
  <c r="W499" i="60"/>
  <c r="T499" i="60"/>
  <c r="W498" i="60"/>
  <c r="T496" i="60"/>
  <c r="W495" i="60"/>
  <c r="T495" i="60"/>
  <c r="X500" i="60"/>
  <c r="W494" i="60"/>
  <c r="T494" i="60"/>
  <c r="K494" i="60"/>
  <c r="X493" i="60"/>
  <c r="T493" i="60"/>
  <c r="W492" i="60"/>
  <c r="T492" i="60"/>
  <c r="W491" i="60"/>
  <c r="T491" i="60"/>
  <c r="L491" i="60"/>
  <c r="H491" i="60"/>
  <c r="O490" i="60"/>
  <c r="P490" i="60" s="1"/>
  <c r="K490" i="60"/>
  <c r="G490" i="60"/>
  <c r="W497" i="60"/>
  <c r="T497" i="60"/>
  <c r="W496" i="60"/>
  <c r="X494" i="60"/>
  <c r="S494" i="60"/>
  <c r="L494" i="60"/>
  <c r="W493" i="60"/>
  <c r="K493" i="60"/>
  <c r="X492" i="60"/>
  <c r="S492" i="60"/>
  <c r="X491" i="60"/>
  <c r="S491" i="60"/>
  <c r="O491" i="60"/>
  <c r="P491" i="60" s="1"/>
  <c r="G491" i="60"/>
  <c r="S490" i="60"/>
  <c r="S493" i="60"/>
  <c r="K491" i="60"/>
  <c r="W490" i="60"/>
  <c r="S495" i="60"/>
  <c r="S496" i="60"/>
  <c r="X496" i="60"/>
  <c r="X497" i="60"/>
  <c r="X498" i="60"/>
  <c r="X499" i="60"/>
  <c r="S498" i="60"/>
  <c r="S500" i="60"/>
  <c r="X495" i="60"/>
  <c r="S497" i="60"/>
  <c r="S499" i="60"/>
  <c r="W456" i="60"/>
  <c r="T454" i="60"/>
  <c r="X450" i="60"/>
  <c r="S450" i="60"/>
  <c r="L450" i="60"/>
  <c r="W449" i="60"/>
  <c r="K449" i="60"/>
  <c r="X448" i="60"/>
  <c r="S448" i="60"/>
  <c r="X447" i="60"/>
  <c r="S447" i="60"/>
  <c r="L447" i="60"/>
  <c r="X446" i="60"/>
  <c r="L446" i="60"/>
  <c r="T452" i="60"/>
  <c r="S449" i="60"/>
  <c r="H447" i="60"/>
  <c r="G446" i="60"/>
  <c r="O446" i="60"/>
  <c r="P446" i="60" s="1"/>
  <c r="W446" i="60"/>
  <c r="K447" i="60"/>
  <c r="T447" i="60"/>
  <c r="T448" i="60"/>
  <c r="X449" i="60"/>
  <c r="T450" i="60"/>
  <c r="X456" i="60"/>
  <c r="W451" i="60"/>
  <c r="T453" i="60"/>
  <c r="W454" i="60"/>
  <c r="W455" i="60"/>
  <c r="X451" i="60"/>
  <c r="S453" i="60"/>
  <c r="S454" i="60"/>
  <c r="S455" i="60"/>
  <c r="S456" i="60"/>
  <c r="K446" i="60"/>
  <c r="G447" i="60"/>
  <c r="W447" i="60"/>
  <c r="T449" i="60"/>
  <c r="W450" i="60"/>
  <c r="W452" i="60"/>
  <c r="T455" i="60"/>
  <c r="S452" i="60"/>
  <c r="X453" i="60"/>
  <c r="X455" i="60"/>
  <c r="S446" i="60"/>
  <c r="O447" i="60"/>
  <c r="P447" i="60" s="1"/>
  <c r="W448" i="60"/>
  <c r="K450" i="60"/>
  <c r="T451" i="60"/>
  <c r="W453" i="60"/>
  <c r="T456" i="60"/>
  <c r="S451" i="60"/>
  <c r="X452" i="60"/>
  <c r="X454" i="60"/>
  <c r="W467" i="60"/>
  <c r="T463" i="60"/>
  <c r="W461" i="60"/>
  <c r="T461" i="60"/>
  <c r="K461" i="60"/>
  <c r="X460" i="60"/>
  <c r="L460" i="60"/>
  <c r="W459" i="60"/>
  <c r="T459" i="60"/>
  <c r="W458" i="60"/>
  <c r="T458" i="60"/>
  <c r="O458" i="60"/>
  <c r="P458" i="60" s="1"/>
  <c r="G458" i="60"/>
  <c r="S457" i="60"/>
  <c r="K457" i="60"/>
  <c r="T465" i="60"/>
  <c r="W462" i="60"/>
  <c r="T462" i="60"/>
  <c r="X467" i="60"/>
  <c r="T460" i="60"/>
  <c r="K458" i="60"/>
  <c r="W457" i="60"/>
  <c r="O457" i="60"/>
  <c r="P457" i="60" s="1"/>
  <c r="G457" i="60"/>
  <c r="L457" i="60"/>
  <c r="X457" i="60"/>
  <c r="L458" i="60"/>
  <c r="X458" i="60"/>
  <c r="X459" i="60"/>
  <c r="S460" i="60"/>
  <c r="L461" i="60"/>
  <c r="X461" i="60"/>
  <c r="T464" i="60"/>
  <c r="W465" i="60"/>
  <c r="W466" i="60"/>
  <c r="S462" i="60"/>
  <c r="S463" i="60"/>
  <c r="X463" i="60"/>
  <c r="X464" i="60"/>
  <c r="X466" i="60"/>
  <c r="H457" i="60"/>
  <c r="H458" i="60"/>
  <c r="S459" i="60"/>
  <c r="W460" i="60"/>
  <c r="W463" i="60"/>
  <c r="T466" i="60"/>
  <c r="S465" i="60"/>
  <c r="S467" i="60"/>
  <c r="S458" i="60"/>
  <c r="K460" i="60"/>
  <c r="S461" i="60"/>
  <c r="W464" i="60"/>
  <c r="T467" i="60"/>
  <c r="X462" i="60"/>
  <c r="S464" i="60"/>
  <c r="S466" i="60"/>
  <c r="W489" i="60"/>
  <c r="T489" i="60"/>
  <c r="W488" i="60"/>
  <c r="T488" i="60"/>
  <c r="W487" i="60"/>
  <c r="W486" i="60"/>
  <c r="T486" i="60"/>
  <c r="W485" i="60"/>
  <c r="X483" i="60"/>
  <c r="S483" i="60"/>
  <c r="L483" i="60"/>
  <c r="W482" i="60"/>
  <c r="S482" i="60"/>
  <c r="K482" i="60"/>
  <c r="X481" i="60"/>
  <c r="S481" i="60"/>
  <c r="X480" i="60"/>
  <c r="T485" i="60"/>
  <c r="W483" i="60"/>
  <c r="T483" i="60"/>
  <c r="K483" i="60"/>
  <c r="L482" i="60"/>
  <c r="W481" i="60"/>
  <c r="T481" i="60"/>
  <c r="W480" i="60"/>
  <c r="T480" i="60"/>
  <c r="O480" i="60"/>
  <c r="P480" i="60" s="1"/>
  <c r="K480" i="60"/>
  <c r="G480" i="60"/>
  <c r="W479" i="60"/>
  <c r="S479" i="60"/>
  <c r="O479" i="60"/>
  <c r="P479" i="60" s="1"/>
  <c r="K479" i="60"/>
  <c r="G479" i="60"/>
  <c r="T487" i="60"/>
  <c r="W484" i="60"/>
  <c r="T484" i="60"/>
  <c r="X489" i="60"/>
  <c r="S480" i="60"/>
  <c r="L480" i="60"/>
  <c r="H480" i="60"/>
  <c r="L479" i="60"/>
  <c r="X484" i="60"/>
  <c r="S486" i="60"/>
  <c r="S487" i="60"/>
  <c r="S488" i="60"/>
  <c r="S489" i="60"/>
  <c r="S485" i="60"/>
  <c r="X486" i="60"/>
  <c r="X488" i="60"/>
  <c r="S484" i="60"/>
  <c r="X485" i="60"/>
  <c r="W533" i="57"/>
  <c r="X533" i="57" s="1"/>
  <c r="W530" i="57"/>
  <c r="X530" i="57" s="1"/>
  <c r="W527" i="57"/>
  <c r="X527" i="57" s="1"/>
  <c r="S527" i="57"/>
  <c r="T527" i="57" s="1"/>
  <c r="K527" i="57"/>
  <c r="W526" i="57"/>
  <c r="S523" i="57"/>
  <c r="W528" i="57"/>
  <c r="X528" i="57" s="1"/>
  <c r="K526" i="57"/>
  <c r="W525" i="57"/>
  <c r="X525" i="57" s="1"/>
  <c r="S525" i="57"/>
  <c r="W524" i="57"/>
  <c r="X524" i="57" s="1"/>
  <c r="S524" i="57"/>
  <c r="T524" i="57" s="1"/>
  <c r="G524" i="57"/>
  <c r="W532" i="57"/>
  <c r="X532" i="57" s="1"/>
  <c r="K523" i="57"/>
  <c r="O523" i="57"/>
  <c r="P523" i="57" s="1"/>
  <c r="O524" i="57"/>
  <c r="P524" i="57" s="1"/>
  <c r="S533" i="57"/>
  <c r="W531" i="57"/>
  <c r="S529" i="57"/>
  <c r="S530" i="57"/>
  <c r="S532" i="57"/>
  <c r="G523" i="57"/>
  <c r="W523" i="57"/>
  <c r="S526" i="57"/>
  <c r="W529" i="57"/>
  <c r="S528" i="57"/>
  <c r="S531" i="57"/>
  <c r="W544" i="57"/>
  <c r="X544" i="57" s="1"/>
  <c r="W542" i="57"/>
  <c r="W540" i="57"/>
  <c r="S544" i="57"/>
  <c r="S537" i="57"/>
  <c r="G535" i="57"/>
  <c r="K534" i="57"/>
  <c r="W543" i="57"/>
  <c r="X543" i="57" s="1"/>
  <c r="W539" i="57"/>
  <c r="X539" i="57" s="1"/>
  <c r="K537" i="57"/>
  <c r="W536" i="57"/>
  <c r="X536" i="57" s="1"/>
  <c r="S536" i="57"/>
  <c r="W535" i="57"/>
  <c r="X535" i="57" s="1"/>
  <c r="S535" i="57"/>
  <c r="T535" i="57" s="1"/>
  <c r="O535" i="57"/>
  <c r="P535" i="57" s="1"/>
  <c r="O534" i="57"/>
  <c r="P534" i="57" s="1"/>
  <c r="W541" i="57"/>
  <c r="X541" i="57" s="1"/>
  <c r="W538" i="57"/>
  <c r="X538" i="57" s="1"/>
  <c r="S538" i="57"/>
  <c r="T538" i="57" s="1"/>
  <c r="K538" i="57"/>
  <c r="W537" i="57"/>
  <c r="W534" i="57"/>
  <c r="G534" i="57"/>
  <c r="S539" i="57"/>
  <c r="S542" i="57"/>
  <c r="S540" i="57"/>
  <c r="S543" i="57"/>
  <c r="S541" i="57"/>
  <c r="W433" i="60"/>
  <c r="X433" i="60" s="1"/>
  <c r="W428" i="60"/>
  <c r="X428" i="60" s="1"/>
  <c r="W431" i="60"/>
  <c r="X431" i="60" s="1"/>
  <c r="S433" i="60"/>
  <c r="T433" i="60" s="1"/>
  <c r="S426" i="60"/>
  <c r="T426" i="60" s="1"/>
  <c r="S432" i="60"/>
  <c r="S429" i="60"/>
  <c r="T429" i="60" s="1"/>
  <c r="W424" i="60"/>
  <c r="K428" i="60"/>
  <c r="L428" i="60" s="1"/>
  <c r="O425" i="60"/>
  <c r="P425" i="60" s="1"/>
  <c r="K425" i="60"/>
  <c r="W434" i="60"/>
  <c r="X434" i="60" s="1"/>
  <c r="S431" i="60"/>
  <c r="T431" i="60" s="1"/>
  <c r="W426" i="60"/>
  <c r="X426" i="60" s="1"/>
  <c r="K427" i="60"/>
  <c r="L427" i="60" s="1"/>
  <c r="W432" i="60"/>
  <c r="K424" i="60"/>
  <c r="W429" i="60"/>
  <c r="X429" i="60" s="1"/>
  <c r="W425" i="60"/>
  <c r="X425" i="60" s="1"/>
  <c r="O424" i="60"/>
  <c r="P424" i="60" s="1"/>
  <c r="S427" i="60"/>
  <c r="S434" i="60"/>
  <c r="T434" i="60" s="1"/>
  <c r="S428" i="60"/>
  <c r="T428" i="60" s="1"/>
  <c r="W430" i="60"/>
  <c r="S425" i="60"/>
  <c r="T425" i="60" s="1"/>
  <c r="S430" i="60"/>
  <c r="G425" i="60"/>
  <c r="W434" i="57"/>
  <c r="X434" i="57" s="1"/>
  <c r="W433" i="57"/>
  <c r="X433" i="57" s="1"/>
  <c r="S431" i="57"/>
  <c r="S430" i="57"/>
  <c r="S427" i="57"/>
  <c r="W426" i="57"/>
  <c r="X426" i="57" s="1"/>
  <c r="W425" i="57"/>
  <c r="X425" i="57" s="1"/>
  <c r="O425" i="57"/>
  <c r="P425" i="57" s="1"/>
  <c r="G424" i="57"/>
  <c r="W432" i="57"/>
  <c r="W431" i="57"/>
  <c r="X431" i="57" s="1"/>
  <c r="S429" i="57"/>
  <c r="S428" i="57"/>
  <c r="T428" i="57" s="1"/>
  <c r="K425" i="57"/>
  <c r="W424" i="57"/>
  <c r="O424" i="57"/>
  <c r="P424" i="57" s="1"/>
  <c r="S434" i="57"/>
  <c r="W430" i="57"/>
  <c r="W429" i="57"/>
  <c r="X429" i="57" s="1"/>
  <c r="W427" i="57"/>
  <c r="K427" i="57"/>
  <c r="S426" i="57"/>
  <c r="S425" i="57"/>
  <c r="T425" i="57" s="1"/>
  <c r="K424" i="57"/>
  <c r="S433" i="57"/>
  <c r="S432" i="57"/>
  <c r="W428" i="57"/>
  <c r="X428" i="57" s="1"/>
  <c r="K428" i="57"/>
  <c r="G425" i="57"/>
  <c r="S424" i="57"/>
  <c r="W422" i="57"/>
  <c r="X422" i="57" s="1"/>
  <c r="O359" i="57"/>
  <c r="P359" i="57" s="1"/>
  <c r="O391" i="57"/>
  <c r="P391" i="57" s="1"/>
  <c r="S403" i="57"/>
  <c r="T403" i="57" s="1"/>
  <c r="W399" i="57"/>
  <c r="S356" i="57"/>
  <c r="W380" i="57"/>
  <c r="G359" i="57"/>
  <c r="W358" i="57"/>
  <c r="W405" i="57"/>
  <c r="S349" i="57"/>
  <c r="W355" i="57"/>
  <c r="G391" i="57"/>
  <c r="W362" i="57"/>
  <c r="X362" i="57" s="1"/>
  <c r="W365" i="57"/>
  <c r="X365" i="57" s="1"/>
  <c r="W408" i="57"/>
  <c r="W409" i="57"/>
  <c r="X409" i="57" s="1"/>
  <c r="K351" i="57"/>
  <c r="S396" i="57"/>
  <c r="S393" i="57"/>
  <c r="S363" i="57"/>
  <c r="W360" i="57"/>
  <c r="X360" i="57" s="1"/>
  <c r="S411" i="57"/>
  <c r="W347" i="57"/>
  <c r="S357" i="57"/>
  <c r="S395" i="57"/>
  <c r="T395" i="57" s="1"/>
  <c r="S401" i="57"/>
  <c r="O369" i="57"/>
  <c r="P369" i="57" s="1"/>
  <c r="W419" i="57"/>
  <c r="G381" i="57"/>
  <c r="W369" i="57"/>
  <c r="K369" i="57"/>
  <c r="S420" i="57"/>
  <c r="S381" i="57"/>
  <c r="T381" i="57" s="1"/>
  <c r="S388" i="57"/>
  <c r="S382" i="57"/>
  <c r="K384" i="57"/>
  <c r="S383" i="57"/>
  <c r="S377" i="57"/>
  <c r="W370" i="57"/>
  <c r="X370" i="57" s="1"/>
  <c r="W372" i="57"/>
  <c r="O370" i="57"/>
  <c r="P370" i="57" s="1"/>
  <c r="K413" i="57"/>
  <c r="W421" i="57"/>
  <c r="O413" i="57"/>
  <c r="P413" i="57" s="1"/>
  <c r="S389" i="57"/>
  <c r="W384" i="57"/>
  <c r="X384" i="57" s="1"/>
  <c r="W387" i="57"/>
  <c r="X387" i="57" s="1"/>
  <c r="S378" i="57"/>
  <c r="W371" i="57"/>
  <c r="X371" i="57" s="1"/>
  <c r="S373" i="57"/>
  <c r="T373" i="57" s="1"/>
  <c r="S379" i="57"/>
  <c r="S414" i="57"/>
  <c r="T414" i="57" s="1"/>
  <c r="W416" i="57"/>
  <c r="O414" i="57"/>
  <c r="P414" i="57" s="1"/>
  <c r="S386" i="57"/>
  <c r="W388" i="57"/>
  <c r="W390" i="57"/>
  <c r="X390" i="57" s="1"/>
  <c r="S375" i="57"/>
  <c r="W374" i="57"/>
  <c r="X374" i="57" s="1"/>
  <c r="W375" i="57"/>
  <c r="W378" i="57"/>
  <c r="X378" i="57" s="1"/>
  <c r="S418" i="57"/>
  <c r="S415" i="57"/>
  <c r="S417" i="57"/>
  <c r="T417" i="57" s="1"/>
  <c r="S423" i="57"/>
  <c r="S367" i="57"/>
  <c r="W361" i="57"/>
  <c r="W364" i="57"/>
  <c r="S359" i="57"/>
  <c r="T359" i="57" s="1"/>
  <c r="K359" i="57"/>
  <c r="W367" i="57"/>
  <c r="X367" i="57" s="1"/>
  <c r="S387" i="57"/>
  <c r="W381" i="57"/>
  <c r="X381" i="57" s="1"/>
  <c r="W385" i="57"/>
  <c r="X385" i="57" s="1"/>
  <c r="W383" i="57"/>
  <c r="W386" i="57"/>
  <c r="K381" i="57"/>
  <c r="W389" i="57"/>
  <c r="X389" i="57" s="1"/>
  <c r="S409" i="57"/>
  <c r="K406" i="57"/>
  <c r="W412" i="57"/>
  <c r="X412" i="57" s="1"/>
  <c r="W403" i="57"/>
  <c r="X403" i="57" s="1"/>
  <c r="W407" i="57"/>
  <c r="X407" i="57" s="1"/>
  <c r="K403" i="57"/>
  <c r="W411" i="57"/>
  <c r="X411" i="57" s="1"/>
  <c r="S354" i="57"/>
  <c r="K348" i="57"/>
  <c r="W349" i="57"/>
  <c r="X349" i="57" s="1"/>
  <c r="S351" i="57"/>
  <c r="T351" i="57" s="1"/>
  <c r="G348" i="57"/>
  <c r="W354" i="57"/>
  <c r="X354" i="57" s="1"/>
  <c r="W357" i="57"/>
  <c r="X357" i="57" s="1"/>
  <c r="S376" i="57"/>
  <c r="K370" i="57"/>
  <c r="W373" i="57"/>
  <c r="X373" i="57" s="1"/>
  <c r="G370" i="57"/>
  <c r="W376" i="57"/>
  <c r="X376" i="57" s="1"/>
  <c r="S400" i="57"/>
  <c r="K392" i="57"/>
  <c r="W395" i="57"/>
  <c r="X395" i="57" s="1"/>
  <c r="W391" i="57"/>
  <c r="W393" i="57"/>
  <c r="X393" i="57" s="1"/>
  <c r="G392" i="57"/>
  <c r="W398" i="57"/>
  <c r="X398" i="57" s="1"/>
  <c r="S422" i="57"/>
  <c r="W413" i="57"/>
  <c r="W415" i="57"/>
  <c r="X415" i="57" s="1"/>
  <c r="K414" i="57"/>
  <c r="W417" i="57"/>
  <c r="X417" i="57" s="1"/>
  <c r="G414" i="57"/>
  <c r="W420" i="57"/>
  <c r="X420" i="57" s="1"/>
  <c r="B253" i="60"/>
  <c r="S365" i="57"/>
  <c r="K362" i="57"/>
  <c r="W368" i="57"/>
  <c r="X368" i="57" s="1"/>
  <c r="W359" i="57"/>
  <c r="X359" i="57" s="1"/>
  <c r="W363" i="57"/>
  <c r="X363" i="57" s="1"/>
  <c r="S361" i="57"/>
  <c r="S410" i="57"/>
  <c r="S408" i="57"/>
  <c r="S406" i="57"/>
  <c r="T406" i="57" s="1"/>
  <c r="S404" i="57"/>
  <c r="S405" i="57"/>
  <c r="S355" i="57"/>
  <c r="S353" i="57"/>
  <c r="S348" i="57"/>
  <c r="T348" i="57" s="1"/>
  <c r="W351" i="57"/>
  <c r="X351" i="57" s="1"/>
  <c r="O348" i="57"/>
  <c r="P348" i="57" s="1"/>
  <c r="W352" i="57"/>
  <c r="X352" i="57" s="1"/>
  <c r="S398" i="57"/>
  <c r="W394" i="57"/>
  <c r="W397" i="57"/>
  <c r="S392" i="57"/>
  <c r="T392" i="57" s="1"/>
  <c r="O392" i="57"/>
  <c r="P392" i="57" s="1"/>
  <c r="W400" i="57"/>
  <c r="X400" i="57" s="1"/>
  <c r="S366" i="57"/>
  <c r="S364" i="57"/>
  <c r="S362" i="57"/>
  <c r="T362" i="57" s="1"/>
  <c r="O358" i="57"/>
  <c r="P358" i="57" s="1"/>
  <c r="S360" i="57"/>
  <c r="W366" i="57"/>
  <c r="S385" i="57"/>
  <c r="O381" i="57"/>
  <c r="P381" i="57" s="1"/>
  <c r="W382" i="57"/>
  <c r="X382" i="57" s="1"/>
  <c r="K380" i="57"/>
  <c r="S384" i="57"/>
  <c r="T384" i="57" s="1"/>
  <c r="O380" i="57"/>
  <c r="P380" i="57" s="1"/>
  <c r="S407" i="57"/>
  <c r="G403" i="57"/>
  <c r="W406" i="57"/>
  <c r="X406" i="57" s="1"/>
  <c r="O403" i="57"/>
  <c r="P403" i="57" s="1"/>
  <c r="W404" i="57"/>
  <c r="X404" i="57" s="1"/>
  <c r="O402" i="57"/>
  <c r="P402" i="57" s="1"/>
  <c r="S352" i="57"/>
  <c r="O347" i="57"/>
  <c r="P347" i="57" s="1"/>
  <c r="W348" i="57"/>
  <c r="X348" i="57" s="1"/>
  <c r="W350" i="57"/>
  <c r="W356" i="57"/>
  <c r="X356" i="57" s="1"/>
  <c r="S350" i="57"/>
  <c r="S374" i="57"/>
  <c r="G369" i="57"/>
  <c r="S371" i="57"/>
  <c r="K373" i="57"/>
  <c r="W379" i="57"/>
  <c r="X379" i="57" s="1"/>
  <c r="S399" i="57"/>
  <c r="S397" i="57"/>
  <c r="K395" i="57"/>
  <c r="W401" i="57"/>
  <c r="X401" i="57" s="1"/>
  <c r="W392" i="57"/>
  <c r="X392" i="57" s="1"/>
  <c r="W396" i="57"/>
  <c r="X396" i="57" s="1"/>
  <c r="S421" i="57"/>
  <c r="S419" i="57"/>
  <c r="W414" i="57"/>
  <c r="X414" i="57" s="1"/>
  <c r="W418" i="57"/>
  <c r="X418" i="57" s="1"/>
  <c r="K417" i="57"/>
  <c r="W423" i="57"/>
  <c r="X423" i="57" s="1"/>
  <c r="W399" i="59"/>
  <c r="W396" i="59"/>
  <c r="X396" i="59" s="1"/>
  <c r="W395" i="59"/>
  <c r="X395" i="59" s="1"/>
  <c r="S395" i="59"/>
  <c r="T395" i="59" s="1"/>
  <c r="K395" i="59"/>
  <c r="L395" i="59" s="1"/>
  <c r="S394" i="59"/>
  <c r="W393" i="59"/>
  <c r="X393" i="59" s="1"/>
  <c r="S393" i="59"/>
  <c r="T393" i="59" s="1"/>
  <c r="W392" i="59"/>
  <c r="X392" i="59" s="1"/>
  <c r="S392" i="59"/>
  <c r="T392" i="59" s="1"/>
  <c r="O392" i="59"/>
  <c r="P392" i="59" s="1"/>
  <c r="G392" i="59"/>
  <c r="K391" i="59"/>
  <c r="W401" i="59"/>
  <c r="X401" i="59" s="1"/>
  <c r="S401" i="59"/>
  <c r="T401" i="59" s="1"/>
  <c r="W391" i="59"/>
  <c r="W397" i="59"/>
  <c r="W394" i="59"/>
  <c r="K392" i="59"/>
  <c r="O391" i="59"/>
  <c r="P391" i="59" s="1"/>
  <c r="W398" i="59"/>
  <c r="X398" i="59" s="1"/>
  <c r="S396" i="59"/>
  <c r="T396" i="59" s="1"/>
  <c r="S398" i="59"/>
  <c r="T398" i="59" s="1"/>
  <c r="S400" i="59"/>
  <c r="T400" i="59" s="1"/>
  <c r="W400" i="59"/>
  <c r="X400" i="59" s="1"/>
  <c r="S397" i="59"/>
  <c r="S399" i="59"/>
  <c r="W423" i="59"/>
  <c r="X423" i="59" s="1"/>
  <c r="W419" i="59"/>
  <c r="S423" i="59"/>
  <c r="T423" i="59" s="1"/>
  <c r="W416" i="59"/>
  <c r="O414" i="59"/>
  <c r="P414" i="59" s="1"/>
  <c r="G414" i="59"/>
  <c r="O413" i="59"/>
  <c r="P413" i="59" s="1"/>
  <c r="W421" i="59"/>
  <c r="W417" i="59"/>
  <c r="X417" i="59" s="1"/>
  <c r="S417" i="59"/>
  <c r="T417" i="59" s="1"/>
  <c r="K417" i="59"/>
  <c r="L417" i="59" s="1"/>
  <c r="W415" i="59"/>
  <c r="X415" i="59" s="1"/>
  <c r="S415" i="59"/>
  <c r="T415" i="59" s="1"/>
  <c r="W414" i="59"/>
  <c r="X414" i="59" s="1"/>
  <c r="S414" i="59"/>
  <c r="T414" i="59" s="1"/>
  <c r="W413" i="59"/>
  <c r="K413" i="59"/>
  <c r="W418" i="59"/>
  <c r="X418" i="59" s="1"/>
  <c r="S416" i="59"/>
  <c r="K414" i="59"/>
  <c r="W422" i="59"/>
  <c r="X422" i="59" s="1"/>
  <c r="S419" i="59"/>
  <c r="S421" i="59"/>
  <c r="W420" i="59"/>
  <c r="X420" i="59" s="1"/>
  <c r="S418" i="59"/>
  <c r="T418" i="59" s="1"/>
  <c r="S422" i="59"/>
  <c r="T422" i="59" s="1"/>
  <c r="S420" i="59"/>
  <c r="T420" i="59" s="1"/>
  <c r="O435" i="59"/>
  <c r="P435" i="59" s="1"/>
  <c r="W444" i="59"/>
  <c r="X444" i="59" s="1"/>
  <c r="G436" i="59"/>
  <c r="W438" i="59"/>
  <c r="S445" i="59"/>
  <c r="T445" i="59" s="1"/>
  <c r="W440" i="59"/>
  <c r="X440" i="59" s="1"/>
  <c r="S439" i="59"/>
  <c r="T439" i="59" s="1"/>
  <c r="S438" i="59"/>
  <c r="S437" i="59"/>
  <c r="T437" i="59" s="1"/>
  <c r="S436" i="59"/>
  <c r="T436" i="59" s="1"/>
  <c r="W442" i="59"/>
  <c r="X442" i="59" s="1"/>
  <c r="S440" i="59"/>
  <c r="T440" i="59" s="1"/>
  <c r="S443" i="59"/>
  <c r="W441" i="59"/>
  <c r="K439" i="59"/>
  <c r="L439" i="59" s="1"/>
  <c r="W436" i="59"/>
  <c r="X436" i="59" s="1"/>
  <c r="K435" i="59"/>
  <c r="S441" i="59"/>
  <c r="S444" i="59"/>
  <c r="T444" i="59" s="1"/>
  <c r="O436" i="59"/>
  <c r="P436" i="59" s="1"/>
  <c r="W445" i="59"/>
  <c r="X445" i="59" s="1"/>
  <c r="W439" i="59"/>
  <c r="X439" i="59" s="1"/>
  <c r="W437" i="59"/>
  <c r="X437" i="59" s="1"/>
  <c r="K436" i="59"/>
  <c r="S442" i="59"/>
  <c r="T442" i="59" s="1"/>
  <c r="S500" i="59"/>
  <c r="T500" i="59" s="1"/>
  <c r="G491" i="59"/>
  <c r="O490" i="59"/>
  <c r="P490" i="59" s="1"/>
  <c r="W493" i="59"/>
  <c r="W499" i="59"/>
  <c r="X499" i="59" s="1"/>
  <c r="W490" i="59"/>
  <c r="S491" i="59"/>
  <c r="T491" i="59" s="1"/>
  <c r="S492" i="59"/>
  <c r="T492" i="59" s="1"/>
  <c r="K494" i="59"/>
  <c r="L494" i="59" s="1"/>
  <c r="W494" i="59"/>
  <c r="X494" i="59" s="1"/>
  <c r="W496" i="59"/>
  <c r="S495" i="59"/>
  <c r="T495" i="59" s="1"/>
  <c r="S497" i="59"/>
  <c r="T497" i="59" s="1"/>
  <c r="S499" i="59"/>
  <c r="T499" i="59" s="1"/>
  <c r="W497" i="59"/>
  <c r="X497" i="59" s="1"/>
  <c r="W491" i="59"/>
  <c r="X491" i="59" s="1"/>
  <c r="S493" i="59"/>
  <c r="W495" i="59"/>
  <c r="X495" i="59" s="1"/>
  <c r="W500" i="59"/>
  <c r="X500" i="59" s="1"/>
  <c r="S496" i="59"/>
  <c r="O491" i="59"/>
  <c r="P491" i="59" s="1"/>
  <c r="K491" i="59"/>
  <c r="W492" i="59"/>
  <c r="X492" i="59" s="1"/>
  <c r="S494" i="59"/>
  <c r="T494" i="59" s="1"/>
  <c r="W498" i="59"/>
  <c r="S498" i="59"/>
  <c r="W380" i="59"/>
  <c r="W382" i="59"/>
  <c r="X382" i="59" s="1"/>
  <c r="K384" i="59"/>
  <c r="L384" i="59" s="1"/>
  <c r="W381" i="59"/>
  <c r="X381" i="59" s="1"/>
  <c r="O380" i="59"/>
  <c r="P380" i="59" s="1"/>
  <c r="W383" i="59"/>
  <c r="S385" i="59"/>
  <c r="T385" i="59" s="1"/>
  <c r="S387" i="59"/>
  <c r="T387" i="59" s="1"/>
  <c r="S389" i="59"/>
  <c r="T389" i="59" s="1"/>
  <c r="G380" i="59"/>
  <c r="G381" i="59"/>
  <c r="S382" i="59"/>
  <c r="T382" i="59" s="1"/>
  <c r="S384" i="59"/>
  <c r="T384" i="59" s="1"/>
  <c r="W386" i="59"/>
  <c r="W388" i="59"/>
  <c r="W390" i="59"/>
  <c r="X390" i="59" s="1"/>
  <c r="K381" i="59"/>
  <c r="S386" i="59"/>
  <c r="S390" i="59"/>
  <c r="T390" i="59" s="1"/>
  <c r="S383" i="59"/>
  <c r="W387" i="59"/>
  <c r="X387" i="59" s="1"/>
  <c r="O381" i="59"/>
  <c r="P381" i="59" s="1"/>
  <c r="W384" i="59"/>
  <c r="X384" i="59" s="1"/>
  <c r="S388" i="59"/>
  <c r="S381" i="59"/>
  <c r="T381" i="59" s="1"/>
  <c r="W385" i="59"/>
  <c r="X385" i="59" s="1"/>
  <c r="W389" i="59"/>
  <c r="X389" i="59" s="1"/>
  <c r="W404" i="59"/>
  <c r="X404" i="59" s="1"/>
  <c r="W405" i="59"/>
  <c r="S412" i="59"/>
  <c r="T412" i="59" s="1"/>
  <c r="O403" i="59"/>
  <c r="P403" i="59" s="1"/>
  <c r="W403" i="59"/>
  <c r="X403" i="59" s="1"/>
  <c r="K402" i="59"/>
  <c r="K403" i="59"/>
  <c r="K406" i="59"/>
  <c r="L406" i="59" s="1"/>
  <c r="S410" i="59"/>
  <c r="W411" i="59"/>
  <c r="X411" i="59" s="1"/>
  <c r="W409" i="59"/>
  <c r="X409" i="59" s="1"/>
  <c r="W407" i="59"/>
  <c r="X407" i="59" s="1"/>
  <c r="S405" i="59"/>
  <c r="S408" i="59"/>
  <c r="W406" i="59"/>
  <c r="X406" i="59" s="1"/>
  <c r="S406" i="59"/>
  <c r="T406" i="59" s="1"/>
  <c r="G403" i="59"/>
  <c r="S407" i="59"/>
  <c r="T407" i="59" s="1"/>
  <c r="O402" i="59"/>
  <c r="P402" i="59" s="1"/>
  <c r="W402" i="59"/>
  <c r="S411" i="59"/>
  <c r="T411" i="59" s="1"/>
  <c r="W412" i="59"/>
  <c r="X412" i="59" s="1"/>
  <c r="W408" i="59"/>
  <c r="S404" i="59"/>
  <c r="T404" i="59" s="1"/>
  <c r="G402" i="59"/>
  <c r="S409" i="59"/>
  <c r="T409" i="59" s="1"/>
  <c r="S434" i="59"/>
  <c r="T434" i="59" s="1"/>
  <c r="W427" i="59"/>
  <c r="O425" i="59"/>
  <c r="P425" i="59" s="1"/>
  <c r="G424" i="59"/>
  <c r="O424" i="59"/>
  <c r="P424" i="59" s="1"/>
  <c r="G425" i="59"/>
  <c r="K425" i="59"/>
  <c r="W425" i="59"/>
  <c r="X425" i="59" s="1"/>
  <c r="W426" i="59"/>
  <c r="X426" i="59" s="1"/>
  <c r="K428" i="59"/>
  <c r="L428" i="59" s="1"/>
  <c r="W428" i="59"/>
  <c r="X428" i="59" s="1"/>
  <c r="W430" i="59"/>
  <c r="W434" i="59"/>
  <c r="X434" i="59" s="1"/>
  <c r="W431" i="59"/>
  <c r="X431" i="59" s="1"/>
  <c r="S429" i="59"/>
  <c r="T429" i="59" s="1"/>
  <c r="S432" i="59"/>
  <c r="S425" i="59"/>
  <c r="T425" i="59" s="1"/>
  <c r="S427" i="59"/>
  <c r="W432" i="59"/>
  <c r="S431" i="59"/>
  <c r="T431" i="59" s="1"/>
  <c r="W424" i="59"/>
  <c r="S426" i="59"/>
  <c r="T426" i="59" s="1"/>
  <c r="S428" i="59"/>
  <c r="T428" i="59" s="1"/>
  <c r="W429" i="59"/>
  <c r="X429" i="59" s="1"/>
  <c r="W433" i="59"/>
  <c r="X433" i="59" s="1"/>
  <c r="S430" i="59"/>
  <c r="S433" i="59"/>
  <c r="T433" i="59" s="1"/>
  <c r="W455" i="59"/>
  <c r="X455" i="59" s="1"/>
  <c r="W449" i="59"/>
  <c r="O447" i="59"/>
  <c r="P447" i="59" s="1"/>
  <c r="G446" i="59"/>
  <c r="S456" i="59"/>
  <c r="T456" i="59" s="1"/>
  <c r="G447" i="59"/>
  <c r="W456" i="59"/>
  <c r="X456" i="59" s="1"/>
  <c r="W453" i="59"/>
  <c r="X453" i="59" s="1"/>
  <c r="O446" i="59"/>
  <c r="P446" i="59" s="1"/>
  <c r="W446" i="59"/>
  <c r="S447" i="59"/>
  <c r="T447" i="59" s="1"/>
  <c r="S448" i="59"/>
  <c r="T448" i="59" s="1"/>
  <c r="K450" i="59"/>
  <c r="L450" i="59" s="1"/>
  <c r="W450" i="59"/>
  <c r="X450" i="59" s="1"/>
  <c r="W452" i="59"/>
  <c r="W454" i="59"/>
  <c r="S452" i="59"/>
  <c r="S453" i="59"/>
  <c r="T453" i="59" s="1"/>
  <c r="S455" i="59"/>
  <c r="T455" i="59" s="1"/>
  <c r="K446" i="59"/>
  <c r="W447" i="59"/>
  <c r="X447" i="59" s="1"/>
  <c r="S449" i="59"/>
  <c r="W451" i="59"/>
  <c r="X451" i="59" s="1"/>
  <c r="K447" i="59"/>
  <c r="W448" i="59"/>
  <c r="X448" i="59" s="1"/>
  <c r="S450" i="59"/>
  <c r="T450" i="59" s="1"/>
  <c r="S451" i="59"/>
  <c r="T451" i="59" s="1"/>
  <c r="S454" i="59"/>
  <c r="L417" i="57" l="1"/>
  <c r="L395" i="57"/>
  <c r="L373" i="57"/>
  <c r="T409" i="57"/>
  <c r="T415" i="57"/>
  <c r="T379" i="57"/>
  <c r="T382" i="57"/>
  <c r="T393" i="57"/>
  <c r="T426" i="57"/>
  <c r="T532" i="57"/>
  <c r="T533" i="57"/>
  <c r="T525" i="57"/>
  <c r="L438" i="57"/>
  <c r="T440" i="57"/>
  <c r="L461" i="57"/>
  <c r="T442" i="57"/>
  <c r="L472" i="57"/>
  <c r="T477" i="57"/>
  <c r="T499" i="57"/>
  <c r="T475" i="57"/>
  <c r="T519" i="57"/>
  <c r="T514" i="57"/>
  <c r="T371" i="57"/>
  <c r="T352" i="57"/>
  <c r="T385" i="57"/>
  <c r="T398" i="57"/>
  <c r="T404" i="57"/>
  <c r="L362" i="57"/>
  <c r="T400" i="57"/>
  <c r="T354" i="57"/>
  <c r="T367" i="57"/>
  <c r="T418" i="57"/>
  <c r="T401" i="57"/>
  <c r="T411" i="57"/>
  <c r="T396" i="57"/>
  <c r="T349" i="57"/>
  <c r="T433" i="57"/>
  <c r="L427" i="57"/>
  <c r="T434" i="57"/>
  <c r="T541" i="57"/>
  <c r="T539" i="57"/>
  <c r="L538" i="57"/>
  <c r="T536" i="57"/>
  <c r="T530" i="57"/>
  <c r="T437" i="57"/>
  <c r="T466" i="57"/>
  <c r="T467" i="57"/>
  <c r="T495" i="57"/>
  <c r="T497" i="57"/>
  <c r="L493" i="57"/>
  <c r="T473" i="57"/>
  <c r="L482" i="57"/>
  <c r="L450" i="57"/>
  <c r="T488" i="57"/>
  <c r="T453" i="57"/>
  <c r="T510" i="57"/>
  <c r="L516" i="57"/>
  <c r="T365" i="57"/>
  <c r="T422" i="57"/>
  <c r="T376" i="57"/>
  <c r="T423" i="57"/>
  <c r="T389" i="57"/>
  <c r="L351" i="57"/>
  <c r="T356" i="57"/>
  <c r="L428" i="57"/>
  <c r="T429" i="57"/>
  <c r="T543" i="57"/>
  <c r="T544" i="57"/>
  <c r="L526" i="57"/>
  <c r="L527" i="57"/>
  <c r="L439" i="57"/>
  <c r="T464" i="57"/>
  <c r="L494" i="57"/>
  <c r="T455" i="57"/>
  <c r="L471" i="57"/>
  <c r="T492" i="57"/>
  <c r="T484" i="57"/>
  <c r="T489" i="57"/>
  <c r="T444" i="57"/>
  <c r="T506" i="57"/>
  <c r="L515" i="57"/>
  <c r="T517" i="57"/>
  <c r="T521" i="57"/>
  <c r="T374" i="57"/>
  <c r="T407" i="57"/>
  <c r="T360" i="57"/>
  <c r="L406" i="57"/>
  <c r="T387" i="57"/>
  <c r="T378" i="57"/>
  <c r="L384" i="57"/>
  <c r="T420" i="57"/>
  <c r="T357" i="57"/>
  <c r="T363" i="57"/>
  <c r="T431" i="57"/>
  <c r="L537" i="57"/>
  <c r="T528" i="57"/>
  <c r="T445" i="57"/>
  <c r="T456" i="57"/>
  <c r="L449" i="57"/>
  <c r="T459" i="57"/>
  <c r="L460" i="57"/>
  <c r="T462" i="57"/>
  <c r="T470" i="57"/>
  <c r="T451" i="57"/>
  <c r="T486" i="57"/>
  <c r="T448" i="57"/>
  <c r="T481" i="57"/>
  <c r="T503" i="57"/>
  <c r="L483" i="57"/>
  <c r="Y248" i="59"/>
  <c r="AC254" i="59" s="1"/>
  <c r="Y468" i="57"/>
  <c r="AC473" i="57" s="1"/>
  <c r="Y479" i="57"/>
  <c r="AC484" i="57" s="1"/>
  <c r="Y435" i="57"/>
  <c r="AC440" i="57" s="1"/>
  <c r="Y523" i="57"/>
  <c r="AC528" i="57" s="1"/>
  <c r="Y479" i="60"/>
  <c r="Y457" i="60"/>
  <c r="Y446" i="60"/>
  <c r="Y490" i="60"/>
  <c r="Y468" i="60"/>
  <c r="Y424" i="57"/>
  <c r="AC429" i="57" s="1"/>
  <c r="W258" i="60"/>
  <c r="X258" i="60" s="1"/>
  <c r="S258" i="60"/>
  <c r="T258" i="60" s="1"/>
  <c r="W257" i="60"/>
  <c r="X257" i="60" s="1"/>
  <c r="S257" i="60"/>
  <c r="T257" i="60" s="1"/>
  <c r="W256" i="60"/>
  <c r="S256" i="60"/>
  <c r="W255" i="60"/>
  <c r="X255" i="60" s="1"/>
  <c r="S255" i="60"/>
  <c r="T255" i="60" s="1"/>
  <c r="W254" i="60"/>
  <c r="S254" i="60"/>
  <c r="W253" i="60"/>
  <c r="X253" i="60" s="1"/>
  <c r="S253" i="60"/>
  <c r="T253" i="60" s="1"/>
  <c r="W252" i="60"/>
  <c r="X252" i="60" s="1"/>
  <c r="S252" i="60"/>
  <c r="T252" i="60" s="1"/>
  <c r="K252" i="60"/>
  <c r="L252" i="60" s="1"/>
  <c r="W250" i="60"/>
  <c r="X250" i="60" s="1"/>
  <c r="S250" i="60"/>
  <c r="T250" i="60" s="1"/>
  <c r="W249" i="60"/>
  <c r="X249" i="60" s="1"/>
  <c r="S249" i="60"/>
  <c r="T249" i="60" s="1"/>
  <c r="O249" i="60"/>
  <c r="P249" i="60" s="1"/>
  <c r="K248" i="60"/>
  <c r="G248" i="60"/>
  <c r="S251" i="60"/>
  <c r="K249" i="60"/>
  <c r="O248" i="60"/>
  <c r="P248" i="60" s="1"/>
  <c r="W251" i="60"/>
  <c r="K251" i="60"/>
  <c r="L251" i="60" s="1"/>
  <c r="G249" i="60"/>
  <c r="W248" i="60"/>
  <c r="G424" i="60"/>
  <c r="K413" i="60"/>
  <c r="S370" i="60"/>
  <c r="T370" i="60" s="1"/>
  <c r="W410" i="60"/>
  <c r="K347" i="60"/>
  <c r="S380" i="60"/>
  <c r="W377" i="60"/>
  <c r="S424" i="60"/>
  <c r="S248" i="60"/>
  <c r="S402" i="60" l="1"/>
  <c r="K361" i="60"/>
  <c r="L361" i="60" s="1"/>
  <c r="S347" i="60"/>
  <c r="S391" i="60"/>
  <c r="Y391" i="60" l="1"/>
  <c r="U258" i="57"/>
  <c r="Q258" i="57"/>
  <c r="U257" i="57"/>
  <c r="Q257" i="57"/>
  <c r="U255" i="57"/>
  <c r="Q255" i="57"/>
  <c r="U253" i="57"/>
  <c r="Q253" i="57"/>
  <c r="U252" i="57"/>
  <c r="Q252" i="57"/>
  <c r="I252" i="57"/>
  <c r="I251" i="57"/>
  <c r="U250" i="57"/>
  <c r="Q250" i="57"/>
  <c r="U249" i="57"/>
  <c r="Q249" i="57"/>
  <c r="G36" i="66" l="1"/>
  <c r="J5" i="66"/>
  <c r="P3" i="66"/>
  <c r="G28" i="65"/>
  <c r="J5" i="65"/>
  <c r="P3" i="65"/>
  <c r="O7" i="65" l="1"/>
  <c r="G33" i="64" l="1"/>
  <c r="J5" i="64"/>
  <c r="Q3" i="64"/>
  <c r="G36" i="63" l="1"/>
  <c r="J5" i="63"/>
  <c r="P3" i="63"/>
  <c r="G36" i="62"/>
  <c r="J5" i="62"/>
  <c r="P3" i="62"/>
  <c r="G36" i="61"/>
  <c r="J5" i="61"/>
  <c r="P3" i="61"/>
  <c r="G29" i="38"/>
  <c r="G36" i="25"/>
  <c r="G33" i="40"/>
  <c r="Q2" i="57"/>
  <c r="Q2" i="60"/>
  <c r="Q2" i="59"/>
  <c r="J5" i="38" l="1"/>
  <c r="J5" i="40"/>
  <c r="J5" i="25"/>
  <c r="L107" i="59" l="1"/>
  <c r="L110" i="59"/>
  <c r="L111" i="59"/>
  <c r="L112" i="59"/>
  <c r="L113" i="59"/>
  <c r="L114" i="59"/>
  <c r="L115" i="59"/>
  <c r="L118" i="59"/>
  <c r="L121" i="59"/>
  <c r="L122" i="59"/>
  <c r="L123" i="59"/>
  <c r="L124" i="59"/>
  <c r="L125" i="59"/>
  <c r="L126" i="59"/>
  <c r="L129" i="59"/>
  <c r="L132" i="59"/>
  <c r="L133" i="59"/>
  <c r="L134" i="59"/>
  <c r="L135" i="59"/>
  <c r="L136" i="59"/>
  <c r="L137" i="59"/>
  <c r="L140" i="59"/>
  <c r="L143" i="59"/>
  <c r="L144" i="59"/>
  <c r="L145" i="59"/>
  <c r="L146" i="59"/>
  <c r="L147" i="59"/>
  <c r="L148" i="59"/>
  <c r="L151" i="59"/>
  <c r="L154" i="59"/>
  <c r="L155" i="59"/>
  <c r="L156" i="59"/>
  <c r="L157" i="59"/>
  <c r="L158" i="59"/>
  <c r="L159" i="59"/>
  <c r="L162" i="59"/>
  <c r="L165" i="59"/>
  <c r="L166" i="59"/>
  <c r="L167" i="59"/>
  <c r="L168" i="59"/>
  <c r="L169" i="59"/>
  <c r="L170" i="59"/>
  <c r="L173" i="59"/>
  <c r="L176" i="59"/>
  <c r="L177" i="59"/>
  <c r="L178" i="59"/>
  <c r="L179" i="59"/>
  <c r="L180" i="59"/>
  <c r="L181" i="59"/>
  <c r="L184" i="59"/>
  <c r="L187" i="59"/>
  <c r="L188" i="59"/>
  <c r="L189" i="59"/>
  <c r="L190" i="59"/>
  <c r="L191" i="59"/>
  <c r="L192" i="59"/>
  <c r="L195" i="59"/>
  <c r="L198" i="59"/>
  <c r="L199" i="59"/>
  <c r="L200" i="59"/>
  <c r="L201" i="59"/>
  <c r="L202" i="59"/>
  <c r="L203" i="59"/>
  <c r="L206" i="59"/>
  <c r="L209" i="59"/>
  <c r="L210" i="59"/>
  <c r="L211" i="59"/>
  <c r="L212" i="59"/>
  <c r="L213" i="59"/>
  <c r="L214" i="59"/>
  <c r="L217" i="59"/>
  <c r="L220" i="59"/>
  <c r="L221" i="59"/>
  <c r="L222" i="59"/>
  <c r="L223" i="59"/>
  <c r="L224" i="59"/>
  <c r="L225" i="59"/>
  <c r="L228" i="59"/>
  <c r="L231" i="59"/>
  <c r="L232" i="59"/>
  <c r="L233" i="59"/>
  <c r="L234" i="59"/>
  <c r="L235" i="59"/>
  <c r="L236" i="59"/>
  <c r="L503" i="59"/>
  <c r="L506" i="59"/>
  <c r="L507" i="59"/>
  <c r="L508" i="59"/>
  <c r="L509" i="59"/>
  <c r="L510" i="59"/>
  <c r="L511" i="59"/>
  <c r="H85" i="59"/>
  <c r="H86" i="59"/>
  <c r="H87" i="59"/>
  <c r="H88" i="59"/>
  <c r="H89" i="59"/>
  <c r="H90" i="59"/>
  <c r="H91" i="59"/>
  <c r="H92" i="59"/>
  <c r="H93" i="59"/>
  <c r="H96" i="59"/>
  <c r="H97" i="59"/>
  <c r="H98" i="59"/>
  <c r="H99" i="59"/>
  <c r="H100" i="59"/>
  <c r="H101" i="59"/>
  <c r="H102" i="59"/>
  <c r="H103" i="59"/>
  <c r="H104" i="59"/>
  <c r="H107" i="59"/>
  <c r="H108" i="59"/>
  <c r="H109" i="59"/>
  <c r="H110" i="59"/>
  <c r="H111" i="59"/>
  <c r="H112" i="59"/>
  <c r="H113" i="59"/>
  <c r="H114" i="59"/>
  <c r="H115" i="59"/>
  <c r="H118" i="59"/>
  <c r="H119" i="59"/>
  <c r="H120" i="59"/>
  <c r="H121" i="59"/>
  <c r="H122" i="59"/>
  <c r="H123" i="59"/>
  <c r="H124" i="59"/>
  <c r="H125" i="59"/>
  <c r="H126" i="59"/>
  <c r="H129" i="59"/>
  <c r="H130" i="59"/>
  <c r="H131" i="59"/>
  <c r="H132" i="59"/>
  <c r="H133" i="59"/>
  <c r="H134" i="59"/>
  <c r="H135" i="59"/>
  <c r="H136" i="59"/>
  <c r="H137" i="59"/>
  <c r="H140" i="59"/>
  <c r="H141" i="59"/>
  <c r="H142" i="59"/>
  <c r="H143" i="59"/>
  <c r="H144" i="59"/>
  <c r="H145" i="59"/>
  <c r="H146" i="59"/>
  <c r="H147" i="59"/>
  <c r="H148" i="59"/>
  <c r="H151" i="59"/>
  <c r="H152" i="59"/>
  <c r="H153" i="59"/>
  <c r="H154" i="59"/>
  <c r="H155" i="59"/>
  <c r="H156" i="59"/>
  <c r="H157" i="59"/>
  <c r="H158" i="59"/>
  <c r="H159" i="59"/>
  <c r="H162" i="59"/>
  <c r="H163" i="59"/>
  <c r="H164" i="59"/>
  <c r="H165" i="59"/>
  <c r="H166" i="59"/>
  <c r="H167" i="59"/>
  <c r="H168" i="59"/>
  <c r="H169" i="59"/>
  <c r="H170" i="59"/>
  <c r="H173" i="59"/>
  <c r="H174" i="59"/>
  <c r="H175" i="59"/>
  <c r="H176" i="59"/>
  <c r="H177" i="59"/>
  <c r="H178" i="59"/>
  <c r="H179" i="59"/>
  <c r="H180" i="59"/>
  <c r="H181" i="59"/>
  <c r="H184" i="59"/>
  <c r="H185" i="59"/>
  <c r="H186" i="59"/>
  <c r="H187" i="59"/>
  <c r="H188" i="59"/>
  <c r="H189" i="59"/>
  <c r="H190" i="59"/>
  <c r="H191" i="59"/>
  <c r="H192" i="59"/>
  <c r="H195" i="59"/>
  <c r="H196" i="59"/>
  <c r="H197" i="59"/>
  <c r="H198" i="59"/>
  <c r="H199" i="59"/>
  <c r="H200" i="59"/>
  <c r="H201" i="59"/>
  <c r="H202" i="59"/>
  <c r="H203" i="59"/>
  <c r="H206" i="59"/>
  <c r="H207" i="59"/>
  <c r="H208" i="59"/>
  <c r="H209" i="59"/>
  <c r="H210" i="59"/>
  <c r="H211" i="59"/>
  <c r="H212" i="59"/>
  <c r="H213" i="59"/>
  <c r="H214" i="59"/>
  <c r="H217" i="59"/>
  <c r="H218" i="59"/>
  <c r="H219" i="59"/>
  <c r="H220" i="59"/>
  <c r="H221" i="59"/>
  <c r="H222" i="59"/>
  <c r="H223" i="59"/>
  <c r="H224" i="59"/>
  <c r="H225" i="59"/>
  <c r="H228" i="59"/>
  <c r="H229" i="59"/>
  <c r="H230" i="59"/>
  <c r="H231" i="59"/>
  <c r="H232" i="59"/>
  <c r="H233" i="59"/>
  <c r="H234" i="59"/>
  <c r="H235" i="59"/>
  <c r="H236" i="59"/>
  <c r="H503" i="59"/>
  <c r="H504" i="59"/>
  <c r="H505" i="59"/>
  <c r="H506" i="59"/>
  <c r="H507" i="59"/>
  <c r="H508" i="59"/>
  <c r="H509" i="59"/>
  <c r="H510" i="59"/>
  <c r="H511" i="59"/>
  <c r="L85" i="59"/>
  <c r="L88" i="59"/>
  <c r="L89" i="59"/>
  <c r="L90" i="59"/>
  <c r="L91" i="59"/>
  <c r="L92" i="59"/>
  <c r="L93" i="59"/>
  <c r="L96" i="59"/>
  <c r="L99" i="59"/>
  <c r="L100" i="59"/>
  <c r="L101" i="59"/>
  <c r="L102" i="59"/>
  <c r="L103" i="59"/>
  <c r="L104" i="59"/>
  <c r="L63" i="59"/>
  <c r="L66" i="59"/>
  <c r="L67" i="59"/>
  <c r="L68" i="59"/>
  <c r="L69" i="59"/>
  <c r="L70" i="59"/>
  <c r="L71" i="59"/>
  <c r="L74" i="59"/>
  <c r="L77" i="59"/>
  <c r="L78" i="59"/>
  <c r="L79" i="59"/>
  <c r="L80" i="59"/>
  <c r="L81" i="59"/>
  <c r="L82" i="59"/>
  <c r="H63" i="59"/>
  <c r="H64" i="59"/>
  <c r="H65" i="59"/>
  <c r="H66" i="59"/>
  <c r="H67" i="59"/>
  <c r="H68" i="59"/>
  <c r="H69" i="59"/>
  <c r="H70" i="59"/>
  <c r="H71" i="59"/>
  <c r="H74" i="59"/>
  <c r="H75" i="59"/>
  <c r="H76" i="59"/>
  <c r="H77" i="59"/>
  <c r="H78" i="59"/>
  <c r="H79" i="59"/>
  <c r="H80" i="59"/>
  <c r="H81" i="59"/>
  <c r="H82" i="59"/>
  <c r="H41" i="59"/>
  <c r="H42" i="59"/>
  <c r="H43" i="59"/>
  <c r="H44" i="59"/>
  <c r="H45" i="59"/>
  <c r="H46" i="59"/>
  <c r="H47" i="59"/>
  <c r="H48" i="59"/>
  <c r="H49" i="59"/>
  <c r="H52" i="59"/>
  <c r="H53" i="59"/>
  <c r="H54" i="59"/>
  <c r="H55" i="59"/>
  <c r="H56" i="59"/>
  <c r="H57" i="59"/>
  <c r="H58" i="59"/>
  <c r="H59" i="59"/>
  <c r="H60" i="59"/>
  <c r="L41" i="59"/>
  <c r="L44" i="59"/>
  <c r="L45" i="59"/>
  <c r="L46" i="59"/>
  <c r="L47" i="59"/>
  <c r="L48" i="59"/>
  <c r="L49" i="59"/>
  <c r="L52" i="59"/>
  <c r="L55" i="59"/>
  <c r="L56" i="59"/>
  <c r="L57" i="59"/>
  <c r="L58" i="59"/>
  <c r="L59" i="59"/>
  <c r="L60" i="59"/>
  <c r="L30" i="59"/>
  <c r="L33" i="59"/>
  <c r="L34" i="59"/>
  <c r="L35" i="59"/>
  <c r="L36" i="59"/>
  <c r="L37" i="59"/>
  <c r="L38" i="59"/>
  <c r="H30" i="59"/>
  <c r="H31" i="59"/>
  <c r="H32" i="59"/>
  <c r="H33" i="59"/>
  <c r="H34" i="59"/>
  <c r="H35" i="59"/>
  <c r="H36" i="59"/>
  <c r="H37" i="59"/>
  <c r="H38" i="59"/>
  <c r="H19" i="59"/>
  <c r="H20" i="59"/>
  <c r="H21" i="59"/>
  <c r="H22" i="59"/>
  <c r="H23" i="59"/>
  <c r="H24" i="59"/>
  <c r="H25" i="59"/>
  <c r="H26" i="59"/>
  <c r="H27" i="59"/>
  <c r="L19" i="59"/>
  <c r="L22" i="59"/>
  <c r="L23" i="59"/>
  <c r="L24" i="59"/>
  <c r="L25" i="59"/>
  <c r="L26" i="59"/>
  <c r="L27" i="59"/>
  <c r="L8" i="59"/>
  <c r="L11" i="59"/>
  <c r="L12" i="59"/>
  <c r="L13" i="59"/>
  <c r="L14" i="59"/>
  <c r="L15" i="59"/>
  <c r="L16" i="59"/>
  <c r="H8" i="59"/>
  <c r="H9" i="59"/>
  <c r="H10" i="59"/>
  <c r="H11" i="59"/>
  <c r="H12" i="59"/>
  <c r="H13" i="59"/>
  <c r="H14" i="59"/>
  <c r="H15" i="59"/>
  <c r="H16" i="59"/>
  <c r="U445" i="60" l="1"/>
  <c r="Q445" i="60"/>
  <c r="U444" i="60"/>
  <c r="Q444" i="60"/>
  <c r="U442" i="60"/>
  <c r="Q442" i="60"/>
  <c r="U440" i="60"/>
  <c r="Q440" i="60"/>
  <c r="U439" i="60"/>
  <c r="Q439" i="60"/>
  <c r="I439" i="60"/>
  <c r="I438" i="60"/>
  <c r="U437" i="60"/>
  <c r="Q437" i="60"/>
  <c r="U436" i="60"/>
  <c r="Q436" i="60"/>
  <c r="U16" i="60"/>
  <c r="Q16" i="60"/>
  <c r="U15" i="60"/>
  <c r="Q15" i="60"/>
  <c r="U13" i="60"/>
  <c r="Q13" i="60"/>
  <c r="U11" i="60"/>
  <c r="Q11" i="60"/>
  <c r="U10" i="60"/>
  <c r="Q10" i="60"/>
  <c r="I10" i="60"/>
  <c r="I9" i="60"/>
  <c r="U8" i="60"/>
  <c r="Q8" i="60"/>
  <c r="U7" i="60"/>
  <c r="Q7" i="60"/>
  <c r="H1" i="60"/>
  <c r="U511" i="59" l="1"/>
  <c r="Q511" i="59"/>
  <c r="U510" i="59"/>
  <c r="Q510" i="59"/>
  <c r="U508" i="59"/>
  <c r="Q508" i="59"/>
  <c r="U506" i="59"/>
  <c r="Q506" i="59"/>
  <c r="U505" i="59"/>
  <c r="Q505" i="59"/>
  <c r="I505" i="59"/>
  <c r="I504" i="59"/>
  <c r="U503" i="59"/>
  <c r="Q503" i="59"/>
  <c r="U502" i="59"/>
  <c r="Q502" i="59"/>
  <c r="U236" i="59"/>
  <c r="U235" i="59"/>
  <c r="U233" i="59"/>
  <c r="U231" i="59"/>
  <c r="U230" i="59"/>
  <c r="I230" i="59"/>
  <c r="I229" i="59"/>
  <c r="U228" i="59"/>
  <c r="U227" i="59"/>
  <c r="U225" i="59"/>
  <c r="U224" i="59"/>
  <c r="U222" i="59"/>
  <c r="U220" i="59"/>
  <c r="U219" i="59"/>
  <c r="I219" i="59"/>
  <c r="I218" i="59"/>
  <c r="U217" i="59"/>
  <c r="U216" i="59"/>
  <c r="U214" i="59"/>
  <c r="U213" i="59"/>
  <c r="U211" i="59"/>
  <c r="U209" i="59"/>
  <c r="U208" i="59"/>
  <c r="I208" i="59"/>
  <c r="I207" i="59"/>
  <c r="U206" i="59"/>
  <c r="U205" i="59"/>
  <c r="U203" i="59"/>
  <c r="U202" i="59"/>
  <c r="U200" i="59"/>
  <c r="U198" i="59"/>
  <c r="U197" i="59"/>
  <c r="I197" i="59"/>
  <c r="I196" i="59"/>
  <c r="U195" i="59"/>
  <c r="U194" i="59"/>
  <c r="U192" i="59"/>
  <c r="U191" i="59"/>
  <c r="U189" i="59"/>
  <c r="U187" i="59"/>
  <c r="U186" i="59"/>
  <c r="I186" i="59"/>
  <c r="I185" i="59"/>
  <c r="U184" i="59"/>
  <c r="U183" i="59"/>
  <c r="U181" i="59"/>
  <c r="U180" i="59"/>
  <c r="U178" i="59"/>
  <c r="U176" i="59"/>
  <c r="U175" i="59"/>
  <c r="I175" i="59"/>
  <c r="I174" i="59"/>
  <c r="U173" i="59"/>
  <c r="U172" i="59"/>
  <c r="U170" i="59"/>
  <c r="U169" i="59"/>
  <c r="U167" i="59"/>
  <c r="U165" i="59"/>
  <c r="U164" i="59"/>
  <c r="I164" i="59"/>
  <c r="I163" i="59"/>
  <c r="U162" i="59"/>
  <c r="U161" i="59"/>
  <c r="U159" i="59"/>
  <c r="U158" i="59"/>
  <c r="U156" i="59"/>
  <c r="U154" i="59"/>
  <c r="U153" i="59"/>
  <c r="I153" i="59"/>
  <c r="I152" i="59"/>
  <c r="U151" i="59"/>
  <c r="U150" i="59"/>
  <c r="U148" i="59"/>
  <c r="U147" i="59"/>
  <c r="U145" i="59"/>
  <c r="U143" i="59"/>
  <c r="U142" i="59"/>
  <c r="I142" i="59"/>
  <c r="I141" i="59"/>
  <c r="U140" i="59"/>
  <c r="U139" i="59"/>
  <c r="U137" i="59"/>
  <c r="U136" i="59"/>
  <c r="U134" i="59"/>
  <c r="U132" i="59"/>
  <c r="U131" i="59"/>
  <c r="I131" i="59"/>
  <c r="I130" i="59"/>
  <c r="U129" i="59"/>
  <c r="U128" i="59"/>
  <c r="U126" i="59"/>
  <c r="U125" i="59"/>
  <c r="U123" i="59"/>
  <c r="U121" i="59"/>
  <c r="U120" i="59"/>
  <c r="I120" i="59"/>
  <c r="I119" i="59"/>
  <c r="U118" i="59"/>
  <c r="U117" i="59"/>
  <c r="U115" i="59"/>
  <c r="U114" i="59"/>
  <c r="U112" i="59"/>
  <c r="U110" i="59"/>
  <c r="U109" i="59"/>
  <c r="I109" i="59"/>
  <c r="I108" i="59"/>
  <c r="U107" i="59"/>
  <c r="U106" i="59"/>
  <c r="U104" i="59"/>
  <c r="U103" i="59"/>
  <c r="U101" i="59"/>
  <c r="U99" i="59"/>
  <c r="U98" i="59"/>
  <c r="I98" i="59"/>
  <c r="I97" i="59"/>
  <c r="U96" i="59"/>
  <c r="U95" i="59"/>
  <c r="U93" i="59"/>
  <c r="U92" i="59"/>
  <c r="U90" i="59"/>
  <c r="U88" i="59"/>
  <c r="U87" i="59"/>
  <c r="I87" i="59"/>
  <c r="I86" i="59"/>
  <c r="U85" i="59"/>
  <c r="U84" i="59"/>
  <c r="U82" i="59"/>
  <c r="U81" i="59"/>
  <c r="U79" i="59"/>
  <c r="U77" i="59"/>
  <c r="U76" i="59"/>
  <c r="I76" i="59"/>
  <c r="I75" i="59"/>
  <c r="U74" i="59"/>
  <c r="U73" i="59"/>
  <c r="U71" i="59"/>
  <c r="U70" i="59"/>
  <c r="U68" i="59"/>
  <c r="U66" i="59"/>
  <c r="U65" i="59"/>
  <c r="I65" i="59"/>
  <c r="I64" i="59"/>
  <c r="U63" i="59"/>
  <c r="U62" i="59"/>
  <c r="U60" i="59"/>
  <c r="U59" i="59"/>
  <c r="U57" i="59"/>
  <c r="U55" i="59"/>
  <c r="U54" i="59"/>
  <c r="I54" i="59"/>
  <c r="I53" i="59"/>
  <c r="U52" i="59"/>
  <c r="U51" i="59"/>
  <c r="U49" i="59"/>
  <c r="U48" i="59"/>
  <c r="U46" i="59"/>
  <c r="U44" i="59"/>
  <c r="U43" i="59"/>
  <c r="I43" i="59"/>
  <c r="I42" i="59"/>
  <c r="U41" i="59"/>
  <c r="U40" i="59"/>
  <c r="U38" i="59"/>
  <c r="U37" i="59"/>
  <c r="U35" i="59"/>
  <c r="U33" i="59"/>
  <c r="U32" i="59"/>
  <c r="I32" i="59"/>
  <c r="I31" i="59"/>
  <c r="U30" i="59"/>
  <c r="U29" i="59"/>
  <c r="U27" i="59"/>
  <c r="Q27" i="59"/>
  <c r="U26" i="59"/>
  <c r="Q26" i="59"/>
  <c r="U24" i="59"/>
  <c r="Q24" i="59"/>
  <c r="U22" i="59"/>
  <c r="Q22" i="59"/>
  <c r="U21" i="59"/>
  <c r="Q21" i="59"/>
  <c r="I21" i="59"/>
  <c r="I20" i="59"/>
  <c r="U19" i="59"/>
  <c r="Q19" i="59"/>
  <c r="U18" i="59"/>
  <c r="Q18" i="59"/>
  <c r="U16" i="59"/>
  <c r="Q16" i="59"/>
  <c r="U15" i="59"/>
  <c r="Q15" i="59"/>
  <c r="U13" i="59"/>
  <c r="Q13" i="59"/>
  <c r="U11" i="59"/>
  <c r="Q11" i="59"/>
  <c r="U10" i="59"/>
  <c r="Q10" i="59"/>
  <c r="I10" i="59"/>
  <c r="I9" i="59"/>
  <c r="U8" i="59"/>
  <c r="Q8" i="59"/>
  <c r="U7" i="59"/>
  <c r="Q7" i="59"/>
  <c r="H1" i="59"/>
  <c r="B132" i="57" l="1"/>
  <c r="O127" i="57" s="1"/>
  <c r="P127" i="57" s="1"/>
  <c r="Q896" i="57"/>
  <c r="U896" i="57"/>
  <c r="U895" i="57"/>
  <c r="Q895" i="57"/>
  <c r="U893" i="57"/>
  <c r="Q893" i="57"/>
  <c r="U891" i="57"/>
  <c r="Q891" i="57"/>
  <c r="U890" i="57"/>
  <c r="Q890" i="57"/>
  <c r="I890" i="57"/>
  <c r="I889" i="57"/>
  <c r="U888" i="57"/>
  <c r="Q888" i="57"/>
  <c r="U887" i="57"/>
  <c r="Q887" i="57"/>
  <c r="U269" i="57"/>
  <c r="Q269" i="57"/>
  <c r="U268" i="57"/>
  <c r="Q268" i="57"/>
  <c r="U266" i="57"/>
  <c r="Q266" i="57"/>
  <c r="U264" i="57"/>
  <c r="Q264" i="57"/>
  <c r="U263" i="57"/>
  <c r="Q263" i="57"/>
  <c r="I263" i="57"/>
  <c r="I262" i="57"/>
  <c r="U261" i="57"/>
  <c r="Q261" i="57"/>
  <c r="U260" i="57"/>
  <c r="Q260" i="57"/>
  <c r="U247" i="57"/>
  <c r="Q247" i="57"/>
  <c r="U246" i="57"/>
  <c r="Q246" i="57"/>
  <c r="U244" i="57"/>
  <c r="Q244" i="57"/>
  <c r="U242" i="57"/>
  <c r="Q242" i="57"/>
  <c r="U241" i="57"/>
  <c r="Q241" i="57"/>
  <c r="I241" i="57"/>
  <c r="I240" i="57"/>
  <c r="U239" i="57"/>
  <c r="Q239" i="57"/>
  <c r="U238" i="57"/>
  <c r="Q238" i="57"/>
  <c r="U236" i="57"/>
  <c r="Q236" i="57"/>
  <c r="U235" i="57"/>
  <c r="Q235" i="57"/>
  <c r="U233" i="57"/>
  <c r="Q233" i="57"/>
  <c r="U231" i="57"/>
  <c r="Q231" i="57"/>
  <c r="U230" i="57"/>
  <c r="Q230" i="57"/>
  <c r="I230" i="57"/>
  <c r="I229" i="57"/>
  <c r="U228" i="57"/>
  <c r="Q228" i="57"/>
  <c r="U227" i="57"/>
  <c r="Q227" i="57"/>
  <c r="U225" i="57"/>
  <c r="Q225" i="57"/>
  <c r="U224" i="57"/>
  <c r="Q224" i="57"/>
  <c r="U222" i="57"/>
  <c r="Q222" i="57"/>
  <c r="U220" i="57"/>
  <c r="Q220" i="57"/>
  <c r="U219" i="57"/>
  <c r="Q219" i="57"/>
  <c r="I219" i="57"/>
  <c r="I218" i="57"/>
  <c r="U217" i="57"/>
  <c r="Q217" i="57"/>
  <c r="U216" i="57"/>
  <c r="Q216" i="57"/>
  <c r="U214" i="57"/>
  <c r="Q214" i="57"/>
  <c r="U213" i="57"/>
  <c r="Q213" i="57"/>
  <c r="U211" i="57"/>
  <c r="Q211" i="57"/>
  <c r="U209" i="57"/>
  <c r="Q209" i="57"/>
  <c r="U208" i="57"/>
  <c r="Q208" i="57"/>
  <c r="I208" i="57"/>
  <c r="I207" i="57"/>
  <c r="U206" i="57"/>
  <c r="Q206" i="57"/>
  <c r="U205" i="57"/>
  <c r="Q205" i="57"/>
  <c r="U203" i="57"/>
  <c r="Q203" i="57"/>
  <c r="U202" i="57"/>
  <c r="Q202" i="57"/>
  <c r="U200" i="57"/>
  <c r="Q200" i="57"/>
  <c r="U198" i="57"/>
  <c r="Q198" i="57"/>
  <c r="U197" i="57"/>
  <c r="Q197" i="57"/>
  <c r="I197" i="57"/>
  <c r="I196" i="57"/>
  <c r="U195" i="57"/>
  <c r="Q195" i="57"/>
  <c r="U194" i="57"/>
  <c r="Q194" i="57"/>
  <c r="U192" i="57"/>
  <c r="Q192" i="57"/>
  <c r="U191" i="57"/>
  <c r="Q191" i="57"/>
  <c r="U189" i="57"/>
  <c r="Q189" i="57"/>
  <c r="U187" i="57"/>
  <c r="Q187" i="57"/>
  <c r="U186" i="57"/>
  <c r="Q186" i="57"/>
  <c r="I186" i="57"/>
  <c r="I185" i="57"/>
  <c r="U184" i="57"/>
  <c r="Q184" i="57"/>
  <c r="U183" i="57"/>
  <c r="Q183" i="57"/>
  <c r="U181" i="57"/>
  <c r="Q181" i="57"/>
  <c r="U180" i="57"/>
  <c r="Q180" i="57"/>
  <c r="U178" i="57"/>
  <c r="Q178" i="57"/>
  <c r="U176" i="57"/>
  <c r="Q176" i="57"/>
  <c r="U175" i="57"/>
  <c r="Q175" i="57"/>
  <c r="I175" i="57"/>
  <c r="I174" i="57"/>
  <c r="U173" i="57"/>
  <c r="Q173" i="57"/>
  <c r="U172" i="57"/>
  <c r="Q172" i="57"/>
  <c r="U170" i="57"/>
  <c r="Q170" i="57"/>
  <c r="U169" i="57"/>
  <c r="Q169" i="57"/>
  <c r="U167" i="57"/>
  <c r="Q167" i="57"/>
  <c r="U165" i="57"/>
  <c r="Q165" i="57"/>
  <c r="U164" i="57"/>
  <c r="Q164" i="57"/>
  <c r="I164" i="57"/>
  <c r="I163" i="57"/>
  <c r="U162" i="57"/>
  <c r="Q162" i="57"/>
  <c r="U161" i="57"/>
  <c r="Q161" i="57"/>
  <c r="U159" i="57"/>
  <c r="Q159" i="57"/>
  <c r="U158" i="57"/>
  <c r="Q158" i="57"/>
  <c r="U156" i="57"/>
  <c r="Q156" i="57"/>
  <c r="U154" i="57"/>
  <c r="Q154" i="57"/>
  <c r="U153" i="57"/>
  <c r="Q153" i="57"/>
  <c r="I153" i="57"/>
  <c r="I152" i="57"/>
  <c r="U151" i="57"/>
  <c r="Q151" i="57"/>
  <c r="U150" i="57"/>
  <c r="Q150" i="57"/>
  <c r="U148" i="57"/>
  <c r="Q148" i="57"/>
  <c r="U147" i="57"/>
  <c r="Q147" i="57"/>
  <c r="U145" i="57"/>
  <c r="Q145" i="57"/>
  <c r="U143" i="57"/>
  <c r="Q143" i="57"/>
  <c r="U142" i="57"/>
  <c r="Q142" i="57"/>
  <c r="I142" i="57"/>
  <c r="I141" i="57"/>
  <c r="U140" i="57"/>
  <c r="Q140" i="57"/>
  <c r="U139" i="57"/>
  <c r="Q139" i="57"/>
  <c r="U137" i="57"/>
  <c r="Q137" i="57"/>
  <c r="U136" i="57"/>
  <c r="Q136" i="57"/>
  <c r="U134" i="57"/>
  <c r="Q134" i="57"/>
  <c r="U132" i="57"/>
  <c r="Q132" i="57"/>
  <c r="U131" i="57"/>
  <c r="Q131" i="57"/>
  <c r="I131" i="57"/>
  <c r="I130" i="57"/>
  <c r="U129" i="57"/>
  <c r="Q129" i="57"/>
  <c r="U128" i="57"/>
  <c r="Q128" i="57"/>
  <c r="U126" i="57"/>
  <c r="Q126" i="57"/>
  <c r="U125" i="57"/>
  <c r="Q125" i="57"/>
  <c r="U123" i="57"/>
  <c r="Q123" i="57"/>
  <c r="U121" i="57"/>
  <c r="Q121" i="57"/>
  <c r="U120" i="57"/>
  <c r="Q120" i="57"/>
  <c r="I120" i="57"/>
  <c r="I119" i="57"/>
  <c r="U118" i="57"/>
  <c r="Q118" i="57"/>
  <c r="U117" i="57"/>
  <c r="Q117" i="57"/>
  <c r="U115" i="57"/>
  <c r="Q115" i="57"/>
  <c r="U114" i="57"/>
  <c r="Q114" i="57"/>
  <c r="U112" i="57"/>
  <c r="Q112" i="57"/>
  <c r="U110" i="57"/>
  <c r="Q110" i="57"/>
  <c r="U109" i="57"/>
  <c r="Q109" i="57"/>
  <c r="I109" i="57"/>
  <c r="I108" i="57"/>
  <c r="U107" i="57"/>
  <c r="Q107" i="57"/>
  <c r="U106" i="57"/>
  <c r="Q106" i="57"/>
  <c r="U104" i="57"/>
  <c r="Q104" i="57"/>
  <c r="U103" i="57"/>
  <c r="Q103" i="57"/>
  <c r="U101" i="57"/>
  <c r="Q101" i="57"/>
  <c r="U99" i="57"/>
  <c r="Q99" i="57"/>
  <c r="U98" i="57"/>
  <c r="Q98" i="57"/>
  <c r="I98" i="57"/>
  <c r="I97" i="57"/>
  <c r="U96" i="57"/>
  <c r="Q96" i="57"/>
  <c r="U95" i="57"/>
  <c r="Q95" i="57"/>
  <c r="U93" i="57"/>
  <c r="Q93" i="57"/>
  <c r="U92" i="57"/>
  <c r="Q92" i="57"/>
  <c r="U90" i="57"/>
  <c r="Q90" i="57"/>
  <c r="U88" i="57"/>
  <c r="Q88" i="57"/>
  <c r="U87" i="57"/>
  <c r="Q87" i="57"/>
  <c r="I87" i="57"/>
  <c r="I86" i="57"/>
  <c r="U85" i="57"/>
  <c r="Q85" i="57"/>
  <c r="U84" i="57"/>
  <c r="Q84" i="57"/>
  <c r="U82" i="57"/>
  <c r="Q82" i="57"/>
  <c r="U81" i="57"/>
  <c r="Q81" i="57"/>
  <c r="U79" i="57"/>
  <c r="Q79" i="57"/>
  <c r="U77" i="57"/>
  <c r="Q77" i="57"/>
  <c r="U76" i="57"/>
  <c r="Q76" i="57"/>
  <c r="I76" i="57"/>
  <c r="I75" i="57"/>
  <c r="U74" i="57"/>
  <c r="Q74" i="57"/>
  <c r="U73" i="57"/>
  <c r="Q73" i="57"/>
  <c r="U71" i="57"/>
  <c r="Q71" i="57"/>
  <c r="U70" i="57"/>
  <c r="Q70" i="57"/>
  <c r="U68" i="57"/>
  <c r="Q68" i="57"/>
  <c r="U66" i="57"/>
  <c r="Q66" i="57"/>
  <c r="U65" i="57"/>
  <c r="Q65" i="57"/>
  <c r="I65" i="57"/>
  <c r="I64" i="57"/>
  <c r="U63" i="57"/>
  <c r="Q63" i="57"/>
  <c r="U62" i="57"/>
  <c r="Q62" i="57"/>
  <c r="U60" i="57"/>
  <c r="Q60" i="57"/>
  <c r="U59" i="57"/>
  <c r="Q59" i="57"/>
  <c r="U57" i="57"/>
  <c r="Q57" i="57"/>
  <c r="U55" i="57"/>
  <c r="Q55" i="57"/>
  <c r="U54" i="57"/>
  <c r="Q54" i="57"/>
  <c r="I54" i="57"/>
  <c r="I53" i="57"/>
  <c r="U52" i="57"/>
  <c r="Q52" i="57"/>
  <c r="U51" i="57"/>
  <c r="Q51" i="57"/>
  <c r="U49" i="57"/>
  <c r="Q49" i="57"/>
  <c r="U48" i="57"/>
  <c r="Q48" i="57"/>
  <c r="U46" i="57"/>
  <c r="Q46" i="57"/>
  <c r="U44" i="57"/>
  <c r="Q44" i="57"/>
  <c r="U43" i="57"/>
  <c r="Q43" i="57"/>
  <c r="I43" i="57"/>
  <c r="I42" i="57"/>
  <c r="U41" i="57"/>
  <c r="Q41" i="57"/>
  <c r="U40" i="57"/>
  <c r="Q40" i="57"/>
  <c r="U38" i="57"/>
  <c r="Q38" i="57"/>
  <c r="U37" i="57"/>
  <c r="Q37" i="57"/>
  <c r="U35" i="57"/>
  <c r="Q35" i="57"/>
  <c r="U33" i="57"/>
  <c r="Q33" i="57"/>
  <c r="U32" i="57"/>
  <c r="Q32" i="57"/>
  <c r="I32" i="57"/>
  <c r="I31" i="57"/>
  <c r="U30" i="57"/>
  <c r="Q30" i="57"/>
  <c r="U29" i="57"/>
  <c r="Q29" i="57"/>
  <c r="U27" i="57"/>
  <c r="Q27" i="57"/>
  <c r="U26" i="57"/>
  <c r="Q26" i="57"/>
  <c r="U24" i="57"/>
  <c r="Q24" i="57"/>
  <c r="U22" i="57"/>
  <c r="Q22" i="57"/>
  <c r="U21" i="57"/>
  <c r="Q21" i="57"/>
  <c r="I21" i="57"/>
  <c r="I20" i="57"/>
  <c r="U19" i="57"/>
  <c r="Q19" i="57"/>
  <c r="U18" i="57"/>
  <c r="Q18" i="57"/>
  <c r="Q10" i="57"/>
  <c r="Q7" i="57"/>
  <c r="B132" i="59" l="1"/>
  <c r="W137" i="59" s="1"/>
  <c r="X137" i="59" s="1"/>
  <c r="B132" i="60"/>
  <c r="S128" i="57"/>
  <c r="T128" i="57" s="1"/>
  <c r="S136" i="57"/>
  <c r="O128" i="57"/>
  <c r="P128" i="57" s="1"/>
  <c r="S131" i="57"/>
  <c r="T131" i="57" s="1"/>
  <c r="G128" i="57"/>
  <c r="W133" i="57"/>
  <c r="W137" i="57"/>
  <c r="X137" i="57" s="1"/>
  <c r="S133" i="57"/>
  <c r="S135" i="57"/>
  <c r="S129" i="57"/>
  <c r="W130" i="57"/>
  <c r="W132" i="57"/>
  <c r="X132" i="57" s="1"/>
  <c r="W134" i="57"/>
  <c r="X134" i="57" s="1"/>
  <c r="W136" i="57"/>
  <c r="X136" i="57" s="1"/>
  <c r="W129" i="57"/>
  <c r="X129" i="57" s="1"/>
  <c r="K131" i="57"/>
  <c r="S137" i="57"/>
  <c r="K127" i="57"/>
  <c r="K128" i="57"/>
  <c r="W128" i="57"/>
  <c r="X128" i="57" s="1"/>
  <c r="S130" i="57"/>
  <c r="W131" i="57"/>
  <c r="X131" i="57" s="1"/>
  <c r="S132" i="57"/>
  <c r="S134" i="57"/>
  <c r="U13" i="57"/>
  <c r="Q13" i="57"/>
  <c r="U16" i="57"/>
  <c r="U15" i="57"/>
  <c r="U10" i="57"/>
  <c r="Q8" i="57"/>
  <c r="T137" i="57" l="1"/>
  <c r="T134" i="57"/>
  <c r="L131" i="57"/>
  <c r="T132" i="57"/>
  <c r="T129" i="57"/>
  <c r="T136" i="57"/>
  <c r="W130" i="60"/>
  <c r="S130" i="60"/>
  <c r="K130" i="60"/>
  <c r="L130" i="60" s="1"/>
  <c r="K128" i="60"/>
  <c r="G128" i="60"/>
  <c r="W127" i="60"/>
  <c r="O127" i="60"/>
  <c r="P127" i="60" s="1"/>
  <c r="W137" i="60"/>
  <c r="X137" i="60" s="1"/>
  <c r="S137" i="60"/>
  <c r="T137" i="60" s="1"/>
  <c r="W136" i="60"/>
  <c r="X136" i="60" s="1"/>
  <c r="S136" i="60"/>
  <c r="T136" i="60" s="1"/>
  <c r="W135" i="60"/>
  <c r="W134" i="60"/>
  <c r="X134" i="60" s="1"/>
  <c r="S134" i="60"/>
  <c r="T134" i="60" s="1"/>
  <c r="W133" i="60"/>
  <c r="W132" i="60"/>
  <c r="X132" i="60" s="1"/>
  <c r="S132" i="60"/>
  <c r="T132" i="60" s="1"/>
  <c r="W131" i="60"/>
  <c r="X131" i="60" s="1"/>
  <c r="S131" i="60"/>
  <c r="T131" i="60" s="1"/>
  <c r="K131" i="60"/>
  <c r="L131" i="60" s="1"/>
  <c r="K127" i="60"/>
  <c r="S135" i="60"/>
  <c r="S133" i="60"/>
  <c r="W129" i="60"/>
  <c r="X129" i="60" s="1"/>
  <c r="S129" i="60"/>
  <c r="T129" i="60" s="1"/>
  <c r="W128" i="60"/>
  <c r="X128" i="60" s="1"/>
  <c r="S128" i="60"/>
  <c r="T128" i="60" s="1"/>
  <c r="O128" i="60"/>
  <c r="P128" i="60" s="1"/>
  <c r="G127" i="60"/>
  <c r="W128" i="59"/>
  <c r="X128" i="59" s="1"/>
  <c r="O127" i="59"/>
  <c r="P127" i="59" s="1"/>
  <c r="S132" i="59"/>
  <c r="T132" i="59" s="1"/>
  <c r="W131" i="59"/>
  <c r="X131" i="59" s="1"/>
  <c r="S137" i="59"/>
  <c r="T137" i="59" s="1"/>
  <c r="O128" i="59"/>
  <c r="P128" i="59" s="1"/>
  <c r="S128" i="59"/>
  <c r="T128" i="59" s="1"/>
  <c r="K128" i="59"/>
  <c r="W134" i="59"/>
  <c r="X134" i="59" s="1"/>
  <c r="W130" i="59"/>
  <c r="S135" i="59"/>
  <c r="K131" i="59"/>
  <c r="L131" i="59" s="1"/>
  <c r="G128" i="59"/>
  <c r="S134" i="59"/>
  <c r="T134" i="59" s="1"/>
  <c r="S131" i="59"/>
  <c r="T131" i="59" s="1"/>
  <c r="K127" i="59"/>
  <c r="W129" i="59"/>
  <c r="X129" i="59" s="1"/>
  <c r="W132" i="59"/>
  <c r="X132" i="59" s="1"/>
  <c r="W136" i="59"/>
  <c r="X136" i="59" s="1"/>
  <c r="S129" i="59"/>
  <c r="T129" i="59" s="1"/>
  <c r="S136" i="59"/>
  <c r="T136" i="59" s="1"/>
  <c r="S133" i="59"/>
  <c r="S130" i="59"/>
  <c r="W133" i="59"/>
  <c r="B22" i="60"/>
  <c r="B33" i="60"/>
  <c r="B44" i="60"/>
  <c r="B55" i="60"/>
  <c r="B66" i="60"/>
  <c r="B77" i="60"/>
  <c r="B88" i="60"/>
  <c r="B99" i="60"/>
  <c r="B110" i="60"/>
  <c r="B121" i="60"/>
  <c r="B143" i="60"/>
  <c r="B154" i="60"/>
  <c r="B165" i="60"/>
  <c r="B176" i="60"/>
  <c r="B187" i="60"/>
  <c r="B209" i="59"/>
  <c r="B264" i="59"/>
  <c r="AO6" i="26" l="1"/>
  <c r="AN6" i="26" s="1"/>
  <c r="AO10" i="26"/>
  <c r="AN10" i="26" s="1"/>
  <c r="AO14" i="26"/>
  <c r="AN14" i="26" s="1"/>
  <c r="AO18" i="26"/>
  <c r="AN18" i="26" s="1"/>
  <c r="AO22" i="26"/>
  <c r="AN22" i="26" s="1"/>
  <c r="AO26" i="26"/>
  <c r="AN26" i="26" s="1"/>
  <c r="AO30" i="26"/>
  <c r="AN30" i="26" s="1"/>
  <c r="AO34" i="26"/>
  <c r="AN34" i="26" s="1"/>
  <c r="AO38" i="26"/>
  <c r="AN38" i="26" s="1"/>
  <c r="AO42" i="26"/>
  <c r="AN42" i="26" s="1"/>
  <c r="AO46" i="26"/>
  <c r="AN46" i="26" s="1"/>
  <c r="AO50" i="26"/>
  <c r="AN50" i="26" s="1"/>
  <c r="AO54" i="26"/>
  <c r="AN54" i="26" s="1"/>
  <c r="AO58" i="26"/>
  <c r="AN58" i="26" s="1"/>
  <c r="AO62" i="26"/>
  <c r="AN62" i="26" s="1"/>
  <c r="AO66" i="26"/>
  <c r="AN66" i="26" s="1"/>
  <c r="AO70" i="26"/>
  <c r="AN70" i="26" s="1"/>
  <c r="AO74" i="26"/>
  <c r="AN74" i="26" s="1"/>
  <c r="AO78" i="26"/>
  <c r="AN78" i="26" s="1"/>
  <c r="AO82" i="26"/>
  <c r="AN82" i="26" s="1"/>
  <c r="AO86" i="26"/>
  <c r="AN86" i="26" s="1"/>
  <c r="AO90" i="26"/>
  <c r="AN90" i="26" s="1"/>
  <c r="AO94" i="26"/>
  <c r="AN94" i="26" s="1"/>
  <c r="AO98" i="26"/>
  <c r="AN98" i="26" s="1"/>
  <c r="AO102" i="26"/>
  <c r="AN102" i="26" s="1"/>
  <c r="AO106" i="26"/>
  <c r="AN106" i="26" s="1"/>
  <c r="AO110" i="26"/>
  <c r="AN110" i="26" s="1"/>
  <c r="AO114" i="26"/>
  <c r="AN114" i="26" s="1"/>
  <c r="AO118" i="26"/>
  <c r="AN118" i="26" s="1"/>
  <c r="AO122" i="26"/>
  <c r="AN122" i="26" s="1"/>
  <c r="AO126" i="26"/>
  <c r="AN126" i="26" s="1"/>
  <c r="AO130" i="26"/>
  <c r="AN130" i="26" s="1"/>
  <c r="AO134" i="26"/>
  <c r="AN134" i="26" s="1"/>
  <c r="AO138" i="26"/>
  <c r="AN138" i="26" s="1"/>
  <c r="AO142" i="26"/>
  <c r="AN142" i="26" s="1"/>
  <c r="AO146" i="26"/>
  <c r="AN146" i="26" s="1"/>
  <c r="AO150" i="26"/>
  <c r="AN150" i="26" s="1"/>
  <c r="AO154" i="26"/>
  <c r="AN154" i="26" s="1"/>
  <c r="AO158" i="26"/>
  <c r="AN158" i="26" s="1"/>
  <c r="H479" i="60" s="1"/>
  <c r="AO162" i="26"/>
  <c r="AN162" i="26" s="1"/>
  <c r="AO166" i="26"/>
  <c r="AN166" i="26" s="1"/>
  <c r="AO170" i="26"/>
  <c r="AN170" i="26" s="1"/>
  <c r="AO174" i="26"/>
  <c r="AN174" i="26" s="1"/>
  <c r="AO178" i="26"/>
  <c r="AN178" i="26" s="1"/>
  <c r="AN182" i="26"/>
  <c r="AO186" i="26"/>
  <c r="AN186" i="26" s="1"/>
  <c r="AO190" i="26"/>
  <c r="AN190" i="26" s="1"/>
  <c r="AO194" i="26"/>
  <c r="AN194" i="26" s="1"/>
  <c r="AO305" i="26"/>
  <c r="AN305" i="26" s="1"/>
  <c r="AO309" i="26"/>
  <c r="AN309" i="26" s="1"/>
  <c r="AO313" i="26"/>
  <c r="AN313" i="26" s="1"/>
  <c r="AO3" i="26"/>
  <c r="AN3" i="26" s="1"/>
  <c r="AO7" i="26"/>
  <c r="AN7" i="26" s="1"/>
  <c r="AO11" i="26"/>
  <c r="AN11" i="26" s="1"/>
  <c r="AO15" i="26"/>
  <c r="AN15" i="26" s="1"/>
  <c r="AO19" i="26"/>
  <c r="AN19" i="26" s="1"/>
  <c r="AO23" i="26"/>
  <c r="AN23" i="26" s="1"/>
  <c r="T614" i="60" s="1"/>
  <c r="AO27" i="26"/>
  <c r="AN27" i="26" s="1"/>
  <c r="AO31" i="26"/>
  <c r="AN31" i="26" s="1"/>
  <c r="L501" i="60" s="1"/>
  <c r="AO35" i="26"/>
  <c r="AN35" i="26" s="1"/>
  <c r="AO39" i="26"/>
  <c r="AN39" i="26" s="1"/>
  <c r="AO43" i="26"/>
  <c r="AN43" i="26" s="1"/>
  <c r="AO47" i="26"/>
  <c r="AN47" i="26" s="1"/>
  <c r="T482" i="60" s="1"/>
  <c r="AO51" i="26"/>
  <c r="AN51" i="26" s="1"/>
  <c r="AO55" i="26"/>
  <c r="AN55" i="26" s="1"/>
  <c r="AO59" i="26"/>
  <c r="AN59" i="26" s="1"/>
  <c r="AO63" i="26"/>
  <c r="AN63" i="26" s="1"/>
  <c r="AO67" i="26"/>
  <c r="AN67" i="26" s="1"/>
  <c r="AO71" i="26"/>
  <c r="AN71" i="26" s="1"/>
  <c r="AO75" i="26"/>
  <c r="AN75" i="26" s="1"/>
  <c r="AO79" i="26"/>
  <c r="AN79" i="26" s="1"/>
  <c r="AO83" i="26"/>
  <c r="AN83" i="26" s="1"/>
  <c r="AO87" i="26"/>
  <c r="AN87" i="26" s="1"/>
  <c r="AO91" i="26"/>
  <c r="AN91" i="26" s="1"/>
  <c r="AO95" i="26"/>
  <c r="AN95" i="26" s="1"/>
  <c r="X644" i="60" s="1"/>
  <c r="AO99" i="26"/>
  <c r="AN99" i="26" s="1"/>
  <c r="AO103" i="26"/>
  <c r="AN103" i="26" s="1"/>
  <c r="H776" i="60" s="1"/>
  <c r="AO107" i="26"/>
  <c r="AN107" i="26" s="1"/>
  <c r="AO111" i="26"/>
  <c r="AN111" i="26" s="1"/>
  <c r="AO115" i="26"/>
  <c r="AN115" i="26" s="1"/>
  <c r="AO119" i="26"/>
  <c r="AN119" i="26" s="1"/>
  <c r="AO123" i="26"/>
  <c r="AN123" i="26" s="1"/>
  <c r="AO127" i="26"/>
  <c r="AN127" i="26" s="1"/>
  <c r="AO131" i="26"/>
  <c r="AN131" i="26" s="1"/>
  <c r="AO135" i="26"/>
  <c r="AN135" i="26" s="1"/>
  <c r="AO139" i="26"/>
  <c r="AN139" i="26" s="1"/>
  <c r="AO143" i="26"/>
  <c r="AN143" i="26" s="1"/>
  <c r="AO147" i="26"/>
  <c r="AN147" i="26" s="1"/>
  <c r="AO151" i="26"/>
  <c r="AN151" i="26" s="1"/>
  <c r="AO155" i="26"/>
  <c r="AN155" i="26" s="1"/>
  <c r="AO159" i="26"/>
  <c r="AN159" i="26" s="1"/>
  <c r="AO163" i="26"/>
  <c r="AN163" i="26" s="1"/>
  <c r="AO167" i="26"/>
  <c r="AN167" i="26" s="1"/>
  <c r="AO171" i="26"/>
  <c r="AN171" i="26" s="1"/>
  <c r="AO175" i="26"/>
  <c r="AN175" i="26" s="1"/>
  <c r="L523" i="60" s="1"/>
  <c r="AO179" i="26"/>
  <c r="AN179" i="26" s="1"/>
  <c r="AN183" i="26"/>
  <c r="AO187" i="26"/>
  <c r="AN187" i="26" s="1"/>
  <c r="AO191" i="26"/>
  <c r="AN191" i="26" s="1"/>
  <c r="AO195" i="26"/>
  <c r="AN195" i="26" s="1"/>
  <c r="X608" i="60"/>
  <c r="AO306" i="26"/>
  <c r="AN306" i="26" s="1"/>
  <c r="AO310" i="26"/>
  <c r="AN310" i="26" s="1"/>
  <c r="AO314" i="26"/>
  <c r="AN314" i="26" s="1"/>
  <c r="AO318" i="26"/>
  <c r="AN318" i="26" s="1"/>
  <c r="AO322" i="26"/>
  <c r="AN322" i="26" s="1"/>
  <c r="AO326" i="26"/>
  <c r="AN326" i="26" s="1"/>
  <c r="AO330" i="26"/>
  <c r="AN330" i="26" s="1"/>
  <c r="AO334" i="26"/>
  <c r="AN334" i="26" s="1"/>
  <c r="AO338" i="26"/>
  <c r="AN338" i="26" s="1"/>
  <c r="AO342" i="26"/>
  <c r="AN342" i="26" s="1"/>
  <c r="AO346" i="26"/>
  <c r="AN346" i="26" s="1"/>
  <c r="AO350" i="26"/>
  <c r="AN350" i="26" s="1"/>
  <c r="AO354" i="26"/>
  <c r="AN354" i="26" s="1"/>
  <c r="AO358" i="26"/>
  <c r="AN358" i="26" s="1"/>
  <c r="AO362" i="26"/>
  <c r="AN362" i="26" s="1"/>
  <c r="AO366" i="26"/>
  <c r="AN366" i="26" s="1"/>
  <c r="AO370" i="26"/>
  <c r="AN370" i="26" s="1"/>
  <c r="AO374" i="26"/>
  <c r="AN374" i="26" s="1"/>
  <c r="AO378" i="26"/>
  <c r="AN378" i="26" s="1"/>
  <c r="AO382" i="26"/>
  <c r="AN382" i="26" s="1"/>
  <c r="AO386" i="26"/>
  <c r="AN386" i="26" s="1"/>
  <c r="AO390" i="26"/>
  <c r="AN390" i="26" s="1"/>
  <c r="AO4" i="26"/>
  <c r="AN4" i="26" s="1"/>
  <c r="AO8" i="26"/>
  <c r="AN8" i="26" s="1"/>
  <c r="AO12" i="26"/>
  <c r="AN12" i="26" s="1"/>
  <c r="AO16" i="26"/>
  <c r="AN16" i="26" s="1"/>
  <c r="L589" i="60" s="1"/>
  <c r="AO20" i="26"/>
  <c r="AN20" i="26" s="1"/>
  <c r="AO24" i="26"/>
  <c r="AN24" i="26" s="1"/>
  <c r="AO28" i="26"/>
  <c r="AN28" i="26" s="1"/>
  <c r="AO32" i="26"/>
  <c r="AN32" i="26" s="1"/>
  <c r="AO36" i="26"/>
  <c r="AN36" i="26" s="1"/>
  <c r="AO40" i="26"/>
  <c r="AN40" i="26" s="1"/>
  <c r="AO44" i="26"/>
  <c r="AN44" i="26" s="1"/>
  <c r="AO48" i="26"/>
  <c r="AN48" i="26" s="1"/>
  <c r="AO52" i="26"/>
  <c r="AN52" i="26" s="1"/>
  <c r="AO56" i="26"/>
  <c r="AN56" i="26" s="1"/>
  <c r="AO60" i="26"/>
  <c r="AN60" i="26" s="1"/>
  <c r="AO64" i="26"/>
  <c r="AN64" i="26" s="1"/>
  <c r="AO68" i="26"/>
  <c r="AN68" i="26" s="1"/>
  <c r="AO72" i="26"/>
  <c r="AN72" i="26" s="1"/>
  <c r="AO76" i="26"/>
  <c r="AN76" i="26" s="1"/>
  <c r="AO80" i="26"/>
  <c r="AN80" i="26" s="1"/>
  <c r="AO84" i="26"/>
  <c r="AN84" i="26" s="1"/>
  <c r="AO88" i="26"/>
  <c r="AN88" i="26" s="1"/>
  <c r="AO92" i="26"/>
  <c r="AN92" i="26" s="1"/>
  <c r="AO96" i="26"/>
  <c r="AN96" i="26" s="1"/>
  <c r="AO100" i="26"/>
  <c r="AN100" i="26" s="1"/>
  <c r="AO104" i="26"/>
  <c r="AN104" i="26" s="1"/>
  <c r="AO108" i="26"/>
  <c r="AN108" i="26" s="1"/>
  <c r="AO112" i="26"/>
  <c r="AN112" i="26" s="1"/>
  <c r="AO116" i="26"/>
  <c r="AN116" i="26" s="1"/>
  <c r="AO120" i="26"/>
  <c r="AN120" i="26" s="1"/>
  <c r="AO124" i="26"/>
  <c r="AN124" i="26" s="1"/>
  <c r="AO128" i="26"/>
  <c r="AN128" i="26" s="1"/>
  <c r="L614" i="60" s="1"/>
  <c r="AO132" i="26"/>
  <c r="AN132" i="26" s="1"/>
  <c r="AO136" i="26"/>
  <c r="AN136" i="26" s="1"/>
  <c r="AO140" i="26"/>
  <c r="AN140" i="26" s="1"/>
  <c r="AO144" i="26"/>
  <c r="AN144" i="26" s="1"/>
  <c r="AO148" i="26"/>
  <c r="AN148" i="26" s="1"/>
  <c r="AO152" i="26"/>
  <c r="AN152" i="26" s="1"/>
  <c r="AO156" i="26"/>
  <c r="AN156" i="26" s="1"/>
  <c r="AO160" i="26"/>
  <c r="AN160" i="26" s="1"/>
  <c r="AO164" i="26"/>
  <c r="AN164" i="26" s="1"/>
  <c r="AO168" i="26"/>
  <c r="AN168" i="26" s="1"/>
  <c r="AO172" i="26"/>
  <c r="AN172" i="26" s="1"/>
  <c r="AO176" i="26"/>
  <c r="AN176" i="26" s="1"/>
  <c r="AO180" i="26"/>
  <c r="AN180" i="26" s="1"/>
  <c r="AN184" i="26"/>
  <c r="AO188" i="26"/>
  <c r="AN188" i="26" s="1"/>
  <c r="AO192" i="26"/>
  <c r="AN192" i="26" s="1"/>
  <c r="AO196" i="26"/>
  <c r="AN196" i="26" s="1"/>
  <c r="AO307" i="26"/>
  <c r="AN307" i="26" s="1"/>
  <c r="AO311" i="26"/>
  <c r="AN311" i="26" s="1"/>
  <c r="AO315" i="26"/>
  <c r="AN315" i="26" s="1"/>
  <c r="AO5" i="26"/>
  <c r="AN5" i="26" s="1"/>
  <c r="AO9" i="26"/>
  <c r="AN9" i="26" s="1"/>
  <c r="AO13" i="26"/>
  <c r="AN13" i="26" s="1"/>
  <c r="AO17" i="26"/>
  <c r="AN17" i="26" s="1"/>
  <c r="AO21" i="26"/>
  <c r="AN21" i="26" s="1"/>
  <c r="AO25" i="26"/>
  <c r="AN25" i="26" s="1"/>
  <c r="AO29" i="26"/>
  <c r="AN29" i="26" s="1"/>
  <c r="AO33" i="26"/>
  <c r="AN33" i="26" s="1"/>
  <c r="AO37" i="26"/>
  <c r="AN37" i="26" s="1"/>
  <c r="AO41" i="26"/>
  <c r="AN41" i="26" s="1"/>
  <c r="AO45" i="26"/>
  <c r="AN45" i="26" s="1"/>
  <c r="AO49" i="26"/>
  <c r="AN49" i="26" s="1"/>
  <c r="AO53" i="26"/>
  <c r="AN53" i="26" s="1"/>
  <c r="AO57" i="26"/>
  <c r="AN57" i="26" s="1"/>
  <c r="AO61" i="26"/>
  <c r="AN61" i="26" s="1"/>
  <c r="AO65" i="26"/>
  <c r="AN65" i="26" s="1"/>
  <c r="AO69" i="26"/>
  <c r="AN69" i="26" s="1"/>
  <c r="AO73" i="26"/>
  <c r="AN73" i="26" s="1"/>
  <c r="AO77" i="26"/>
  <c r="AN77" i="26" s="1"/>
  <c r="AO81" i="26"/>
  <c r="AN81" i="26" s="1"/>
  <c r="AO85" i="26"/>
  <c r="AN85" i="26" s="1"/>
  <c r="AO89" i="26"/>
  <c r="AN89" i="26" s="1"/>
  <c r="AO93" i="26"/>
  <c r="AN93" i="26" s="1"/>
  <c r="AO97" i="26"/>
  <c r="AN97" i="26" s="1"/>
  <c r="X487" i="60" s="1"/>
  <c r="AO101" i="26"/>
  <c r="AN101" i="26" s="1"/>
  <c r="AO105" i="26"/>
  <c r="AN105" i="26" s="1"/>
  <c r="AO109" i="26"/>
  <c r="AN109" i="26" s="1"/>
  <c r="AO113" i="26"/>
  <c r="AN113" i="26" s="1"/>
  <c r="AO117" i="26"/>
  <c r="AN117" i="26" s="1"/>
  <c r="AO121" i="26"/>
  <c r="AN121" i="26" s="1"/>
  <c r="AO125" i="26"/>
  <c r="AN125" i="26" s="1"/>
  <c r="AO129" i="26"/>
  <c r="AN129" i="26" s="1"/>
  <c r="AO133" i="26"/>
  <c r="AN133" i="26" s="1"/>
  <c r="AO137" i="26"/>
  <c r="AN137" i="26" s="1"/>
  <c r="AO141" i="26"/>
  <c r="AN141" i="26" s="1"/>
  <c r="X465" i="60" s="1"/>
  <c r="AO145" i="26"/>
  <c r="AN145" i="26" s="1"/>
  <c r="AO149" i="26"/>
  <c r="AN149" i="26" s="1"/>
  <c r="L490" i="60" s="1"/>
  <c r="AO153" i="26"/>
  <c r="AN153" i="26" s="1"/>
  <c r="AO157" i="26"/>
  <c r="AN157" i="26" s="1"/>
  <c r="AO161" i="26"/>
  <c r="AN161" i="26" s="1"/>
  <c r="AO165" i="26"/>
  <c r="AN165" i="26" s="1"/>
  <c r="AO169" i="26"/>
  <c r="AN169" i="26" s="1"/>
  <c r="AO173" i="26"/>
  <c r="AN173" i="26" s="1"/>
  <c r="AO177" i="26"/>
  <c r="AN177" i="26" s="1"/>
  <c r="AN181" i="26"/>
  <c r="AN185" i="26"/>
  <c r="AO189" i="26"/>
  <c r="AN189" i="26" s="1"/>
  <c r="AO193" i="26"/>
  <c r="AN193" i="26" s="1"/>
  <c r="AO197" i="26"/>
  <c r="AN197" i="26" s="1"/>
  <c r="AO308" i="26"/>
  <c r="AN308" i="26" s="1"/>
  <c r="H446" i="60" s="1"/>
  <c r="AO312" i="26"/>
  <c r="AN312" i="26" s="1"/>
  <c r="AO316" i="26"/>
  <c r="AN316" i="26" s="1"/>
  <c r="AO320" i="26"/>
  <c r="AN320" i="26" s="1"/>
  <c r="AO324" i="26"/>
  <c r="AN324" i="26" s="1"/>
  <c r="AO328" i="26"/>
  <c r="AN328" i="26" s="1"/>
  <c r="AO332" i="26"/>
  <c r="AN332" i="26" s="1"/>
  <c r="AO336" i="26"/>
  <c r="AN336" i="26" s="1"/>
  <c r="AO340" i="26"/>
  <c r="AN340" i="26" s="1"/>
  <c r="AO344" i="26"/>
  <c r="AN344" i="26" s="1"/>
  <c r="AO348" i="26"/>
  <c r="AN348" i="26" s="1"/>
  <c r="AO352" i="26"/>
  <c r="AN352" i="26" s="1"/>
  <c r="AO356" i="26"/>
  <c r="AN356" i="26" s="1"/>
  <c r="AO360" i="26"/>
  <c r="AN360" i="26" s="1"/>
  <c r="AO364" i="26"/>
  <c r="AN364" i="26" s="1"/>
  <c r="AO368" i="26"/>
  <c r="AN368" i="26" s="1"/>
  <c r="AO372" i="26"/>
  <c r="AN372" i="26" s="1"/>
  <c r="AO376" i="26"/>
  <c r="AN376" i="26" s="1"/>
  <c r="AO380" i="26"/>
  <c r="AN380" i="26" s="1"/>
  <c r="AO384" i="26"/>
  <c r="AN384" i="26" s="1"/>
  <c r="AO388" i="26"/>
  <c r="AN388" i="26" s="1"/>
  <c r="AO392" i="26"/>
  <c r="AN392" i="26" s="1"/>
  <c r="AO323" i="26"/>
  <c r="AN323" i="26" s="1"/>
  <c r="AO331" i="26"/>
  <c r="AN331" i="26" s="1"/>
  <c r="AO339" i="26"/>
  <c r="AN339" i="26" s="1"/>
  <c r="AO347" i="26"/>
  <c r="AN347" i="26" s="1"/>
  <c r="AO355" i="26"/>
  <c r="AN355" i="26" s="1"/>
  <c r="AO363" i="26"/>
  <c r="AN363" i="26" s="1"/>
  <c r="AO371" i="26"/>
  <c r="AN371" i="26" s="1"/>
  <c r="AO379" i="26"/>
  <c r="AN379" i="26" s="1"/>
  <c r="AO387" i="26"/>
  <c r="AN387" i="26" s="1"/>
  <c r="AO394" i="26"/>
  <c r="AN394" i="26" s="1"/>
  <c r="AO398" i="26"/>
  <c r="AN398" i="26" s="1"/>
  <c r="AO402" i="26"/>
  <c r="AN402" i="26" s="1"/>
  <c r="AO406" i="26"/>
  <c r="AN406" i="26" s="1"/>
  <c r="AO410" i="26"/>
  <c r="AN410" i="26" s="1"/>
  <c r="AO414" i="26"/>
  <c r="AN414" i="26" s="1"/>
  <c r="AO418" i="26"/>
  <c r="AN418" i="26" s="1"/>
  <c r="AO422" i="26"/>
  <c r="AN422" i="26" s="1"/>
  <c r="AO426" i="26"/>
  <c r="AN426" i="26" s="1"/>
  <c r="AO430" i="26"/>
  <c r="AN430" i="26" s="1"/>
  <c r="AO434" i="26"/>
  <c r="AN434" i="26" s="1"/>
  <c r="AO438" i="26"/>
  <c r="AN438" i="26" s="1"/>
  <c r="AO442" i="26"/>
  <c r="AN442" i="26" s="1"/>
  <c r="AO446" i="26"/>
  <c r="AN446" i="26" s="1"/>
  <c r="AO450" i="26"/>
  <c r="AN450" i="26" s="1"/>
  <c r="AO454" i="26"/>
  <c r="AN454" i="26" s="1"/>
  <c r="AO458" i="26"/>
  <c r="AN458" i="26" s="1"/>
  <c r="AO462" i="26"/>
  <c r="AN462" i="26" s="1"/>
  <c r="AO329" i="26"/>
  <c r="AN329" i="26" s="1"/>
  <c r="AO345" i="26"/>
  <c r="AN345" i="26" s="1"/>
  <c r="AO361" i="26"/>
  <c r="AN361" i="26" s="1"/>
  <c r="AO393" i="26"/>
  <c r="AN393" i="26" s="1"/>
  <c r="AO401" i="26"/>
  <c r="AN401" i="26" s="1"/>
  <c r="AO413" i="26"/>
  <c r="AN413" i="26" s="1"/>
  <c r="AO425" i="26"/>
  <c r="AN425" i="26" s="1"/>
  <c r="AO437" i="26"/>
  <c r="AN437" i="26" s="1"/>
  <c r="AO449" i="26"/>
  <c r="AN449" i="26" s="1"/>
  <c r="AO461" i="26"/>
  <c r="AN461" i="26" s="1"/>
  <c r="AO317" i="26"/>
  <c r="AN317" i="26" s="1"/>
  <c r="AO325" i="26"/>
  <c r="AN325" i="26" s="1"/>
  <c r="AO333" i="26"/>
  <c r="AN333" i="26" s="1"/>
  <c r="AO341" i="26"/>
  <c r="AN341" i="26" s="1"/>
  <c r="AO349" i="26"/>
  <c r="AN349" i="26" s="1"/>
  <c r="AO357" i="26"/>
  <c r="AN357" i="26" s="1"/>
  <c r="AO365" i="26"/>
  <c r="AN365" i="26" s="1"/>
  <c r="AO373" i="26"/>
  <c r="AN373" i="26" s="1"/>
  <c r="AO381" i="26"/>
  <c r="AN381" i="26" s="1"/>
  <c r="AO389" i="26"/>
  <c r="AN389" i="26" s="1"/>
  <c r="AO395" i="26"/>
  <c r="AN395" i="26" s="1"/>
  <c r="AO399" i="26"/>
  <c r="AN399" i="26" s="1"/>
  <c r="AO403" i="26"/>
  <c r="AN403" i="26" s="1"/>
  <c r="AO407" i="26"/>
  <c r="AN407" i="26" s="1"/>
  <c r="AO411" i="26"/>
  <c r="AN411" i="26" s="1"/>
  <c r="AO415" i="26"/>
  <c r="AN415" i="26" s="1"/>
  <c r="AO419" i="26"/>
  <c r="AN419" i="26" s="1"/>
  <c r="AO423" i="26"/>
  <c r="AN423" i="26" s="1"/>
  <c r="AO427" i="26"/>
  <c r="AN427" i="26" s="1"/>
  <c r="AO431" i="26"/>
  <c r="AN431" i="26" s="1"/>
  <c r="AO435" i="26"/>
  <c r="AN435" i="26" s="1"/>
  <c r="AO439" i="26"/>
  <c r="AN439" i="26" s="1"/>
  <c r="AO443" i="26"/>
  <c r="AN443" i="26" s="1"/>
  <c r="AO447" i="26"/>
  <c r="AN447" i="26" s="1"/>
  <c r="AO451" i="26"/>
  <c r="AN451" i="26" s="1"/>
  <c r="AO455" i="26"/>
  <c r="AN455" i="26" s="1"/>
  <c r="AO459" i="26"/>
  <c r="AN459" i="26" s="1"/>
  <c r="AO463" i="26"/>
  <c r="AN463" i="26" s="1"/>
  <c r="AO337" i="26"/>
  <c r="AN337" i="26" s="1"/>
  <c r="AO377" i="26"/>
  <c r="AN377" i="26" s="1"/>
  <c r="AO405" i="26"/>
  <c r="AN405" i="26" s="1"/>
  <c r="AO417" i="26"/>
  <c r="AN417" i="26" s="1"/>
  <c r="AO429" i="26"/>
  <c r="AN429" i="26" s="1"/>
  <c r="AO441" i="26"/>
  <c r="AN441" i="26" s="1"/>
  <c r="AO457" i="26"/>
  <c r="AN457" i="26" s="1"/>
  <c r="AO319" i="26"/>
  <c r="AN319" i="26" s="1"/>
  <c r="AO327" i="26"/>
  <c r="AN327" i="26" s="1"/>
  <c r="AO335" i="26"/>
  <c r="AN335" i="26" s="1"/>
  <c r="AO343" i="26"/>
  <c r="AN343" i="26" s="1"/>
  <c r="AO351" i="26"/>
  <c r="AN351" i="26" s="1"/>
  <c r="AO359" i="26"/>
  <c r="AN359" i="26" s="1"/>
  <c r="AO367" i="26"/>
  <c r="AN367" i="26" s="1"/>
  <c r="AO375" i="26"/>
  <c r="AN375" i="26" s="1"/>
  <c r="AO383" i="26"/>
  <c r="AN383" i="26" s="1"/>
  <c r="AO391" i="26"/>
  <c r="AN391" i="26" s="1"/>
  <c r="AO396" i="26"/>
  <c r="AN396" i="26" s="1"/>
  <c r="AO400" i="26"/>
  <c r="AN400" i="26" s="1"/>
  <c r="AO404" i="26"/>
  <c r="AN404" i="26" s="1"/>
  <c r="AO408" i="26"/>
  <c r="AN408" i="26" s="1"/>
  <c r="AO412" i="26"/>
  <c r="AN412" i="26" s="1"/>
  <c r="AO416" i="26"/>
  <c r="AN416" i="26" s="1"/>
  <c r="AO420" i="26"/>
  <c r="AN420" i="26" s="1"/>
  <c r="AO424" i="26"/>
  <c r="AN424" i="26" s="1"/>
  <c r="AO428" i="26"/>
  <c r="AN428" i="26" s="1"/>
  <c r="AO432" i="26"/>
  <c r="AN432" i="26" s="1"/>
  <c r="AO436" i="26"/>
  <c r="AN436" i="26" s="1"/>
  <c r="AO440" i="26"/>
  <c r="AN440" i="26" s="1"/>
  <c r="AO444" i="26"/>
  <c r="AN444" i="26" s="1"/>
  <c r="AO448" i="26"/>
  <c r="AN448" i="26" s="1"/>
  <c r="AO452" i="26"/>
  <c r="AN452" i="26" s="1"/>
  <c r="AO456" i="26"/>
  <c r="AN456" i="26" s="1"/>
  <c r="AO460" i="26"/>
  <c r="AN460" i="26" s="1"/>
  <c r="AO2" i="26"/>
  <c r="AO321" i="26"/>
  <c r="AN321" i="26" s="1"/>
  <c r="L669" i="60" s="1"/>
  <c r="AO353" i="26"/>
  <c r="AN353" i="26" s="1"/>
  <c r="AO369" i="26"/>
  <c r="AN369" i="26" s="1"/>
  <c r="AO385" i="26"/>
  <c r="AN385" i="26" s="1"/>
  <c r="AO397" i="26"/>
  <c r="AN397" i="26" s="1"/>
  <c r="AO409" i="26"/>
  <c r="AN409" i="26" s="1"/>
  <c r="AO421" i="26"/>
  <c r="AN421" i="26" s="1"/>
  <c r="AO433" i="26"/>
  <c r="AN433" i="26" s="1"/>
  <c r="AO445" i="26"/>
  <c r="AN445" i="26" s="1"/>
  <c r="AO453" i="26"/>
  <c r="AN453" i="26" s="1"/>
  <c r="D490" i="60"/>
  <c r="C490" i="60"/>
  <c r="D501" i="59"/>
  <c r="C501" i="59"/>
  <c r="B341" i="60"/>
  <c r="S345" i="60" s="1"/>
  <c r="T345" i="60" s="1"/>
  <c r="B341" i="59"/>
  <c r="B319" i="60"/>
  <c r="S323" i="60" s="1"/>
  <c r="T323" i="60" s="1"/>
  <c r="B319" i="59"/>
  <c r="B297" i="60"/>
  <c r="W301" i="60" s="1"/>
  <c r="X301" i="60" s="1"/>
  <c r="B297" i="59"/>
  <c r="W302" i="59" s="1"/>
  <c r="X302" i="59" s="1"/>
  <c r="B275" i="60"/>
  <c r="W280" i="60" s="1"/>
  <c r="X280" i="60" s="1"/>
  <c r="B275" i="59"/>
  <c r="B242" i="60"/>
  <c r="S246" i="60" s="1"/>
  <c r="T246" i="60" s="1"/>
  <c r="B242" i="59"/>
  <c r="C248" i="59"/>
  <c r="D248" i="59"/>
  <c r="B330" i="60"/>
  <c r="W334" i="60" s="1"/>
  <c r="X334" i="60" s="1"/>
  <c r="B330" i="59"/>
  <c r="B308" i="60"/>
  <c r="W312" i="60" s="1"/>
  <c r="X312" i="60" s="1"/>
  <c r="B308" i="59"/>
  <c r="B286" i="60"/>
  <c r="W291" i="60" s="1"/>
  <c r="X291" i="60" s="1"/>
  <c r="B286" i="59"/>
  <c r="C281" i="59" s="1"/>
  <c r="C259" i="59"/>
  <c r="S268" i="59"/>
  <c r="T268" i="59" s="1"/>
  <c r="S269" i="59"/>
  <c r="T269" i="59" s="1"/>
  <c r="S267" i="59"/>
  <c r="S265" i="59"/>
  <c r="W263" i="59"/>
  <c r="X263" i="59" s="1"/>
  <c r="K262" i="59"/>
  <c r="L262" i="59" s="1"/>
  <c r="W269" i="59"/>
  <c r="X269" i="59" s="1"/>
  <c r="W267" i="59"/>
  <c r="W265" i="59"/>
  <c r="S263" i="59"/>
  <c r="T263" i="59" s="1"/>
  <c r="S261" i="59"/>
  <c r="T261" i="59" s="1"/>
  <c r="G260" i="59"/>
  <c r="K263" i="59"/>
  <c r="L263" i="59" s="1"/>
  <c r="O260" i="59"/>
  <c r="P260" i="59" s="1"/>
  <c r="O259" i="59"/>
  <c r="P259" i="59" s="1"/>
  <c r="S266" i="59"/>
  <c r="T266" i="59" s="1"/>
  <c r="S264" i="59"/>
  <c r="T264" i="59" s="1"/>
  <c r="W262" i="59"/>
  <c r="W261" i="59"/>
  <c r="X261" i="59" s="1"/>
  <c r="W268" i="59"/>
  <c r="X268" i="59" s="1"/>
  <c r="W266" i="59"/>
  <c r="X266" i="59" s="1"/>
  <c r="W264" i="59"/>
  <c r="X264" i="59" s="1"/>
  <c r="S262" i="59"/>
  <c r="S260" i="59"/>
  <c r="T260" i="59" s="1"/>
  <c r="D259" i="59"/>
  <c r="W260" i="59"/>
  <c r="X260" i="59" s="1"/>
  <c r="K259" i="59"/>
  <c r="K260" i="59"/>
  <c r="W259" i="59"/>
  <c r="S259" i="59"/>
  <c r="G259" i="59"/>
  <c r="D545" i="57"/>
  <c r="C556" i="57"/>
  <c r="D556" i="57"/>
  <c r="C545" i="57"/>
  <c r="C457" i="59"/>
  <c r="D479" i="59"/>
  <c r="D468" i="59"/>
  <c r="C468" i="59"/>
  <c r="D457" i="59"/>
  <c r="C479" i="59"/>
  <c r="D446" i="60"/>
  <c r="D479" i="60"/>
  <c r="C468" i="60"/>
  <c r="D468" i="60"/>
  <c r="C446" i="60"/>
  <c r="C457" i="60"/>
  <c r="D457" i="60"/>
  <c r="C479" i="60"/>
  <c r="D523" i="57"/>
  <c r="C523" i="57"/>
  <c r="D534" i="57"/>
  <c r="C534" i="57"/>
  <c r="D435" i="57"/>
  <c r="C501" i="57"/>
  <c r="C479" i="57"/>
  <c r="C490" i="57"/>
  <c r="D501" i="57"/>
  <c r="C446" i="57"/>
  <c r="D512" i="57"/>
  <c r="D468" i="57"/>
  <c r="C435" i="57"/>
  <c r="C457" i="57"/>
  <c r="D479" i="57"/>
  <c r="D457" i="57"/>
  <c r="D490" i="57"/>
  <c r="D446" i="57"/>
  <c r="C512" i="57"/>
  <c r="C468" i="57"/>
  <c r="D424" i="57"/>
  <c r="C424" i="57"/>
  <c r="W185" i="60"/>
  <c r="S185" i="60"/>
  <c r="K185" i="60"/>
  <c r="L185" i="60" s="1"/>
  <c r="K183" i="60"/>
  <c r="G183" i="60"/>
  <c r="W182" i="60"/>
  <c r="S182" i="60"/>
  <c r="O182" i="60"/>
  <c r="P182" i="60" s="1"/>
  <c r="W192" i="60"/>
  <c r="X192" i="60" s="1"/>
  <c r="S192" i="60"/>
  <c r="T192" i="60" s="1"/>
  <c r="W191" i="60"/>
  <c r="X191" i="60" s="1"/>
  <c r="S191" i="60"/>
  <c r="T191" i="60" s="1"/>
  <c r="W190" i="60"/>
  <c r="S190" i="60"/>
  <c r="W189" i="60"/>
  <c r="X189" i="60" s="1"/>
  <c r="S189" i="60"/>
  <c r="T189" i="60" s="1"/>
  <c r="W188" i="60"/>
  <c r="S188" i="60"/>
  <c r="W187" i="60"/>
  <c r="X187" i="60" s="1"/>
  <c r="S187" i="60"/>
  <c r="T187" i="60" s="1"/>
  <c r="W186" i="60"/>
  <c r="X186" i="60" s="1"/>
  <c r="S186" i="60"/>
  <c r="T186" i="60" s="1"/>
  <c r="K186" i="60"/>
  <c r="L186" i="60" s="1"/>
  <c r="W184" i="60"/>
  <c r="X184" i="60" s="1"/>
  <c r="S184" i="60"/>
  <c r="T184" i="60" s="1"/>
  <c r="W183" i="60"/>
  <c r="X183" i="60" s="1"/>
  <c r="S183" i="60"/>
  <c r="T183" i="60" s="1"/>
  <c r="O183" i="60"/>
  <c r="P183" i="60" s="1"/>
  <c r="K182" i="60"/>
  <c r="G182" i="60"/>
  <c r="W141" i="60"/>
  <c r="S141" i="60"/>
  <c r="K139" i="60"/>
  <c r="G139" i="60"/>
  <c r="W138" i="60"/>
  <c r="S138" i="60"/>
  <c r="O138" i="60"/>
  <c r="P138" i="60" s="1"/>
  <c r="W148" i="60"/>
  <c r="X148" i="60" s="1"/>
  <c r="S148" i="60"/>
  <c r="T148" i="60" s="1"/>
  <c r="W147" i="60"/>
  <c r="X147" i="60" s="1"/>
  <c r="S147" i="60"/>
  <c r="T147" i="60" s="1"/>
  <c r="W146" i="60"/>
  <c r="W145" i="60"/>
  <c r="X145" i="60" s="1"/>
  <c r="S145" i="60"/>
  <c r="T145" i="60" s="1"/>
  <c r="W144" i="60"/>
  <c r="W143" i="60"/>
  <c r="X143" i="60" s="1"/>
  <c r="S143" i="60"/>
  <c r="T143" i="60" s="1"/>
  <c r="W142" i="60"/>
  <c r="X142" i="60" s="1"/>
  <c r="S142" i="60"/>
  <c r="T142" i="60" s="1"/>
  <c r="K142" i="60"/>
  <c r="L142" i="60" s="1"/>
  <c r="K138" i="60"/>
  <c r="S146" i="60"/>
  <c r="S144" i="60"/>
  <c r="W140" i="60"/>
  <c r="X140" i="60" s="1"/>
  <c r="S140" i="60"/>
  <c r="T140" i="60" s="1"/>
  <c r="W139" i="60"/>
  <c r="X139" i="60" s="1"/>
  <c r="S139" i="60"/>
  <c r="T139" i="60" s="1"/>
  <c r="O139" i="60"/>
  <c r="P139" i="60" s="1"/>
  <c r="G138" i="60"/>
  <c r="W86" i="60"/>
  <c r="S86" i="60"/>
  <c r="K86" i="60"/>
  <c r="L86" i="60" s="1"/>
  <c r="K84" i="60"/>
  <c r="G84" i="60"/>
  <c r="W83" i="60"/>
  <c r="S83" i="60"/>
  <c r="O83" i="60"/>
  <c r="P83" i="60" s="1"/>
  <c r="W93" i="60"/>
  <c r="X93" i="60" s="1"/>
  <c r="S93" i="60"/>
  <c r="T93" i="60" s="1"/>
  <c r="W92" i="60"/>
  <c r="X92" i="60" s="1"/>
  <c r="S92" i="60"/>
  <c r="T92" i="60" s="1"/>
  <c r="W91" i="60"/>
  <c r="W90" i="60"/>
  <c r="X90" i="60" s="1"/>
  <c r="S90" i="60"/>
  <c r="T90" i="60" s="1"/>
  <c r="W89" i="60"/>
  <c r="W88" i="60"/>
  <c r="X88" i="60" s="1"/>
  <c r="S88" i="60"/>
  <c r="T88" i="60" s="1"/>
  <c r="W87" i="60"/>
  <c r="X87" i="60" s="1"/>
  <c r="S87" i="60"/>
  <c r="T87" i="60" s="1"/>
  <c r="K87" i="60"/>
  <c r="L87" i="60" s="1"/>
  <c r="K83" i="60"/>
  <c r="S91" i="60"/>
  <c r="S89" i="60"/>
  <c r="W85" i="60"/>
  <c r="X85" i="60" s="1"/>
  <c r="S85" i="60"/>
  <c r="T85" i="60" s="1"/>
  <c r="W84" i="60"/>
  <c r="X84" i="60" s="1"/>
  <c r="S84" i="60"/>
  <c r="T84" i="60" s="1"/>
  <c r="O84" i="60"/>
  <c r="P84" i="60" s="1"/>
  <c r="G83" i="60"/>
  <c r="W64" i="60"/>
  <c r="S64" i="60"/>
  <c r="K64" i="60"/>
  <c r="L64" i="60" s="1"/>
  <c r="K62" i="60"/>
  <c r="G62" i="60"/>
  <c r="W61" i="60"/>
  <c r="O61" i="60"/>
  <c r="P61" i="60" s="1"/>
  <c r="W71" i="60"/>
  <c r="X71" i="60" s="1"/>
  <c r="S71" i="60"/>
  <c r="T71" i="60" s="1"/>
  <c r="W70" i="60"/>
  <c r="X70" i="60" s="1"/>
  <c r="S70" i="60"/>
  <c r="T70" i="60" s="1"/>
  <c r="W69" i="60"/>
  <c r="W68" i="60"/>
  <c r="X68" i="60" s="1"/>
  <c r="S68" i="60"/>
  <c r="T68" i="60" s="1"/>
  <c r="W67" i="60"/>
  <c r="W66" i="60"/>
  <c r="X66" i="60" s="1"/>
  <c r="S66" i="60"/>
  <c r="T66" i="60" s="1"/>
  <c r="W65" i="60"/>
  <c r="X65" i="60" s="1"/>
  <c r="S65" i="60"/>
  <c r="T65" i="60" s="1"/>
  <c r="K65" i="60"/>
  <c r="L65" i="60" s="1"/>
  <c r="K61" i="60"/>
  <c r="S69" i="60"/>
  <c r="S67" i="60"/>
  <c r="W63" i="60"/>
  <c r="X63" i="60" s="1"/>
  <c r="S63" i="60"/>
  <c r="T63" i="60" s="1"/>
  <c r="W62" i="60"/>
  <c r="X62" i="60" s="1"/>
  <c r="S62" i="60"/>
  <c r="T62" i="60" s="1"/>
  <c r="O62" i="60"/>
  <c r="P62" i="60" s="1"/>
  <c r="G61" i="60"/>
  <c r="W20" i="60"/>
  <c r="S20" i="60"/>
  <c r="K20" i="60"/>
  <c r="L20" i="60" s="1"/>
  <c r="K18" i="60"/>
  <c r="G18" i="60"/>
  <c r="W17" i="60"/>
  <c r="O17" i="60"/>
  <c r="P17" i="60" s="1"/>
  <c r="W27" i="60"/>
  <c r="X27" i="60" s="1"/>
  <c r="S27" i="60"/>
  <c r="T27" i="60" s="1"/>
  <c r="W26" i="60"/>
  <c r="X26" i="60" s="1"/>
  <c r="S26" i="60"/>
  <c r="T26" i="60" s="1"/>
  <c r="W25" i="60"/>
  <c r="W24" i="60"/>
  <c r="X24" i="60" s="1"/>
  <c r="S24" i="60"/>
  <c r="T24" i="60" s="1"/>
  <c r="W23" i="60"/>
  <c r="W22" i="60"/>
  <c r="X22" i="60" s="1"/>
  <c r="S22" i="60"/>
  <c r="T22" i="60" s="1"/>
  <c r="W21" i="60"/>
  <c r="X21" i="60" s="1"/>
  <c r="S21" i="60"/>
  <c r="T21" i="60" s="1"/>
  <c r="K21" i="60"/>
  <c r="L21" i="60" s="1"/>
  <c r="K17" i="60"/>
  <c r="S25" i="60"/>
  <c r="S23" i="60"/>
  <c r="W19" i="60"/>
  <c r="X19" i="60" s="1"/>
  <c r="S19" i="60"/>
  <c r="T19" i="60" s="1"/>
  <c r="W18" i="60"/>
  <c r="X18" i="60" s="1"/>
  <c r="S18" i="60"/>
  <c r="T18" i="60" s="1"/>
  <c r="O18" i="60"/>
  <c r="P18" i="60" s="1"/>
  <c r="G17" i="60"/>
  <c r="W174" i="60"/>
  <c r="S174" i="60"/>
  <c r="K174" i="60"/>
  <c r="L174" i="60" s="1"/>
  <c r="K172" i="60"/>
  <c r="G172" i="60"/>
  <c r="W171" i="60"/>
  <c r="O171" i="60"/>
  <c r="P171" i="60" s="1"/>
  <c r="W181" i="60"/>
  <c r="X181" i="60" s="1"/>
  <c r="S181" i="60"/>
  <c r="T181" i="60" s="1"/>
  <c r="W180" i="60"/>
  <c r="X180" i="60" s="1"/>
  <c r="S180" i="60"/>
  <c r="T180" i="60" s="1"/>
  <c r="W179" i="60"/>
  <c r="S179" i="60"/>
  <c r="W178" i="60"/>
  <c r="X178" i="60" s="1"/>
  <c r="S178" i="60"/>
  <c r="T178" i="60" s="1"/>
  <c r="W177" i="60"/>
  <c r="S177" i="60"/>
  <c r="W176" i="60"/>
  <c r="X176" i="60" s="1"/>
  <c r="S176" i="60"/>
  <c r="T176" i="60" s="1"/>
  <c r="W175" i="60"/>
  <c r="X175" i="60" s="1"/>
  <c r="S175" i="60"/>
  <c r="T175" i="60" s="1"/>
  <c r="K175" i="60"/>
  <c r="L175" i="60" s="1"/>
  <c r="W173" i="60"/>
  <c r="X173" i="60" s="1"/>
  <c r="S173" i="60"/>
  <c r="T173" i="60" s="1"/>
  <c r="W172" i="60"/>
  <c r="X172" i="60" s="1"/>
  <c r="S172" i="60"/>
  <c r="T172" i="60" s="1"/>
  <c r="O172" i="60"/>
  <c r="P172" i="60" s="1"/>
  <c r="K171" i="60"/>
  <c r="G171" i="60"/>
  <c r="W152" i="60"/>
  <c r="S152" i="60"/>
  <c r="K152" i="60"/>
  <c r="L152" i="60" s="1"/>
  <c r="K150" i="60"/>
  <c r="G150" i="60"/>
  <c r="W149" i="60"/>
  <c r="O149" i="60"/>
  <c r="P149" i="60" s="1"/>
  <c r="W159" i="60"/>
  <c r="X159" i="60" s="1"/>
  <c r="S159" i="60"/>
  <c r="T159" i="60" s="1"/>
  <c r="W158" i="60"/>
  <c r="X158" i="60" s="1"/>
  <c r="S158" i="60"/>
  <c r="T158" i="60" s="1"/>
  <c r="W157" i="60"/>
  <c r="W156" i="60"/>
  <c r="X156" i="60" s="1"/>
  <c r="S156" i="60"/>
  <c r="T156" i="60" s="1"/>
  <c r="W155" i="60"/>
  <c r="W154" i="60"/>
  <c r="X154" i="60" s="1"/>
  <c r="S154" i="60"/>
  <c r="T154" i="60" s="1"/>
  <c r="W153" i="60"/>
  <c r="X153" i="60" s="1"/>
  <c r="S153" i="60"/>
  <c r="T153" i="60" s="1"/>
  <c r="K153" i="60"/>
  <c r="L153" i="60" s="1"/>
  <c r="K149" i="60"/>
  <c r="S157" i="60"/>
  <c r="S155" i="60"/>
  <c r="W151" i="60"/>
  <c r="X151" i="60" s="1"/>
  <c r="S151" i="60"/>
  <c r="T151" i="60" s="1"/>
  <c r="W150" i="60"/>
  <c r="X150" i="60" s="1"/>
  <c r="S150" i="60"/>
  <c r="T150" i="60" s="1"/>
  <c r="O150" i="60"/>
  <c r="P150" i="60" s="1"/>
  <c r="G149" i="60"/>
  <c r="W119" i="60"/>
  <c r="S119" i="60"/>
  <c r="K119" i="60"/>
  <c r="L119" i="60" s="1"/>
  <c r="K117" i="60"/>
  <c r="G117" i="60"/>
  <c r="O116" i="60"/>
  <c r="P116" i="60" s="1"/>
  <c r="W126" i="60"/>
  <c r="X126" i="60" s="1"/>
  <c r="S126" i="60"/>
  <c r="T126" i="60" s="1"/>
  <c r="W125" i="60"/>
  <c r="X125" i="60" s="1"/>
  <c r="S125" i="60"/>
  <c r="T125" i="60" s="1"/>
  <c r="W124" i="60"/>
  <c r="W123" i="60"/>
  <c r="X123" i="60" s="1"/>
  <c r="S123" i="60"/>
  <c r="T123" i="60" s="1"/>
  <c r="W122" i="60"/>
  <c r="W121" i="60"/>
  <c r="X121" i="60" s="1"/>
  <c r="S121" i="60"/>
  <c r="T121" i="60" s="1"/>
  <c r="W120" i="60"/>
  <c r="X120" i="60" s="1"/>
  <c r="S120" i="60"/>
  <c r="T120" i="60" s="1"/>
  <c r="K120" i="60"/>
  <c r="L120" i="60" s="1"/>
  <c r="K116" i="60"/>
  <c r="S124" i="60"/>
  <c r="S122" i="60"/>
  <c r="W118" i="60"/>
  <c r="X118" i="60" s="1"/>
  <c r="S118" i="60"/>
  <c r="T118" i="60" s="1"/>
  <c r="W117" i="60"/>
  <c r="X117" i="60" s="1"/>
  <c r="S117" i="60"/>
  <c r="T117" i="60" s="1"/>
  <c r="O117" i="60"/>
  <c r="P117" i="60" s="1"/>
  <c r="G116" i="60"/>
  <c r="W97" i="60"/>
  <c r="S97" i="60"/>
  <c r="K95" i="60"/>
  <c r="G95" i="60"/>
  <c r="W94" i="60"/>
  <c r="S94" i="60"/>
  <c r="O94" i="60"/>
  <c r="P94" i="60" s="1"/>
  <c r="W104" i="60"/>
  <c r="X104" i="60" s="1"/>
  <c r="S104" i="60"/>
  <c r="T104" i="60" s="1"/>
  <c r="W103" i="60"/>
  <c r="X103" i="60" s="1"/>
  <c r="S103" i="60"/>
  <c r="T103" i="60" s="1"/>
  <c r="W102" i="60"/>
  <c r="W101" i="60"/>
  <c r="X101" i="60" s="1"/>
  <c r="S101" i="60"/>
  <c r="T101" i="60" s="1"/>
  <c r="W100" i="60"/>
  <c r="W99" i="60"/>
  <c r="X99" i="60" s="1"/>
  <c r="S99" i="60"/>
  <c r="T99" i="60" s="1"/>
  <c r="W98" i="60"/>
  <c r="X98" i="60" s="1"/>
  <c r="S98" i="60"/>
  <c r="T98" i="60" s="1"/>
  <c r="K98" i="60"/>
  <c r="L98" i="60" s="1"/>
  <c r="K94" i="60"/>
  <c r="S102" i="60"/>
  <c r="S100" i="60"/>
  <c r="W96" i="60"/>
  <c r="X96" i="60" s="1"/>
  <c r="S96" i="60"/>
  <c r="T96" i="60" s="1"/>
  <c r="W95" i="60"/>
  <c r="X95" i="60" s="1"/>
  <c r="S95" i="60"/>
  <c r="T95" i="60" s="1"/>
  <c r="O95" i="60"/>
  <c r="P95" i="60" s="1"/>
  <c r="G94" i="60"/>
  <c r="W75" i="60"/>
  <c r="S75" i="60"/>
  <c r="K73" i="60"/>
  <c r="G73" i="60"/>
  <c r="W72" i="60"/>
  <c r="S72" i="60"/>
  <c r="O72" i="60"/>
  <c r="P72" i="60" s="1"/>
  <c r="W82" i="60"/>
  <c r="X82" i="60" s="1"/>
  <c r="S82" i="60"/>
  <c r="T82" i="60" s="1"/>
  <c r="W81" i="60"/>
  <c r="X81" i="60" s="1"/>
  <c r="S81" i="60"/>
  <c r="T81" i="60" s="1"/>
  <c r="W80" i="60"/>
  <c r="W79" i="60"/>
  <c r="X79" i="60" s="1"/>
  <c r="S79" i="60"/>
  <c r="T79" i="60" s="1"/>
  <c r="W78" i="60"/>
  <c r="W77" i="60"/>
  <c r="X77" i="60" s="1"/>
  <c r="S77" i="60"/>
  <c r="T77" i="60" s="1"/>
  <c r="W76" i="60"/>
  <c r="X76" i="60" s="1"/>
  <c r="S76" i="60"/>
  <c r="T76" i="60" s="1"/>
  <c r="K76" i="60"/>
  <c r="L76" i="60" s="1"/>
  <c r="K72" i="60"/>
  <c r="S80" i="60"/>
  <c r="S78" i="60"/>
  <c r="W74" i="60"/>
  <c r="X74" i="60" s="1"/>
  <c r="S74" i="60"/>
  <c r="T74" i="60" s="1"/>
  <c r="W73" i="60"/>
  <c r="X73" i="60" s="1"/>
  <c r="S73" i="60"/>
  <c r="T73" i="60" s="1"/>
  <c r="O73" i="60"/>
  <c r="P73" i="60" s="1"/>
  <c r="G72" i="60"/>
  <c r="W53" i="60"/>
  <c r="S53" i="60"/>
  <c r="K53" i="60"/>
  <c r="L53" i="60" s="1"/>
  <c r="K51" i="60"/>
  <c r="G51" i="60"/>
  <c r="W50" i="60"/>
  <c r="S50" i="60"/>
  <c r="O50" i="60"/>
  <c r="P50" i="60" s="1"/>
  <c r="W60" i="60"/>
  <c r="X60" i="60" s="1"/>
  <c r="S60" i="60"/>
  <c r="T60" i="60" s="1"/>
  <c r="W59" i="60"/>
  <c r="X59" i="60" s="1"/>
  <c r="S59" i="60"/>
  <c r="T59" i="60" s="1"/>
  <c r="W58" i="60"/>
  <c r="W57" i="60"/>
  <c r="X57" i="60" s="1"/>
  <c r="S57" i="60"/>
  <c r="T57" i="60" s="1"/>
  <c r="W56" i="60"/>
  <c r="W55" i="60"/>
  <c r="X55" i="60" s="1"/>
  <c r="S55" i="60"/>
  <c r="T55" i="60" s="1"/>
  <c r="W54" i="60"/>
  <c r="X54" i="60" s="1"/>
  <c r="S54" i="60"/>
  <c r="T54" i="60" s="1"/>
  <c r="K54" i="60"/>
  <c r="L54" i="60" s="1"/>
  <c r="K50" i="60"/>
  <c r="S58" i="60"/>
  <c r="S56" i="60"/>
  <c r="W52" i="60"/>
  <c r="X52" i="60" s="1"/>
  <c r="S52" i="60"/>
  <c r="T52" i="60" s="1"/>
  <c r="W51" i="60"/>
  <c r="X51" i="60" s="1"/>
  <c r="S51" i="60"/>
  <c r="T51" i="60" s="1"/>
  <c r="O51" i="60"/>
  <c r="P51" i="60" s="1"/>
  <c r="G50" i="60"/>
  <c r="W31" i="60"/>
  <c r="S31" i="60"/>
  <c r="K31" i="60"/>
  <c r="L31" i="60" s="1"/>
  <c r="K29" i="60"/>
  <c r="G29" i="60"/>
  <c r="W28" i="60"/>
  <c r="O28" i="60"/>
  <c r="P28" i="60" s="1"/>
  <c r="W38" i="60"/>
  <c r="X38" i="60" s="1"/>
  <c r="S38" i="60"/>
  <c r="T38" i="60" s="1"/>
  <c r="W37" i="60"/>
  <c r="X37" i="60" s="1"/>
  <c r="S37" i="60"/>
  <c r="T37" i="60" s="1"/>
  <c r="W36" i="60"/>
  <c r="W35" i="60"/>
  <c r="X35" i="60" s="1"/>
  <c r="S35" i="60"/>
  <c r="T35" i="60" s="1"/>
  <c r="W34" i="60"/>
  <c r="W33" i="60"/>
  <c r="X33" i="60" s="1"/>
  <c r="S33" i="60"/>
  <c r="T33" i="60" s="1"/>
  <c r="W32" i="60"/>
  <c r="X32" i="60" s="1"/>
  <c r="S32" i="60"/>
  <c r="T32" i="60" s="1"/>
  <c r="K32" i="60"/>
  <c r="L32" i="60" s="1"/>
  <c r="K28" i="60"/>
  <c r="S36" i="60"/>
  <c r="S34" i="60"/>
  <c r="W30" i="60"/>
  <c r="X30" i="60" s="1"/>
  <c r="S30" i="60"/>
  <c r="T30" i="60" s="1"/>
  <c r="W29" i="60"/>
  <c r="X29" i="60" s="1"/>
  <c r="S29" i="60"/>
  <c r="T29" i="60" s="1"/>
  <c r="O29" i="60"/>
  <c r="P29" i="60" s="1"/>
  <c r="G28" i="60"/>
  <c r="W163" i="60"/>
  <c r="S163" i="60"/>
  <c r="K163" i="60"/>
  <c r="L163" i="60" s="1"/>
  <c r="K161" i="60"/>
  <c r="G161" i="60"/>
  <c r="W160" i="60"/>
  <c r="S160" i="60"/>
  <c r="O160" i="60"/>
  <c r="P160" i="60" s="1"/>
  <c r="W170" i="60"/>
  <c r="X170" i="60" s="1"/>
  <c r="S170" i="60"/>
  <c r="T170" i="60" s="1"/>
  <c r="W169" i="60"/>
  <c r="X169" i="60" s="1"/>
  <c r="S169" i="60"/>
  <c r="T169" i="60" s="1"/>
  <c r="W168" i="60"/>
  <c r="W167" i="60"/>
  <c r="X167" i="60" s="1"/>
  <c r="S167" i="60"/>
  <c r="T167" i="60" s="1"/>
  <c r="W166" i="60"/>
  <c r="W165" i="60"/>
  <c r="X165" i="60" s="1"/>
  <c r="S165" i="60"/>
  <c r="T165" i="60" s="1"/>
  <c r="W164" i="60"/>
  <c r="X164" i="60" s="1"/>
  <c r="S164" i="60"/>
  <c r="T164" i="60" s="1"/>
  <c r="K164" i="60"/>
  <c r="L164" i="60" s="1"/>
  <c r="K160" i="60"/>
  <c r="S168" i="60"/>
  <c r="S166" i="60"/>
  <c r="W162" i="60"/>
  <c r="X162" i="60" s="1"/>
  <c r="S162" i="60"/>
  <c r="T162" i="60" s="1"/>
  <c r="W161" i="60"/>
  <c r="X161" i="60" s="1"/>
  <c r="S161" i="60"/>
  <c r="T161" i="60" s="1"/>
  <c r="O161" i="60"/>
  <c r="P161" i="60" s="1"/>
  <c r="G160" i="60"/>
  <c r="W108" i="60"/>
  <c r="S108" i="60"/>
  <c r="K108" i="60"/>
  <c r="L108" i="60" s="1"/>
  <c r="K106" i="60"/>
  <c r="G106" i="60"/>
  <c r="W105" i="60"/>
  <c r="O105" i="60"/>
  <c r="P105" i="60" s="1"/>
  <c r="W115" i="60"/>
  <c r="X115" i="60" s="1"/>
  <c r="S115" i="60"/>
  <c r="T115" i="60" s="1"/>
  <c r="W114" i="60"/>
  <c r="X114" i="60" s="1"/>
  <c r="S114" i="60"/>
  <c r="T114" i="60" s="1"/>
  <c r="W113" i="60"/>
  <c r="W112" i="60"/>
  <c r="X112" i="60" s="1"/>
  <c r="S112" i="60"/>
  <c r="T112" i="60" s="1"/>
  <c r="W111" i="60"/>
  <c r="W110" i="60"/>
  <c r="X110" i="60" s="1"/>
  <c r="S110" i="60"/>
  <c r="T110" i="60" s="1"/>
  <c r="W109" i="60"/>
  <c r="X109" i="60" s="1"/>
  <c r="S109" i="60"/>
  <c r="T109" i="60" s="1"/>
  <c r="K109" i="60"/>
  <c r="L109" i="60" s="1"/>
  <c r="K105" i="60"/>
  <c r="S113" i="60"/>
  <c r="S111" i="60"/>
  <c r="W107" i="60"/>
  <c r="X107" i="60" s="1"/>
  <c r="S107" i="60"/>
  <c r="T107" i="60" s="1"/>
  <c r="W106" i="60"/>
  <c r="X106" i="60" s="1"/>
  <c r="S106" i="60"/>
  <c r="T106" i="60" s="1"/>
  <c r="O106" i="60"/>
  <c r="P106" i="60" s="1"/>
  <c r="G105" i="60"/>
  <c r="W42" i="60"/>
  <c r="S42" i="60"/>
  <c r="K42" i="60"/>
  <c r="L42" i="60" s="1"/>
  <c r="K40" i="60"/>
  <c r="G40" i="60"/>
  <c r="S39" i="60"/>
  <c r="O39" i="60"/>
  <c r="P39" i="60" s="1"/>
  <c r="W49" i="60"/>
  <c r="X49" i="60" s="1"/>
  <c r="S49" i="60"/>
  <c r="T49" i="60" s="1"/>
  <c r="W48" i="60"/>
  <c r="X48" i="60" s="1"/>
  <c r="S48" i="60"/>
  <c r="T48" i="60" s="1"/>
  <c r="W47" i="60"/>
  <c r="W46" i="60"/>
  <c r="X46" i="60" s="1"/>
  <c r="S46" i="60"/>
  <c r="T46" i="60" s="1"/>
  <c r="W45" i="60"/>
  <c r="W44" i="60"/>
  <c r="X44" i="60" s="1"/>
  <c r="S44" i="60"/>
  <c r="T44" i="60" s="1"/>
  <c r="W43" i="60"/>
  <c r="X43" i="60" s="1"/>
  <c r="S43" i="60"/>
  <c r="T43" i="60" s="1"/>
  <c r="K43" i="60"/>
  <c r="L43" i="60" s="1"/>
  <c r="K39" i="60"/>
  <c r="S47" i="60"/>
  <c r="S45" i="60"/>
  <c r="W41" i="60"/>
  <c r="X41" i="60" s="1"/>
  <c r="S41" i="60"/>
  <c r="T41" i="60" s="1"/>
  <c r="W40" i="60"/>
  <c r="X40" i="60" s="1"/>
  <c r="S40" i="60"/>
  <c r="T40" i="60" s="1"/>
  <c r="O40" i="60"/>
  <c r="P40" i="60" s="1"/>
  <c r="G39" i="60"/>
  <c r="D413" i="60"/>
  <c r="C402" i="60"/>
  <c r="C358" i="60"/>
  <c r="D358" i="60"/>
  <c r="D380" i="60"/>
  <c r="C413" i="60"/>
  <c r="D369" i="60"/>
  <c r="C369" i="60"/>
  <c r="D402" i="60"/>
  <c r="D391" i="60"/>
  <c r="C391" i="60"/>
  <c r="D347" i="60"/>
  <c r="C347" i="60"/>
  <c r="C380" i="60"/>
  <c r="D248" i="60"/>
  <c r="C248" i="60"/>
  <c r="B264" i="60"/>
  <c r="B341" i="57"/>
  <c r="W341" i="57" s="1"/>
  <c r="X341" i="57" s="1"/>
  <c r="B319" i="57"/>
  <c r="W322" i="57" s="1"/>
  <c r="B297" i="57"/>
  <c r="W299" i="57" s="1"/>
  <c r="X299" i="57" s="1"/>
  <c r="B275" i="57"/>
  <c r="K271" i="57" s="1"/>
  <c r="B220" i="60"/>
  <c r="B198" i="60"/>
  <c r="D193" i="60" s="1"/>
  <c r="D391" i="59"/>
  <c r="C391" i="59"/>
  <c r="C413" i="59"/>
  <c r="D413" i="59"/>
  <c r="C490" i="59"/>
  <c r="D490" i="59"/>
  <c r="Q496" i="59" s="1"/>
  <c r="C380" i="59"/>
  <c r="D380" i="59"/>
  <c r="D402" i="59"/>
  <c r="C424" i="59"/>
  <c r="D424" i="59"/>
  <c r="D446" i="59"/>
  <c r="Q452" i="59" s="1"/>
  <c r="C435" i="59"/>
  <c r="D435" i="59"/>
  <c r="C402" i="59"/>
  <c r="C446" i="59"/>
  <c r="B330" i="57"/>
  <c r="W332" i="57" s="1"/>
  <c r="X332" i="57" s="1"/>
  <c r="B308" i="57"/>
  <c r="S306" i="57" s="1"/>
  <c r="B286" i="57"/>
  <c r="W291" i="57" s="1"/>
  <c r="X291" i="57" s="1"/>
  <c r="B231" i="60"/>
  <c r="C226" i="60" s="1"/>
  <c r="B209" i="60"/>
  <c r="D204" i="60" s="1"/>
  <c r="D413" i="57"/>
  <c r="C413" i="57"/>
  <c r="D391" i="57"/>
  <c r="C391" i="57"/>
  <c r="C369" i="57"/>
  <c r="D402" i="57"/>
  <c r="C402" i="57"/>
  <c r="C358" i="57"/>
  <c r="D358" i="57"/>
  <c r="D369" i="57"/>
  <c r="C347" i="57"/>
  <c r="D347" i="57"/>
  <c r="D380" i="57"/>
  <c r="C380" i="57"/>
  <c r="B264" i="57"/>
  <c r="S266" i="57" s="1"/>
  <c r="T445" i="60"/>
  <c r="B253" i="57"/>
  <c r="B11" i="60"/>
  <c r="D171" i="60"/>
  <c r="C171" i="60"/>
  <c r="D72" i="60"/>
  <c r="C72" i="60"/>
  <c r="D424" i="60"/>
  <c r="C424" i="60"/>
  <c r="D149" i="60"/>
  <c r="C149" i="60"/>
  <c r="D116" i="60"/>
  <c r="C116" i="60"/>
  <c r="C94" i="60"/>
  <c r="D94" i="60"/>
  <c r="D50" i="60"/>
  <c r="C50" i="60"/>
  <c r="C28" i="60"/>
  <c r="D28" i="60"/>
  <c r="C127" i="60"/>
  <c r="C182" i="60"/>
  <c r="D182" i="60"/>
  <c r="C160" i="60"/>
  <c r="D160" i="60"/>
  <c r="C138" i="60"/>
  <c r="D138" i="60"/>
  <c r="C105" i="60"/>
  <c r="D105" i="60"/>
  <c r="C83" i="60"/>
  <c r="D83" i="60"/>
  <c r="C61" i="60"/>
  <c r="D61" i="60"/>
  <c r="D39" i="60"/>
  <c r="C39" i="60"/>
  <c r="C17" i="60"/>
  <c r="D17" i="60"/>
  <c r="D127" i="60"/>
  <c r="B11" i="59"/>
  <c r="K10" i="59" s="1"/>
  <c r="D127" i="59"/>
  <c r="C127" i="59"/>
  <c r="W894" i="57"/>
  <c r="B220" i="57"/>
  <c r="S225" i="57" s="1"/>
  <c r="B220" i="59"/>
  <c r="B176" i="57"/>
  <c r="W179" i="57" s="1"/>
  <c r="B176" i="59"/>
  <c r="B121" i="57"/>
  <c r="B121" i="59"/>
  <c r="B77" i="57"/>
  <c r="B77" i="59"/>
  <c r="B33" i="57"/>
  <c r="B33" i="59"/>
  <c r="B242" i="57"/>
  <c r="B198" i="57"/>
  <c r="W203" i="57" s="1"/>
  <c r="X203" i="57" s="1"/>
  <c r="B198" i="59"/>
  <c r="B154" i="57"/>
  <c r="W150" i="57" s="1"/>
  <c r="X150" i="57" s="1"/>
  <c r="B154" i="59"/>
  <c r="B99" i="57"/>
  <c r="W102" i="57" s="1"/>
  <c r="B99" i="59"/>
  <c r="B55" i="57"/>
  <c r="B55" i="59"/>
  <c r="B231" i="57"/>
  <c r="O226" i="57" s="1"/>
  <c r="P226" i="57" s="1"/>
  <c r="B231" i="59"/>
  <c r="B209" i="57"/>
  <c r="S213" i="57" s="1"/>
  <c r="B187" i="57"/>
  <c r="S183" i="57" s="1"/>
  <c r="T183" i="57" s="1"/>
  <c r="B187" i="59"/>
  <c r="B165" i="57"/>
  <c r="K161" i="57" s="1"/>
  <c r="B165" i="59"/>
  <c r="B143" i="57"/>
  <c r="B143" i="59"/>
  <c r="B110" i="57"/>
  <c r="B110" i="59"/>
  <c r="B88" i="57"/>
  <c r="W91" i="57" s="1"/>
  <c r="B88" i="59"/>
  <c r="B66" i="57"/>
  <c r="B66" i="59"/>
  <c r="B44" i="57"/>
  <c r="B44" i="59"/>
  <c r="B17" i="57"/>
  <c r="B22" i="59"/>
  <c r="C127" i="57"/>
  <c r="D127" i="57"/>
  <c r="H1" i="57"/>
  <c r="C61" i="57" l="1"/>
  <c r="G61" i="57"/>
  <c r="G62" i="57"/>
  <c r="S25" i="57"/>
  <c r="W25" i="57"/>
  <c r="W17" i="57"/>
  <c r="S18" i="57"/>
  <c r="T18" i="57" s="1"/>
  <c r="S17" i="57"/>
  <c r="W36" i="57"/>
  <c r="S36" i="57"/>
  <c r="H754" i="60"/>
  <c r="H677" i="60"/>
  <c r="H711" i="60"/>
  <c r="T568" i="60"/>
  <c r="H743" i="60"/>
  <c r="X614" i="60"/>
  <c r="X501" i="60"/>
  <c r="H666" i="60"/>
  <c r="H688" i="60"/>
  <c r="L622" i="60"/>
  <c r="L644" i="60"/>
  <c r="T630" i="60"/>
  <c r="H644" i="60"/>
  <c r="X592" i="60"/>
  <c r="T619" i="60"/>
  <c r="T586" i="60"/>
  <c r="T590" i="60"/>
  <c r="L765" i="60"/>
  <c r="T557" i="60"/>
  <c r="T644" i="60"/>
  <c r="X512" i="60"/>
  <c r="H567" i="60"/>
  <c r="H721" i="60"/>
  <c r="H732" i="60"/>
  <c r="H622" i="60"/>
  <c r="H633" i="60"/>
  <c r="T623" i="60"/>
  <c r="T765" i="60"/>
  <c r="X578" i="60"/>
  <c r="X589" i="60"/>
  <c r="T776" i="60"/>
  <c r="L776" i="60"/>
  <c r="X581" i="60"/>
  <c r="T597" i="60"/>
  <c r="T608" i="60"/>
  <c r="T535" i="60"/>
  <c r="T546" i="60"/>
  <c r="T677" i="60"/>
  <c r="H512" i="60"/>
  <c r="T612" i="60"/>
  <c r="X490" i="60"/>
  <c r="T601" i="60"/>
  <c r="H501" i="60"/>
  <c r="H523" i="60"/>
  <c r="T732" i="60"/>
  <c r="X570" i="60"/>
  <c r="H534" i="60"/>
  <c r="H545" i="60"/>
  <c r="T666" i="60"/>
  <c r="H699" i="60"/>
  <c r="H710" i="60"/>
  <c r="H600" i="60"/>
  <c r="H611" i="60"/>
  <c r="T743" i="60"/>
  <c r="X556" i="60"/>
  <c r="X567" i="60"/>
  <c r="T754" i="60"/>
  <c r="L754" i="60"/>
  <c r="T559" i="60"/>
  <c r="X559" i="60"/>
  <c r="T688" i="60"/>
  <c r="T699" i="60"/>
  <c r="T578" i="60"/>
  <c r="T655" i="60"/>
  <c r="T721" i="60"/>
  <c r="T710" i="60"/>
  <c r="X564" i="60"/>
  <c r="X630" i="60"/>
  <c r="L655" i="60"/>
  <c r="L732" i="60"/>
  <c r="X622" i="60"/>
  <c r="X710" i="60"/>
  <c r="T579" i="60"/>
  <c r="X548" i="60"/>
  <c r="T567" i="60"/>
  <c r="X545" i="60"/>
  <c r="T589" i="60"/>
  <c r="H589" i="60"/>
  <c r="T512" i="60"/>
  <c r="H490" i="60"/>
  <c r="W80" i="57"/>
  <c r="C72" i="57"/>
  <c r="D72" i="57"/>
  <c r="Q80" i="57" s="1"/>
  <c r="D50" i="57"/>
  <c r="C50" i="57"/>
  <c r="D17" i="57"/>
  <c r="C17" i="57"/>
  <c r="D39" i="57"/>
  <c r="C39" i="57"/>
  <c r="D28" i="57"/>
  <c r="C28" i="57"/>
  <c r="C5" i="68" s="1"/>
  <c r="L548" i="60"/>
  <c r="T524" i="60"/>
  <c r="X479" i="60"/>
  <c r="X482" i="60"/>
  <c r="L534" i="60"/>
  <c r="T545" i="60"/>
  <c r="L493" i="60"/>
  <c r="T611" i="60"/>
  <c r="H556" i="60"/>
  <c r="X611" i="60"/>
  <c r="T523" i="60"/>
  <c r="T622" i="60"/>
  <c r="T600" i="60"/>
  <c r="T556" i="60"/>
  <c r="L537" i="60"/>
  <c r="T534" i="60"/>
  <c r="X471" i="60"/>
  <c r="W322" i="60"/>
  <c r="T225" i="57"/>
  <c r="T213" i="57"/>
  <c r="T266" i="57"/>
  <c r="T501" i="60"/>
  <c r="S312" i="60"/>
  <c r="T312" i="60" s="1"/>
  <c r="H468" i="60"/>
  <c r="D281" i="59"/>
  <c r="Q289" i="59" s="1"/>
  <c r="L449" i="60"/>
  <c r="W281" i="60"/>
  <c r="G325" i="60"/>
  <c r="S274" i="60"/>
  <c r="T274" i="60" s="1"/>
  <c r="K314" i="60"/>
  <c r="T490" i="60"/>
  <c r="C292" i="60"/>
  <c r="S288" i="60"/>
  <c r="T288" i="60" s="1"/>
  <c r="O292" i="60"/>
  <c r="P292" i="60" s="1"/>
  <c r="W343" i="60"/>
  <c r="X343" i="60" s="1"/>
  <c r="O304" i="60"/>
  <c r="P304" i="60" s="1"/>
  <c r="S300" i="60"/>
  <c r="S333" i="60"/>
  <c r="K240" i="60"/>
  <c r="L240" i="60" s="1"/>
  <c r="X468" i="60"/>
  <c r="G270" i="60"/>
  <c r="S278" i="60"/>
  <c r="G315" i="60"/>
  <c r="W318" i="60"/>
  <c r="X318" i="60" s="1"/>
  <c r="G304" i="60"/>
  <c r="S308" i="60"/>
  <c r="T308" i="60" s="1"/>
  <c r="T469" i="60"/>
  <c r="W271" i="60"/>
  <c r="X271" i="60" s="1"/>
  <c r="S280" i="60"/>
  <c r="T280" i="60" s="1"/>
  <c r="W314" i="60"/>
  <c r="W320" i="60"/>
  <c r="K304" i="60"/>
  <c r="S310" i="60"/>
  <c r="T310" i="60" s="1"/>
  <c r="D270" i="60"/>
  <c r="U273" i="60" s="1"/>
  <c r="O270" i="60"/>
  <c r="P270" i="60" s="1"/>
  <c r="S276" i="60"/>
  <c r="S316" i="60"/>
  <c r="T316" i="60" s="1"/>
  <c r="W324" i="60"/>
  <c r="X324" i="60" s="1"/>
  <c r="W305" i="60"/>
  <c r="X305" i="60" s="1"/>
  <c r="T446" i="60"/>
  <c r="T457" i="60"/>
  <c r="Z457" i="60" s="1"/>
  <c r="C325" i="60"/>
  <c r="O282" i="60"/>
  <c r="P282" i="60" s="1"/>
  <c r="S290" i="60"/>
  <c r="T290" i="60" s="1"/>
  <c r="W326" i="60"/>
  <c r="X326" i="60" s="1"/>
  <c r="S335" i="60"/>
  <c r="T335" i="60" s="1"/>
  <c r="S238" i="60"/>
  <c r="T238" i="60" s="1"/>
  <c r="W242" i="60"/>
  <c r="X242" i="60" s="1"/>
  <c r="G292" i="60"/>
  <c r="K339" i="60"/>
  <c r="L339" i="60" s="1"/>
  <c r="W283" i="60"/>
  <c r="X283" i="60" s="1"/>
  <c r="S325" i="60"/>
  <c r="S329" i="60"/>
  <c r="T329" i="60" s="1"/>
  <c r="K241" i="60"/>
  <c r="L241" i="60" s="1"/>
  <c r="W244" i="60"/>
  <c r="X244" i="60" s="1"/>
  <c r="S296" i="60"/>
  <c r="T296" i="60" s="1"/>
  <c r="S339" i="60"/>
  <c r="D325" i="60"/>
  <c r="U328" i="60" s="1"/>
  <c r="D292" i="60"/>
  <c r="U295" i="60" s="1"/>
  <c r="G282" i="60"/>
  <c r="S286" i="60"/>
  <c r="T286" i="60" s="1"/>
  <c r="O325" i="60"/>
  <c r="P325" i="60" s="1"/>
  <c r="S331" i="60"/>
  <c r="S237" i="60"/>
  <c r="W246" i="60"/>
  <c r="X246" i="60" s="1"/>
  <c r="S292" i="60"/>
  <c r="S298" i="60"/>
  <c r="W341" i="60"/>
  <c r="X341" i="60" s="1"/>
  <c r="D314" i="60"/>
  <c r="I315" i="60" s="1"/>
  <c r="C303" i="60"/>
  <c r="K273" i="60"/>
  <c r="L273" i="60" s="1"/>
  <c r="K271" i="60"/>
  <c r="O271" i="60"/>
  <c r="P271" i="60" s="1"/>
  <c r="W272" i="60"/>
  <c r="X272" i="60" s="1"/>
  <c r="S275" i="60"/>
  <c r="T275" i="60" s="1"/>
  <c r="S277" i="60"/>
  <c r="T277" i="60" s="1"/>
  <c r="S279" i="60"/>
  <c r="T279" i="60" s="1"/>
  <c r="W317" i="60"/>
  <c r="S317" i="60"/>
  <c r="S315" i="60"/>
  <c r="T315" i="60" s="1"/>
  <c r="K318" i="60"/>
  <c r="L318" i="60" s="1"/>
  <c r="W319" i="60"/>
  <c r="X319" i="60" s="1"/>
  <c r="W321" i="60"/>
  <c r="X321" i="60" s="1"/>
  <c r="W323" i="60"/>
  <c r="X323" i="60" s="1"/>
  <c r="W306" i="60"/>
  <c r="G303" i="60"/>
  <c r="W304" i="60"/>
  <c r="X304" i="60" s="1"/>
  <c r="S307" i="60"/>
  <c r="T307" i="60" s="1"/>
  <c r="S309" i="60"/>
  <c r="S311" i="60"/>
  <c r="S313" i="60"/>
  <c r="T313" i="60" s="1"/>
  <c r="C270" i="60"/>
  <c r="W273" i="60"/>
  <c r="S273" i="60"/>
  <c r="S271" i="60"/>
  <c r="T271" i="60" s="1"/>
  <c r="K274" i="60"/>
  <c r="L274" i="60" s="1"/>
  <c r="W275" i="60"/>
  <c r="X275" i="60" s="1"/>
  <c r="W277" i="60"/>
  <c r="X277" i="60" s="1"/>
  <c r="W279" i="60"/>
  <c r="X279" i="60" s="1"/>
  <c r="O314" i="60"/>
  <c r="P314" i="60" s="1"/>
  <c r="G314" i="60"/>
  <c r="W315" i="60"/>
  <c r="X315" i="60" s="1"/>
  <c r="S318" i="60"/>
  <c r="T318" i="60" s="1"/>
  <c r="S320" i="60"/>
  <c r="S322" i="60"/>
  <c r="S324" i="60"/>
  <c r="T324" i="60" s="1"/>
  <c r="O303" i="60"/>
  <c r="P303" i="60" s="1"/>
  <c r="K303" i="60"/>
  <c r="S305" i="60"/>
  <c r="T305" i="60" s="1"/>
  <c r="W307" i="60"/>
  <c r="X307" i="60" s="1"/>
  <c r="W309" i="60"/>
  <c r="W311" i="60"/>
  <c r="W313" i="60"/>
  <c r="X313" i="60" s="1"/>
  <c r="C314" i="60"/>
  <c r="D303" i="60"/>
  <c r="U306" i="60" s="1"/>
  <c r="G271" i="60"/>
  <c r="W270" i="60"/>
  <c r="K270" i="60"/>
  <c r="S272" i="60"/>
  <c r="T272" i="60" s="1"/>
  <c r="W274" i="60"/>
  <c r="X274" i="60" s="1"/>
  <c r="W276" i="60"/>
  <c r="W278" i="60"/>
  <c r="K317" i="60"/>
  <c r="L317" i="60" s="1"/>
  <c r="K315" i="60"/>
  <c r="O315" i="60"/>
  <c r="P315" i="60" s="1"/>
  <c r="W316" i="60"/>
  <c r="X316" i="60" s="1"/>
  <c r="S319" i="60"/>
  <c r="T319" i="60" s="1"/>
  <c r="S321" i="60"/>
  <c r="T321" i="60" s="1"/>
  <c r="K306" i="60"/>
  <c r="L306" i="60" s="1"/>
  <c r="S306" i="60"/>
  <c r="S304" i="60"/>
  <c r="T304" i="60" s="1"/>
  <c r="K307" i="60"/>
  <c r="L307" i="60" s="1"/>
  <c r="W308" i="60"/>
  <c r="X308" i="60" s="1"/>
  <c r="W310" i="60"/>
  <c r="X310" i="60" s="1"/>
  <c r="W293" i="60"/>
  <c r="X293" i="60" s="1"/>
  <c r="S302" i="60"/>
  <c r="T302" i="60" s="1"/>
  <c r="S337" i="60"/>
  <c r="T337" i="60" s="1"/>
  <c r="W345" i="60"/>
  <c r="X345" i="60" s="1"/>
  <c r="K340" i="60"/>
  <c r="L340" i="60" s="1"/>
  <c r="D281" i="60"/>
  <c r="I282" i="60" s="1"/>
  <c r="D237" i="60"/>
  <c r="Q243" i="60" s="1"/>
  <c r="D336" i="60"/>
  <c r="U339" i="60" s="1"/>
  <c r="K284" i="60"/>
  <c r="L284" i="60" s="1"/>
  <c r="K282" i="60"/>
  <c r="S282" i="60"/>
  <c r="T282" i="60" s="1"/>
  <c r="K285" i="60"/>
  <c r="L285" i="60" s="1"/>
  <c r="W286" i="60"/>
  <c r="X286" i="60" s="1"/>
  <c r="W288" i="60"/>
  <c r="X288" i="60" s="1"/>
  <c r="W290" i="60"/>
  <c r="X290" i="60" s="1"/>
  <c r="G326" i="60"/>
  <c r="W325" i="60"/>
  <c r="K325" i="60"/>
  <c r="S327" i="60"/>
  <c r="T327" i="60" s="1"/>
  <c r="W329" i="60"/>
  <c r="X329" i="60" s="1"/>
  <c r="W331" i="60"/>
  <c r="W333" i="60"/>
  <c r="W335" i="60"/>
  <c r="X335" i="60" s="1"/>
  <c r="G237" i="60"/>
  <c r="W238" i="60"/>
  <c r="X238" i="60" s="1"/>
  <c r="S241" i="60"/>
  <c r="T241" i="60" s="1"/>
  <c r="W237" i="60"/>
  <c r="S240" i="60"/>
  <c r="S243" i="60"/>
  <c r="S245" i="60"/>
  <c r="S247" i="60"/>
  <c r="T247" i="60" s="1"/>
  <c r="G293" i="60"/>
  <c r="W292" i="60"/>
  <c r="K292" i="60"/>
  <c r="S294" i="60"/>
  <c r="T294" i="60" s="1"/>
  <c r="W296" i="60"/>
  <c r="X296" i="60" s="1"/>
  <c r="W298" i="60"/>
  <c r="W300" i="60"/>
  <c r="W302" i="60"/>
  <c r="X302" i="60" s="1"/>
  <c r="W339" i="60"/>
  <c r="G336" i="60"/>
  <c r="W337" i="60"/>
  <c r="X337" i="60" s="1"/>
  <c r="S340" i="60"/>
  <c r="T340" i="60" s="1"/>
  <c r="S342" i="60"/>
  <c r="S344" i="60"/>
  <c r="S346" i="60"/>
  <c r="T346" i="60" s="1"/>
  <c r="C281" i="60"/>
  <c r="C237" i="60"/>
  <c r="C336" i="60"/>
  <c r="W284" i="60"/>
  <c r="S284" i="60"/>
  <c r="W282" i="60"/>
  <c r="X282" i="60" s="1"/>
  <c r="S285" i="60"/>
  <c r="T285" i="60" s="1"/>
  <c r="S287" i="60"/>
  <c r="S289" i="60"/>
  <c r="S291" i="60"/>
  <c r="T291" i="60" s="1"/>
  <c r="K328" i="60"/>
  <c r="L328" i="60" s="1"/>
  <c r="K326" i="60"/>
  <c r="O326" i="60"/>
  <c r="P326" i="60" s="1"/>
  <c r="W327" i="60"/>
  <c r="X327" i="60" s="1"/>
  <c r="S330" i="60"/>
  <c r="T330" i="60" s="1"/>
  <c r="S332" i="60"/>
  <c r="T332" i="60" s="1"/>
  <c r="S334" i="60"/>
  <c r="T334" i="60" s="1"/>
  <c r="K237" i="60"/>
  <c r="S239" i="60"/>
  <c r="T239" i="60" s="1"/>
  <c r="W241" i="60"/>
  <c r="X241" i="60" s="1"/>
  <c r="G238" i="60"/>
  <c r="W240" i="60"/>
  <c r="W243" i="60"/>
  <c r="W245" i="60"/>
  <c r="W247" i="60"/>
  <c r="X247" i="60" s="1"/>
  <c r="K295" i="60"/>
  <c r="L295" i="60" s="1"/>
  <c r="K293" i="60"/>
  <c r="O293" i="60"/>
  <c r="P293" i="60" s="1"/>
  <c r="W294" i="60"/>
  <c r="X294" i="60" s="1"/>
  <c r="S297" i="60"/>
  <c r="T297" i="60" s="1"/>
  <c r="S299" i="60"/>
  <c r="T299" i="60" s="1"/>
  <c r="S301" i="60"/>
  <c r="T301" i="60" s="1"/>
  <c r="O336" i="60"/>
  <c r="P336" i="60" s="1"/>
  <c r="K336" i="60"/>
  <c r="S338" i="60"/>
  <c r="T338" i="60" s="1"/>
  <c r="W340" i="60"/>
  <c r="X340" i="60" s="1"/>
  <c r="W342" i="60"/>
  <c r="W344" i="60"/>
  <c r="W346" i="60"/>
  <c r="X346" i="60" s="1"/>
  <c r="O281" i="60"/>
  <c r="P281" i="60" s="1"/>
  <c r="K281" i="60"/>
  <c r="S283" i="60"/>
  <c r="T283" i="60" s="1"/>
  <c r="W285" i="60"/>
  <c r="X285" i="60" s="1"/>
  <c r="W287" i="60"/>
  <c r="W289" i="60"/>
  <c r="W328" i="60"/>
  <c r="S328" i="60"/>
  <c r="S326" i="60"/>
  <c r="T326" i="60" s="1"/>
  <c r="K329" i="60"/>
  <c r="L329" i="60" s="1"/>
  <c r="W330" i="60"/>
  <c r="X330" i="60" s="1"/>
  <c r="W332" i="60"/>
  <c r="X332" i="60" s="1"/>
  <c r="O238" i="60"/>
  <c r="P238" i="60" s="1"/>
  <c r="W239" i="60"/>
  <c r="X239" i="60" s="1"/>
  <c r="O237" i="60"/>
  <c r="P237" i="60" s="1"/>
  <c r="K238" i="60"/>
  <c r="S242" i="60"/>
  <c r="T242" i="60" s="1"/>
  <c r="S244" i="60"/>
  <c r="T244" i="60" s="1"/>
  <c r="W295" i="60"/>
  <c r="S295" i="60"/>
  <c r="S293" i="60"/>
  <c r="T293" i="60" s="1"/>
  <c r="K296" i="60"/>
  <c r="L296" i="60" s="1"/>
  <c r="W297" i="60"/>
  <c r="X297" i="60" s="1"/>
  <c r="W299" i="60"/>
  <c r="X299" i="60" s="1"/>
  <c r="G337" i="60"/>
  <c r="K337" i="60"/>
  <c r="O337" i="60"/>
  <c r="P337" i="60" s="1"/>
  <c r="W338" i="60"/>
  <c r="X338" i="60" s="1"/>
  <c r="S341" i="60"/>
  <c r="T341" i="60" s="1"/>
  <c r="S343" i="60"/>
  <c r="T343" i="60" s="1"/>
  <c r="T479" i="60"/>
  <c r="Y259" i="59"/>
  <c r="AC265" i="59" s="1"/>
  <c r="Q259" i="59"/>
  <c r="T259" i="59" s="1"/>
  <c r="Q262" i="59"/>
  <c r="T262" i="59" s="1"/>
  <c r="U259" i="59"/>
  <c r="X259" i="59" s="1"/>
  <c r="U262" i="59"/>
  <c r="X262" i="59" s="1"/>
  <c r="Q267" i="59"/>
  <c r="T267" i="59" s="1"/>
  <c r="U267" i="59"/>
  <c r="X267" i="59" s="1"/>
  <c r="E259" i="59"/>
  <c r="H259" i="59" s="1"/>
  <c r="E260" i="59"/>
  <c r="H260" i="59" s="1"/>
  <c r="I259" i="59"/>
  <c r="L259" i="59" s="1"/>
  <c r="I260" i="59"/>
  <c r="L260" i="59" s="1"/>
  <c r="Q265" i="59"/>
  <c r="T265" i="59" s="1"/>
  <c r="U265" i="59"/>
  <c r="X265" i="59" s="1"/>
  <c r="W288" i="59"/>
  <c r="X288" i="59" s="1"/>
  <c r="S283" i="59"/>
  <c r="T283" i="59" s="1"/>
  <c r="S290" i="59"/>
  <c r="T290" i="59" s="1"/>
  <c r="W290" i="59"/>
  <c r="X290" i="59" s="1"/>
  <c r="S288" i="59"/>
  <c r="T288" i="59" s="1"/>
  <c r="O282" i="59"/>
  <c r="P282" i="59" s="1"/>
  <c r="W285" i="59"/>
  <c r="X285" i="59" s="1"/>
  <c r="S287" i="59"/>
  <c r="S284" i="59"/>
  <c r="S289" i="59"/>
  <c r="S286" i="59"/>
  <c r="T286" i="59" s="1"/>
  <c r="K285" i="59"/>
  <c r="L285" i="59" s="1"/>
  <c r="O281" i="59"/>
  <c r="P281" i="59" s="1"/>
  <c r="S285" i="59"/>
  <c r="T285" i="59" s="1"/>
  <c r="W284" i="59"/>
  <c r="G282" i="59"/>
  <c r="S291" i="59"/>
  <c r="T291" i="59" s="1"/>
  <c r="W283" i="59"/>
  <c r="X283" i="59" s="1"/>
  <c r="W291" i="59"/>
  <c r="X291" i="59" s="1"/>
  <c r="W287" i="59"/>
  <c r="W286" i="59"/>
  <c r="X286" i="59" s="1"/>
  <c r="K282" i="59"/>
  <c r="W282" i="59"/>
  <c r="X282" i="59" s="1"/>
  <c r="I248" i="59"/>
  <c r="L248" i="59" s="1"/>
  <c r="I249" i="59"/>
  <c r="L249" i="59" s="1"/>
  <c r="Q254" i="59"/>
  <c r="T254" i="59" s="1"/>
  <c r="E248" i="59"/>
  <c r="H248" i="59" s="1"/>
  <c r="E249" i="59"/>
  <c r="H249" i="59" s="1"/>
  <c r="U254" i="59"/>
  <c r="X254" i="59" s="1"/>
  <c r="U248" i="59"/>
  <c r="X248" i="59" s="1"/>
  <c r="U251" i="59"/>
  <c r="X251" i="59" s="1"/>
  <c r="Q256" i="59"/>
  <c r="T256" i="59" s="1"/>
  <c r="Q248" i="59"/>
  <c r="T248" i="59" s="1"/>
  <c r="Q251" i="59"/>
  <c r="T251" i="59" s="1"/>
  <c r="U256" i="59"/>
  <c r="X256" i="59" s="1"/>
  <c r="D237" i="59"/>
  <c r="G237" i="59"/>
  <c r="S239" i="59"/>
  <c r="T239" i="59" s="1"/>
  <c r="S240" i="59"/>
  <c r="S241" i="59"/>
  <c r="T241" i="59" s="1"/>
  <c r="C237" i="59"/>
  <c r="S242" i="59"/>
  <c r="T242" i="59" s="1"/>
  <c r="W242" i="59"/>
  <c r="X242" i="59" s="1"/>
  <c r="W243" i="59"/>
  <c r="S244" i="59"/>
  <c r="T244" i="59" s="1"/>
  <c r="W244" i="59"/>
  <c r="X244" i="59" s="1"/>
  <c r="W245" i="59"/>
  <c r="S246" i="59"/>
  <c r="T246" i="59" s="1"/>
  <c r="W246" i="59"/>
  <c r="X246" i="59" s="1"/>
  <c r="S247" i="59"/>
  <c r="T247" i="59" s="1"/>
  <c r="W247" i="59"/>
  <c r="X247" i="59" s="1"/>
  <c r="G238" i="59"/>
  <c r="S238" i="59"/>
  <c r="T238" i="59" s="1"/>
  <c r="S243" i="59"/>
  <c r="S245" i="59"/>
  <c r="W241" i="59"/>
  <c r="X241" i="59" s="1"/>
  <c r="W240" i="59"/>
  <c r="K240" i="59"/>
  <c r="L240" i="59" s="1"/>
  <c r="W238" i="59"/>
  <c r="X238" i="59" s="1"/>
  <c r="K238" i="59"/>
  <c r="W237" i="59"/>
  <c r="O237" i="59"/>
  <c r="P237" i="59" s="1"/>
  <c r="K241" i="59"/>
  <c r="L241" i="59" s="1"/>
  <c r="W239" i="59"/>
  <c r="X239" i="59" s="1"/>
  <c r="O238" i="59"/>
  <c r="P238" i="59" s="1"/>
  <c r="K237" i="59"/>
  <c r="S237" i="59"/>
  <c r="U619" i="57"/>
  <c r="X619" i="57" s="1"/>
  <c r="E611" i="57"/>
  <c r="H611" i="57" s="1"/>
  <c r="E612" i="57"/>
  <c r="H612" i="57" s="1"/>
  <c r="U614" i="57"/>
  <c r="X614" i="57" s="1"/>
  <c r="Q614" i="57"/>
  <c r="T614" i="57" s="1"/>
  <c r="I611" i="57"/>
  <c r="L611" i="57" s="1"/>
  <c r="U617" i="57"/>
  <c r="X617" i="57" s="1"/>
  <c r="Q611" i="57"/>
  <c r="T611" i="57" s="1"/>
  <c r="U611" i="57"/>
  <c r="X611" i="57" s="1"/>
  <c r="I612" i="57"/>
  <c r="L612" i="57" s="1"/>
  <c r="Q619" i="57"/>
  <c r="T619" i="57" s="1"/>
  <c r="U564" i="57"/>
  <c r="X564" i="57" s="1"/>
  <c r="U556" i="57"/>
  <c r="X556" i="57" s="1"/>
  <c r="E557" i="57"/>
  <c r="H557" i="57" s="1"/>
  <c r="Q559" i="57"/>
  <c r="T559" i="57" s="1"/>
  <c r="U562" i="57"/>
  <c r="X562" i="57" s="1"/>
  <c r="I557" i="57"/>
  <c r="L557" i="57" s="1"/>
  <c r="Q564" i="57"/>
  <c r="T564" i="57" s="1"/>
  <c r="E556" i="57"/>
  <c r="H556" i="57" s="1"/>
  <c r="U559" i="57"/>
  <c r="X559" i="57" s="1"/>
  <c r="Q556" i="57"/>
  <c r="T556" i="57" s="1"/>
  <c r="I556" i="57"/>
  <c r="L556" i="57" s="1"/>
  <c r="U630" i="57"/>
  <c r="E623" i="57"/>
  <c r="H623" i="57" s="1"/>
  <c r="I622" i="57"/>
  <c r="L622" i="57" s="1"/>
  <c r="E622" i="57"/>
  <c r="H622" i="57" s="1"/>
  <c r="U622" i="57"/>
  <c r="X622" i="57" s="1"/>
  <c r="Q625" i="57"/>
  <c r="T625" i="57" s="1"/>
  <c r="U628" i="57"/>
  <c r="X628" i="57" s="1"/>
  <c r="Q622" i="57"/>
  <c r="U625" i="57"/>
  <c r="X625" i="57" s="1"/>
  <c r="Q630" i="57"/>
  <c r="T630" i="57" s="1"/>
  <c r="I623" i="57"/>
  <c r="L623" i="57" s="1"/>
  <c r="U608" i="57"/>
  <c r="X608" i="57" s="1"/>
  <c r="I600" i="57"/>
  <c r="E601" i="57"/>
  <c r="H601" i="57" s="1"/>
  <c r="U600" i="57"/>
  <c r="X600" i="57" s="1"/>
  <c r="E600" i="57"/>
  <c r="H600" i="57" s="1"/>
  <c r="U603" i="57"/>
  <c r="X603" i="57" s="1"/>
  <c r="Q603" i="57"/>
  <c r="T603" i="57" s="1"/>
  <c r="U606" i="57"/>
  <c r="X606" i="57" s="1"/>
  <c r="Q600" i="57"/>
  <c r="Q608" i="57"/>
  <c r="T608" i="57" s="1"/>
  <c r="I601" i="57"/>
  <c r="L601" i="57" s="1"/>
  <c r="U487" i="59"/>
  <c r="X487" i="59" s="1"/>
  <c r="I480" i="59"/>
  <c r="L480" i="59" s="1"/>
  <c r="U479" i="59"/>
  <c r="X479" i="59" s="1"/>
  <c r="E480" i="59"/>
  <c r="H480" i="59" s="1"/>
  <c r="U485" i="59"/>
  <c r="X485" i="59" s="1"/>
  <c r="U482" i="59"/>
  <c r="X482" i="59" s="1"/>
  <c r="Q482" i="59"/>
  <c r="T482" i="59" s="1"/>
  <c r="Q487" i="59"/>
  <c r="T487" i="59" s="1"/>
  <c r="E479" i="59"/>
  <c r="H479" i="59" s="1"/>
  <c r="I479" i="59"/>
  <c r="L479" i="59" s="1"/>
  <c r="Q479" i="59"/>
  <c r="T479" i="59" s="1"/>
  <c r="Q485" i="59"/>
  <c r="T485" i="59" s="1"/>
  <c r="U586" i="57"/>
  <c r="X586" i="57" s="1"/>
  <c r="E579" i="57"/>
  <c r="H579" i="57" s="1"/>
  <c r="U581" i="57"/>
  <c r="X581" i="57" s="1"/>
  <c r="Q578" i="57"/>
  <c r="Q586" i="57"/>
  <c r="T586" i="57" s="1"/>
  <c r="U578" i="57"/>
  <c r="X578" i="57" s="1"/>
  <c r="I579" i="57"/>
  <c r="L579" i="57" s="1"/>
  <c r="Q581" i="57"/>
  <c r="T581" i="57" s="1"/>
  <c r="I578" i="57"/>
  <c r="L578" i="57" s="1"/>
  <c r="U584" i="57"/>
  <c r="X584" i="57" s="1"/>
  <c r="E578" i="57"/>
  <c r="H578" i="57" s="1"/>
  <c r="U575" i="57"/>
  <c r="X575" i="57" s="1"/>
  <c r="U567" i="57"/>
  <c r="X567" i="57" s="1"/>
  <c r="E568" i="57"/>
  <c r="H568" i="57" s="1"/>
  <c r="I568" i="57"/>
  <c r="L568" i="57" s="1"/>
  <c r="Q570" i="57"/>
  <c r="T570" i="57" s="1"/>
  <c r="U573" i="57"/>
  <c r="X573" i="57" s="1"/>
  <c r="Q567" i="57"/>
  <c r="I567" i="57"/>
  <c r="L567" i="57" s="1"/>
  <c r="U570" i="57"/>
  <c r="X570" i="57" s="1"/>
  <c r="E567" i="57"/>
  <c r="H567" i="57" s="1"/>
  <c r="Q575" i="57"/>
  <c r="U641" i="57"/>
  <c r="X641" i="57" s="1"/>
  <c r="Q641" i="57"/>
  <c r="T641" i="57" s="1"/>
  <c r="I634" i="57"/>
  <c r="L634" i="57" s="1"/>
  <c r="U639" i="57"/>
  <c r="X639" i="57" s="1"/>
  <c r="E633" i="57"/>
  <c r="H633" i="57" s="1"/>
  <c r="Q633" i="57"/>
  <c r="T633" i="57" s="1"/>
  <c r="U636" i="57"/>
  <c r="X636" i="57" s="1"/>
  <c r="U633" i="57"/>
  <c r="X633" i="57" s="1"/>
  <c r="E634" i="57"/>
  <c r="H634" i="57" s="1"/>
  <c r="Q636" i="57"/>
  <c r="T636" i="57" s="1"/>
  <c r="I633" i="57"/>
  <c r="L633" i="57" s="1"/>
  <c r="U476" i="59"/>
  <c r="X476" i="59" s="1"/>
  <c r="U468" i="59"/>
  <c r="X468" i="59" s="1"/>
  <c r="Q476" i="59"/>
  <c r="T476" i="59" s="1"/>
  <c r="E469" i="59"/>
  <c r="H469" i="59" s="1"/>
  <c r="U474" i="59"/>
  <c r="X474" i="59" s="1"/>
  <c r="I469" i="59"/>
  <c r="L469" i="59" s="1"/>
  <c r="I468" i="59"/>
  <c r="L468" i="59" s="1"/>
  <c r="Q471" i="59"/>
  <c r="T471" i="59" s="1"/>
  <c r="U471" i="59"/>
  <c r="X471" i="59" s="1"/>
  <c r="E468" i="59"/>
  <c r="H468" i="59" s="1"/>
  <c r="Q474" i="59"/>
  <c r="T474" i="59" s="1"/>
  <c r="Q468" i="59"/>
  <c r="T468" i="59" s="1"/>
  <c r="U597" i="57"/>
  <c r="X597" i="57" s="1"/>
  <c r="Q589" i="57"/>
  <c r="T589" i="57" s="1"/>
  <c r="U589" i="57"/>
  <c r="X589" i="57" s="1"/>
  <c r="Q592" i="57"/>
  <c r="T592" i="57" s="1"/>
  <c r="I590" i="57"/>
  <c r="L590" i="57" s="1"/>
  <c r="U595" i="57"/>
  <c r="X595" i="57" s="1"/>
  <c r="E589" i="57"/>
  <c r="H589" i="57" s="1"/>
  <c r="I589" i="57"/>
  <c r="L589" i="57" s="1"/>
  <c r="Q597" i="57"/>
  <c r="T597" i="57" s="1"/>
  <c r="U592" i="57"/>
  <c r="X592" i="57" s="1"/>
  <c r="E590" i="57"/>
  <c r="H590" i="57" s="1"/>
  <c r="U465" i="59"/>
  <c r="X465" i="59" s="1"/>
  <c r="U457" i="59"/>
  <c r="X457" i="59" s="1"/>
  <c r="I457" i="59"/>
  <c r="L457" i="59" s="1"/>
  <c r="E458" i="59"/>
  <c r="H458" i="59" s="1"/>
  <c r="U463" i="59"/>
  <c r="X463" i="59" s="1"/>
  <c r="U460" i="59"/>
  <c r="X460" i="59" s="1"/>
  <c r="I458" i="59"/>
  <c r="L458" i="59" s="1"/>
  <c r="Q460" i="59"/>
  <c r="T460" i="59" s="1"/>
  <c r="Q457" i="59"/>
  <c r="T457" i="59" s="1"/>
  <c r="Q463" i="59"/>
  <c r="T463" i="59" s="1"/>
  <c r="Q465" i="59"/>
  <c r="T465" i="59" s="1"/>
  <c r="E457" i="59"/>
  <c r="H457" i="59" s="1"/>
  <c r="U454" i="60"/>
  <c r="I446" i="60"/>
  <c r="I447" i="60"/>
  <c r="Q454" i="60"/>
  <c r="Q446" i="60"/>
  <c r="U449" i="60"/>
  <c r="U452" i="60"/>
  <c r="Q449" i="60"/>
  <c r="E447" i="60"/>
  <c r="U446" i="60"/>
  <c r="E446" i="60"/>
  <c r="E886" i="57"/>
  <c r="H886" i="57" s="1"/>
  <c r="Q886" i="57"/>
  <c r="T886" i="57" s="1"/>
  <c r="I886" i="57"/>
  <c r="L886" i="57" s="1"/>
  <c r="U886" i="57"/>
  <c r="X886" i="57" s="1"/>
  <c r="U553" i="57"/>
  <c r="X553" i="57" s="1"/>
  <c r="Q545" i="57"/>
  <c r="E545" i="57"/>
  <c r="H545" i="57" s="1"/>
  <c r="I545" i="57"/>
  <c r="L545" i="57" s="1"/>
  <c r="I546" i="57"/>
  <c r="L546" i="57" s="1"/>
  <c r="U551" i="57"/>
  <c r="X551" i="57" s="1"/>
  <c r="E546" i="57"/>
  <c r="H546" i="57" s="1"/>
  <c r="Q548" i="57"/>
  <c r="Q553" i="57"/>
  <c r="T553" i="57" s="1"/>
  <c r="U545" i="57"/>
  <c r="U548" i="57"/>
  <c r="T468" i="60"/>
  <c r="U542" i="57"/>
  <c r="X542" i="57" s="1"/>
  <c r="E534" i="57"/>
  <c r="H534" i="57" s="1"/>
  <c r="I534" i="57"/>
  <c r="L534" i="57" s="1"/>
  <c r="I535" i="57"/>
  <c r="L535" i="57" s="1"/>
  <c r="U540" i="57"/>
  <c r="X540" i="57" s="1"/>
  <c r="Q534" i="57"/>
  <c r="E535" i="57"/>
  <c r="H535" i="57" s="1"/>
  <c r="Q537" i="57"/>
  <c r="T537" i="57" s="1"/>
  <c r="Q542" i="57"/>
  <c r="T542" i="57" s="1"/>
  <c r="U534" i="57"/>
  <c r="X534" i="57" s="1"/>
  <c r="U537" i="57"/>
  <c r="X537" i="57" s="1"/>
  <c r="U531" i="57"/>
  <c r="X531" i="57" s="1"/>
  <c r="E523" i="57"/>
  <c r="H523" i="57" s="1"/>
  <c r="U523" i="57"/>
  <c r="X523" i="57" s="1"/>
  <c r="U526" i="57"/>
  <c r="X526" i="57" s="1"/>
  <c r="E524" i="57"/>
  <c r="H524" i="57" s="1"/>
  <c r="Q531" i="57"/>
  <c r="T531" i="57" s="1"/>
  <c r="I524" i="57"/>
  <c r="L524" i="57" s="1"/>
  <c r="U529" i="57"/>
  <c r="X529" i="57" s="1"/>
  <c r="Q523" i="57"/>
  <c r="T523" i="57" s="1"/>
  <c r="Q526" i="57"/>
  <c r="T526" i="57" s="1"/>
  <c r="I523" i="57"/>
  <c r="L523" i="57" s="1"/>
  <c r="U465" i="60"/>
  <c r="U457" i="60"/>
  <c r="Q460" i="60"/>
  <c r="E457" i="60"/>
  <c r="E458" i="60"/>
  <c r="I457" i="60"/>
  <c r="Q465" i="60"/>
  <c r="U460" i="60"/>
  <c r="U463" i="60"/>
  <c r="I458" i="60"/>
  <c r="Q457" i="60"/>
  <c r="Q471" i="60"/>
  <c r="U468" i="60"/>
  <c r="U476" i="60"/>
  <c r="U471" i="60"/>
  <c r="Q468" i="60"/>
  <c r="Q476" i="60"/>
  <c r="I469" i="60"/>
  <c r="I468" i="60"/>
  <c r="U474" i="60"/>
  <c r="E469" i="60"/>
  <c r="E468" i="60"/>
  <c r="U487" i="60"/>
  <c r="I479" i="60"/>
  <c r="U479" i="60"/>
  <c r="Q487" i="60"/>
  <c r="Q479" i="60"/>
  <c r="U482" i="60"/>
  <c r="U485" i="60"/>
  <c r="Q482" i="60"/>
  <c r="E480" i="60"/>
  <c r="I480" i="60"/>
  <c r="E479" i="60"/>
  <c r="U498" i="60"/>
  <c r="U490" i="60"/>
  <c r="Q493" i="60"/>
  <c r="E490" i="60"/>
  <c r="E491" i="60"/>
  <c r="I490" i="60"/>
  <c r="Q498" i="60"/>
  <c r="U493" i="60"/>
  <c r="U496" i="60"/>
  <c r="I491" i="60"/>
  <c r="Q490" i="60"/>
  <c r="Q457" i="57"/>
  <c r="I458" i="57"/>
  <c r="L458" i="57" s="1"/>
  <c r="U465" i="57"/>
  <c r="X465" i="57" s="1"/>
  <c r="E458" i="57"/>
  <c r="H458" i="57" s="1"/>
  <c r="Q460" i="57"/>
  <c r="T460" i="57" s="1"/>
  <c r="U460" i="57"/>
  <c r="X460" i="57" s="1"/>
  <c r="E457" i="57"/>
  <c r="H457" i="57" s="1"/>
  <c r="U457" i="57"/>
  <c r="X457" i="57" s="1"/>
  <c r="Q465" i="57"/>
  <c r="T465" i="57" s="1"/>
  <c r="I457" i="57"/>
  <c r="L457" i="57" s="1"/>
  <c r="U463" i="57"/>
  <c r="X463" i="57" s="1"/>
  <c r="I468" i="57"/>
  <c r="L468" i="57" s="1"/>
  <c r="I469" i="57"/>
  <c r="L469" i="57" s="1"/>
  <c r="U474" i="57"/>
  <c r="X474" i="57" s="1"/>
  <c r="E468" i="57"/>
  <c r="H468" i="57" s="1"/>
  <c r="E469" i="57"/>
  <c r="H469" i="57" s="1"/>
  <c r="Q471" i="57"/>
  <c r="T471" i="57" s="1"/>
  <c r="Q468" i="57"/>
  <c r="T468" i="57" s="1"/>
  <c r="U468" i="57"/>
  <c r="X468" i="57" s="1"/>
  <c r="U476" i="57"/>
  <c r="X476" i="57" s="1"/>
  <c r="Q476" i="57"/>
  <c r="T476" i="57" s="1"/>
  <c r="U471" i="57"/>
  <c r="X471" i="57" s="1"/>
  <c r="Q479" i="57"/>
  <c r="T479" i="57" s="1"/>
  <c r="U479" i="57"/>
  <c r="X479" i="57" s="1"/>
  <c r="U482" i="57"/>
  <c r="X482" i="57" s="1"/>
  <c r="E480" i="57"/>
  <c r="H480" i="57" s="1"/>
  <c r="I480" i="57"/>
  <c r="L480" i="57" s="1"/>
  <c r="Q482" i="57"/>
  <c r="T482" i="57" s="1"/>
  <c r="U487" i="57"/>
  <c r="X487" i="57" s="1"/>
  <c r="I479" i="57"/>
  <c r="L479" i="57" s="1"/>
  <c r="Q487" i="57"/>
  <c r="T487" i="57" s="1"/>
  <c r="U485" i="57"/>
  <c r="X485" i="57" s="1"/>
  <c r="E479" i="57"/>
  <c r="H479" i="57" s="1"/>
  <c r="U515" i="57"/>
  <c r="X515" i="57" s="1"/>
  <c r="Q515" i="57"/>
  <c r="T515" i="57" s="1"/>
  <c r="I513" i="57"/>
  <c r="L513" i="57" s="1"/>
  <c r="U518" i="57"/>
  <c r="X518" i="57" s="1"/>
  <c r="Q512" i="57"/>
  <c r="T512" i="57" s="1"/>
  <c r="Q520" i="57"/>
  <c r="T520" i="57" s="1"/>
  <c r="I512" i="57"/>
  <c r="L512" i="57" s="1"/>
  <c r="U520" i="57"/>
  <c r="X520" i="57" s="1"/>
  <c r="E512" i="57"/>
  <c r="H512" i="57" s="1"/>
  <c r="E513" i="57"/>
  <c r="H513" i="57" s="1"/>
  <c r="U512" i="57"/>
  <c r="X512" i="57" s="1"/>
  <c r="U449" i="57"/>
  <c r="X449" i="57" s="1"/>
  <c r="U446" i="57"/>
  <c r="X446" i="57" s="1"/>
  <c r="I447" i="57"/>
  <c r="L447" i="57" s="1"/>
  <c r="U452" i="57"/>
  <c r="X452" i="57" s="1"/>
  <c r="E446" i="57"/>
  <c r="H446" i="57" s="1"/>
  <c r="E447" i="57"/>
  <c r="H447" i="57" s="1"/>
  <c r="Q449" i="57"/>
  <c r="T449" i="57" s="1"/>
  <c r="Q454" i="57"/>
  <c r="T454" i="57" s="1"/>
  <c r="Q446" i="57"/>
  <c r="I446" i="57"/>
  <c r="L446" i="57" s="1"/>
  <c r="U454" i="57"/>
  <c r="X454" i="57" s="1"/>
  <c r="Q498" i="57"/>
  <c r="T498" i="57" s="1"/>
  <c r="I491" i="57"/>
  <c r="L491" i="57" s="1"/>
  <c r="Q490" i="57"/>
  <c r="Q493" i="57"/>
  <c r="T493" i="57" s="1"/>
  <c r="U496" i="57"/>
  <c r="X496" i="57" s="1"/>
  <c r="U493" i="57"/>
  <c r="X493" i="57" s="1"/>
  <c r="I490" i="57"/>
  <c r="L490" i="57" s="1"/>
  <c r="E490" i="57"/>
  <c r="H490" i="57" s="1"/>
  <c r="E491" i="57"/>
  <c r="H491" i="57" s="1"/>
  <c r="U498" i="57"/>
  <c r="U490" i="57"/>
  <c r="Q509" i="57"/>
  <c r="T509" i="57" s="1"/>
  <c r="U507" i="57"/>
  <c r="X507" i="57" s="1"/>
  <c r="U504" i="57"/>
  <c r="X504" i="57" s="1"/>
  <c r="I501" i="57"/>
  <c r="L501" i="57" s="1"/>
  <c r="Q501" i="57"/>
  <c r="E502" i="57"/>
  <c r="H502" i="57" s="1"/>
  <c r="U501" i="57"/>
  <c r="X501" i="57" s="1"/>
  <c r="U509" i="57"/>
  <c r="X509" i="57" s="1"/>
  <c r="Q504" i="57"/>
  <c r="T504" i="57" s="1"/>
  <c r="I502" i="57"/>
  <c r="L502" i="57" s="1"/>
  <c r="E501" i="57"/>
  <c r="U443" i="57"/>
  <c r="X443" i="57" s="1"/>
  <c r="I435" i="57"/>
  <c r="L435" i="57" s="1"/>
  <c r="E436" i="57"/>
  <c r="H436" i="57" s="1"/>
  <c r="Q435" i="57"/>
  <c r="T435" i="57" s="1"/>
  <c r="U435" i="57"/>
  <c r="X435" i="57" s="1"/>
  <c r="U441" i="57"/>
  <c r="X441" i="57" s="1"/>
  <c r="U438" i="57"/>
  <c r="X438" i="57" s="1"/>
  <c r="E435" i="57"/>
  <c r="H435" i="57" s="1"/>
  <c r="I436" i="57"/>
  <c r="L436" i="57" s="1"/>
  <c r="Q443" i="57"/>
  <c r="T443" i="57" s="1"/>
  <c r="Q438" i="57"/>
  <c r="T438" i="57" s="1"/>
  <c r="Y182" i="60"/>
  <c r="Q432" i="57"/>
  <c r="T432" i="57" s="1"/>
  <c r="E425" i="57"/>
  <c r="H425" i="57" s="1"/>
  <c r="Q424" i="57"/>
  <c r="T424" i="57" s="1"/>
  <c r="Q427" i="57"/>
  <c r="T427" i="57" s="1"/>
  <c r="E424" i="57"/>
  <c r="H424" i="57" s="1"/>
  <c r="U432" i="57"/>
  <c r="X432" i="57" s="1"/>
  <c r="I425" i="57"/>
  <c r="L425" i="57" s="1"/>
  <c r="U424" i="57"/>
  <c r="X424" i="57" s="1"/>
  <c r="U430" i="57"/>
  <c r="X430" i="57" s="1"/>
  <c r="U427" i="57"/>
  <c r="X427" i="57" s="1"/>
  <c r="I424" i="57"/>
  <c r="L424" i="57" s="1"/>
  <c r="C193" i="60"/>
  <c r="D226" i="60"/>
  <c r="Q234" i="60" s="1"/>
  <c r="S297" i="59"/>
  <c r="T297" i="59" s="1"/>
  <c r="G293" i="59"/>
  <c r="D292" i="59"/>
  <c r="Q298" i="59" s="1"/>
  <c r="W297" i="59"/>
  <c r="X297" i="59" s="1"/>
  <c r="K296" i="59"/>
  <c r="L296" i="59" s="1"/>
  <c r="K293" i="59"/>
  <c r="W299" i="59"/>
  <c r="X299" i="59" s="1"/>
  <c r="C204" i="60"/>
  <c r="W293" i="59"/>
  <c r="X293" i="59" s="1"/>
  <c r="C292" i="59"/>
  <c r="S293" i="59"/>
  <c r="T293" i="59" s="1"/>
  <c r="W295" i="59"/>
  <c r="S301" i="59"/>
  <c r="T301" i="59" s="1"/>
  <c r="S296" i="59"/>
  <c r="T296" i="59" s="1"/>
  <c r="W298" i="59"/>
  <c r="U25" i="60"/>
  <c r="X25" i="60" s="1"/>
  <c r="Q25" i="60"/>
  <c r="T25" i="60" s="1"/>
  <c r="U23" i="60"/>
  <c r="X23" i="60" s="1"/>
  <c r="Q23" i="60"/>
  <c r="T23" i="60" s="1"/>
  <c r="I17" i="60"/>
  <c r="L17" i="60" s="1"/>
  <c r="E17" i="60"/>
  <c r="H17" i="60" s="1"/>
  <c r="Q20" i="60"/>
  <c r="T20" i="60" s="1"/>
  <c r="I18" i="60"/>
  <c r="L18" i="60" s="1"/>
  <c r="U17" i="60"/>
  <c r="X17" i="60" s="1"/>
  <c r="U20" i="60"/>
  <c r="X20" i="60" s="1"/>
  <c r="E18" i="60"/>
  <c r="H18" i="60" s="1"/>
  <c r="Q17" i="60"/>
  <c r="U69" i="60"/>
  <c r="X69" i="60" s="1"/>
  <c r="Q69" i="60"/>
  <c r="T69" i="60" s="1"/>
  <c r="U67" i="60"/>
  <c r="X67" i="60" s="1"/>
  <c r="Q67" i="60"/>
  <c r="T67" i="60" s="1"/>
  <c r="I61" i="60"/>
  <c r="L61" i="60" s="1"/>
  <c r="E61" i="60"/>
  <c r="H61" i="60" s="1"/>
  <c r="Q64" i="60"/>
  <c r="T64" i="60" s="1"/>
  <c r="I62" i="60"/>
  <c r="L62" i="60" s="1"/>
  <c r="U61" i="60"/>
  <c r="X61" i="60" s="1"/>
  <c r="U64" i="60"/>
  <c r="X64" i="60" s="1"/>
  <c r="E62" i="60"/>
  <c r="H62" i="60" s="1"/>
  <c r="Q61" i="60"/>
  <c r="U146" i="60"/>
  <c r="X146" i="60" s="1"/>
  <c r="Q146" i="60"/>
  <c r="T146" i="60" s="1"/>
  <c r="U144" i="60"/>
  <c r="X144" i="60" s="1"/>
  <c r="Q144" i="60"/>
  <c r="T144" i="60" s="1"/>
  <c r="I138" i="60"/>
  <c r="L138" i="60" s="1"/>
  <c r="E138" i="60"/>
  <c r="H138" i="60" s="1"/>
  <c r="Q141" i="60"/>
  <c r="T141" i="60" s="1"/>
  <c r="I139" i="60"/>
  <c r="L139" i="60" s="1"/>
  <c r="U138" i="60"/>
  <c r="X138" i="60" s="1"/>
  <c r="U141" i="60"/>
  <c r="X141" i="60" s="1"/>
  <c r="E139" i="60"/>
  <c r="H139" i="60" s="1"/>
  <c r="Q138" i="60"/>
  <c r="T138" i="60" s="1"/>
  <c r="U168" i="60"/>
  <c r="X168" i="60" s="1"/>
  <c r="Q168" i="60"/>
  <c r="T168" i="60" s="1"/>
  <c r="U166" i="60"/>
  <c r="X166" i="60" s="1"/>
  <c r="Q166" i="60"/>
  <c r="T166" i="60" s="1"/>
  <c r="I160" i="60"/>
  <c r="L160" i="60" s="1"/>
  <c r="E160" i="60"/>
  <c r="H160" i="60" s="1"/>
  <c r="Q163" i="60"/>
  <c r="T163" i="60" s="1"/>
  <c r="I161" i="60"/>
  <c r="L161" i="60" s="1"/>
  <c r="U160" i="60"/>
  <c r="X160" i="60" s="1"/>
  <c r="U163" i="60"/>
  <c r="X163" i="60" s="1"/>
  <c r="E161" i="60"/>
  <c r="H161" i="60" s="1"/>
  <c r="Q160" i="60"/>
  <c r="T160" i="60" s="1"/>
  <c r="U124" i="60"/>
  <c r="X124" i="60" s="1"/>
  <c r="Q124" i="60"/>
  <c r="T124" i="60" s="1"/>
  <c r="U122" i="60"/>
  <c r="X122" i="60" s="1"/>
  <c r="Q122" i="60"/>
  <c r="T122" i="60" s="1"/>
  <c r="I116" i="60"/>
  <c r="L116" i="60" s="1"/>
  <c r="E116" i="60"/>
  <c r="H116" i="60" s="1"/>
  <c r="Q119" i="60"/>
  <c r="T119" i="60" s="1"/>
  <c r="I117" i="60"/>
  <c r="L117" i="60" s="1"/>
  <c r="U116" i="60"/>
  <c r="U119" i="60"/>
  <c r="X119" i="60" s="1"/>
  <c r="E117" i="60"/>
  <c r="H117" i="60" s="1"/>
  <c r="Q116" i="60"/>
  <c r="U157" i="60"/>
  <c r="X157" i="60" s="1"/>
  <c r="Q157" i="60"/>
  <c r="T157" i="60" s="1"/>
  <c r="U155" i="60"/>
  <c r="X155" i="60" s="1"/>
  <c r="Q155" i="60"/>
  <c r="T155" i="60" s="1"/>
  <c r="I149" i="60"/>
  <c r="L149" i="60" s="1"/>
  <c r="E149" i="60"/>
  <c r="H149" i="60" s="1"/>
  <c r="Q152" i="60"/>
  <c r="T152" i="60" s="1"/>
  <c r="I150" i="60"/>
  <c r="L150" i="60" s="1"/>
  <c r="U149" i="60"/>
  <c r="X149" i="60" s="1"/>
  <c r="U152" i="60"/>
  <c r="X152" i="60" s="1"/>
  <c r="E150" i="60"/>
  <c r="H150" i="60" s="1"/>
  <c r="Q149" i="60"/>
  <c r="U201" i="60"/>
  <c r="Q201" i="60"/>
  <c r="U199" i="60"/>
  <c r="Q199" i="60"/>
  <c r="I193" i="60"/>
  <c r="E193" i="60"/>
  <c r="U196" i="60"/>
  <c r="Q196" i="60"/>
  <c r="I194" i="60"/>
  <c r="E194" i="60"/>
  <c r="U193" i="60"/>
  <c r="Q193" i="60"/>
  <c r="U80" i="60"/>
  <c r="X80" i="60" s="1"/>
  <c r="Q80" i="60"/>
  <c r="T80" i="60" s="1"/>
  <c r="U78" i="60"/>
  <c r="X78" i="60" s="1"/>
  <c r="Q78" i="60"/>
  <c r="T78" i="60" s="1"/>
  <c r="I72" i="60"/>
  <c r="L72" i="60" s="1"/>
  <c r="E72" i="60"/>
  <c r="H72" i="60" s="1"/>
  <c r="Q75" i="60"/>
  <c r="T75" i="60" s="1"/>
  <c r="I73" i="60"/>
  <c r="L73" i="60" s="1"/>
  <c r="U72" i="60"/>
  <c r="X72" i="60" s="1"/>
  <c r="U75" i="60"/>
  <c r="X75" i="60" s="1"/>
  <c r="E73" i="60"/>
  <c r="H73" i="60" s="1"/>
  <c r="Q72" i="60"/>
  <c r="T72" i="60" s="1"/>
  <c r="U410" i="60"/>
  <c r="X410" i="60" s="1"/>
  <c r="Q410" i="60"/>
  <c r="T410" i="60" s="1"/>
  <c r="U408" i="60"/>
  <c r="X408" i="60" s="1"/>
  <c r="Q408" i="60"/>
  <c r="T408" i="60" s="1"/>
  <c r="U405" i="60"/>
  <c r="X405" i="60" s="1"/>
  <c r="E403" i="60"/>
  <c r="H403" i="60" s="1"/>
  <c r="U402" i="60"/>
  <c r="Q402" i="60"/>
  <c r="T402" i="60" s="1"/>
  <c r="Q405" i="60"/>
  <c r="T405" i="60" s="1"/>
  <c r="I403" i="60"/>
  <c r="L403" i="60" s="1"/>
  <c r="E402" i="60"/>
  <c r="H402" i="60" s="1"/>
  <c r="I402" i="60"/>
  <c r="L402" i="60" s="1"/>
  <c r="U372" i="60"/>
  <c r="X372" i="60" s="1"/>
  <c r="Q372" i="60"/>
  <c r="T372" i="60" s="1"/>
  <c r="I370" i="60"/>
  <c r="L370" i="60" s="1"/>
  <c r="E370" i="60"/>
  <c r="H370" i="60" s="1"/>
  <c r="U369" i="60"/>
  <c r="X369" i="60" s="1"/>
  <c r="Q369" i="60"/>
  <c r="Q377" i="60"/>
  <c r="T377" i="60" s="1"/>
  <c r="Q375" i="60"/>
  <c r="T375" i="60" s="1"/>
  <c r="E369" i="60"/>
  <c r="H369" i="60" s="1"/>
  <c r="U377" i="60"/>
  <c r="X377" i="60" s="1"/>
  <c r="I369" i="60"/>
  <c r="L369" i="60" s="1"/>
  <c r="U375" i="60"/>
  <c r="X375" i="60" s="1"/>
  <c r="U421" i="60"/>
  <c r="X421" i="60" s="1"/>
  <c r="Q421" i="60"/>
  <c r="T421" i="60" s="1"/>
  <c r="U419" i="60"/>
  <c r="X419" i="60" s="1"/>
  <c r="Q419" i="60"/>
  <c r="T419" i="60" s="1"/>
  <c r="I413" i="60"/>
  <c r="L413" i="60" s="1"/>
  <c r="E413" i="60"/>
  <c r="H413" i="60" s="1"/>
  <c r="U416" i="60"/>
  <c r="X416" i="60" s="1"/>
  <c r="E414" i="60"/>
  <c r="H414" i="60" s="1"/>
  <c r="Q413" i="60"/>
  <c r="I414" i="60"/>
  <c r="L414" i="60" s="1"/>
  <c r="Q416" i="60"/>
  <c r="T416" i="60" s="1"/>
  <c r="U413" i="60"/>
  <c r="X413" i="60" s="1"/>
  <c r="U91" i="60"/>
  <c r="X91" i="60" s="1"/>
  <c r="Q91" i="60"/>
  <c r="T91" i="60" s="1"/>
  <c r="U89" i="60"/>
  <c r="X89" i="60" s="1"/>
  <c r="Q89" i="60"/>
  <c r="T89" i="60" s="1"/>
  <c r="I83" i="60"/>
  <c r="L83" i="60" s="1"/>
  <c r="E83" i="60"/>
  <c r="H83" i="60" s="1"/>
  <c r="Q86" i="60"/>
  <c r="T86" i="60" s="1"/>
  <c r="I84" i="60"/>
  <c r="L84" i="60" s="1"/>
  <c r="U83" i="60"/>
  <c r="X83" i="60" s="1"/>
  <c r="U86" i="60"/>
  <c r="X86" i="60" s="1"/>
  <c r="E84" i="60"/>
  <c r="H84" i="60" s="1"/>
  <c r="Q83" i="60"/>
  <c r="T83" i="60" s="1"/>
  <c r="U113" i="60"/>
  <c r="X113" i="60" s="1"/>
  <c r="Q113" i="60"/>
  <c r="T113" i="60" s="1"/>
  <c r="U111" i="60"/>
  <c r="X111" i="60" s="1"/>
  <c r="Q111" i="60"/>
  <c r="T111" i="60" s="1"/>
  <c r="I105" i="60"/>
  <c r="L105" i="60" s="1"/>
  <c r="E105" i="60"/>
  <c r="H105" i="60" s="1"/>
  <c r="Q108" i="60"/>
  <c r="T108" i="60" s="1"/>
  <c r="I106" i="60"/>
  <c r="L106" i="60" s="1"/>
  <c r="U105" i="60"/>
  <c r="X105" i="60" s="1"/>
  <c r="U108" i="60"/>
  <c r="X108" i="60" s="1"/>
  <c r="E106" i="60"/>
  <c r="H106" i="60" s="1"/>
  <c r="Q105" i="60"/>
  <c r="U190" i="60"/>
  <c r="X190" i="60" s="1"/>
  <c r="Q190" i="60"/>
  <c r="T190" i="60" s="1"/>
  <c r="U188" i="60"/>
  <c r="X188" i="60" s="1"/>
  <c r="Q188" i="60"/>
  <c r="T188" i="60" s="1"/>
  <c r="I182" i="60"/>
  <c r="L182" i="60" s="1"/>
  <c r="E182" i="60"/>
  <c r="H182" i="60" s="1"/>
  <c r="U185" i="60"/>
  <c r="X185" i="60" s="1"/>
  <c r="Q185" i="60"/>
  <c r="T185" i="60" s="1"/>
  <c r="I183" i="60"/>
  <c r="L183" i="60" s="1"/>
  <c r="E183" i="60"/>
  <c r="H183" i="60" s="1"/>
  <c r="U182" i="60"/>
  <c r="X182" i="60" s="1"/>
  <c r="Q182" i="60"/>
  <c r="T182" i="60" s="1"/>
  <c r="U58" i="60"/>
  <c r="X58" i="60" s="1"/>
  <c r="Q58" i="60"/>
  <c r="T58" i="60" s="1"/>
  <c r="U56" i="60"/>
  <c r="X56" i="60" s="1"/>
  <c r="Q56" i="60"/>
  <c r="T56" i="60" s="1"/>
  <c r="I50" i="60"/>
  <c r="L50" i="60" s="1"/>
  <c r="E50" i="60"/>
  <c r="H50" i="60" s="1"/>
  <c r="Q53" i="60"/>
  <c r="T53" i="60" s="1"/>
  <c r="I51" i="60"/>
  <c r="L51" i="60" s="1"/>
  <c r="U50" i="60"/>
  <c r="X50" i="60" s="1"/>
  <c r="U53" i="60"/>
  <c r="X53" i="60" s="1"/>
  <c r="E51" i="60"/>
  <c r="H51" i="60" s="1"/>
  <c r="Q50" i="60"/>
  <c r="T50" i="60" s="1"/>
  <c r="U432" i="60"/>
  <c r="X432" i="60" s="1"/>
  <c r="Q432" i="60"/>
  <c r="T432" i="60" s="1"/>
  <c r="U430" i="60"/>
  <c r="X430" i="60" s="1"/>
  <c r="Q430" i="60"/>
  <c r="T430" i="60" s="1"/>
  <c r="I424" i="60"/>
  <c r="L424" i="60" s="1"/>
  <c r="E424" i="60"/>
  <c r="H424" i="60" s="1"/>
  <c r="U427" i="60"/>
  <c r="X427" i="60" s="1"/>
  <c r="E425" i="60"/>
  <c r="H425" i="60" s="1"/>
  <c r="Q424" i="60"/>
  <c r="T424" i="60" s="1"/>
  <c r="Q427" i="60"/>
  <c r="T427" i="60" s="1"/>
  <c r="U424" i="60"/>
  <c r="X424" i="60" s="1"/>
  <c r="I425" i="60"/>
  <c r="L425" i="60" s="1"/>
  <c r="U179" i="60"/>
  <c r="X179" i="60" s="1"/>
  <c r="Q179" i="60"/>
  <c r="T179" i="60" s="1"/>
  <c r="U177" i="60"/>
  <c r="X177" i="60" s="1"/>
  <c r="Q177" i="60"/>
  <c r="T177" i="60" s="1"/>
  <c r="I171" i="60"/>
  <c r="L171" i="60" s="1"/>
  <c r="E171" i="60"/>
  <c r="H171" i="60" s="1"/>
  <c r="U174" i="60"/>
  <c r="X174" i="60" s="1"/>
  <c r="Q174" i="60"/>
  <c r="T174" i="60" s="1"/>
  <c r="I172" i="60"/>
  <c r="L172" i="60" s="1"/>
  <c r="U171" i="60"/>
  <c r="X171" i="60" s="1"/>
  <c r="E172" i="60"/>
  <c r="H172" i="60" s="1"/>
  <c r="Q171" i="60"/>
  <c r="U251" i="60"/>
  <c r="X251" i="60" s="1"/>
  <c r="Q251" i="60"/>
  <c r="T251" i="60" s="1"/>
  <c r="I249" i="60"/>
  <c r="L249" i="60" s="1"/>
  <c r="E249" i="60"/>
  <c r="H249" i="60" s="1"/>
  <c r="U248" i="60"/>
  <c r="X248" i="60" s="1"/>
  <c r="Q248" i="60"/>
  <c r="T248" i="60" s="1"/>
  <c r="Q256" i="60"/>
  <c r="T256" i="60" s="1"/>
  <c r="Q254" i="60"/>
  <c r="T254" i="60" s="1"/>
  <c r="E248" i="60"/>
  <c r="H248" i="60" s="1"/>
  <c r="U256" i="60"/>
  <c r="X256" i="60" s="1"/>
  <c r="U254" i="60"/>
  <c r="X254" i="60" s="1"/>
  <c r="I248" i="60"/>
  <c r="L248" i="60" s="1"/>
  <c r="U383" i="60"/>
  <c r="X383" i="60" s="1"/>
  <c r="Q383" i="60"/>
  <c r="T383" i="60" s="1"/>
  <c r="I381" i="60"/>
  <c r="L381" i="60" s="1"/>
  <c r="E381" i="60"/>
  <c r="H381" i="60" s="1"/>
  <c r="U380" i="60"/>
  <c r="X380" i="60" s="1"/>
  <c r="Q380" i="60"/>
  <c r="T380" i="60" s="1"/>
  <c r="Q388" i="60"/>
  <c r="T388" i="60" s="1"/>
  <c r="Q386" i="60"/>
  <c r="T386" i="60" s="1"/>
  <c r="E380" i="60"/>
  <c r="U386" i="60"/>
  <c r="X386" i="60" s="1"/>
  <c r="U388" i="60"/>
  <c r="X388" i="60" s="1"/>
  <c r="I380" i="60"/>
  <c r="L380" i="60" s="1"/>
  <c r="U135" i="60"/>
  <c r="X135" i="60" s="1"/>
  <c r="Q135" i="60"/>
  <c r="T135" i="60" s="1"/>
  <c r="U133" i="60"/>
  <c r="X133" i="60" s="1"/>
  <c r="Q133" i="60"/>
  <c r="T133" i="60" s="1"/>
  <c r="I127" i="60"/>
  <c r="L127" i="60" s="1"/>
  <c r="E127" i="60"/>
  <c r="H127" i="60" s="1"/>
  <c r="Q130" i="60"/>
  <c r="T130" i="60" s="1"/>
  <c r="I128" i="60"/>
  <c r="L128" i="60" s="1"/>
  <c r="U127" i="60"/>
  <c r="X127" i="60" s="1"/>
  <c r="U130" i="60"/>
  <c r="X130" i="60" s="1"/>
  <c r="E128" i="60"/>
  <c r="H128" i="60" s="1"/>
  <c r="Q127" i="60"/>
  <c r="U47" i="60"/>
  <c r="X47" i="60" s="1"/>
  <c r="Q47" i="60"/>
  <c r="T47" i="60" s="1"/>
  <c r="U45" i="60"/>
  <c r="X45" i="60" s="1"/>
  <c r="Q45" i="60"/>
  <c r="T45" i="60" s="1"/>
  <c r="I39" i="60"/>
  <c r="L39" i="60" s="1"/>
  <c r="E39" i="60"/>
  <c r="H39" i="60" s="1"/>
  <c r="Q42" i="60"/>
  <c r="T42" i="60" s="1"/>
  <c r="I40" i="60"/>
  <c r="L40" i="60" s="1"/>
  <c r="U39" i="60"/>
  <c r="U42" i="60"/>
  <c r="X42" i="60" s="1"/>
  <c r="E40" i="60"/>
  <c r="H40" i="60" s="1"/>
  <c r="Q39" i="60"/>
  <c r="T39" i="60" s="1"/>
  <c r="U212" i="60"/>
  <c r="Q212" i="60"/>
  <c r="U210" i="60"/>
  <c r="Q210" i="60"/>
  <c r="I204" i="60"/>
  <c r="E204" i="60"/>
  <c r="U207" i="60"/>
  <c r="Q207" i="60"/>
  <c r="I205" i="60"/>
  <c r="E205" i="60"/>
  <c r="U204" i="60"/>
  <c r="Q204" i="60"/>
  <c r="U36" i="60"/>
  <c r="X36" i="60" s="1"/>
  <c r="Q36" i="60"/>
  <c r="T36" i="60" s="1"/>
  <c r="U34" i="60"/>
  <c r="X34" i="60" s="1"/>
  <c r="Q34" i="60"/>
  <c r="T34" i="60" s="1"/>
  <c r="I28" i="60"/>
  <c r="L28" i="60" s="1"/>
  <c r="E28" i="60"/>
  <c r="H28" i="60" s="1"/>
  <c r="Q31" i="60"/>
  <c r="T31" i="60" s="1"/>
  <c r="I29" i="60"/>
  <c r="L29" i="60" s="1"/>
  <c r="U28" i="60"/>
  <c r="X28" i="60" s="1"/>
  <c r="U31" i="60"/>
  <c r="X31" i="60" s="1"/>
  <c r="E29" i="60"/>
  <c r="H29" i="60" s="1"/>
  <c r="Q28" i="60"/>
  <c r="U102" i="60"/>
  <c r="X102" i="60" s="1"/>
  <c r="Q102" i="60"/>
  <c r="T102" i="60" s="1"/>
  <c r="U100" i="60"/>
  <c r="X100" i="60" s="1"/>
  <c r="Q100" i="60"/>
  <c r="T100" i="60" s="1"/>
  <c r="I94" i="60"/>
  <c r="L94" i="60" s="1"/>
  <c r="E94" i="60"/>
  <c r="H94" i="60" s="1"/>
  <c r="Q97" i="60"/>
  <c r="T97" i="60" s="1"/>
  <c r="I95" i="60"/>
  <c r="L95" i="60" s="1"/>
  <c r="U94" i="60"/>
  <c r="X94" i="60" s="1"/>
  <c r="U97" i="60"/>
  <c r="X97" i="60" s="1"/>
  <c r="E95" i="60"/>
  <c r="H95" i="60" s="1"/>
  <c r="Q94" i="60"/>
  <c r="T94" i="60" s="1"/>
  <c r="W207" i="60"/>
  <c r="S207" i="60"/>
  <c r="K207" i="60"/>
  <c r="L207" i="60" s="1"/>
  <c r="K205" i="60"/>
  <c r="G205" i="60"/>
  <c r="W204" i="60"/>
  <c r="O204" i="60"/>
  <c r="P204" i="60" s="1"/>
  <c r="W214" i="60"/>
  <c r="X214" i="60" s="1"/>
  <c r="S214" i="60"/>
  <c r="T214" i="60" s="1"/>
  <c r="W213" i="60"/>
  <c r="X213" i="60" s="1"/>
  <c r="S213" i="60"/>
  <c r="T213" i="60" s="1"/>
  <c r="W212" i="60"/>
  <c r="S212" i="60"/>
  <c r="W211" i="60"/>
  <c r="X211" i="60" s="1"/>
  <c r="S211" i="60"/>
  <c r="T211" i="60" s="1"/>
  <c r="W210" i="60"/>
  <c r="S210" i="60"/>
  <c r="W209" i="60"/>
  <c r="X209" i="60" s="1"/>
  <c r="S209" i="60"/>
  <c r="T209" i="60" s="1"/>
  <c r="W208" i="60"/>
  <c r="X208" i="60" s="1"/>
  <c r="S208" i="60"/>
  <c r="T208" i="60" s="1"/>
  <c r="K208" i="60"/>
  <c r="L208" i="60" s="1"/>
  <c r="W206" i="60"/>
  <c r="X206" i="60" s="1"/>
  <c r="S206" i="60"/>
  <c r="T206" i="60" s="1"/>
  <c r="W205" i="60"/>
  <c r="X205" i="60" s="1"/>
  <c r="S205" i="60"/>
  <c r="T205" i="60" s="1"/>
  <c r="O205" i="60"/>
  <c r="P205" i="60" s="1"/>
  <c r="K204" i="60"/>
  <c r="G204" i="60"/>
  <c r="W229" i="60"/>
  <c r="S229" i="60"/>
  <c r="K229" i="60"/>
  <c r="L229" i="60" s="1"/>
  <c r="K227" i="60"/>
  <c r="G227" i="60"/>
  <c r="W226" i="60"/>
  <c r="S226" i="60"/>
  <c r="O226" i="60"/>
  <c r="P226" i="60" s="1"/>
  <c r="W236" i="60"/>
  <c r="X236" i="60" s="1"/>
  <c r="S236" i="60"/>
  <c r="T236" i="60" s="1"/>
  <c r="W235" i="60"/>
  <c r="X235" i="60" s="1"/>
  <c r="S235" i="60"/>
  <c r="T235" i="60" s="1"/>
  <c r="W234" i="60"/>
  <c r="S234" i="60"/>
  <c r="W233" i="60"/>
  <c r="X233" i="60" s="1"/>
  <c r="S233" i="60"/>
  <c r="T233" i="60" s="1"/>
  <c r="W232" i="60"/>
  <c r="S232" i="60"/>
  <c r="W231" i="60"/>
  <c r="X231" i="60" s="1"/>
  <c r="S231" i="60"/>
  <c r="T231" i="60" s="1"/>
  <c r="W230" i="60"/>
  <c r="X230" i="60" s="1"/>
  <c r="S230" i="60"/>
  <c r="T230" i="60" s="1"/>
  <c r="K230" i="60"/>
  <c r="L230" i="60" s="1"/>
  <c r="W228" i="60"/>
  <c r="X228" i="60" s="1"/>
  <c r="S228" i="60"/>
  <c r="T228" i="60" s="1"/>
  <c r="W227" i="60"/>
  <c r="X227" i="60" s="1"/>
  <c r="S227" i="60"/>
  <c r="T227" i="60" s="1"/>
  <c r="O227" i="60"/>
  <c r="P227" i="60" s="1"/>
  <c r="K226" i="60"/>
  <c r="G226" i="60"/>
  <c r="S298" i="59"/>
  <c r="S295" i="59"/>
  <c r="K292" i="59"/>
  <c r="S299" i="59"/>
  <c r="T299" i="59" s="1"/>
  <c r="W294" i="59"/>
  <c r="X294" i="59" s="1"/>
  <c r="S302" i="59"/>
  <c r="T302" i="59" s="1"/>
  <c r="S300" i="59"/>
  <c r="W300" i="59"/>
  <c r="W296" i="59"/>
  <c r="X296" i="59" s="1"/>
  <c r="S294" i="59"/>
  <c r="T294" i="59" s="1"/>
  <c r="W292" i="59"/>
  <c r="W301" i="59"/>
  <c r="X301" i="59" s="1"/>
  <c r="O292" i="59"/>
  <c r="P292" i="59" s="1"/>
  <c r="O293" i="59"/>
  <c r="P293" i="59" s="1"/>
  <c r="W196" i="60"/>
  <c r="S196" i="60"/>
  <c r="K196" i="60"/>
  <c r="L196" i="60" s="1"/>
  <c r="K194" i="60"/>
  <c r="G194" i="60"/>
  <c r="W193" i="60"/>
  <c r="S193" i="60"/>
  <c r="O193" i="60"/>
  <c r="P193" i="60" s="1"/>
  <c r="W203" i="60"/>
  <c r="X203" i="60" s="1"/>
  <c r="S203" i="60"/>
  <c r="T203" i="60" s="1"/>
  <c r="W202" i="60"/>
  <c r="X202" i="60" s="1"/>
  <c r="S202" i="60"/>
  <c r="T202" i="60" s="1"/>
  <c r="W201" i="60"/>
  <c r="S201" i="60"/>
  <c r="W200" i="60"/>
  <c r="X200" i="60" s="1"/>
  <c r="S200" i="60"/>
  <c r="T200" i="60" s="1"/>
  <c r="W199" i="60"/>
  <c r="S199" i="60"/>
  <c r="W198" i="60"/>
  <c r="X198" i="60" s="1"/>
  <c r="S198" i="60"/>
  <c r="T198" i="60" s="1"/>
  <c r="W197" i="60"/>
  <c r="X197" i="60" s="1"/>
  <c r="S197" i="60"/>
  <c r="T197" i="60" s="1"/>
  <c r="K197" i="60"/>
  <c r="L197" i="60" s="1"/>
  <c r="W195" i="60"/>
  <c r="X195" i="60" s="1"/>
  <c r="S195" i="60"/>
  <c r="T195" i="60" s="1"/>
  <c r="W194" i="60"/>
  <c r="X194" i="60" s="1"/>
  <c r="S194" i="60"/>
  <c r="T194" i="60" s="1"/>
  <c r="O194" i="60"/>
  <c r="P194" i="60" s="1"/>
  <c r="K193" i="60"/>
  <c r="G193" i="60"/>
  <c r="C215" i="60"/>
  <c r="W218" i="60"/>
  <c r="S218" i="60"/>
  <c r="K218" i="60"/>
  <c r="L218" i="60" s="1"/>
  <c r="K216" i="60"/>
  <c r="G216" i="60"/>
  <c r="W215" i="60"/>
  <c r="O215" i="60"/>
  <c r="P215" i="60" s="1"/>
  <c r="W225" i="60"/>
  <c r="X225" i="60" s="1"/>
  <c r="S225" i="60"/>
  <c r="T225" i="60" s="1"/>
  <c r="W224" i="60"/>
  <c r="X224" i="60" s="1"/>
  <c r="S224" i="60"/>
  <c r="T224" i="60" s="1"/>
  <c r="W223" i="60"/>
  <c r="S223" i="60"/>
  <c r="W222" i="60"/>
  <c r="X222" i="60" s="1"/>
  <c r="S222" i="60"/>
  <c r="T222" i="60" s="1"/>
  <c r="W221" i="60"/>
  <c r="S221" i="60"/>
  <c r="W220" i="60"/>
  <c r="X220" i="60" s="1"/>
  <c r="S220" i="60"/>
  <c r="T220" i="60" s="1"/>
  <c r="W219" i="60"/>
  <c r="X219" i="60" s="1"/>
  <c r="S219" i="60"/>
  <c r="T219" i="60" s="1"/>
  <c r="K219" i="60"/>
  <c r="L219" i="60" s="1"/>
  <c r="W217" i="60"/>
  <c r="X217" i="60" s="1"/>
  <c r="S217" i="60"/>
  <c r="T217" i="60" s="1"/>
  <c r="W216" i="60"/>
  <c r="X216" i="60" s="1"/>
  <c r="S216" i="60"/>
  <c r="T216" i="60" s="1"/>
  <c r="O216" i="60"/>
  <c r="P216" i="60" s="1"/>
  <c r="K215" i="60"/>
  <c r="G215" i="60"/>
  <c r="W269" i="60"/>
  <c r="X269" i="60" s="1"/>
  <c r="S269" i="60"/>
  <c r="T269" i="60" s="1"/>
  <c r="W268" i="60"/>
  <c r="X268" i="60" s="1"/>
  <c r="S268" i="60"/>
  <c r="T268" i="60" s="1"/>
  <c r="W267" i="60"/>
  <c r="S267" i="60"/>
  <c r="W266" i="60"/>
  <c r="X266" i="60" s="1"/>
  <c r="S266" i="60"/>
  <c r="T266" i="60" s="1"/>
  <c r="W265" i="60"/>
  <c r="S265" i="60"/>
  <c r="W264" i="60"/>
  <c r="X264" i="60" s="1"/>
  <c r="S264" i="60"/>
  <c r="T264" i="60" s="1"/>
  <c r="W263" i="60"/>
  <c r="X263" i="60" s="1"/>
  <c r="S263" i="60"/>
  <c r="T263" i="60" s="1"/>
  <c r="K263" i="60"/>
  <c r="L263" i="60" s="1"/>
  <c r="W261" i="60"/>
  <c r="X261" i="60" s="1"/>
  <c r="S261" i="60"/>
  <c r="T261" i="60" s="1"/>
  <c r="W260" i="60"/>
  <c r="X260" i="60" s="1"/>
  <c r="S260" i="60"/>
  <c r="T260" i="60" s="1"/>
  <c r="O260" i="60"/>
  <c r="P260" i="60" s="1"/>
  <c r="K259" i="60"/>
  <c r="G259" i="60"/>
  <c r="S262" i="60"/>
  <c r="K260" i="60"/>
  <c r="W259" i="60"/>
  <c r="O259" i="60"/>
  <c r="P259" i="60" s="1"/>
  <c r="W262" i="60"/>
  <c r="K262" i="60"/>
  <c r="L262" i="60" s="1"/>
  <c r="G260" i="60"/>
  <c r="U350" i="60"/>
  <c r="X350" i="60" s="1"/>
  <c r="Q350" i="60"/>
  <c r="T350" i="60" s="1"/>
  <c r="Q355" i="60"/>
  <c r="T355" i="60" s="1"/>
  <c r="Q353" i="60"/>
  <c r="T353" i="60" s="1"/>
  <c r="I348" i="60"/>
  <c r="L348" i="60" s="1"/>
  <c r="E348" i="60"/>
  <c r="H348" i="60" s="1"/>
  <c r="U347" i="60"/>
  <c r="X347" i="60" s="1"/>
  <c r="Q347" i="60"/>
  <c r="T347" i="60" s="1"/>
  <c r="U355" i="60"/>
  <c r="X355" i="60" s="1"/>
  <c r="E347" i="60"/>
  <c r="H347" i="60" s="1"/>
  <c r="U353" i="60"/>
  <c r="X353" i="60" s="1"/>
  <c r="I347" i="60"/>
  <c r="L347" i="60" s="1"/>
  <c r="U394" i="60"/>
  <c r="X394" i="60" s="1"/>
  <c r="Q394" i="60"/>
  <c r="T394" i="60" s="1"/>
  <c r="I392" i="60"/>
  <c r="L392" i="60" s="1"/>
  <c r="E392" i="60"/>
  <c r="H392" i="60" s="1"/>
  <c r="U391" i="60"/>
  <c r="X391" i="60" s="1"/>
  <c r="Q391" i="60"/>
  <c r="T391" i="60" s="1"/>
  <c r="Q399" i="60"/>
  <c r="T399" i="60" s="1"/>
  <c r="Q397" i="60"/>
  <c r="T397" i="60" s="1"/>
  <c r="E391" i="60"/>
  <c r="H391" i="60" s="1"/>
  <c r="U399" i="60"/>
  <c r="X399" i="60" s="1"/>
  <c r="I391" i="60"/>
  <c r="L391" i="60" s="1"/>
  <c r="U397" i="60"/>
  <c r="X397" i="60" s="1"/>
  <c r="U361" i="60"/>
  <c r="X361" i="60" s="1"/>
  <c r="Q361" i="60"/>
  <c r="T361" i="60" s="1"/>
  <c r="I359" i="60"/>
  <c r="L359" i="60" s="1"/>
  <c r="E359" i="60"/>
  <c r="H359" i="60" s="1"/>
  <c r="U358" i="60"/>
  <c r="X358" i="60" s="1"/>
  <c r="Q358" i="60"/>
  <c r="Q366" i="60"/>
  <c r="T366" i="60" s="1"/>
  <c r="Q364" i="60"/>
  <c r="T364" i="60" s="1"/>
  <c r="E358" i="60"/>
  <c r="H358" i="60" s="1"/>
  <c r="U364" i="60"/>
  <c r="X364" i="60" s="1"/>
  <c r="U366" i="60"/>
  <c r="X366" i="60" s="1"/>
  <c r="I358" i="60"/>
  <c r="L358" i="60" s="1"/>
  <c r="Q443" i="59"/>
  <c r="T443" i="59" s="1"/>
  <c r="Q441" i="59"/>
  <c r="Q435" i="59"/>
  <c r="Q438" i="59"/>
  <c r="T438" i="59" s="1"/>
  <c r="Q383" i="59"/>
  <c r="T383" i="59" s="1"/>
  <c r="Q388" i="59"/>
  <c r="T388" i="59" s="1"/>
  <c r="Q386" i="59"/>
  <c r="Q380" i="59"/>
  <c r="Q421" i="59"/>
  <c r="T421" i="59" s="1"/>
  <c r="Q419" i="59"/>
  <c r="Q413" i="59"/>
  <c r="Q416" i="59"/>
  <c r="T416" i="59" s="1"/>
  <c r="Q135" i="59"/>
  <c r="T135" i="59" s="1"/>
  <c r="Q133" i="59"/>
  <c r="Q127" i="59"/>
  <c r="Q130" i="59"/>
  <c r="T130" i="59" s="1"/>
  <c r="Q427" i="59"/>
  <c r="T427" i="59" s="1"/>
  <c r="Q432" i="59"/>
  <c r="T432" i="59" s="1"/>
  <c r="Q430" i="59"/>
  <c r="Q424" i="59"/>
  <c r="Q405" i="59"/>
  <c r="T405" i="59" s="1"/>
  <c r="Q410" i="59"/>
  <c r="T410" i="59" s="1"/>
  <c r="Q408" i="59"/>
  <c r="Q402" i="59"/>
  <c r="Q399" i="59"/>
  <c r="T399" i="59" s="1"/>
  <c r="Q397" i="59"/>
  <c r="Q391" i="59"/>
  <c r="Q394" i="59"/>
  <c r="T394" i="59" s="1"/>
  <c r="W43" i="57"/>
  <c r="X43" i="57" s="1"/>
  <c r="B6" i="68"/>
  <c r="S71" i="57"/>
  <c r="B8" i="68"/>
  <c r="S54" i="57"/>
  <c r="T54" i="57" s="1"/>
  <c r="B7" i="68"/>
  <c r="W38" i="57"/>
  <c r="X38" i="57" s="1"/>
  <c r="B5" i="68"/>
  <c r="S19" i="57"/>
  <c r="B4" i="68"/>
  <c r="W346" i="57"/>
  <c r="X346" i="57" s="1"/>
  <c r="C303" i="57"/>
  <c r="W311" i="57"/>
  <c r="S283" i="57"/>
  <c r="C281" i="57"/>
  <c r="S310" i="57"/>
  <c r="S307" i="57"/>
  <c r="T307" i="57" s="1"/>
  <c r="K304" i="57"/>
  <c r="G304" i="57"/>
  <c r="W305" i="57"/>
  <c r="X305" i="57" s="1"/>
  <c r="W310" i="57"/>
  <c r="X310" i="57" s="1"/>
  <c r="O293" i="57"/>
  <c r="P293" i="57" s="1"/>
  <c r="S312" i="57"/>
  <c r="S308" i="57"/>
  <c r="S305" i="57"/>
  <c r="K307" i="57"/>
  <c r="W309" i="57"/>
  <c r="K303" i="57"/>
  <c r="S313" i="57"/>
  <c r="D215" i="60"/>
  <c r="S309" i="57"/>
  <c r="G303" i="57"/>
  <c r="W307" i="57"/>
  <c r="X307" i="57" s="1"/>
  <c r="W313" i="57"/>
  <c r="X313" i="57" s="1"/>
  <c r="O304" i="57"/>
  <c r="P304" i="57" s="1"/>
  <c r="W312" i="57"/>
  <c r="X312" i="57" s="1"/>
  <c r="S311" i="57"/>
  <c r="O303" i="57"/>
  <c r="P303" i="57" s="1"/>
  <c r="W304" i="57"/>
  <c r="X304" i="57" s="1"/>
  <c r="W306" i="57"/>
  <c r="W308" i="57"/>
  <c r="X308" i="57" s="1"/>
  <c r="D303" i="57"/>
  <c r="U311" i="57" s="1"/>
  <c r="S320" i="57"/>
  <c r="S284" i="57"/>
  <c r="K329" i="57"/>
  <c r="W286" i="57"/>
  <c r="X286" i="57" s="1"/>
  <c r="O326" i="57"/>
  <c r="P326" i="57" s="1"/>
  <c r="S286" i="57"/>
  <c r="K281" i="57"/>
  <c r="S277" i="57"/>
  <c r="G293" i="57"/>
  <c r="S296" i="57"/>
  <c r="T296" i="57" s="1"/>
  <c r="W301" i="57"/>
  <c r="X301" i="57" s="1"/>
  <c r="W287" i="57"/>
  <c r="S282" i="57"/>
  <c r="T282" i="57" s="1"/>
  <c r="W284" i="57"/>
  <c r="S291" i="57"/>
  <c r="G282" i="57"/>
  <c r="S332" i="57"/>
  <c r="S326" i="57"/>
  <c r="T326" i="57" s="1"/>
  <c r="W329" i="57"/>
  <c r="X329" i="57" s="1"/>
  <c r="S335" i="57"/>
  <c r="W285" i="57"/>
  <c r="X285" i="57" s="1"/>
  <c r="W281" i="57"/>
  <c r="S288" i="57"/>
  <c r="W283" i="57"/>
  <c r="X283" i="57" s="1"/>
  <c r="O282" i="57"/>
  <c r="P282" i="57" s="1"/>
  <c r="S333" i="57"/>
  <c r="S327" i="57"/>
  <c r="W331" i="57"/>
  <c r="W334" i="57"/>
  <c r="X334" i="57" s="1"/>
  <c r="S289" i="57"/>
  <c r="K285" i="57"/>
  <c r="W290" i="57"/>
  <c r="X290" i="57" s="1"/>
  <c r="S287" i="57"/>
  <c r="W282" i="57"/>
  <c r="X282" i="57" s="1"/>
  <c r="O281" i="57"/>
  <c r="P281" i="57" s="1"/>
  <c r="D325" i="57"/>
  <c r="E325" i="57" s="1"/>
  <c r="C325" i="57"/>
  <c r="O314" i="57"/>
  <c r="P314" i="57" s="1"/>
  <c r="K270" i="57"/>
  <c r="W318" i="57"/>
  <c r="X318" i="57" s="1"/>
  <c r="W275" i="57"/>
  <c r="X275" i="57" s="1"/>
  <c r="S315" i="57"/>
  <c r="T315" i="57" s="1"/>
  <c r="W319" i="57"/>
  <c r="X319" i="57" s="1"/>
  <c r="W272" i="57"/>
  <c r="X272" i="57" s="1"/>
  <c r="S274" i="57"/>
  <c r="T274" i="57" s="1"/>
  <c r="C270" i="57"/>
  <c r="S317" i="57"/>
  <c r="W315" i="57"/>
  <c r="X315" i="57" s="1"/>
  <c r="W279" i="57"/>
  <c r="X279" i="57" s="1"/>
  <c r="D270" i="57"/>
  <c r="E270" i="57" s="1"/>
  <c r="W273" i="57"/>
  <c r="S321" i="57"/>
  <c r="S324" i="57"/>
  <c r="W317" i="57"/>
  <c r="W276" i="57"/>
  <c r="O270" i="57"/>
  <c r="P270" i="57" s="1"/>
  <c r="S298" i="57"/>
  <c r="W294" i="57"/>
  <c r="X294" i="57" s="1"/>
  <c r="W300" i="57"/>
  <c r="K293" i="57"/>
  <c r="S300" i="57"/>
  <c r="W302" i="57"/>
  <c r="X302" i="57" s="1"/>
  <c r="S295" i="57"/>
  <c r="S293" i="57"/>
  <c r="T293" i="57" s="1"/>
  <c r="W296" i="57"/>
  <c r="X296" i="57" s="1"/>
  <c r="D292" i="57"/>
  <c r="U300" i="57" s="1"/>
  <c r="C314" i="57"/>
  <c r="D314" i="57"/>
  <c r="E314" i="57" s="1"/>
  <c r="W324" i="57"/>
  <c r="X324" i="57" s="1"/>
  <c r="S273" i="57"/>
  <c r="S278" i="57"/>
  <c r="S322" i="57"/>
  <c r="W314" i="57"/>
  <c r="W321" i="57"/>
  <c r="X321" i="57" s="1"/>
  <c r="G315" i="57"/>
  <c r="S316" i="57"/>
  <c r="K318" i="57"/>
  <c r="W320" i="57"/>
  <c r="W278" i="57"/>
  <c r="W274" i="57"/>
  <c r="X274" i="57" s="1"/>
  <c r="W271" i="57"/>
  <c r="X271" i="57" s="1"/>
  <c r="S280" i="57"/>
  <c r="S276" i="57"/>
  <c r="G271" i="57"/>
  <c r="W280" i="57"/>
  <c r="X280" i="57" s="1"/>
  <c r="S323" i="57"/>
  <c r="S319" i="57"/>
  <c r="K315" i="57"/>
  <c r="W323" i="57"/>
  <c r="X323" i="57" s="1"/>
  <c r="O315" i="57"/>
  <c r="P315" i="57" s="1"/>
  <c r="W316" i="57"/>
  <c r="X316" i="57" s="1"/>
  <c r="S318" i="57"/>
  <c r="T318" i="57" s="1"/>
  <c r="W277" i="57"/>
  <c r="X277" i="57" s="1"/>
  <c r="K274" i="57"/>
  <c r="O271" i="57"/>
  <c r="P271" i="57" s="1"/>
  <c r="S279" i="57"/>
  <c r="S275" i="57"/>
  <c r="S272" i="57"/>
  <c r="W289" i="57"/>
  <c r="D281" i="57"/>
  <c r="U281" i="57" s="1"/>
  <c r="S290" i="57"/>
  <c r="S285" i="57"/>
  <c r="T285" i="57" s="1"/>
  <c r="K282" i="57"/>
  <c r="W288" i="57"/>
  <c r="X288" i="57" s="1"/>
  <c r="S334" i="57"/>
  <c r="S330" i="57"/>
  <c r="K326" i="57"/>
  <c r="W327" i="57"/>
  <c r="X327" i="57" s="1"/>
  <c r="S329" i="57"/>
  <c r="T329" i="57" s="1"/>
  <c r="W333" i="57"/>
  <c r="S328" i="57"/>
  <c r="W335" i="57"/>
  <c r="X335" i="57" s="1"/>
  <c r="S331" i="57"/>
  <c r="O325" i="57"/>
  <c r="P325" i="57" s="1"/>
  <c r="W326" i="57"/>
  <c r="X326" i="57" s="1"/>
  <c r="W328" i="57"/>
  <c r="W330" i="57"/>
  <c r="X330" i="57" s="1"/>
  <c r="G326" i="57"/>
  <c r="C336" i="57"/>
  <c r="S301" i="57"/>
  <c r="S297" i="57"/>
  <c r="W293" i="57"/>
  <c r="X293" i="57" s="1"/>
  <c r="W295" i="57"/>
  <c r="W297" i="57"/>
  <c r="X297" i="57" s="1"/>
  <c r="C292" i="57"/>
  <c r="K292" i="57"/>
  <c r="S302" i="57"/>
  <c r="K336" i="57"/>
  <c r="S299" i="57"/>
  <c r="G292" i="57"/>
  <c r="S294" i="57"/>
  <c r="K296" i="57"/>
  <c r="W298" i="57"/>
  <c r="O292" i="57"/>
  <c r="P292" i="57" s="1"/>
  <c r="W292" i="57"/>
  <c r="D336" i="57"/>
  <c r="U336" i="57" s="1"/>
  <c r="W340" i="57"/>
  <c r="X340" i="57" s="1"/>
  <c r="S341" i="57"/>
  <c r="S343" i="57"/>
  <c r="S339" i="57"/>
  <c r="W343" i="57"/>
  <c r="X343" i="57" s="1"/>
  <c r="G337" i="57"/>
  <c r="S338" i="57"/>
  <c r="K340" i="57"/>
  <c r="W342" i="57"/>
  <c r="S344" i="57"/>
  <c r="S342" i="57"/>
  <c r="S346" i="57"/>
  <c r="W345" i="57"/>
  <c r="X345" i="57" s="1"/>
  <c r="O337" i="57"/>
  <c r="P337" i="57" s="1"/>
  <c r="W338" i="57"/>
  <c r="X338" i="57" s="1"/>
  <c r="S340" i="57"/>
  <c r="T340" i="57" s="1"/>
  <c r="W344" i="57"/>
  <c r="S345" i="57"/>
  <c r="K337" i="57"/>
  <c r="O336" i="57"/>
  <c r="P336" i="57" s="1"/>
  <c r="W337" i="57"/>
  <c r="X337" i="57" s="1"/>
  <c r="W339" i="57"/>
  <c r="C259" i="60"/>
  <c r="D259" i="60"/>
  <c r="W319" i="59"/>
  <c r="X319" i="59" s="1"/>
  <c r="W322" i="59"/>
  <c r="W317" i="59"/>
  <c r="O315" i="59"/>
  <c r="P315" i="59" s="1"/>
  <c r="O314" i="59"/>
  <c r="P314" i="59" s="1"/>
  <c r="S324" i="59"/>
  <c r="T324" i="59" s="1"/>
  <c r="G315" i="59"/>
  <c r="C314" i="59"/>
  <c r="D314" i="59"/>
  <c r="W314" i="59"/>
  <c r="S315" i="59"/>
  <c r="T315" i="59" s="1"/>
  <c r="S316" i="59"/>
  <c r="T316" i="59" s="1"/>
  <c r="K318" i="59"/>
  <c r="L318" i="59" s="1"/>
  <c r="W318" i="59"/>
  <c r="X318" i="59" s="1"/>
  <c r="W320" i="59"/>
  <c r="W323" i="59"/>
  <c r="X323" i="59" s="1"/>
  <c r="S320" i="59"/>
  <c r="S321" i="59"/>
  <c r="T321" i="59" s="1"/>
  <c r="S323" i="59"/>
  <c r="T323" i="59" s="1"/>
  <c r="K314" i="59"/>
  <c r="W315" i="59"/>
  <c r="X315" i="59" s="1"/>
  <c r="S317" i="59"/>
  <c r="W324" i="59"/>
  <c r="X324" i="59" s="1"/>
  <c r="K315" i="59"/>
  <c r="W316" i="59"/>
  <c r="X316" i="59" s="1"/>
  <c r="S318" i="59"/>
  <c r="T318" i="59" s="1"/>
  <c r="W321" i="59"/>
  <c r="X321" i="59" s="1"/>
  <c r="S319" i="59"/>
  <c r="T319" i="59" s="1"/>
  <c r="S322" i="59"/>
  <c r="S346" i="59"/>
  <c r="T346" i="59" s="1"/>
  <c r="G337" i="59"/>
  <c r="O336" i="59"/>
  <c r="P336" i="59" s="1"/>
  <c r="C336" i="59"/>
  <c r="W339" i="59"/>
  <c r="W341" i="59"/>
  <c r="X341" i="59" s="1"/>
  <c r="O337" i="59"/>
  <c r="P337" i="59" s="1"/>
  <c r="G336" i="59"/>
  <c r="K336" i="59"/>
  <c r="K337" i="59"/>
  <c r="W337" i="59"/>
  <c r="X337" i="59" s="1"/>
  <c r="W338" i="59"/>
  <c r="X338" i="59" s="1"/>
  <c r="S339" i="59"/>
  <c r="S340" i="59"/>
  <c r="T340" i="59" s="1"/>
  <c r="W346" i="59"/>
  <c r="X346" i="59" s="1"/>
  <c r="W345" i="59"/>
  <c r="X345" i="59" s="1"/>
  <c r="S341" i="59"/>
  <c r="T341" i="59" s="1"/>
  <c r="S344" i="59"/>
  <c r="D336" i="59"/>
  <c r="W340" i="59"/>
  <c r="X340" i="59" s="1"/>
  <c r="W344" i="59"/>
  <c r="W342" i="59"/>
  <c r="S342" i="59"/>
  <c r="S345" i="59"/>
  <c r="T345" i="59" s="1"/>
  <c r="S338" i="59"/>
  <c r="T338" i="59" s="1"/>
  <c r="K340" i="59"/>
  <c r="L340" i="59" s="1"/>
  <c r="W343" i="59"/>
  <c r="X343" i="59" s="1"/>
  <c r="S343" i="59"/>
  <c r="T343" i="59" s="1"/>
  <c r="S367" i="59"/>
  <c r="T367" i="59" s="1"/>
  <c r="W359" i="59"/>
  <c r="X359" i="59" s="1"/>
  <c r="S366" i="59"/>
  <c r="W362" i="59"/>
  <c r="X362" i="59" s="1"/>
  <c r="W360" i="59"/>
  <c r="X360" i="59" s="1"/>
  <c r="W358" i="59"/>
  <c r="W368" i="59"/>
  <c r="X368" i="59" s="1"/>
  <c r="W366" i="59"/>
  <c r="W364" i="59"/>
  <c r="S362" i="59"/>
  <c r="T362" i="59" s="1"/>
  <c r="S360" i="59"/>
  <c r="T360" i="59" s="1"/>
  <c r="G359" i="59"/>
  <c r="G358" i="59"/>
  <c r="S363" i="59"/>
  <c r="T363" i="59" s="1"/>
  <c r="S365" i="59"/>
  <c r="T365" i="59" s="1"/>
  <c r="O358" i="59"/>
  <c r="P358" i="59" s="1"/>
  <c r="W361" i="59"/>
  <c r="W367" i="59"/>
  <c r="X367" i="59" s="1"/>
  <c r="W363" i="59"/>
  <c r="X363" i="59" s="1"/>
  <c r="S359" i="59"/>
  <c r="T359" i="59" s="1"/>
  <c r="D358" i="59"/>
  <c r="K359" i="59"/>
  <c r="C358" i="59"/>
  <c r="K362" i="59"/>
  <c r="L362" i="59" s="1"/>
  <c r="S368" i="59"/>
  <c r="T368" i="59" s="1"/>
  <c r="O359" i="59"/>
  <c r="P359" i="59" s="1"/>
  <c r="W365" i="59"/>
  <c r="X365" i="59" s="1"/>
  <c r="S361" i="59"/>
  <c r="S364" i="59"/>
  <c r="U443" i="59"/>
  <c r="I435" i="59"/>
  <c r="L435" i="59" s="1"/>
  <c r="I436" i="59"/>
  <c r="L436" i="59" s="1"/>
  <c r="E435" i="59"/>
  <c r="E436" i="59"/>
  <c r="H436" i="59" s="1"/>
  <c r="U441" i="59"/>
  <c r="X441" i="59" s="1"/>
  <c r="U438" i="59"/>
  <c r="X438" i="59" s="1"/>
  <c r="U435" i="59"/>
  <c r="U454" i="59"/>
  <c r="X454" i="59" s="1"/>
  <c r="U446" i="59"/>
  <c r="X446" i="59" s="1"/>
  <c r="Q454" i="59"/>
  <c r="T454" i="59" s="1"/>
  <c r="I447" i="59"/>
  <c r="L447" i="59" s="1"/>
  <c r="Q446" i="59"/>
  <c r="Q449" i="59"/>
  <c r="T449" i="59" s="1"/>
  <c r="I446" i="59"/>
  <c r="L446" i="59" s="1"/>
  <c r="E447" i="59"/>
  <c r="H447" i="59" s="1"/>
  <c r="U452" i="59"/>
  <c r="X452" i="59" s="1"/>
  <c r="U449" i="59"/>
  <c r="X449" i="59" s="1"/>
  <c r="E446" i="59"/>
  <c r="H446" i="59" s="1"/>
  <c r="U383" i="59"/>
  <c r="X383" i="59" s="1"/>
  <c r="U380" i="59"/>
  <c r="X380" i="59" s="1"/>
  <c r="U386" i="59"/>
  <c r="X386" i="59" s="1"/>
  <c r="I381" i="59"/>
  <c r="L381" i="59" s="1"/>
  <c r="I380" i="59"/>
  <c r="U388" i="59"/>
  <c r="X388" i="59" s="1"/>
  <c r="E381" i="59"/>
  <c r="H381" i="59" s="1"/>
  <c r="E380" i="59"/>
  <c r="H380" i="59" s="1"/>
  <c r="U498" i="59"/>
  <c r="X498" i="59" s="1"/>
  <c r="I491" i="59"/>
  <c r="L491" i="59" s="1"/>
  <c r="Q490" i="59"/>
  <c r="Q498" i="59"/>
  <c r="T498" i="59" s="1"/>
  <c r="I490" i="59"/>
  <c r="Q493" i="59"/>
  <c r="T493" i="59" s="1"/>
  <c r="U496" i="59"/>
  <c r="X496" i="59" s="1"/>
  <c r="E490" i="59"/>
  <c r="U490" i="59"/>
  <c r="X490" i="59" s="1"/>
  <c r="E491" i="59"/>
  <c r="H491" i="59" s="1"/>
  <c r="U493" i="59"/>
  <c r="X493" i="59" s="1"/>
  <c r="U421" i="59"/>
  <c r="X421" i="59" s="1"/>
  <c r="I413" i="59"/>
  <c r="L413" i="59" s="1"/>
  <c r="U416" i="59"/>
  <c r="X416" i="59" s="1"/>
  <c r="U419" i="59"/>
  <c r="X419" i="59" s="1"/>
  <c r="E413" i="59"/>
  <c r="I414" i="59"/>
  <c r="L414" i="59" s="1"/>
  <c r="E414" i="59"/>
  <c r="H414" i="59" s="1"/>
  <c r="U413" i="59"/>
  <c r="X413" i="59" s="1"/>
  <c r="W280" i="59"/>
  <c r="X280" i="59" s="1"/>
  <c r="W277" i="59"/>
  <c r="X277" i="59" s="1"/>
  <c r="W273" i="59"/>
  <c r="O271" i="59"/>
  <c r="P271" i="59" s="1"/>
  <c r="W279" i="59"/>
  <c r="X279" i="59" s="1"/>
  <c r="S280" i="59"/>
  <c r="T280" i="59" s="1"/>
  <c r="G271" i="59"/>
  <c r="O270" i="59"/>
  <c r="P270" i="59" s="1"/>
  <c r="C270" i="59"/>
  <c r="D270" i="59"/>
  <c r="S271" i="59"/>
  <c r="T271" i="59" s="1"/>
  <c r="S272" i="59"/>
  <c r="T272" i="59" s="1"/>
  <c r="K274" i="59"/>
  <c r="L274" i="59" s="1"/>
  <c r="W274" i="59"/>
  <c r="X274" i="59" s="1"/>
  <c r="W276" i="59"/>
  <c r="K270" i="59"/>
  <c r="W271" i="59"/>
  <c r="X271" i="59" s="1"/>
  <c r="S273" i="59"/>
  <c r="W275" i="59"/>
  <c r="X275" i="59" s="1"/>
  <c r="S275" i="59"/>
  <c r="T275" i="59" s="1"/>
  <c r="S278" i="59"/>
  <c r="K271" i="59"/>
  <c r="W272" i="59"/>
  <c r="X272" i="59" s="1"/>
  <c r="S274" i="59"/>
  <c r="T274" i="59" s="1"/>
  <c r="S276" i="59"/>
  <c r="S277" i="59"/>
  <c r="T277" i="59" s="1"/>
  <c r="S279" i="59"/>
  <c r="T279" i="59" s="1"/>
  <c r="W310" i="59"/>
  <c r="X310" i="59" s="1"/>
  <c r="G304" i="59"/>
  <c r="S313" i="59"/>
  <c r="T313" i="59" s="1"/>
  <c r="O303" i="59"/>
  <c r="P303" i="59" s="1"/>
  <c r="W311" i="59"/>
  <c r="W308" i="59"/>
  <c r="X308" i="59" s="1"/>
  <c r="S307" i="59"/>
  <c r="T307" i="59" s="1"/>
  <c r="S306" i="59"/>
  <c r="S305" i="59"/>
  <c r="T305" i="59" s="1"/>
  <c r="C303" i="59"/>
  <c r="W306" i="59"/>
  <c r="S309" i="59"/>
  <c r="S310" i="59"/>
  <c r="T310" i="59" s="1"/>
  <c r="S312" i="59"/>
  <c r="T312" i="59" s="1"/>
  <c r="W309" i="59"/>
  <c r="K307" i="59"/>
  <c r="L307" i="59" s="1"/>
  <c r="W304" i="59"/>
  <c r="X304" i="59" s="1"/>
  <c r="K303" i="59"/>
  <c r="W312" i="59"/>
  <c r="X312" i="59" s="1"/>
  <c r="S308" i="59"/>
  <c r="T308" i="59" s="1"/>
  <c r="S311" i="59"/>
  <c r="D303" i="59"/>
  <c r="W313" i="59"/>
  <c r="X313" i="59" s="1"/>
  <c r="W307" i="59"/>
  <c r="X307" i="59" s="1"/>
  <c r="W305" i="59"/>
  <c r="X305" i="59" s="1"/>
  <c r="K304" i="59"/>
  <c r="O304" i="59"/>
  <c r="P304" i="59" s="1"/>
  <c r="O325" i="59"/>
  <c r="P325" i="59" s="1"/>
  <c r="S335" i="59"/>
  <c r="T335" i="59" s="1"/>
  <c r="C325" i="59"/>
  <c r="G326" i="59"/>
  <c r="W328" i="59"/>
  <c r="W331" i="59"/>
  <c r="D325" i="59"/>
  <c r="W325" i="59"/>
  <c r="S326" i="59"/>
  <c r="T326" i="59" s="1"/>
  <c r="S327" i="59"/>
  <c r="T327" i="59" s="1"/>
  <c r="K329" i="59"/>
  <c r="L329" i="59" s="1"/>
  <c r="W329" i="59"/>
  <c r="X329" i="59" s="1"/>
  <c r="W333" i="59"/>
  <c r="W334" i="59"/>
  <c r="X334" i="59" s="1"/>
  <c r="S330" i="59"/>
  <c r="T330" i="59" s="1"/>
  <c r="S333" i="59"/>
  <c r="G325" i="59"/>
  <c r="K326" i="59"/>
  <c r="W327" i="59"/>
  <c r="X327" i="59" s="1"/>
  <c r="S329" i="59"/>
  <c r="T329" i="59" s="1"/>
  <c r="W332" i="59"/>
  <c r="X332" i="59" s="1"/>
  <c r="S331" i="59"/>
  <c r="S334" i="59"/>
  <c r="T334" i="59" s="1"/>
  <c r="O326" i="59"/>
  <c r="P326" i="59" s="1"/>
  <c r="W335" i="59"/>
  <c r="X335" i="59" s="1"/>
  <c r="K325" i="59"/>
  <c r="W326" i="59"/>
  <c r="X326" i="59" s="1"/>
  <c r="S328" i="59"/>
  <c r="W330" i="59"/>
  <c r="X330" i="59" s="1"/>
  <c r="S332" i="59"/>
  <c r="T332" i="59" s="1"/>
  <c r="W356" i="59"/>
  <c r="X356" i="59" s="1"/>
  <c r="D347" i="59"/>
  <c r="W347" i="59"/>
  <c r="K348" i="59"/>
  <c r="C347" i="59"/>
  <c r="O347" i="59"/>
  <c r="P347" i="59" s="1"/>
  <c r="G348" i="59"/>
  <c r="W350" i="59"/>
  <c r="W357" i="59"/>
  <c r="X357" i="59" s="1"/>
  <c r="W353" i="59"/>
  <c r="W351" i="59"/>
  <c r="X351" i="59" s="1"/>
  <c r="K351" i="59"/>
  <c r="L351" i="59" s="1"/>
  <c r="W349" i="59"/>
  <c r="X349" i="59" s="1"/>
  <c r="W348" i="59"/>
  <c r="X348" i="59" s="1"/>
  <c r="W354" i="59"/>
  <c r="X354" i="59" s="1"/>
  <c r="S352" i="59"/>
  <c r="T352" i="59" s="1"/>
  <c r="S355" i="59"/>
  <c r="S348" i="59"/>
  <c r="T348" i="59" s="1"/>
  <c r="S357" i="59"/>
  <c r="T357" i="59" s="1"/>
  <c r="W352" i="59"/>
  <c r="X352" i="59" s="1"/>
  <c r="S350" i="59"/>
  <c r="S353" i="59"/>
  <c r="S356" i="59"/>
  <c r="T356" i="59" s="1"/>
  <c r="O348" i="59"/>
  <c r="P348" i="59" s="1"/>
  <c r="W355" i="59"/>
  <c r="S351" i="59"/>
  <c r="T351" i="59" s="1"/>
  <c r="S349" i="59"/>
  <c r="T349" i="59" s="1"/>
  <c r="S354" i="59"/>
  <c r="T354" i="59" s="1"/>
  <c r="S379" i="59"/>
  <c r="T379" i="59" s="1"/>
  <c r="W372" i="59"/>
  <c r="O370" i="59"/>
  <c r="P370" i="59" s="1"/>
  <c r="G370" i="59"/>
  <c r="O369" i="59"/>
  <c r="P369" i="59" s="1"/>
  <c r="C369" i="59"/>
  <c r="W373" i="59"/>
  <c r="X373" i="59" s="1"/>
  <c r="S373" i="59"/>
  <c r="T373" i="59" s="1"/>
  <c r="K373" i="59"/>
  <c r="L373" i="59" s="1"/>
  <c r="W371" i="59"/>
  <c r="X371" i="59" s="1"/>
  <c r="S371" i="59"/>
  <c r="T371" i="59" s="1"/>
  <c r="W370" i="59"/>
  <c r="X370" i="59" s="1"/>
  <c r="K369" i="59"/>
  <c r="W374" i="59"/>
  <c r="X374" i="59" s="1"/>
  <c r="S372" i="59"/>
  <c r="K370" i="59"/>
  <c r="D369" i="59"/>
  <c r="W377" i="59"/>
  <c r="W379" i="59"/>
  <c r="X379" i="59" s="1"/>
  <c r="W376" i="59"/>
  <c r="X376" i="59" s="1"/>
  <c r="S375" i="59"/>
  <c r="S376" i="59"/>
  <c r="T376" i="59" s="1"/>
  <c r="S378" i="59"/>
  <c r="T378" i="59" s="1"/>
  <c r="W375" i="59"/>
  <c r="S374" i="59"/>
  <c r="T374" i="59" s="1"/>
  <c r="S377" i="59"/>
  <c r="W378" i="59"/>
  <c r="X378" i="59" s="1"/>
  <c r="U432" i="59"/>
  <c r="X432" i="59" s="1"/>
  <c r="I425" i="59"/>
  <c r="L425" i="59" s="1"/>
  <c r="E424" i="59"/>
  <c r="H424" i="59" s="1"/>
  <c r="U430" i="59"/>
  <c r="X430" i="59" s="1"/>
  <c r="E425" i="59"/>
  <c r="H425" i="59" s="1"/>
  <c r="U427" i="59"/>
  <c r="X427" i="59" s="1"/>
  <c r="U424" i="59"/>
  <c r="X424" i="59" s="1"/>
  <c r="I424" i="59"/>
  <c r="U405" i="59"/>
  <c r="X405" i="59" s="1"/>
  <c r="U402" i="59"/>
  <c r="X402" i="59" s="1"/>
  <c r="U410" i="59"/>
  <c r="U408" i="59"/>
  <c r="X408" i="59" s="1"/>
  <c r="I403" i="59"/>
  <c r="L403" i="59" s="1"/>
  <c r="I402" i="59"/>
  <c r="L402" i="59" s="1"/>
  <c r="E403" i="59"/>
  <c r="H403" i="59" s="1"/>
  <c r="E402" i="59"/>
  <c r="H402" i="59" s="1"/>
  <c r="I391" i="59"/>
  <c r="L391" i="59" s="1"/>
  <c r="U397" i="59"/>
  <c r="X397" i="59" s="1"/>
  <c r="E392" i="59"/>
  <c r="H392" i="59" s="1"/>
  <c r="E391" i="59"/>
  <c r="U394" i="59"/>
  <c r="X394" i="59" s="1"/>
  <c r="U399" i="59"/>
  <c r="X399" i="59" s="1"/>
  <c r="U391" i="59"/>
  <c r="X391" i="59" s="1"/>
  <c r="I392" i="59"/>
  <c r="L392" i="59" s="1"/>
  <c r="U388" i="57"/>
  <c r="X388" i="57" s="1"/>
  <c r="I380" i="57"/>
  <c r="L380" i="57" s="1"/>
  <c r="I381" i="57"/>
  <c r="L381" i="57" s="1"/>
  <c r="Q388" i="57"/>
  <c r="T388" i="57" s="1"/>
  <c r="Q380" i="57"/>
  <c r="U383" i="57"/>
  <c r="X383" i="57" s="1"/>
  <c r="U380" i="57"/>
  <c r="X380" i="57" s="1"/>
  <c r="Q383" i="57"/>
  <c r="T383" i="57" s="1"/>
  <c r="E380" i="57"/>
  <c r="E381" i="57"/>
  <c r="H381" i="57" s="1"/>
  <c r="U386" i="57"/>
  <c r="X386" i="57" s="1"/>
  <c r="U366" i="57"/>
  <c r="X366" i="57" s="1"/>
  <c r="I358" i="57"/>
  <c r="I359" i="57"/>
  <c r="L359" i="57" s="1"/>
  <c r="Q366" i="57"/>
  <c r="T366" i="57" s="1"/>
  <c r="Q358" i="57"/>
  <c r="U361" i="57"/>
  <c r="X361" i="57" s="1"/>
  <c r="U358" i="57"/>
  <c r="X358" i="57" s="1"/>
  <c r="Q361" i="57"/>
  <c r="T361" i="57" s="1"/>
  <c r="E358" i="57"/>
  <c r="E359" i="57"/>
  <c r="H359" i="57" s="1"/>
  <c r="U364" i="57"/>
  <c r="X364" i="57" s="1"/>
  <c r="U399" i="57"/>
  <c r="X399" i="57" s="1"/>
  <c r="I391" i="57"/>
  <c r="I392" i="57"/>
  <c r="L392" i="57" s="1"/>
  <c r="Q399" i="57"/>
  <c r="T399" i="57" s="1"/>
  <c r="Q391" i="57"/>
  <c r="U394" i="57"/>
  <c r="X394" i="57" s="1"/>
  <c r="U391" i="57"/>
  <c r="X391" i="57" s="1"/>
  <c r="Q394" i="57"/>
  <c r="T394" i="57" s="1"/>
  <c r="E391" i="57"/>
  <c r="H391" i="57" s="1"/>
  <c r="E392" i="57"/>
  <c r="H392" i="57" s="1"/>
  <c r="U397" i="57"/>
  <c r="X397" i="57" s="1"/>
  <c r="U421" i="57"/>
  <c r="X421" i="57" s="1"/>
  <c r="I413" i="57"/>
  <c r="L413" i="57" s="1"/>
  <c r="U413" i="57"/>
  <c r="X413" i="57" s="1"/>
  <c r="Q421" i="57"/>
  <c r="T421" i="57" s="1"/>
  <c r="Q413" i="57"/>
  <c r="U416" i="57"/>
  <c r="X416" i="57" s="1"/>
  <c r="I414" i="57"/>
  <c r="L414" i="57" s="1"/>
  <c r="Q416" i="57"/>
  <c r="T416" i="57" s="1"/>
  <c r="E413" i="57"/>
  <c r="E414" i="57"/>
  <c r="H414" i="57" s="1"/>
  <c r="U419" i="57"/>
  <c r="X419" i="57" s="1"/>
  <c r="U355" i="57"/>
  <c r="X355" i="57" s="1"/>
  <c r="I347" i="57"/>
  <c r="I348" i="57"/>
  <c r="L348" i="57" s="1"/>
  <c r="Q355" i="57"/>
  <c r="T355" i="57" s="1"/>
  <c r="Q347" i="57"/>
  <c r="U350" i="57"/>
  <c r="X350" i="57" s="1"/>
  <c r="U347" i="57"/>
  <c r="X347" i="57" s="1"/>
  <c r="Q350" i="57"/>
  <c r="T350" i="57" s="1"/>
  <c r="E347" i="57"/>
  <c r="E348" i="57"/>
  <c r="H348" i="57" s="1"/>
  <c r="U353" i="57"/>
  <c r="X353" i="57" s="1"/>
  <c r="U377" i="57"/>
  <c r="I369" i="57"/>
  <c r="L369" i="57" s="1"/>
  <c r="I370" i="57"/>
  <c r="L370" i="57" s="1"/>
  <c r="Q377" i="57"/>
  <c r="T377" i="57" s="1"/>
  <c r="Q369" i="57"/>
  <c r="U372" i="57"/>
  <c r="X372" i="57" s="1"/>
  <c r="U369" i="57"/>
  <c r="X369" i="57" s="1"/>
  <c r="Q372" i="57"/>
  <c r="T372" i="57" s="1"/>
  <c r="E369" i="57"/>
  <c r="H369" i="57" s="1"/>
  <c r="E370" i="57"/>
  <c r="H370" i="57" s="1"/>
  <c r="U375" i="57"/>
  <c r="X375" i="57" s="1"/>
  <c r="U410" i="57"/>
  <c r="I402" i="57"/>
  <c r="I403" i="57"/>
  <c r="L403" i="57" s="1"/>
  <c r="Q410" i="57"/>
  <c r="T410" i="57" s="1"/>
  <c r="Q402" i="57"/>
  <c r="U405" i="57"/>
  <c r="X405" i="57" s="1"/>
  <c r="U402" i="57"/>
  <c r="Q405" i="57"/>
  <c r="T405" i="57" s="1"/>
  <c r="E402" i="57"/>
  <c r="E403" i="57"/>
  <c r="H403" i="57" s="1"/>
  <c r="U408" i="57"/>
  <c r="X408" i="57" s="1"/>
  <c r="X440" i="60"/>
  <c r="L438" i="60"/>
  <c r="G435" i="60"/>
  <c r="K439" i="60"/>
  <c r="S439" i="60"/>
  <c r="W439" i="60"/>
  <c r="S444" i="60"/>
  <c r="O436" i="60"/>
  <c r="P436" i="60" s="1"/>
  <c r="X439" i="60"/>
  <c r="K436" i="60"/>
  <c r="T438" i="60"/>
  <c r="W441" i="60"/>
  <c r="T440" i="60"/>
  <c r="W438" i="60"/>
  <c r="X444" i="60"/>
  <c r="X442" i="60"/>
  <c r="X445" i="60"/>
  <c r="T437" i="60"/>
  <c r="S445" i="60"/>
  <c r="T442" i="60"/>
  <c r="L435" i="60"/>
  <c r="C435" i="60"/>
  <c r="W444" i="60"/>
  <c r="X435" i="60"/>
  <c r="T441" i="60"/>
  <c r="S436" i="60"/>
  <c r="S443" i="60"/>
  <c r="W437" i="60"/>
  <c r="L439" i="60"/>
  <c r="D435" i="60"/>
  <c r="I436" i="60" s="1"/>
  <c r="O435" i="60"/>
  <c r="P435" i="60" s="1"/>
  <c r="W435" i="60"/>
  <c r="X441" i="60"/>
  <c r="X436" i="60"/>
  <c r="W443" i="60"/>
  <c r="G436" i="60"/>
  <c r="X438" i="60"/>
  <c r="S442" i="60"/>
  <c r="K435" i="60"/>
  <c r="S437" i="60"/>
  <c r="S440" i="60"/>
  <c r="T444" i="60"/>
  <c r="W440" i="60"/>
  <c r="W442" i="60"/>
  <c r="L436" i="60"/>
  <c r="X437" i="60"/>
  <c r="W436" i="60"/>
  <c r="X443" i="60"/>
  <c r="S438" i="60"/>
  <c r="W445" i="60"/>
  <c r="T436" i="60"/>
  <c r="T439" i="60"/>
  <c r="T443" i="60"/>
  <c r="K438" i="60"/>
  <c r="S441" i="60"/>
  <c r="O248" i="57"/>
  <c r="P248" i="57" s="1"/>
  <c r="W258" i="57"/>
  <c r="X258" i="57" s="1"/>
  <c r="S256" i="57"/>
  <c r="W251" i="57"/>
  <c r="O249" i="57"/>
  <c r="P249" i="57" s="1"/>
  <c r="W252" i="57"/>
  <c r="X252" i="57" s="1"/>
  <c r="S250" i="57"/>
  <c r="S251" i="57"/>
  <c r="S258" i="57"/>
  <c r="W253" i="57"/>
  <c r="X253" i="57" s="1"/>
  <c r="W250" i="57"/>
  <c r="X250" i="57" s="1"/>
  <c r="K249" i="57"/>
  <c r="S253" i="57"/>
  <c r="S252" i="57"/>
  <c r="T252" i="57" s="1"/>
  <c r="C248" i="57"/>
  <c r="D248" i="57"/>
  <c r="W255" i="57"/>
  <c r="X255" i="57" s="1"/>
  <c r="K252" i="57"/>
  <c r="W249" i="57"/>
  <c r="X249" i="57" s="1"/>
  <c r="S255" i="57"/>
  <c r="W254" i="57"/>
  <c r="S254" i="57"/>
  <c r="W257" i="57"/>
  <c r="X257" i="57" s="1"/>
  <c r="S257" i="57"/>
  <c r="S15" i="60"/>
  <c r="T15" i="60" s="1"/>
  <c r="W15" i="60"/>
  <c r="X15" i="60" s="1"/>
  <c r="W6" i="60"/>
  <c r="W13" i="60"/>
  <c r="X13" i="60" s="1"/>
  <c r="C6" i="60"/>
  <c r="K10" i="60"/>
  <c r="L10" i="60" s="1"/>
  <c r="S8" i="60"/>
  <c r="T8" i="60" s="1"/>
  <c r="W8" i="60"/>
  <c r="X8" i="60" s="1"/>
  <c r="W7" i="60"/>
  <c r="X7" i="60" s="1"/>
  <c r="D6" i="60"/>
  <c r="W9" i="60"/>
  <c r="G7" i="60"/>
  <c r="S11" i="60"/>
  <c r="T11" i="60" s="1"/>
  <c r="S13" i="60"/>
  <c r="T13" i="60" s="1"/>
  <c r="O7" i="60"/>
  <c r="P7" i="60" s="1"/>
  <c r="S10" i="60"/>
  <c r="T10" i="60" s="1"/>
  <c r="W11" i="60"/>
  <c r="X11" i="60" s="1"/>
  <c r="S16" i="60"/>
  <c r="T16" i="60" s="1"/>
  <c r="W12" i="60"/>
  <c r="G6" i="60"/>
  <c r="W14" i="60"/>
  <c r="S9" i="60"/>
  <c r="O6" i="60"/>
  <c r="P6" i="60" s="1"/>
  <c r="S14" i="60"/>
  <c r="S12" i="60"/>
  <c r="K7" i="60"/>
  <c r="S7" i="60"/>
  <c r="T7" i="60" s="1"/>
  <c r="K6" i="60"/>
  <c r="W16" i="60"/>
  <c r="X16" i="60" s="1"/>
  <c r="W10" i="60"/>
  <c r="X10" i="60" s="1"/>
  <c r="W264" i="57"/>
  <c r="X264" i="57" s="1"/>
  <c r="S124" i="57"/>
  <c r="S224" i="57"/>
  <c r="S172" i="57"/>
  <c r="T172" i="57" s="1"/>
  <c r="W73" i="57"/>
  <c r="X73" i="57" s="1"/>
  <c r="S895" i="57"/>
  <c r="W32" i="57"/>
  <c r="X32" i="57" s="1"/>
  <c r="W120" i="57"/>
  <c r="X120" i="57" s="1"/>
  <c r="S896" i="57"/>
  <c r="W188" i="57"/>
  <c r="W77" i="57"/>
  <c r="X77" i="57" s="1"/>
  <c r="C171" i="57"/>
  <c r="G73" i="57"/>
  <c r="K117" i="57"/>
  <c r="W176" i="57"/>
  <c r="X176" i="57" s="1"/>
  <c r="S218" i="57"/>
  <c r="W64" i="57"/>
  <c r="S31" i="57"/>
  <c r="W75" i="57"/>
  <c r="S120" i="57"/>
  <c r="T120" i="57" s="1"/>
  <c r="W225" i="57"/>
  <c r="X225" i="57" s="1"/>
  <c r="O887" i="57"/>
  <c r="P887" i="57" s="1"/>
  <c r="S32" i="57"/>
  <c r="W33" i="57"/>
  <c r="X33" i="57" s="1"/>
  <c r="W30" i="57"/>
  <c r="X30" i="57" s="1"/>
  <c r="O28" i="57"/>
  <c r="P28" i="57" s="1"/>
  <c r="W82" i="57"/>
  <c r="X82" i="57" s="1"/>
  <c r="S76" i="57"/>
  <c r="T76" i="57" s="1"/>
  <c r="S73" i="57"/>
  <c r="T73" i="57" s="1"/>
  <c r="W117" i="57"/>
  <c r="X117" i="57" s="1"/>
  <c r="K116" i="57"/>
  <c r="D116" i="57"/>
  <c r="Q124" i="57" s="1"/>
  <c r="S178" i="57"/>
  <c r="K172" i="57"/>
  <c r="K175" i="57"/>
  <c r="W221" i="57"/>
  <c r="S894" i="57"/>
  <c r="S890" i="57"/>
  <c r="T890" i="57" s="1"/>
  <c r="G887" i="57"/>
  <c r="S106" i="57"/>
  <c r="T106" i="57" s="1"/>
  <c r="S158" i="57"/>
  <c r="G84" i="57"/>
  <c r="S233" i="57"/>
  <c r="W42" i="57"/>
  <c r="G50" i="57"/>
  <c r="S238" i="57"/>
  <c r="T238" i="57" s="1"/>
  <c r="W37" i="57"/>
  <c r="X37" i="57" s="1"/>
  <c r="W35" i="57"/>
  <c r="X35" i="57" s="1"/>
  <c r="W34" i="57"/>
  <c r="K28" i="57"/>
  <c r="W31" i="57"/>
  <c r="K73" i="57"/>
  <c r="W81" i="57"/>
  <c r="X81" i="57" s="1"/>
  <c r="W79" i="57"/>
  <c r="X79" i="57" s="1"/>
  <c r="W76" i="57"/>
  <c r="X76" i="57" s="1"/>
  <c r="O73" i="57"/>
  <c r="P73" i="57" s="1"/>
  <c r="S75" i="57"/>
  <c r="O72" i="57"/>
  <c r="P72" i="57" s="1"/>
  <c r="S126" i="57"/>
  <c r="W125" i="57"/>
  <c r="X125" i="57" s="1"/>
  <c r="W126" i="57"/>
  <c r="X126" i="57" s="1"/>
  <c r="S118" i="57"/>
  <c r="K120" i="57"/>
  <c r="O116" i="57"/>
  <c r="P116" i="57" s="1"/>
  <c r="W172" i="57"/>
  <c r="X172" i="57" s="1"/>
  <c r="S173" i="57"/>
  <c r="W177" i="57"/>
  <c r="O171" i="57"/>
  <c r="P171" i="57" s="1"/>
  <c r="O172" i="57"/>
  <c r="P172" i="57" s="1"/>
  <c r="S222" i="57"/>
  <c r="S221" i="57"/>
  <c r="S219" i="57"/>
  <c r="T219" i="57" s="1"/>
  <c r="K219" i="57"/>
  <c r="O215" i="57"/>
  <c r="P215" i="57" s="1"/>
  <c r="S220" i="57"/>
  <c r="C215" i="57"/>
  <c r="S893" i="57"/>
  <c r="W895" i="57"/>
  <c r="X895" i="57" s="1"/>
  <c r="W893" i="57"/>
  <c r="X893" i="57" s="1"/>
  <c r="S891" i="57"/>
  <c r="W892" i="57"/>
  <c r="W889" i="57"/>
  <c r="S887" i="57"/>
  <c r="T887" i="57" s="1"/>
  <c r="S90" i="57"/>
  <c r="S187" i="57"/>
  <c r="W230" i="57"/>
  <c r="X230" i="57" s="1"/>
  <c r="S112" i="57"/>
  <c r="D204" i="57"/>
  <c r="E204" i="57" s="1"/>
  <c r="K138" i="57"/>
  <c r="W161" i="57"/>
  <c r="X161" i="57" s="1"/>
  <c r="W97" i="57"/>
  <c r="S20" i="57"/>
  <c r="W93" i="57"/>
  <c r="X93" i="57" s="1"/>
  <c r="K87" i="57"/>
  <c r="S188" i="57"/>
  <c r="G183" i="57"/>
  <c r="K230" i="57"/>
  <c r="K109" i="57"/>
  <c r="S111" i="57"/>
  <c r="K205" i="57"/>
  <c r="S139" i="57"/>
  <c r="T139" i="57" s="1"/>
  <c r="O62" i="57"/>
  <c r="P62" i="57" s="1"/>
  <c r="S57" i="57"/>
  <c r="S96" i="57"/>
  <c r="S154" i="57"/>
  <c r="S241" i="57"/>
  <c r="T241" i="57" s="1"/>
  <c r="S24" i="57"/>
  <c r="S262" i="57"/>
  <c r="W88" i="57"/>
  <c r="X88" i="57" s="1"/>
  <c r="W87" i="57"/>
  <c r="X87" i="57" s="1"/>
  <c r="S85" i="57"/>
  <c r="S92" i="57"/>
  <c r="W186" i="57"/>
  <c r="X186" i="57" s="1"/>
  <c r="S189" i="57"/>
  <c r="S231" i="57"/>
  <c r="S227" i="57"/>
  <c r="T227" i="57" s="1"/>
  <c r="O227" i="57"/>
  <c r="P227" i="57" s="1"/>
  <c r="W232" i="57"/>
  <c r="W112" i="57"/>
  <c r="X112" i="57" s="1"/>
  <c r="W114" i="57"/>
  <c r="X114" i="57" s="1"/>
  <c r="G106" i="57"/>
  <c r="S109" i="57"/>
  <c r="T109" i="57" s="1"/>
  <c r="S208" i="57"/>
  <c r="T208" i="57" s="1"/>
  <c r="S42" i="57"/>
  <c r="W142" i="57"/>
  <c r="X142" i="57" s="1"/>
  <c r="S70" i="57"/>
  <c r="C160" i="57"/>
  <c r="W59" i="57"/>
  <c r="X59" i="57" s="1"/>
  <c r="S100" i="57"/>
  <c r="S155" i="57"/>
  <c r="S199" i="57"/>
  <c r="K21" i="57"/>
  <c r="W269" i="57"/>
  <c r="X269" i="57" s="1"/>
  <c r="C4" i="68"/>
  <c r="W20" i="57"/>
  <c r="W26" i="57"/>
  <c r="X26" i="57" s="1"/>
  <c r="S22" i="57"/>
  <c r="W22" i="57"/>
  <c r="X22" i="57" s="1"/>
  <c r="W19" i="57"/>
  <c r="X19" i="57" s="1"/>
  <c r="W49" i="57"/>
  <c r="X49" i="57" s="1"/>
  <c r="G40" i="57"/>
  <c r="S43" i="57"/>
  <c r="T43" i="57" s="1"/>
  <c r="W44" i="57"/>
  <c r="X44" i="57" s="1"/>
  <c r="W48" i="57"/>
  <c r="X48" i="57" s="1"/>
  <c r="S44" i="57"/>
  <c r="S46" i="57"/>
  <c r="W40" i="57"/>
  <c r="X40" i="57" s="1"/>
  <c r="W68" i="57"/>
  <c r="X68" i="57" s="1"/>
  <c r="W63" i="57"/>
  <c r="X63" i="57" s="1"/>
  <c r="W66" i="57"/>
  <c r="X66" i="57" s="1"/>
  <c r="W67" i="57"/>
  <c r="W61" i="57"/>
  <c r="S66" i="57"/>
  <c r="W69" i="57"/>
  <c r="W146" i="57"/>
  <c r="W144" i="57"/>
  <c r="S146" i="57"/>
  <c r="W147" i="57"/>
  <c r="X147" i="57" s="1"/>
  <c r="K142" i="57"/>
  <c r="S147" i="57"/>
  <c r="W143" i="57"/>
  <c r="X143" i="57" s="1"/>
  <c r="S142" i="57"/>
  <c r="T142" i="57" s="1"/>
  <c r="O160" i="57"/>
  <c r="P160" i="57" s="1"/>
  <c r="W168" i="57"/>
  <c r="S168" i="57"/>
  <c r="S162" i="57"/>
  <c r="S164" i="57"/>
  <c r="T164" i="57" s="1"/>
  <c r="S163" i="57"/>
  <c r="D160" i="57"/>
  <c r="U166" i="57" s="1"/>
  <c r="S166" i="57"/>
  <c r="W214" i="57"/>
  <c r="X214" i="57" s="1"/>
  <c r="W206" i="57"/>
  <c r="X206" i="57" s="1"/>
  <c r="S206" i="57"/>
  <c r="W262" i="57"/>
  <c r="S264" i="57"/>
  <c r="W266" i="57"/>
  <c r="X266" i="57" s="1"/>
  <c r="S267" i="57"/>
  <c r="D259" i="57"/>
  <c r="I259" i="57" s="1"/>
  <c r="W267" i="57"/>
  <c r="S269" i="57"/>
  <c r="W52" i="57"/>
  <c r="X52" i="57" s="1"/>
  <c r="W58" i="57"/>
  <c r="Q50" i="57"/>
  <c r="S56" i="57"/>
  <c r="S58" i="57"/>
  <c r="O50" i="57"/>
  <c r="P50" i="57" s="1"/>
  <c r="S59" i="57"/>
  <c r="W56" i="57"/>
  <c r="S98" i="57"/>
  <c r="T98" i="57" s="1"/>
  <c r="C94" i="57"/>
  <c r="W98" i="57"/>
  <c r="X98" i="57" s="1"/>
  <c r="S101" i="57"/>
  <c r="W95" i="57"/>
  <c r="X95" i="57" s="1"/>
  <c r="O95" i="57"/>
  <c r="P95" i="57" s="1"/>
  <c r="S97" i="57"/>
  <c r="W159" i="57"/>
  <c r="X159" i="57" s="1"/>
  <c r="W151" i="57"/>
  <c r="X151" i="57" s="1"/>
  <c r="S159" i="57"/>
  <c r="G150" i="57"/>
  <c r="K150" i="57"/>
  <c r="O150" i="57"/>
  <c r="P150" i="57" s="1"/>
  <c r="O194" i="57"/>
  <c r="P194" i="57" s="1"/>
  <c r="G194" i="57"/>
  <c r="K194" i="57"/>
  <c r="O193" i="57"/>
  <c r="P193" i="57" s="1"/>
  <c r="C193" i="57"/>
  <c r="S197" i="57"/>
  <c r="T197" i="57" s="1"/>
  <c r="K197" i="57"/>
  <c r="W194" i="57"/>
  <c r="X194" i="57" s="1"/>
  <c r="D237" i="57"/>
  <c r="Q245" i="57" s="1"/>
  <c r="W244" i="57"/>
  <c r="X244" i="57" s="1"/>
  <c r="S240" i="57"/>
  <c r="S245" i="57"/>
  <c r="S242" i="57"/>
  <c r="W246" i="57"/>
  <c r="X246" i="57" s="1"/>
  <c r="O237" i="57"/>
  <c r="P237" i="57" s="1"/>
  <c r="W238" i="57"/>
  <c r="X238" i="57" s="1"/>
  <c r="W84" i="57"/>
  <c r="X84" i="57" s="1"/>
  <c r="S93" i="57"/>
  <c r="W86" i="57"/>
  <c r="S86" i="57"/>
  <c r="C83" i="57"/>
  <c r="W85" i="57"/>
  <c r="X85" i="57" s="1"/>
  <c r="D182" i="57"/>
  <c r="U185" i="57" s="1"/>
  <c r="W191" i="57"/>
  <c r="X191" i="57" s="1"/>
  <c r="O182" i="57"/>
  <c r="P182" i="57" s="1"/>
  <c r="W185" i="57"/>
  <c r="K183" i="57"/>
  <c r="K186" i="57"/>
  <c r="W187" i="57"/>
  <c r="X187" i="57" s="1"/>
  <c r="W190" i="57"/>
  <c r="W231" i="57"/>
  <c r="X231" i="57" s="1"/>
  <c r="W229" i="57"/>
  <c r="W227" i="57"/>
  <c r="X227" i="57" s="1"/>
  <c r="K227" i="57"/>
  <c r="D226" i="57"/>
  <c r="U226" i="57" s="1"/>
  <c r="W233" i="57"/>
  <c r="X233" i="57" s="1"/>
  <c r="W236" i="57"/>
  <c r="X236" i="57" s="1"/>
  <c r="C105" i="57"/>
  <c r="W110" i="57"/>
  <c r="X110" i="57" s="1"/>
  <c r="S107" i="57"/>
  <c r="O106" i="57"/>
  <c r="P106" i="57" s="1"/>
  <c r="O105" i="57"/>
  <c r="P105" i="57" s="1"/>
  <c r="W210" i="57"/>
  <c r="K204" i="57"/>
  <c r="S207" i="57"/>
  <c r="G205" i="57"/>
  <c r="W211" i="57"/>
  <c r="X211" i="57" s="1"/>
  <c r="O205" i="57"/>
  <c r="P205" i="57" s="1"/>
  <c r="S45" i="57"/>
  <c r="S41" i="57"/>
  <c r="K43" i="57"/>
  <c r="S148" i="57"/>
  <c r="S145" i="57"/>
  <c r="K139" i="57"/>
  <c r="W71" i="57"/>
  <c r="X71" i="57" s="1"/>
  <c r="S68" i="57"/>
  <c r="S62" i="57"/>
  <c r="T62" i="57" s="1"/>
  <c r="C8" i="68"/>
  <c r="W166" i="57"/>
  <c r="W163" i="57"/>
  <c r="W162" i="57"/>
  <c r="X162" i="57" s="1"/>
  <c r="S161" i="57"/>
  <c r="T161" i="57" s="1"/>
  <c r="K50" i="57"/>
  <c r="W51" i="57"/>
  <c r="X51" i="57" s="1"/>
  <c r="K51" i="57"/>
  <c r="K54" i="57"/>
  <c r="W96" i="57"/>
  <c r="X96" i="57" s="1"/>
  <c r="S95" i="57"/>
  <c r="T95" i="57" s="1"/>
  <c r="W99" i="57"/>
  <c r="X99" i="57" s="1"/>
  <c r="W152" i="57"/>
  <c r="O149" i="57"/>
  <c r="P149" i="57" s="1"/>
  <c r="C149" i="57"/>
  <c r="W200" i="57"/>
  <c r="X200" i="57" s="1"/>
  <c r="S203" i="57"/>
  <c r="W199" i="57"/>
  <c r="S195" i="57"/>
  <c r="W243" i="57"/>
  <c r="S243" i="57"/>
  <c r="S239" i="57"/>
  <c r="C237" i="57"/>
  <c r="W24" i="57"/>
  <c r="X24" i="57" s="1"/>
  <c r="O18" i="57"/>
  <c r="P18" i="57" s="1"/>
  <c r="S23" i="57"/>
  <c r="S27" i="57"/>
  <c r="S261" i="57"/>
  <c r="O260" i="57"/>
  <c r="P260" i="57" s="1"/>
  <c r="O259" i="57"/>
  <c r="P259" i="57" s="1"/>
  <c r="O29" i="57"/>
  <c r="P29" i="57" s="1"/>
  <c r="W29" i="57"/>
  <c r="X29" i="57" s="1"/>
  <c r="S38" i="57"/>
  <c r="S29" i="57"/>
  <c r="T29" i="57" s="1"/>
  <c r="K29" i="57"/>
  <c r="K32" i="57"/>
  <c r="S33" i="57"/>
  <c r="S30" i="57"/>
  <c r="S37" i="57"/>
  <c r="I28" i="57"/>
  <c r="S34" i="57"/>
  <c r="G29" i="57"/>
  <c r="S74" i="57"/>
  <c r="S79" i="57"/>
  <c r="K76" i="57"/>
  <c r="S77" i="57"/>
  <c r="W74" i="57"/>
  <c r="X74" i="57" s="1"/>
  <c r="S80" i="57"/>
  <c r="W78" i="57"/>
  <c r="S81" i="57"/>
  <c r="K72" i="57"/>
  <c r="S78" i="57"/>
  <c r="S82" i="57"/>
  <c r="S122" i="57"/>
  <c r="S119" i="57"/>
  <c r="C116" i="57"/>
  <c r="W121" i="57"/>
  <c r="X121" i="57" s="1"/>
  <c r="S123" i="57"/>
  <c r="W118" i="57"/>
  <c r="X118" i="57" s="1"/>
  <c r="S121" i="57"/>
  <c r="O117" i="57"/>
  <c r="P117" i="57" s="1"/>
  <c r="W122" i="57"/>
  <c r="W123" i="57"/>
  <c r="X123" i="57" s="1"/>
  <c r="S125" i="57"/>
  <c r="G117" i="57"/>
  <c r="S117" i="57"/>
  <c r="T117" i="57" s="1"/>
  <c r="W180" i="57"/>
  <c r="X180" i="57" s="1"/>
  <c r="W181" i="57"/>
  <c r="X181" i="57" s="1"/>
  <c r="S176" i="57"/>
  <c r="W178" i="57"/>
  <c r="X178" i="57" s="1"/>
  <c r="D171" i="57"/>
  <c r="E171" i="57" s="1"/>
  <c r="W175" i="57"/>
  <c r="X175" i="57" s="1"/>
  <c r="S181" i="57"/>
  <c r="S180" i="57"/>
  <c r="W173" i="57"/>
  <c r="X173" i="57" s="1"/>
  <c r="S175" i="57"/>
  <c r="T175" i="57" s="1"/>
  <c r="W218" i="57"/>
  <c r="D215" i="57"/>
  <c r="I215" i="57" s="1"/>
  <c r="W217" i="57"/>
  <c r="X217" i="57" s="1"/>
  <c r="W219" i="57"/>
  <c r="X219" i="57" s="1"/>
  <c r="O216" i="57"/>
  <c r="P216" i="57" s="1"/>
  <c r="W224" i="57"/>
  <c r="X224" i="57" s="1"/>
  <c r="W222" i="57"/>
  <c r="X222" i="57" s="1"/>
  <c r="K216" i="57"/>
  <c r="S217" i="57"/>
  <c r="W220" i="57"/>
  <c r="X220" i="57" s="1"/>
  <c r="W216" i="57"/>
  <c r="X216" i="57" s="1"/>
  <c r="G216" i="57"/>
  <c r="S889" i="57"/>
  <c r="W887" i="57"/>
  <c r="X887" i="57" s="1"/>
  <c r="S888" i="57"/>
  <c r="S892" i="57"/>
  <c r="W891" i="57"/>
  <c r="X891" i="57" s="1"/>
  <c r="W890" i="57"/>
  <c r="X890" i="57" s="1"/>
  <c r="W896" i="57"/>
  <c r="X896" i="57" s="1"/>
  <c r="W888" i="57"/>
  <c r="X888" i="57" s="1"/>
  <c r="K890" i="57"/>
  <c r="W90" i="57"/>
  <c r="X90" i="57" s="1"/>
  <c r="S88" i="57"/>
  <c r="O83" i="57"/>
  <c r="P83" i="57" s="1"/>
  <c r="D83" i="57"/>
  <c r="I83" i="57" s="1"/>
  <c r="K84" i="57"/>
  <c r="S87" i="57"/>
  <c r="T87" i="57" s="1"/>
  <c r="K83" i="57"/>
  <c r="S91" i="57"/>
  <c r="W92" i="57"/>
  <c r="X92" i="57" s="1"/>
  <c r="S89" i="57"/>
  <c r="O84" i="57"/>
  <c r="P84" i="57" s="1"/>
  <c r="W89" i="57"/>
  <c r="S84" i="57"/>
  <c r="T84" i="57" s="1"/>
  <c r="S192" i="57"/>
  <c r="S190" i="57"/>
  <c r="W189" i="57"/>
  <c r="X189" i="57" s="1"/>
  <c r="O183" i="57"/>
  <c r="P183" i="57" s="1"/>
  <c r="S185" i="57"/>
  <c r="C182" i="57"/>
  <c r="S191" i="57"/>
  <c r="S184" i="57"/>
  <c r="W192" i="57"/>
  <c r="X192" i="57" s="1"/>
  <c r="W184" i="57"/>
  <c r="X184" i="57" s="1"/>
  <c r="W183" i="57"/>
  <c r="X183" i="57" s="1"/>
  <c r="S186" i="57"/>
  <c r="T186" i="57" s="1"/>
  <c r="S234" i="57"/>
  <c r="W228" i="57"/>
  <c r="X228" i="57" s="1"/>
  <c r="S232" i="57"/>
  <c r="S236" i="57"/>
  <c r="S235" i="57"/>
  <c r="C226" i="57"/>
  <c r="W235" i="57"/>
  <c r="X235" i="57" s="1"/>
  <c r="S230" i="57"/>
  <c r="T230" i="57" s="1"/>
  <c r="S229" i="57"/>
  <c r="S228" i="57"/>
  <c r="S108" i="57"/>
  <c r="W106" i="57"/>
  <c r="X106" i="57" s="1"/>
  <c r="S113" i="57"/>
  <c r="S114" i="57"/>
  <c r="W111" i="57"/>
  <c r="K106" i="57"/>
  <c r="S110" i="57"/>
  <c r="D105" i="57"/>
  <c r="Q105" i="57" s="1"/>
  <c r="S115" i="57"/>
  <c r="W109" i="57"/>
  <c r="X109" i="57" s="1"/>
  <c r="W108" i="57"/>
  <c r="W107" i="57"/>
  <c r="X107" i="57" s="1"/>
  <c r="W113" i="57"/>
  <c r="W115" i="57"/>
  <c r="X115" i="57" s="1"/>
  <c r="W209" i="57"/>
  <c r="X209" i="57" s="1"/>
  <c r="S211" i="57"/>
  <c r="W208" i="57"/>
  <c r="X208" i="57" s="1"/>
  <c r="W207" i="57"/>
  <c r="S210" i="57"/>
  <c r="K208" i="57"/>
  <c r="O204" i="57"/>
  <c r="P204" i="57" s="1"/>
  <c r="S205" i="57"/>
  <c r="T205" i="57" s="1"/>
  <c r="W205" i="57"/>
  <c r="X205" i="57" s="1"/>
  <c r="S209" i="57"/>
  <c r="W213" i="57"/>
  <c r="X213" i="57" s="1"/>
  <c r="S214" i="57"/>
  <c r="C204" i="57"/>
  <c r="E39" i="57"/>
  <c r="W46" i="57"/>
  <c r="X46" i="57" s="1"/>
  <c r="S48" i="57"/>
  <c r="K40" i="57"/>
  <c r="W41" i="57"/>
  <c r="X41" i="57" s="1"/>
  <c r="K39" i="57"/>
  <c r="S40" i="57"/>
  <c r="T40" i="57" s="1"/>
  <c r="W45" i="57"/>
  <c r="S49" i="57"/>
  <c r="W47" i="57"/>
  <c r="C6" i="68"/>
  <c r="O40" i="57"/>
  <c r="P40" i="57" s="1"/>
  <c r="O39" i="57"/>
  <c r="P39" i="57" s="1"/>
  <c r="C138" i="57"/>
  <c r="S144" i="57"/>
  <c r="O139" i="57"/>
  <c r="P139" i="57" s="1"/>
  <c r="S141" i="57"/>
  <c r="W141" i="57"/>
  <c r="O138" i="57"/>
  <c r="P138" i="57" s="1"/>
  <c r="W139" i="57"/>
  <c r="X139" i="57" s="1"/>
  <c r="S140" i="57"/>
  <c r="W140" i="57"/>
  <c r="X140" i="57" s="1"/>
  <c r="S143" i="57"/>
  <c r="W145" i="57"/>
  <c r="X145" i="57" s="1"/>
  <c r="D138" i="57"/>
  <c r="Q138" i="57" s="1"/>
  <c r="W148" i="57"/>
  <c r="X148" i="57" s="1"/>
  <c r="K61" i="57"/>
  <c r="W65" i="57"/>
  <c r="X65" i="57" s="1"/>
  <c r="K62" i="57"/>
  <c r="S69" i="57"/>
  <c r="S64" i="57"/>
  <c r="D61" i="57"/>
  <c r="U61" i="57" s="1"/>
  <c r="S67" i="57"/>
  <c r="W62" i="57"/>
  <c r="X62" i="57" s="1"/>
  <c r="O61" i="57"/>
  <c r="P61" i="57" s="1"/>
  <c r="K65" i="57"/>
  <c r="W70" i="57"/>
  <c r="X70" i="57" s="1"/>
  <c r="S63" i="57"/>
  <c r="S65" i="57"/>
  <c r="T65" i="57" s="1"/>
  <c r="W165" i="57"/>
  <c r="X165" i="57" s="1"/>
  <c r="W164" i="57"/>
  <c r="X164" i="57" s="1"/>
  <c r="S169" i="57"/>
  <c r="S170" i="57"/>
  <c r="S167" i="57"/>
  <c r="W169" i="57"/>
  <c r="X169" i="57" s="1"/>
  <c r="K164" i="57"/>
  <c r="W170" i="57"/>
  <c r="X170" i="57" s="1"/>
  <c r="S165" i="57"/>
  <c r="W167" i="57"/>
  <c r="X167" i="57" s="1"/>
  <c r="G161" i="57"/>
  <c r="O161" i="57"/>
  <c r="P161" i="57" s="1"/>
  <c r="W53" i="57"/>
  <c r="W54" i="57"/>
  <c r="X54" i="57" s="1"/>
  <c r="S52" i="57"/>
  <c r="S53" i="57"/>
  <c r="S60" i="57"/>
  <c r="O51" i="57"/>
  <c r="P51" i="57" s="1"/>
  <c r="W55" i="57"/>
  <c r="X55" i="57" s="1"/>
  <c r="G51" i="57"/>
  <c r="S55" i="57"/>
  <c r="W57" i="57"/>
  <c r="X57" i="57" s="1"/>
  <c r="C7" i="68"/>
  <c r="W60" i="57"/>
  <c r="X60" i="57" s="1"/>
  <c r="S51" i="57"/>
  <c r="T51" i="57" s="1"/>
  <c r="S99" i="57"/>
  <c r="S102" i="57"/>
  <c r="D94" i="57"/>
  <c r="Q102" i="57" s="1"/>
  <c r="K94" i="57"/>
  <c r="W103" i="57"/>
  <c r="X103" i="57" s="1"/>
  <c r="S103" i="57"/>
  <c r="W101" i="57"/>
  <c r="X101" i="57" s="1"/>
  <c r="K98" i="57"/>
  <c r="K95" i="57"/>
  <c r="O94" i="57"/>
  <c r="P94" i="57" s="1"/>
  <c r="W94" i="57"/>
  <c r="W104" i="57"/>
  <c r="X104" i="57" s="1"/>
  <c r="W100" i="57"/>
  <c r="S104" i="57"/>
  <c r="G95" i="57"/>
  <c r="W158" i="57"/>
  <c r="X158" i="57" s="1"/>
  <c r="W157" i="57"/>
  <c r="W156" i="57"/>
  <c r="X156" i="57" s="1"/>
  <c r="W153" i="57"/>
  <c r="X153" i="57" s="1"/>
  <c r="S151" i="57"/>
  <c r="W155" i="57"/>
  <c r="D149" i="57"/>
  <c r="I149" i="57" s="1"/>
  <c r="S152" i="57"/>
  <c r="K153" i="57"/>
  <c r="S153" i="57"/>
  <c r="T153" i="57" s="1"/>
  <c r="S156" i="57"/>
  <c r="W154" i="57"/>
  <c r="X154" i="57" s="1"/>
  <c r="S201" i="57"/>
  <c r="S200" i="57"/>
  <c r="W198" i="57"/>
  <c r="X198" i="57" s="1"/>
  <c r="W197" i="57"/>
  <c r="X197" i="57" s="1"/>
  <c r="W196" i="57"/>
  <c r="S196" i="57"/>
  <c r="D193" i="57"/>
  <c r="U201" i="57" s="1"/>
  <c r="S202" i="57"/>
  <c r="S198" i="57"/>
  <c r="W202" i="57"/>
  <c r="X202" i="57" s="1"/>
  <c r="W195" i="57"/>
  <c r="X195" i="57" s="1"/>
  <c r="K241" i="57"/>
  <c r="W240" i="57"/>
  <c r="K238" i="57"/>
  <c r="O238" i="57"/>
  <c r="P238" i="57" s="1"/>
  <c r="S244" i="57"/>
  <c r="W242" i="57"/>
  <c r="X242" i="57" s="1"/>
  <c r="W247" i="57"/>
  <c r="X247" i="57" s="1"/>
  <c r="W241" i="57"/>
  <c r="X241" i="57" s="1"/>
  <c r="S247" i="57"/>
  <c r="W239" i="57"/>
  <c r="X239" i="57" s="1"/>
  <c r="S246" i="57"/>
  <c r="K237" i="57"/>
  <c r="W21" i="57"/>
  <c r="X21" i="57" s="1"/>
  <c r="W23" i="57"/>
  <c r="W18" i="57"/>
  <c r="X18" i="57" s="1"/>
  <c r="O17" i="57"/>
  <c r="P17" i="57" s="1"/>
  <c r="S21" i="57"/>
  <c r="T21" i="57" s="1"/>
  <c r="K18" i="57"/>
  <c r="U20" i="57"/>
  <c r="W27" i="57"/>
  <c r="X27" i="57" s="1"/>
  <c r="S26" i="57"/>
  <c r="K17" i="57"/>
  <c r="S263" i="57"/>
  <c r="T263" i="57" s="1"/>
  <c r="W261" i="57"/>
  <c r="X261" i="57" s="1"/>
  <c r="W263" i="57"/>
  <c r="X263" i="57" s="1"/>
  <c r="W259" i="57"/>
  <c r="S260" i="57"/>
  <c r="T260" i="57" s="1"/>
  <c r="S268" i="57"/>
  <c r="K259" i="57"/>
  <c r="C259" i="57"/>
  <c r="W265" i="57"/>
  <c r="W260" i="57"/>
  <c r="X260" i="57" s="1"/>
  <c r="W268" i="57"/>
  <c r="X268" i="57" s="1"/>
  <c r="S265" i="57"/>
  <c r="K263" i="57"/>
  <c r="W27" i="59"/>
  <c r="X27" i="59" s="1"/>
  <c r="W26" i="59"/>
  <c r="X26" i="59" s="1"/>
  <c r="W25" i="59"/>
  <c r="W24" i="59"/>
  <c r="X24" i="59" s="1"/>
  <c r="W23" i="59"/>
  <c r="W22" i="59"/>
  <c r="X22" i="59" s="1"/>
  <c r="W21" i="59"/>
  <c r="X21" i="59" s="1"/>
  <c r="K21" i="59"/>
  <c r="L21" i="59" s="1"/>
  <c r="K17" i="59"/>
  <c r="W20" i="59"/>
  <c r="S19" i="59"/>
  <c r="T19" i="59" s="1"/>
  <c r="S18" i="59"/>
  <c r="T18" i="59" s="1"/>
  <c r="S26" i="59"/>
  <c r="T26" i="59" s="1"/>
  <c r="S24" i="59"/>
  <c r="T24" i="59" s="1"/>
  <c r="S22" i="59"/>
  <c r="T22" i="59" s="1"/>
  <c r="S20" i="59"/>
  <c r="W18" i="59"/>
  <c r="X18" i="59" s="1"/>
  <c r="W17" i="59"/>
  <c r="S27" i="59"/>
  <c r="T27" i="59" s="1"/>
  <c r="S23" i="59"/>
  <c r="S21" i="59"/>
  <c r="T21" i="59" s="1"/>
  <c r="W19" i="59"/>
  <c r="X19" i="59" s="1"/>
  <c r="K18" i="59"/>
  <c r="W49" i="59"/>
  <c r="X49" i="59" s="1"/>
  <c r="W48" i="59"/>
  <c r="X48" i="59" s="1"/>
  <c r="W47" i="59"/>
  <c r="W46" i="59"/>
  <c r="X46" i="59" s="1"/>
  <c r="W45" i="59"/>
  <c r="W44" i="59"/>
  <c r="X44" i="59" s="1"/>
  <c r="W43" i="59"/>
  <c r="X43" i="59" s="1"/>
  <c r="K43" i="59"/>
  <c r="L43" i="59" s="1"/>
  <c r="S42" i="59"/>
  <c r="W41" i="59"/>
  <c r="X41" i="59" s="1"/>
  <c r="W40" i="59"/>
  <c r="X40" i="59" s="1"/>
  <c r="K40" i="59"/>
  <c r="K39" i="59"/>
  <c r="S48" i="59"/>
  <c r="T48" i="59" s="1"/>
  <c r="S46" i="59"/>
  <c r="T46" i="59" s="1"/>
  <c r="S44" i="59"/>
  <c r="T44" i="59" s="1"/>
  <c r="W42" i="59"/>
  <c r="S41" i="59"/>
  <c r="T41" i="59" s="1"/>
  <c r="G40" i="59"/>
  <c r="S49" i="59"/>
  <c r="T49" i="59" s="1"/>
  <c r="S45" i="59"/>
  <c r="S43" i="59"/>
  <c r="T43" i="59" s="1"/>
  <c r="S40" i="59"/>
  <c r="T40" i="59" s="1"/>
  <c r="W71" i="59"/>
  <c r="X71" i="59" s="1"/>
  <c r="W70" i="59"/>
  <c r="X70" i="59" s="1"/>
  <c r="W69" i="59"/>
  <c r="W68" i="59"/>
  <c r="X68" i="59" s="1"/>
  <c r="W67" i="59"/>
  <c r="W66" i="59"/>
  <c r="X66" i="59" s="1"/>
  <c r="W65" i="59"/>
  <c r="X65" i="59" s="1"/>
  <c r="K65" i="59"/>
  <c r="L65" i="59" s="1"/>
  <c r="S64" i="59"/>
  <c r="W63" i="59"/>
  <c r="X63" i="59" s="1"/>
  <c r="W62" i="59"/>
  <c r="X62" i="59" s="1"/>
  <c r="K62" i="59"/>
  <c r="W61" i="59"/>
  <c r="K61" i="59"/>
  <c r="S71" i="59"/>
  <c r="T71" i="59" s="1"/>
  <c r="S70" i="59"/>
  <c r="T70" i="59" s="1"/>
  <c r="S69" i="59"/>
  <c r="S68" i="59"/>
  <c r="T68" i="59" s="1"/>
  <c r="S67" i="59"/>
  <c r="S66" i="59"/>
  <c r="T66" i="59" s="1"/>
  <c r="S65" i="59"/>
  <c r="T65" i="59" s="1"/>
  <c r="W64" i="59"/>
  <c r="S63" i="59"/>
  <c r="T63" i="59" s="1"/>
  <c r="G61" i="59"/>
  <c r="S62" i="59"/>
  <c r="T62" i="59" s="1"/>
  <c r="W93" i="59"/>
  <c r="X93" i="59" s="1"/>
  <c r="W92" i="59"/>
  <c r="X92" i="59" s="1"/>
  <c r="W91" i="59"/>
  <c r="W90" i="59"/>
  <c r="X90" i="59" s="1"/>
  <c r="W89" i="59"/>
  <c r="W88" i="59"/>
  <c r="X88" i="59" s="1"/>
  <c r="W87" i="59"/>
  <c r="X87" i="59" s="1"/>
  <c r="K87" i="59"/>
  <c r="L87" i="59" s="1"/>
  <c r="S86" i="59"/>
  <c r="W85" i="59"/>
  <c r="X85" i="59" s="1"/>
  <c r="W84" i="59"/>
  <c r="X84" i="59" s="1"/>
  <c r="K84" i="59"/>
  <c r="K83" i="59"/>
  <c r="S93" i="59"/>
  <c r="T93" i="59" s="1"/>
  <c r="S92" i="59"/>
  <c r="T92" i="59" s="1"/>
  <c r="S91" i="59"/>
  <c r="S90" i="59"/>
  <c r="T90" i="59" s="1"/>
  <c r="S89" i="59"/>
  <c r="S88" i="59"/>
  <c r="T88" i="59" s="1"/>
  <c r="S87" i="59"/>
  <c r="T87" i="59" s="1"/>
  <c r="W86" i="59"/>
  <c r="S85" i="59"/>
  <c r="T85" i="59" s="1"/>
  <c r="S84" i="59"/>
  <c r="T84" i="59" s="1"/>
  <c r="G84" i="59"/>
  <c r="W115" i="59"/>
  <c r="X115" i="59" s="1"/>
  <c r="W114" i="59"/>
  <c r="X114" i="59" s="1"/>
  <c r="W113" i="59"/>
  <c r="W112" i="59"/>
  <c r="X112" i="59" s="1"/>
  <c r="W111" i="59"/>
  <c r="W110" i="59"/>
  <c r="X110" i="59" s="1"/>
  <c r="W109" i="59"/>
  <c r="X109" i="59" s="1"/>
  <c r="K109" i="59"/>
  <c r="L109" i="59" s="1"/>
  <c r="S108" i="59"/>
  <c r="W107" i="59"/>
  <c r="X107" i="59" s="1"/>
  <c r="W106" i="59"/>
  <c r="X106" i="59" s="1"/>
  <c r="K106" i="59"/>
  <c r="S115" i="59"/>
  <c r="T115" i="59" s="1"/>
  <c r="S113" i="59"/>
  <c r="S111" i="59"/>
  <c r="S109" i="59"/>
  <c r="T109" i="59" s="1"/>
  <c r="S106" i="59"/>
  <c r="T106" i="59" s="1"/>
  <c r="S114" i="59"/>
  <c r="T114" i="59" s="1"/>
  <c r="S112" i="59"/>
  <c r="T112" i="59" s="1"/>
  <c r="S110" i="59"/>
  <c r="T110" i="59" s="1"/>
  <c r="W108" i="59"/>
  <c r="S107" i="59"/>
  <c r="T107" i="59" s="1"/>
  <c r="G106" i="59"/>
  <c r="W148" i="59"/>
  <c r="X148" i="59" s="1"/>
  <c r="W147" i="59"/>
  <c r="X147" i="59" s="1"/>
  <c r="W146" i="59"/>
  <c r="W145" i="59"/>
  <c r="X145" i="59" s="1"/>
  <c r="W144" i="59"/>
  <c r="W143" i="59"/>
  <c r="X143" i="59" s="1"/>
  <c r="W142" i="59"/>
  <c r="X142" i="59" s="1"/>
  <c r="K142" i="59"/>
  <c r="L142" i="59" s="1"/>
  <c r="S141" i="59"/>
  <c r="W140" i="59"/>
  <c r="X140" i="59" s="1"/>
  <c r="W139" i="59"/>
  <c r="X139" i="59" s="1"/>
  <c r="K139" i="59"/>
  <c r="K138" i="59"/>
  <c r="S148" i="59"/>
  <c r="T148" i="59" s="1"/>
  <c r="S146" i="59"/>
  <c r="S144" i="59"/>
  <c r="S142" i="59"/>
  <c r="T142" i="59" s="1"/>
  <c r="S139" i="59"/>
  <c r="T139" i="59" s="1"/>
  <c r="S147" i="59"/>
  <c r="T147" i="59" s="1"/>
  <c r="S145" i="59"/>
  <c r="T145" i="59" s="1"/>
  <c r="S143" i="59"/>
  <c r="T143" i="59" s="1"/>
  <c r="W141" i="59"/>
  <c r="S140" i="59"/>
  <c r="T140" i="59" s="1"/>
  <c r="W170" i="59"/>
  <c r="X170" i="59" s="1"/>
  <c r="W169" i="59"/>
  <c r="X169" i="59" s="1"/>
  <c r="W168" i="59"/>
  <c r="W167" i="59"/>
  <c r="X167" i="59" s="1"/>
  <c r="W166" i="59"/>
  <c r="W165" i="59"/>
  <c r="X165" i="59" s="1"/>
  <c r="W164" i="59"/>
  <c r="X164" i="59" s="1"/>
  <c r="K164" i="59"/>
  <c r="L164" i="59" s="1"/>
  <c r="S163" i="59"/>
  <c r="W162" i="59"/>
  <c r="X162" i="59" s="1"/>
  <c r="W161" i="59"/>
  <c r="X161" i="59" s="1"/>
  <c r="K161" i="59"/>
  <c r="S170" i="59"/>
  <c r="T170" i="59" s="1"/>
  <c r="S168" i="59"/>
  <c r="S166" i="59"/>
  <c r="S164" i="59"/>
  <c r="T164" i="59" s="1"/>
  <c r="S161" i="59"/>
  <c r="T161" i="59" s="1"/>
  <c r="S169" i="59"/>
  <c r="T169" i="59" s="1"/>
  <c r="S167" i="59"/>
  <c r="T167" i="59" s="1"/>
  <c r="S165" i="59"/>
  <c r="T165" i="59" s="1"/>
  <c r="W163" i="59"/>
  <c r="S162" i="59"/>
  <c r="T162" i="59" s="1"/>
  <c r="G161" i="59"/>
  <c r="W192" i="59"/>
  <c r="X192" i="59" s="1"/>
  <c r="W191" i="59"/>
  <c r="X191" i="59" s="1"/>
  <c r="W190" i="59"/>
  <c r="W189" i="59"/>
  <c r="X189" i="59" s="1"/>
  <c r="W188" i="59"/>
  <c r="W187" i="59"/>
  <c r="X187" i="59" s="1"/>
  <c r="W186" i="59"/>
  <c r="X186" i="59" s="1"/>
  <c r="K186" i="59"/>
  <c r="L186" i="59" s="1"/>
  <c r="S185" i="59"/>
  <c r="W184" i="59"/>
  <c r="X184" i="59" s="1"/>
  <c r="W183" i="59"/>
  <c r="X183" i="59" s="1"/>
  <c r="K183" i="59"/>
  <c r="S192" i="59"/>
  <c r="T192" i="59" s="1"/>
  <c r="S190" i="59"/>
  <c r="S188" i="59"/>
  <c r="S186" i="59"/>
  <c r="T186" i="59" s="1"/>
  <c r="S183" i="59"/>
  <c r="T183" i="59" s="1"/>
  <c r="S191" i="59"/>
  <c r="T191" i="59" s="1"/>
  <c r="S189" i="59"/>
  <c r="T189" i="59" s="1"/>
  <c r="S187" i="59"/>
  <c r="T187" i="59" s="1"/>
  <c r="W185" i="59"/>
  <c r="S184" i="59"/>
  <c r="T184" i="59" s="1"/>
  <c r="G183" i="59"/>
  <c r="S214" i="59"/>
  <c r="T214" i="59" s="1"/>
  <c r="S213" i="59"/>
  <c r="T213" i="59" s="1"/>
  <c r="S211" i="59"/>
  <c r="T211" i="59" s="1"/>
  <c r="S210" i="59"/>
  <c r="S209" i="59"/>
  <c r="T209" i="59" s="1"/>
  <c r="S208" i="59"/>
  <c r="T208" i="59" s="1"/>
  <c r="W207" i="59"/>
  <c r="S206" i="59"/>
  <c r="T206" i="59" s="1"/>
  <c r="G205" i="59"/>
  <c r="W214" i="59"/>
  <c r="X214" i="59" s="1"/>
  <c r="W210" i="59"/>
  <c r="W208" i="59"/>
  <c r="X208" i="59" s="1"/>
  <c r="S207" i="59"/>
  <c r="W205" i="59"/>
  <c r="X205" i="59" s="1"/>
  <c r="W211" i="59"/>
  <c r="X211" i="59" s="1"/>
  <c r="K208" i="59"/>
  <c r="L208" i="59" s="1"/>
  <c r="K205" i="59"/>
  <c r="W213" i="59"/>
  <c r="X213" i="59" s="1"/>
  <c r="W209" i="59"/>
  <c r="X209" i="59" s="1"/>
  <c r="W206" i="59"/>
  <c r="X206" i="59" s="1"/>
  <c r="K204" i="59"/>
  <c r="S236" i="59"/>
  <c r="T236" i="59" s="1"/>
  <c r="S235" i="59"/>
  <c r="T235" i="59" s="1"/>
  <c r="S234" i="59"/>
  <c r="S233" i="59"/>
  <c r="T233" i="59" s="1"/>
  <c r="S232" i="59"/>
  <c r="S231" i="59"/>
  <c r="T231" i="59" s="1"/>
  <c r="S230" i="59"/>
  <c r="T230" i="59" s="1"/>
  <c r="W229" i="59"/>
  <c r="S228" i="59"/>
  <c r="T228" i="59" s="1"/>
  <c r="S227" i="59"/>
  <c r="T227" i="59" s="1"/>
  <c r="W236" i="59"/>
  <c r="X236" i="59" s="1"/>
  <c r="W232" i="59"/>
  <c r="W230" i="59"/>
  <c r="X230" i="59" s="1"/>
  <c r="S229" i="59"/>
  <c r="W227" i="59"/>
  <c r="X227" i="59" s="1"/>
  <c r="W233" i="59"/>
  <c r="X233" i="59" s="1"/>
  <c r="K230" i="59"/>
  <c r="L230" i="59" s="1"/>
  <c r="K227" i="59"/>
  <c r="W235" i="59"/>
  <c r="X235" i="59" s="1"/>
  <c r="W231" i="59"/>
  <c r="X231" i="59" s="1"/>
  <c r="W228" i="59"/>
  <c r="X228" i="59" s="1"/>
  <c r="S511" i="59"/>
  <c r="T511" i="59" s="1"/>
  <c r="S510" i="59"/>
  <c r="T510" i="59" s="1"/>
  <c r="S509" i="59"/>
  <c r="S508" i="59"/>
  <c r="T508" i="59" s="1"/>
  <c r="S507" i="59"/>
  <c r="S506" i="59"/>
  <c r="T506" i="59" s="1"/>
  <c r="S505" i="59"/>
  <c r="T505" i="59" s="1"/>
  <c r="W504" i="59"/>
  <c r="S503" i="59"/>
  <c r="T503" i="59" s="1"/>
  <c r="W511" i="59"/>
  <c r="X511" i="59" s="1"/>
  <c r="W507" i="59"/>
  <c r="W505" i="59"/>
  <c r="X505" i="59" s="1"/>
  <c r="S504" i="59"/>
  <c r="W502" i="59"/>
  <c r="X502" i="59" s="1"/>
  <c r="W508" i="59"/>
  <c r="X508" i="59" s="1"/>
  <c r="K505" i="59"/>
  <c r="L505" i="59" s="1"/>
  <c r="K502" i="59"/>
  <c r="W510" i="59"/>
  <c r="X510" i="59" s="1"/>
  <c r="W506" i="59"/>
  <c r="X506" i="59" s="1"/>
  <c r="W503" i="59"/>
  <c r="X503" i="59" s="1"/>
  <c r="W60" i="59"/>
  <c r="X60" i="59" s="1"/>
  <c r="W59" i="59"/>
  <c r="X59" i="59" s="1"/>
  <c r="W58" i="59"/>
  <c r="W57" i="59"/>
  <c r="X57" i="59" s="1"/>
  <c r="W56" i="59"/>
  <c r="W55" i="59"/>
  <c r="X55" i="59" s="1"/>
  <c r="W54" i="59"/>
  <c r="X54" i="59" s="1"/>
  <c r="K54" i="59"/>
  <c r="L54" i="59" s="1"/>
  <c r="S53" i="59"/>
  <c r="W52" i="59"/>
  <c r="X52" i="59" s="1"/>
  <c r="W51" i="59"/>
  <c r="X51" i="59" s="1"/>
  <c r="K51" i="59"/>
  <c r="K50" i="59"/>
  <c r="S59" i="59"/>
  <c r="T59" i="59" s="1"/>
  <c r="S57" i="59"/>
  <c r="T57" i="59" s="1"/>
  <c r="S55" i="59"/>
  <c r="T55" i="59" s="1"/>
  <c r="W53" i="59"/>
  <c r="S52" i="59"/>
  <c r="T52" i="59" s="1"/>
  <c r="G51" i="59"/>
  <c r="G50" i="59"/>
  <c r="S60" i="59"/>
  <c r="T60" i="59" s="1"/>
  <c r="S58" i="59"/>
  <c r="S56" i="59"/>
  <c r="S54" i="59"/>
  <c r="T54" i="59" s="1"/>
  <c r="S51" i="59"/>
  <c r="T51" i="59" s="1"/>
  <c r="W104" i="59"/>
  <c r="X104" i="59" s="1"/>
  <c r="W103" i="59"/>
  <c r="X103" i="59" s="1"/>
  <c r="S104" i="59"/>
  <c r="T104" i="59" s="1"/>
  <c r="W102" i="59"/>
  <c r="W101" i="59"/>
  <c r="X101" i="59" s="1"/>
  <c r="W100" i="59"/>
  <c r="W99" i="59"/>
  <c r="X99" i="59" s="1"/>
  <c r="W98" i="59"/>
  <c r="X98" i="59" s="1"/>
  <c r="K98" i="59"/>
  <c r="L98" i="59" s="1"/>
  <c r="S97" i="59"/>
  <c r="W96" i="59"/>
  <c r="X96" i="59" s="1"/>
  <c r="W95" i="59"/>
  <c r="X95" i="59" s="1"/>
  <c r="K95" i="59"/>
  <c r="W94" i="59"/>
  <c r="K94" i="59"/>
  <c r="S103" i="59"/>
  <c r="T103" i="59" s="1"/>
  <c r="S102" i="59"/>
  <c r="S101" i="59"/>
  <c r="T101" i="59" s="1"/>
  <c r="S100" i="59"/>
  <c r="S99" i="59"/>
  <c r="T99" i="59" s="1"/>
  <c r="S98" i="59"/>
  <c r="T98" i="59" s="1"/>
  <c r="W97" i="59"/>
  <c r="S96" i="59"/>
  <c r="T96" i="59" s="1"/>
  <c r="S95" i="59"/>
  <c r="T95" i="59" s="1"/>
  <c r="G95" i="59"/>
  <c r="W159" i="59"/>
  <c r="X159" i="59" s="1"/>
  <c r="W158" i="59"/>
  <c r="X158" i="59" s="1"/>
  <c r="W157" i="59"/>
  <c r="W156" i="59"/>
  <c r="X156" i="59" s="1"/>
  <c r="W155" i="59"/>
  <c r="W154" i="59"/>
  <c r="X154" i="59" s="1"/>
  <c r="W153" i="59"/>
  <c r="X153" i="59" s="1"/>
  <c r="K153" i="59"/>
  <c r="L153" i="59" s="1"/>
  <c r="S152" i="59"/>
  <c r="W151" i="59"/>
  <c r="X151" i="59" s="1"/>
  <c r="W150" i="59"/>
  <c r="X150" i="59" s="1"/>
  <c r="K150" i="59"/>
  <c r="S159" i="59"/>
  <c r="T159" i="59" s="1"/>
  <c r="S155" i="59"/>
  <c r="S153" i="59"/>
  <c r="T153" i="59" s="1"/>
  <c r="S158" i="59"/>
  <c r="T158" i="59" s="1"/>
  <c r="S156" i="59"/>
  <c r="T156" i="59" s="1"/>
  <c r="S154" i="59"/>
  <c r="T154" i="59" s="1"/>
  <c r="W152" i="59"/>
  <c r="S151" i="59"/>
  <c r="T151" i="59" s="1"/>
  <c r="G150" i="59"/>
  <c r="W203" i="59"/>
  <c r="X203" i="59" s="1"/>
  <c r="W202" i="59"/>
  <c r="X202" i="59" s="1"/>
  <c r="W200" i="59"/>
  <c r="X200" i="59" s="1"/>
  <c r="W199" i="59"/>
  <c r="W198" i="59"/>
  <c r="X198" i="59" s="1"/>
  <c r="W197" i="59"/>
  <c r="X197" i="59" s="1"/>
  <c r="K197" i="59"/>
  <c r="L197" i="59" s="1"/>
  <c r="S196" i="59"/>
  <c r="W195" i="59"/>
  <c r="X195" i="59" s="1"/>
  <c r="W194" i="59"/>
  <c r="X194" i="59" s="1"/>
  <c r="K194" i="59"/>
  <c r="K193" i="59"/>
  <c r="S203" i="59"/>
  <c r="T203" i="59" s="1"/>
  <c r="S201" i="59"/>
  <c r="S199" i="59"/>
  <c r="S197" i="59"/>
  <c r="T197" i="59" s="1"/>
  <c r="S202" i="59"/>
  <c r="T202" i="59" s="1"/>
  <c r="S200" i="59"/>
  <c r="T200" i="59" s="1"/>
  <c r="S198" i="59"/>
  <c r="T198" i="59" s="1"/>
  <c r="W196" i="59"/>
  <c r="S195" i="59"/>
  <c r="T195" i="59" s="1"/>
  <c r="G194" i="59"/>
  <c r="W38" i="59"/>
  <c r="X38" i="59" s="1"/>
  <c r="W37" i="59"/>
  <c r="X37" i="59" s="1"/>
  <c r="W35" i="59"/>
  <c r="X35" i="59" s="1"/>
  <c r="W34" i="59"/>
  <c r="W33" i="59"/>
  <c r="X33" i="59" s="1"/>
  <c r="W32" i="59"/>
  <c r="X32" i="59" s="1"/>
  <c r="K32" i="59"/>
  <c r="L32" i="59" s="1"/>
  <c r="S31" i="59"/>
  <c r="W30" i="59"/>
  <c r="X30" i="59" s="1"/>
  <c r="W29" i="59"/>
  <c r="X29" i="59" s="1"/>
  <c r="K29" i="59"/>
  <c r="K28" i="59"/>
  <c r="S37" i="59"/>
  <c r="T37" i="59" s="1"/>
  <c r="S35" i="59"/>
  <c r="T35" i="59" s="1"/>
  <c r="S33" i="59"/>
  <c r="T33" i="59" s="1"/>
  <c r="W31" i="59"/>
  <c r="S30" i="59"/>
  <c r="T30" i="59" s="1"/>
  <c r="G29" i="59"/>
  <c r="S38" i="59"/>
  <c r="T38" i="59" s="1"/>
  <c r="S34" i="59"/>
  <c r="S32" i="59"/>
  <c r="T32" i="59" s="1"/>
  <c r="S29" i="59"/>
  <c r="T29" i="59" s="1"/>
  <c r="W82" i="59"/>
  <c r="X82" i="59" s="1"/>
  <c r="W81" i="59"/>
  <c r="X81" i="59" s="1"/>
  <c r="W80" i="59"/>
  <c r="W79" i="59"/>
  <c r="X79" i="59" s="1"/>
  <c r="W78" i="59"/>
  <c r="W77" i="59"/>
  <c r="X77" i="59" s="1"/>
  <c r="W76" i="59"/>
  <c r="X76" i="59" s="1"/>
  <c r="K76" i="59"/>
  <c r="L76" i="59" s="1"/>
  <c r="S75" i="59"/>
  <c r="W74" i="59"/>
  <c r="X74" i="59" s="1"/>
  <c r="W73" i="59"/>
  <c r="X73" i="59" s="1"/>
  <c r="K73" i="59"/>
  <c r="K72" i="59"/>
  <c r="S82" i="59"/>
  <c r="T82" i="59" s="1"/>
  <c r="S81" i="59"/>
  <c r="T81" i="59" s="1"/>
  <c r="S80" i="59"/>
  <c r="S79" i="59"/>
  <c r="T79" i="59" s="1"/>
  <c r="S78" i="59"/>
  <c r="S77" i="59"/>
  <c r="T77" i="59" s="1"/>
  <c r="S76" i="59"/>
  <c r="T76" i="59" s="1"/>
  <c r="W75" i="59"/>
  <c r="S74" i="59"/>
  <c r="T74" i="59" s="1"/>
  <c r="S73" i="59"/>
  <c r="T73" i="59" s="1"/>
  <c r="G73" i="59"/>
  <c r="W126" i="59"/>
  <c r="X126" i="59" s="1"/>
  <c r="W125" i="59"/>
  <c r="X125" i="59" s="1"/>
  <c r="W123" i="59"/>
  <c r="X123" i="59" s="1"/>
  <c r="W122" i="59"/>
  <c r="W121" i="59"/>
  <c r="X121" i="59" s="1"/>
  <c r="W120" i="59"/>
  <c r="X120" i="59" s="1"/>
  <c r="K120" i="59"/>
  <c r="L120" i="59" s="1"/>
  <c r="S119" i="59"/>
  <c r="W118" i="59"/>
  <c r="X118" i="59" s="1"/>
  <c r="W117" i="59"/>
  <c r="X117" i="59" s="1"/>
  <c r="K117" i="59"/>
  <c r="K116" i="59"/>
  <c r="S126" i="59"/>
  <c r="T126" i="59" s="1"/>
  <c r="S124" i="59"/>
  <c r="S122" i="59"/>
  <c r="S120" i="59"/>
  <c r="T120" i="59" s="1"/>
  <c r="S117" i="59"/>
  <c r="T117" i="59" s="1"/>
  <c r="S125" i="59"/>
  <c r="T125" i="59" s="1"/>
  <c r="S123" i="59"/>
  <c r="T123" i="59" s="1"/>
  <c r="S121" i="59"/>
  <c r="T121" i="59" s="1"/>
  <c r="W119" i="59"/>
  <c r="S118" i="59"/>
  <c r="T118" i="59" s="1"/>
  <c r="G117" i="59"/>
  <c r="W181" i="59"/>
  <c r="X181" i="59" s="1"/>
  <c r="W180" i="59"/>
  <c r="X180" i="59" s="1"/>
  <c r="W179" i="59"/>
  <c r="W178" i="59"/>
  <c r="X178" i="59" s="1"/>
  <c r="W177" i="59"/>
  <c r="W176" i="59"/>
  <c r="X176" i="59" s="1"/>
  <c r="W175" i="59"/>
  <c r="X175" i="59" s="1"/>
  <c r="K175" i="59"/>
  <c r="L175" i="59" s="1"/>
  <c r="W173" i="59"/>
  <c r="X173" i="59" s="1"/>
  <c r="W172" i="59"/>
  <c r="X172" i="59" s="1"/>
  <c r="K172" i="59"/>
  <c r="S181" i="59"/>
  <c r="T181" i="59" s="1"/>
  <c r="S175" i="59"/>
  <c r="T175" i="59" s="1"/>
  <c r="S172" i="59"/>
  <c r="T172" i="59" s="1"/>
  <c r="S180" i="59"/>
  <c r="T180" i="59" s="1"/>
  <c r="S178" i="59"/>
  <c r="T178" i="59" s="1"/>
  <c r="S176" i="59"/>
  <c r="T176" i="59" s="1"/>
  <c r="S173" i="59"/>
  <c r="T173" i="59" s="1"/>
  <c r="S225" i="59"/>
  <c r="T225" i="59" s="1"/>
  <c r="S224" i="59"/>
  <c r="T224" i="59" s="1"/>
  <c r="S222" i="59"/>
  <c r="T222" i="59" s="1"/>
  <c r="S221" i="59"/>
  <c r="S220" i="59"/>
  <c r="T220" i="59" s="1"/>
  <c r="S219" i="59"/>
  <c r="T219" i="59" s="1"/>
  <c r="W218" i="59"/>
  <c r="S217" i="59"/>
  <c r="T217" i="59" s="1"/>
  <c r="G216" i="59"/>
  <c r="W225" i="59"/>
  <c r="X225" i="59" s="1"/>
  <c r="W221" i="59"/>
  <c r="W219" i="59"/>
  <c r="X219" i="59" s="1"/>
  <c r="S218" i="59"/>
  <c r="W216" i="59"/>
  <c r="X216" i="59" s="1"/>
  <c r="W224" i="59"/>
  <c r="X224" i="59" s="1"/>
  <c r="W220" i="59"/>
  <c r="X220" i="59" s="1"/>
  <c r="W217" i="59"/>
  <c r="X217" i="59" s="1"/>
  <c r="W222" i="59"/>
  <c r="X222" i="59" s="1"/>
  <c r="K219" i="59"/>
  <c r="L219" i="59" s="1"/>
  <c r="K216" i="59"/>
  <c r="W16" i="59"/>
  <c r="X16" i="59" s="1"/>
  <c r="W14" i="59"/>
  <c r="W12" i="59"/>
  <c r="W10" i="59"/>
  <c r="X10" i="59" s="1"/>
  <c r="W8" i="59"/>
  <c r="X8" i="59" s="1"/>
  <c r="W6" i="59"/>
  <c r="G6" i="59"/>
  <c r="K6" i="59"/>
  <c r="S15" i="59"/>
  <c r="T15" i="59" s="1"/>
  <c r="S13" i="59"/>
  <c r="S11" i="59"/>
  <c r="T11" i="59" s="1"/>
  <c r="S9" i="59"/>
  <c r="S7" i="59"/>
  <c r="T7" i="59" s="1"/>
  <c r="W13" i="59"/>
  <c r="X13" i="59" s="1"/>
  <c r="W9" i="59"/>
  <c r="K7" i="59"/>
  <c r="S14" i="59"/>
  <c r="S10" i="59"/>
  <c r="W15" i="59"/>
  <c r="X15" i="59" s="1"/>
  <c r="W11" i="59"/>
  <c r="X11" i="59" s="1"/>
  <c r="W7" i="59"/>
  <c r="X7" i="59" s="1"/>
  <c r="L10" i="59"/>
  <c r="S16" i="59"/>
  <c r="T16" i="59" s="1"/>
  <c r="S12" i="59"/>
  <c r="S8" i="59"/>
  <c r="U135" i="59"/>
  <c r="I127" i="59"/>
  <c r="L127" i="59" s="1"/>
  <c r="I128" i="59"/>
  <c r="L128" i="59" s="1"/>
  <c r="E127" i="59"/>
  <c r="E128" i="59"/>
  <c r="H128" i="59" s="1"/>
  <c r="U133" i="59"/>
  <c r="X133" i="59" s="1"/>
  <c r="U127" i="59"/>
  <c r="U130" i="59"/>
  <c r="X130" i="59" s="1"/>
  <c r="K260" i="57"/>
  <c r="O17" i="59"/>
  <c r="P17" i="59" s="1"/>
  <c r="C17" i="59"/>
  <c r="O18" i="59"/>
  <c r="P18" i="59" s="1"/>
  <c r="D17" i="59"/>
  <c r="Q23" i="59" s="1"/>
  <c r="D39" i="59"/>
  <c r="O40" i="59"/>
  <c r="P40" i="59" s="1"/>
  <c r="O39" i="59"/>
  <c r="P39" i="59" s="1"/>
  <c r="C39" i="59"/>
  <c r="O62" i="59"/>
  <c r="P62" i="59" s="1"/>
  <c r="O61" i="59"/>
  <c r="P61" i="59" s="1"/>
  <c r="C61" i="59"/>
  <c r="D61" i="59"/>
  <c r="D83" i="59"/>
  <c r="O84" i="59"/>
  <c r="P84" i="59" s="1"/>
  <c r="O83" i="59"/>
  <c r="P83" i="59" s="1"/>
  <c r="C83" i="59"/>
  <c r="O106" i="59"/>
  <c r="P106" i="59" s="1"/>
  <c r="O105" i="59"/>
  <c r="P105" i="59" s="1"/>
  <c r="C105" i="59"/>
  <c r="D105" i="59"/>
  <c r="O139" i="59"/>
  <c r="P139" i="59" s="1"/>
  <c r="C138" i="59"/>
  <c r="O138" i="59"/>
  <c r="P138" i="59" s="1"/>
  <c r="D138" i="59"/>
  <c r="O161" i="59"/>
  <c r="P161" i="59" s="1"/>
  <c r="C160" i="59"/>
  <c r="O160" i="59"/>
  <c r="P160" i="59" s="1"/>
  <c r="D160" i="59"/>
  <c r="O182" i="59"/>
  <c r="P182" i="59" s="1"/>
  <c r="C182" i="59"/>
  <c r="O183" i="59"/>
  <c r="P183" i="59" s="1"/>
  <c r="D182" i="59"/>
  <c r="O205" i="59"/>
  <c r="P205" i="59" s="1"/>
  <c r="C204" i="59"/>
  <c r="O204" i="59"/>
  <c r="P204" i="59" s="1"/>
  <c r="D204" i="59"/>
  <c r="O227" i="59"/>
  <c r="P227" i="59" s="1"/>
  <c r="O226" i="59"/>
  <c r="P226" i="59" s="1"/>
  <c r="C226" i="59"/>
  <c r="D226" i="59"/>
  <c r="O502" i="59"/>
  <c r="P502" i="59" s="1"/>
  <c r="O501" i="59"/>
  <c r="P501" i="59" s="1"/>
  <c r="O50" i="59"/>
  <c r="P50" i="59" s="1"/>
  <c r="C50" i="59"/>
  <c r="O51" i="59"/>
  <c r="P51" i="59" s="1"/>
  <c r="D50" i="59"/>
  <c r="O94" i="59"/>
  <c r="P94" i="59" s="1"/>
  <c r="C94" i="59"/>
  <c r="O95" i="59"/>
  <c r="P95" i="59" s="1"/>
  <c r="D94" i="59"/>
  <c r="O150" i="59"/>
  <c r="P150" i="59" s="1"/>
  <c r="O149" i="59"/>
  <c r="P149" i="59" s="1"/>
  <c r="C149" i="59"/>
  <c r="D149" i="59"/>
  <c r="O194" i="59"/>
  <c r="P194" i="59" s="1"/>
  <c r="O193" i="59"/>
  <c r="P193" i="59" s="1"/>
  <c r="C193" i="59"/>
  <c r="D193" i="59"/>
  <c r="D28" i="59"/>
  <c r="C28" i="59"/>
  <c r="O29" i="59"/>
  <c r="P29" i="59" s="1"/>
  <c r="O28" i="59"/>
  <c r="P28" i="59" s="1"/>
  <c r="O73" i="59"/>
  <c r="P73" i="59" s="1"/>
  <c r="O72" i="59"/>
  <c r="P72" i="59" s="1"/>
  <c r="C72" i="59"/>
  <c r="D72" i="59"/>
  <c r="O117" i="59"/>
  <c r="P117" i="59" s="1"/>
  <c r="O116" i="59"/>
  <c r="P116" i="59" s="1"/>
  <c r="C116" i="59"/>
  <c r="D116" i="59"/>
  <c r="D171" i="59"/>
  <c r="O172" i="59"/>
  <c r="P172" i="59" s="1"/>
  <c r="O171" i="59"/>
  <c r="P171" i="59" s="1"/>
  <c r="C171" i="59"/>
  <c r="O216" i="59"/>
  <c r="P216" i="59" s="1"/>
  <c r="D215" i="59"/>
  <c r="O215" i="59"/>
  <c r="P215" i="59" s="1"/>
  <c r="C215" i="59"/>
  <c r="O6" i="59"/>
  <c r="P6" i="59" s="1"/>
  <c r="C6" i="59"/>
  <c r="O7" i="59"/>
  <c r="P7" i="59" s="1"/>
  <c r="D6" i="59"/>
  <c r="U133" i="57"/>
  <c r="X133" i="57" s="1"/>
  <c r="U130" i="57"/>
  <c r="X130" i="57" s="1"/>
  <c r="I127" i="57"/>
  <c r="L127" i="57" s="1"/>
  <c r="E128" i="57"/>
  <c r="H128" i="57" s="1"/>
  <c r="Q130" i="57"/>
  <c r="T130" i="57" s="1"/>
  <c r="U135" i="57"/>
  <c r="U127" i="57"/>
  <c r="Q135" i="57"/>
  <c r="T135" i="57" s="1"/>
  <c r="Q127" i="57"/>
  <c r="I128" i="57"/>
  <c r="L128" i="57" s="1"/>
  <c r="E127" i="57"/>
  <c r="Z677" i="60" l="1"/>
  <c r="Z743" i="60"/>
  <c r="Z666" i="60"/>
  <c r="Z688" i="60"/>
  <c r="Z644" i="60"/>
  <c r="Z765" i="60"/>
  <c r="Z721" i="60"/>
  <c r="Z776" i="60"/>
  <c r="Z600" i="60"/>
  <c r="Z732" i="60"/>
  <c r="Z699" i="60"/>
  <c r="Z622" i="60"/>
  <c r="Z567" i="60"/>
  <c r="Z754" i="60"/>
  <c r="Z655" i="60"/>
  <c r="Z578" i="60"/>
  <c r="Z710" i="60"/>
  <c r="Z479" i="60"/>
  <c r="Q782" i="59"/>
  <c r="T782" i="59" s="1"/>
  <c r="Z776" i="59" s="1"/>
  <c r="AC781" i="59" s="1"/>
  <c r="Q760" i="59"/>
  <c r="T760" i="59" s="1"/>
  <c r="Z754" i="59" s="1"/>
  <c r="AC759" i="59" s="1"/>
  <c r="Q771" i="59"/>
  <c r="T771" i="59" s="1"/>
  <c r="Z765" i="59" s="1"/>
  <c r="AC770" i="59" s="1"/>
  <c r="Q793" i="59"/>
  <c r="T793" i="59" s="1"/>
  <c r="Z787" i="59" s="1"/>
  <c r="AC792" i="59" s="1"/>
  <c r="Q760" i="60"/>
  <c r="Q771" i="60"/>
  <c r="Q738" i="60"/>
  <c r="Q749" i="60"/>
  <c r="Q716" i="60"/>
  <c r="Q727" i="60"/>
  <c r="Q694" i="60"/>
  <c r="Q705" i="60"/>
  <c r="Q672" i="60"/>
  <c r="Q683" i="60"/>
  <c r="Q782" i="60"/>
  <c r="Q661" i="60"/>
  <c r="Q738" i="59"/>
  <c r="T738" i="59" s="1"/>
  <c r="Z732" i="59" s="1"/>
  <c r="AC737" i="59" s="1"/>
  <c r="Q749" i="59"/>
  <c r="T749" i="59" s="1"/>
  <c r="Z743" i="59" s="1"/>
  <c r="AC748" i="59" s="1"/>
  <c r="Q716" i="59"/>
  <c r="T716" i="59" s="1"/>
  <c r="Z710" i="59" s="1"/>
  <c r="AC715" i="59" s="1"/>
  <c r="Q727" i="59"/>
  <c r="T727" i="59" s="1"/>
  <c r="Z721" i="59" s="1"/>
  <c r="AC726" i="59" s="1"/>
  <c r="Q694" i="59"/>
  <c r="T694" i="59" s="1"/>
  <c r="Z688" i="59" s="1"/>
  <c r="AC693" i="59" s="1"/>
  <c r="Q705" i="59"/>
  <c r="T705" i="59" s="1"/>
  <c r="Z699" i="59" s="1"/>
  <c r="AC704" i="59" s="1"/>
  <c r="Q672" i="59"/>
  <c r="T672" i="59" s="1"/>
  <c r="Z666" i="59" s="1"/>
  <c r="AC671" i="59" s="1"/>
  <c r="Q683" i="59"/>
  <c r="T683" i="59" s="1"/>
  <c r="Z677" i="59" s="1"/>
  <c r="AC682" i="59" s="1"/>
  <c r="Q650" i="59"/>
  <c r="T650" i="59" s="1"/>
  <c r="Z644" i="59" s="1"/>
  <c r="AC649" i="59" s="1"/>
  <c r="Q661" i="59"/>
  <c r="T661" i="59" s="1"/>
  <c r="Z655" i="59" s="1"/>
  <c r="AC660" i="59" s="1"/>
  <c r="Z490" i="60"/>
  <c r="Z589" i="60"/>
  <c r="Z545" i="60"/>
  <c r="Z523" i="60"/>
  <c r="Z556" i="60"/>
  <c r="Z611" i="60"/>
  <c r="Z534" i="60"/>
  <c r="Q639" i="60"/>
  <c r="Q650" i="60"/>
  <c r="Q617" i="60"/>
  <c r="Q628" i="60"/>
  <c r="Q595" i="60"/>
  <c r="Q606" i="60"/>
  <c r="Q573" i="60"/>
  <c r="Q584" i="60"/>
  <c r="Q551" i="60"/>
  <c r="Q562" i="60"/>
  <c r="Q529" i="60"/>
  <c r="Q540" i="60"/>
  <c r="Q507" i="60"/>
  <c r="Q518" i="60"/>
  <c r="Q628" i="59"/>
  <c r="T628" i="59" s="1"/>
  <c r="Z622" i="59" s="1"/>
  <c r="AC627" i="59" s="1"/>
  <c r="Q639" i="59"/>
  <c r="T639" i="59" s="1"/>
  <c r="Z633" i="59" s="1"/>
  <c r="Q606" i="59"/>
  <c r="T606" i="59" s="1"/>
  <c r="Z600" i="59" s="1"/>
  <c r="AC605" i="59" s="1"/>
  <c r="Q617" i="59"/>
  <c r="T617" i="59" s="1"/>
  <c r="Z611" i="59" s="1"/>
  <c r="Q584" i="59"/>
  <c r="T584" i="59" s="1"/>
  <c r="Z578" i="59" s="1"/>
  <c r="AC583" i="59" s="1"/>
  <c r="Q595" i="59"/>
  <c r="T595" i="59" s="1"/>
  <c r="Z589" i="59" s="1"/>
  <c r="AC594" i="59" s="1"/>
  <c r="Q562" i="59"/>
  <c r="T562" i="59" s="1"/>
  <c r="Z556" i="59" s="1"/>
  <c r="AC561" i="59" s="1"/>
  <c r="Q573" i="59"/>
  <c r="T573" i="59" s="1"/>
  <c r="Z567" i="59" s="1"/>
  <c r="AC572" i="59" s="1"/>
  <c r="Q540" i="59"/>
  <c r="T540" i="59" s="1"/>
  <c r="Z534" i="59" s="1"/>
  <c r="AC539" i="59" s="1"/>
  <c r="Q551" i="59"/>
  <c r="T551" i="59" s="1"/>
  <c r="Z545" i="59" s="1"/>
  <c r="AC550" i="59" s="1"/>
  <c r="Q518" i="59"/>
  <c r="T518" i="59" s="1"/>
  <c r="Z512" i="59" s="1"/>
  <c r="AC517" i="59" s="1"/>
  <c r="Q529" i="59"/>
  <c r="T529" i="59" s="1"/>
  <c r="Z523" i="59" s="1"/>
  <c r="AC528" i="59" s="1"/>
  <c r="T268" i="57"/>
  <c r="T198" i="57"/>
  <c r="L153" i="57"/>
  <c r="T151" i="57"/>
  <c r="L98" i="57"/>
  <c r="T55" i="57"/>
  <c r="T60" i="57"/>
  <c r="T165" i="57"/>
  <c r="T167" i="57"/>
  <c r="L65" i="57"/>
  <c r="T140" i="57"/>
  <c r="T49" i="57"/>
  <c r="T209" i="57"/>
  <c r="L208" i="57"/>
  <c r="T211" i="57"/>
  <c r="T114" i="57"/>
  <c r="T228" i="57"/>
  <c r="T125" i="57"/>
  <c r="T121" i="57"/>
  <c r="L76" i="57"/>
  <c r="T30" i="57"/>
  <c r="T239" i="57"/>
  <c r="L43" i="57"/>
  <c r="L197" i="57"/>
  <c r="T101" i="57"/>
  <c r="T269" i="57"/>
  <c r="T147" i="57"/>
  <c r="L21" i="57"/>
  <c r="T92" i="57"/>
  <c r="T96" i="57"/>
  <c r="T90" i="57"/>
  <c r="T891" i="57"/>
  <c r="T158" i="57"/>
  <c r="T178" i="57"/>
  <c r="T895" i="57"/>
  <c r="T257" i="57"/>
  <c r="T255" i="57"/>
  <c r="T338" i="57"/>
  <c r="T343" i="57"/>
  <c r="T294" i="57"/>
  <c r="T302" i="57"/>
  <c r="T319" i="57"/>
  <c r="L285" i="57"/>
  <c r="T327" i="57"/>
  <c r="T288" i="57"/>
  <c r="T291" i="57"/>
  <c r="L329" i="57"/>
  <c r="L307" i="57"/>
  <c r="T283" i="57"/>
  <c r="T99" i="57"/>
  <c r="L263" i="57"/>
  <c r="T247" i="57"/>
  <c r="L241" i="57"/>
  <c r="T110" i="57"/>
  <c r="T235" i="57"/>
  <c r="T192" i="57"/>
  <c r="T88" i="57"/>
  <c r="T888" i="57"/>
  <c r="T79" i="57"/>
  <c r="T33" i="57"/>
  <c r="T38" i="57"/>
  <c r="T203" i="57"/>
  <c r="L54" i="57"/>
  <c r="T41" i="57"/>
  <c r="T93" i="57"/>
  <c r="T59" i="57"/>
  <c r="T264" i="57"/>
  <c r="L142" i="57"/>
  <c r="T231" i="57"/>
  <c r="T85" i="57"/>
  <c r="T24" i="57"/>
  <c r="T57" i="57"/>
  <c r="T112" i="57"/>
  <c r="T220" i="57"/>
  <c r="L120" i="57"/>
  <c r="T896" i="57"/>
  <c r="T250" i="57"/>
  <c r="T345" i="57"/>
  <c r="T341" i="57"/>
  <c r="T330" i="57"/>
  <c r="T272" i="57"/>
  <c r="L274" i="57"/>
  <c r="T323" i="57"/>
  <c r="T280" i="57"/>
  <c r="T286" i="57"/>
  <c r="T313" i="57"/>
  <c r="T305" i="57"/>
  <c r="T19" i="57"/>
  <c r="T246" i="57"/>
  <c r="T200" i="57"/>
  <c r="T244" i="57"/>
  <c r="T202" i="57"/>
  <c r="T170" i="57"/>
  <c r="T26" i="57"/>
  <c r="T156" i="57"/>
  <c r="T104" i="57"/>
  <c r="T103" i="57"/>
  <c r="T52" i="57"/>
  <c r="L164" i="57"/>
  <c r="T169" i="57"/>
  <c r="T63" i="57"/>
  <c r="T143" i="57"/>
  <c r="T48" i="57"/>
  <c r="T214" i="57"/>
  <c r="T236" i="57"/>
  <c r="T184" i="57"/>
  <c r="T180" i="57"/>
  <c r="T123" i="57"/>
  <c r="T81" i="57"/>
  <c r="L32" i="57"/>
  <c r="T261" i="57"/>
  <c r="T145" i="57"/>
  <c r="T242" i="57"/>
  <c r="T159" i="57"/>
  <c r="T162" i="57"/>
  <c r="T46" i="57"/>
  <c r="T70" i="57"/>
  <c r="T189" i="57"/>
  <c r="L109" i="57"/>
  <c r="L87" i="57"/>
  <c r="T222" i="57"/>
  <c r="T173" i="57"/>
  <c r="T118" i="57"/>
  <c r="T126" i="57"/>
  <c r="L175" i="57"/>
  <c r="L252" i="57"/>
  <c r="T299" i="57"/>
  <c r="T297" i="57"/>
  <c r="T334" i="57"/>
  <c r="T290" i="57"/>
  <c r="T275" i="57"/>
  <c r="L318" i="57"/>
  <c r="T324" i="57"/>
  <c r="T332" i="57"/>
  <c r="T308" i="57"/>
  <c r="T310" i="57"/>
  <c r="T115" i="57"/>
  <c r="T191" i="57"/>
  <c r="L890" i="57"/>
  <c r="T217" i="57"/>
  <c r="T181" i="57"/>
  <c r="T176" i="57"/>
  <c r="T82" i="57"/>
  <c r="T77" i="57"/>
  <c r="T74" i="57"/>
  <c r="T37" i="57"/>
  <c r="T27" i="57"/>
  <c r="T195" i="57"/>
  <c r="T68" i="57"/>
  <c r="T148" i="57"/>
  <c r="T107" i="57"/>
  <c r="L186" i="57"/>
  <c r="T206" i="57"/>
  <c r="T66" i="57"/>
  <c r="T44" i="57"/>
  <c r="T22" i="57"/>
  <c r="T154" i="57"/>
  <c r="L230" i="57"/>
  <c r="T187" i="57"/>
  <c r="T893" i="57"/>
  <c r="L219" i="57"/>
  <c r="T233" i="57"/>
  <c r="T224" i="57"/>
  <c r="T253" i="57"/>
  <c r="T258" i="57"/>
  <c r="T346" i="57"/>
  <c r="L340" i="57"/>
  <c r="L296" i="57"/>
  <c r="T301" i="57"/>
  <c r="T279" i="57"/>
  <c r="T316" i="57"/>
  <c r="T321" i="57"/>
  <c r="T335" i="57"/>
  <c r="T277" i="57"/>
  <c r="T312" i="57"/>
  <c r="T71" i="57"/>
  <c r="I281" i="59"/>
  <c r="U287" i="59"/>
  <c r="X287" i="59" s="1"/>
  <c r="Q284" i="59"/>
  <c r="T284" i="59" s="1"/>
  <c r="E282" i="59"/>
  <c r="H282" i="59" s="1"/>
  <c r="U289" i="59"/>
  <c r="Q281" i="59"/>
  <c r="E281" i="59"/>
  <c r="U284" i="59"/>
  <c r="X284" i="59" s="1"/>
  <c r="Q287" i="59"/>
  <c r="T287" i="59" s="1"/>
  <c r="U281" i="59"/>
  <c r="I282" i="59"/>
  <c r="L282" i="59" s="1"/>
  <c r="U331" i="60"/>
  <c r="X331" i="60" s="1"/>
  <c r="I326" i="60"/>
  <c r="L326" i="60" s="1"/>
  <c r="E337" i="60"/>
  <c r="H337" i="60" s="1"/>
  <c r="Q278" i="60"/>
  <c r="T278" i="60" s="1"/>
  <c r="U311" i="60"/>
  <c r="X311" i="60" s="1"/>
  <c r="I238" i="60"/>
  <c r="L238" i="60" s="1"/>
  <c r="Q314" i="60"/>
  <c r="U245" i="60"/>
  <c r="X245" i="60" s="1"/>
  <c r="Q317" i="60"/>
  <c r="T317" i="60" s="1"/>
  <c r="Q245" i="60"/>
  <c r="T245" i="60" s="1"/>
  <c r="U322" i="60"/>
  <c r="X322" i="60" s="1"/>
  <c r="U234" i="60"/>
  <c r="X234" i="60" s="1"/>
  <c r="Q237" i="60"/>
  <c r="T237" i="60" s="1"/>
  <c r="Q240" i="60"/>
  <c r="T240" i="60" s="1"/>
  <c r="E237" i="60"/>
  <c r="H237" i="60" s="1"/>
  <c r="E314" i="60"/>
  <c r="H314" i="60" s="1"/>
  <c r="U314" i="60"/>
  <c r="X314" i="60" s="1"/>
  <c r="U317" i="60"/>
  <c r="X317" i="60" s="1"/>
  <c r="U237" i="60"/>
  <c r="X237" i="60" s="1"/>
  <c r="U240" i="60"/>
  <c r="X240" i="60" s="1"/>
  <c r="I237" i="60"/>
  <c r="L237" i="60" s="1"/>
  <c r="I314" i="60"/>
  <c r="L314" i="60" s="1"/>
  <c r="Q320" i="60"/>
  <c r="T320" i="60" s="1"/>
  <c r="E315" i="60"/>
  <c r="H315" i="60" s="1"/>
  <c r="E238" i="60"/>
  <c r="H238" i="60" s="1"/>
  <c r="U243" i="60"/>
  <c r="X243" i="60" s="1"/>
  <c r="U320" i="60"/>
  <c r="X320" i="60" s="1"/>
  <c r="Q322" i="60"/>
  <c r="T322" i="60" s="1"/>
  <c r="Z446" i="60"/>
  <c r="X306" i="60"/>
  <c r="Q331" i="60"/>
  <c r="T331" i="60" s="1"/>
  <c r="I270" i="60"/>
  <c r="L270" i="60" s="1"/>
  <c r="E271" i="60"/>
  <c r="H271" i="60" s="1"/>
  <c r="Q333" i="60"/>
  <c r="T333" i="60" s="1"/>
  <c r="U276" i="60"/>
  <c r="X276" i="60" s="1"/>
  <c r="I271" i="60"/>
  <c r="L271" i="60" s="1"/>
  <c r="Q342" i="60"/>
  <c r="T342" i="60" s="1"/>
  <c r="I325" i="60"/>
  <c r="L325" i="60" s="1"/>
  <c r="E326" i="60"/>
  <c r="H326" i="60" s="1"/>
  <c r="Q276" i="60"/>
  <c r="T276" i="60" s="1"/>
  <c r="X273" i="60"/>
  <c r="U333" i="60"/>
  <c r="X333" i="60" s="1"/>
  <c r="Q325" i="60"/>
  <c r="T325" i="60" s="1"/>
  <c r="Q328" i="60"/>
  <c r="T328" i="60" s="1"/>
  <c r="U278" i="60"/>
  <c r="X278" i="60" s="1"/>
  <c r="Q270" i="60"/>
  <c r="Q273" i="60"/>
  <c r="T273" i="60" s="1"/>
  <c r="I336" i="60"/>
  <c r="L336" i="60" s="1"/>
  <c r="E325" i="60"/>
  <c r="H325" i="60" s="1"/>
  <c r="U325" i="60"/>
  <c r="X325" i="60" s="1"/>
  <c r="E270" i="60"/>
  <c r="H270" i="60" s="1"/>
  <c r="U270" i="60"/>
  <c r="X270" i="60" s="1"/>
  <c r="Q292" i="60"/>
  <c r="T292" i="60" s="1"/>
  <c r="Q303" i="60"/>
  <c r="Q295" i="60"/>
  <c r="T295" i="60" s="1"/>
  <c r="Q306" i="60"/>
  <c r="T306" i="60" s="1"/>
  <c r="Z468" i="60"/>
  <c r="U300" i="60"/>
  <c r="X300" i="60" s="1"/>
  <c r="I303" i="60"/>
  <c r="L303" i="60" s="1"/>
  <c r="Q309" i="60"/>
  <c r="T309" i="60" s="1"/>
  <c r="E304" i="60"/>
  <c r="H304" i="60" s="1"/>
  <c r="I292" i="60"/>
  <c r="L292" i="60" s="1"/>
  <c r="Q298" i="60"/>
  <c r="T298" i="60" s="1"/>
  <c r="E293" i="60"/>
  <c r="H293" i="60" s="1"/>
  <c r="U309" i="60"/>
  <c r="X309" i="60" s="1"/>
  <c r="Q311" i="60"/>
  <c r="T311" i="60" s="1"/>
  <c r="I304" i="60"/>
  <c r="L304" i="60" s="1"/>
  <c r="U298" i="60"/>
  <c r="X298" i="60" s="1"/>
  <c r="Q300" i="60"/>
  <c r="T300" i="60" s="1"/>
  <c r="I293" i="60"/>
  <c r="L293" i="60" s="1"/>
  <c r="E303" i="60"/>
  <c r="H303" i="60" s="1"/>
  <c r="U303" i="60"/>
  <c r="E292" i="60"/>
  <c r="H292" i="60" s="1"/>
  <c r="U292" i="60"/>
  <c r="X292" i="60" s="1"/>
  <c r="U289" i="60"/>
  <c r="X289" i="60" s="1"/>
  <c r="Q281" i="60"/>
  <c r="Q284" i="60"/>
  <c r="T284" i="60" s="1"/>
  <c r="L282" i="60"/>
  <c r="E281" i="60"/>
  <c r="U281" i="60"/>
  <c r="X281" i="60" s="1"/>
  <c r="U284" i="60"/>
  <c r="X284" i="60" s="1"/>
  <c r="L315" i="60"/>
  <c r="I281" i="60"/>
  <c r="L281" i="60" s="1"/>
  <c r="Q287" i="60"/>
  <c r="T287" i="60" s="1"/>
  <c r="E282" i="60"/>
  <c r="H282" i="60" s="1"/>
  <c r="U287" i="60"/>
  <c r="X287" i="60" s="1"/>
  <c r="Q289" i="60"/>
  <c r="T289" i="60" s="1"/>
  <c r="Y292" i="60"/>
  <c r="X339" i="60"/>
  <c r="U342" i="60"/>
  <c r="X342" i="60" s="1"/>
  <c r="Q344" i="60"/>
  <c r="T344" i="60" s="1"/>
  <c r="I337" i="60"/>
  <c r="L337" i="60" s="1"/>
  <c r="X328" i="60"/>
  <c r="U344" i="60"/>
  <c r="X344" i="60" s="1"/>
  <c r="Q336" i="60"/>
  <c r="Q339" i="60"/>
  <c r="T339" i="60" s="1"/>
  <c r="E336" i="60"/>
  <c r="H336" i="60" s="1"/>
  <c r="U336" i="60"/>
  <c r="X295" i="60"/>
  <c r="Y237" i="60"/>
  <c r="Y325" i="60"/>
  <c r="T243" i="60"/>
  <c r="T289" i="59"/>
  <c r="E237" i="59"/>
  <c r="H237" i="59" s="1"/>
  <c r="I238" i="59"/>
  <c r="L238" i="59" s="1"/>
  <c r="Q245" i="59"/>
  <c r="T245" i="59" s="1"/>
  <c r="Q243" i="59"/>
  <c r="T243" i="59" s="1"/>
  <c r="U237" i="59"/>
  <c r="X237" i="59" s="1"/>
  <c r="U240" i="59"/>
  <c r="X240" i="59" s="1"/>
  <c r="I237" i="59"/>
  <c r="L237" i="59" s="1"/>
  <c r="U245" i="59"/>
  <c r="X245" i="59" s="1"/>
  <c r="U243" i="59"/>
  <c r="X243" i="59" s="1"/>
  <c r="Q240" i="59"/>
  <c r="T240" i="59" s="1"/>
  <c r="E238" i="59"/>
  <c r="H238" i="59" s="1"/>
  <c r="Q237" i="59"/>
  <c r="T237" i="59" s="1"/>
  <c r="Y237" i="59"/>
  <c r="AC243" i="59" s="1"/>
  <c r="Z248" i="59"/>
  <c r="AC253" i="59" s="1"/>
  <c r="Z259" i="59"/>
  <c r="AC264" i="59" s="1"/>
  <c r="Z457" i="59"/>
  <c r="AC462" i="59" s="1"/>
  <c r="Z468" i="59"/>
  <c r="AC473" i="59" s="1"/>
  <c r="Z479" i="59"/>
  <c r="AC484" i="59" s="1"/>
  <c r="Q485" i="60"/>
  <c r="Q496" i="60"/>
  <c r="Q12" i="60"/>
  <c r="T12" i="60" s="1"/>
  <c r="Q474" i="60"/>
  <c r="Q463" i="60"/>
  <c r="Q452" i="60"/>
  <c r="Q333" i="57"/>
  <c r="T333" i="57" s="1"/>
  <c r="I227" i="60"/>
  <c r="L227" i="60" s="1"/>
  <c r="I226" i="60"/>
  <c r="L226" i="60" s="1"/>
  <c r="U270" i="57"/>
  <c r="U278" i="57"/>
  <c r="X278" i="57" s="1"/>
  <c r="U298" i="57"/>
  <c r="X298" i="57" s="1"/>
  <c r="U317" i="57"/>
  <c r="X317" i="57" s="1"/>
  <c r="Q281" i="57"/>
  <c r="I314" i="57"/>
  <c r="E281" i="57"/>
  <c r="Q317" i="57"/>
  <c r="T317" i="57" s="1"/>
  <c r="U344" i="57"/>
  <c r="X344" i="57" s="1"/>
  <c r="U229" i="60"/>
  <c r="X229" i="60" s="1"/>
  <c r="U226" i="60"/>
  <c r="X226" i="60" s="1"/>
  <c r="U232" i="60"/>
  <c r="X232" i="60" s="1"/>
  <c r="U273" i="57"/>
  <c r="X273" i="57" s="1"/>
  <c r="E271" i="57"/>
  <c r="H271" i="57" s="1"/>
  <c r="Q270" i="57"/>
  <c r="Q295" i="57"/>
  <c r="T295" i="57" s="1"/>
  <c r="Q278" i="57"/>
  <c r="T278" i="57" s="1"/>
  <c r="Q273" i="57"/>
  <c r="T273" i="57" s="1"/>
  <c r="I271" i="57"/>
  <c r="L271" i="57" s="1"/>
  <c r="I270" i="57"/>
  <c r="L270" i="57" s="1"/>
  <c r="U276" i="57"/>
  <c r="X276" i="57" s="1"/>
  <c r="Q292" i="57"/>
  <c r="E336" i="57"/>
  <c r="Q226" i="60"/>
  <c r="T226" i="60" s="1"/>
  <c r="Q229" i="60"/>
  <c r="T229" i="60" s="1"/>
  <c r="Q232" i="60"/>
  <c r="T232" i="60" s="1"/>
  <c r="Q289" i="57"/>
  <c r="T289" i="57" s="1"/>
  <c r="Q336" i="57"/>
  <c r="E227" i="60"/>
  <c r="H227" i="60" s="1"/>
  <c r="E226" i="60"/>
  <c r="H226" i="60" s="1"/>
  <c r="I304" i="57"/>
  <c r="L304" i="57" s="1"/>
  <c r="E303" i="57"/>
  <c r="H303" i="57" s="1"/>
  <c r="I293" i="59"/>
  <c r="L293" i="59" s="1"/>
  <c r="E292" i="59"/>
  <c r="U306" i="57"/>
  <c r="X306" i="57" s="1"/>
  <c r="I303" i="57"/>
  <c r="L303" i="57" s="1"/>
  <c r="Q306" i="57"/>
  <c r="T306" i="57" s="1"/>
  <c r="I292" i="59"/>
  <c r="L292" i="59" s="1"/>
  <c r="U295" i="59"/>
  <c r="X295" i="59" s="1"/>
  <c r="Q303" i="57"/>
  <c r="U309" i="57"/>
  <c r="X309" i="57" s="1"/>
  <c r="U303" i="57"/>
  <c r="U298" i="59"/>
  <c r="X298" i="59" s="1"/>
  <c r="U292" i="59"/>
  <c r="X292" i="59" s="1"/>
  <c r="Q311" i="57"/>
  <c r="T311" i="57" s="1"/>
  <c r="E304" i="57"/>
  <c r="H304" i="57" s="1"/>
  <c r="E293" i="59"/>
  <c r="H293" i="59" s="1"/>
  <c r="U300" i="59"/>
  <c r="X300" i="59" s="1"/>
  <c r="Q300" i="59"/>
  <c r="T300" i="59" s="1"/>
  <c r="X311" i="57"/>
  <c r="Q314" i="57"/>
  <c r="U320" i="57"/>
  <c r="X320" i="57" s="1"/>
  <c r="U314" i="57"/>
  <c r="X314" i="57" s="1"/>
  <c r="U284" i="57"/>
  <c r="X284" i="57" s="1"/>
  <c r="Q284" i="57"/>
  <c r="T284" i="57" s="1"/>
  <c r="U289" i="57"/>
  <c r="X289" i="57" s="1"/>
  <c r="I336" i="57"/>
  <c r="L336" i="57" s="1"/>
  <c r="I337" i="57"/>
  <c r="L337" i="57" s="1"/>
  <c r="E326" i="57"/>
  <c r="H326" i="57" s="1"/>
  <c r="Q322" i="57"/>
  <c r="T322" i="57" s="1"/>
  <c r="E315" i="57"/>
  <c r="H315" i="57" s="1"/>
  <c r="U322" i="57"/>
  <c r="X322" i="57" s="1"/>
  <c r="E282" i="57"/>
  <c r="H282" i="57" s="1"/>
  <c r="U287" i="57"/>
  <c r="X287" i="57" s="1"/>
  <c r="U342" i="57"/>
  <c r="X342" i="57" s="1"/>
  <c r="Q339" i="57"/>
  <c r="T339" i="57" s="1"/>
  <c r="Q344" i="57"/>
  <c r="T344" i="57" s="1"/>
  <c r="U333" i="57"/>
  <c r="X333" i="57" s="1"/>
  <c r="I315" i="57"/>
  <c r="L315" i="57" s="1"/>
  <c r="I281" i="57"/>
  <c r="L281" i="57" s="1"/>
  <c r="I282" i="57"/>
  <c r="L282" i="57" s="1"/>
  <c r="E337" i="57"/>
  <c r="H337" i="57" s="1"/>
  <c r="U339" i="57"/>
  <c r="X339" i="57" s="1"/>
  <c r="Q443" i="60"/>
  <c r="X300" i="57"/>
  <c r="I292" i="57"/>
  <c r="L292" i="57" s="1"/>
  <c r="E292" i="57"/>
  <c r="H292" i="57" s="1"/>
  <c r="U328" i="57"/>
  <c r="X328" i="57" s="1"/>
  <c r="I325" i="57"/>
  <c r="Q328" i="57"/>
  <c r="T328" i="57" s="1"/>
  <c r="U295" i="57"/>
  <c r="X295" i="57" s="1"/>
  <c r="U292" i="57"/>
  <c r="X292" i="57" s="1"/>
  <c r="I293" i="57"/>
  <c r="L293" i="57" s="1"/>
  <c r="Q325" i="57"/>
  <c r="U331" i="57"/>
  <c r="X331" i="57" s="1"/>
  <c r="U325" i="57"/>
  <c r="Q300" i="57"/>
  <c r="T300" i="57" s="1"/>
  <c r="E293" i="57"/>
  <c r="H293" i="57" s="1"/>
  <c r="I326" i="57"/>
  <c r="L326" i="57" s="1"/>
  <c r="Q295" i="59"/>
  <c r="T295" i="59" s="1"/>
  <c r="Q292" i="59"/>
  <c r="U262" i="60"/>
  <c r="X262" i="60" s="1"/>
  <c r="Q262" i="60"/>
  <c r="T262" i="60" s="1"/>
  <c r="I260" i="60"/>
  <c r="L260" i="60" s="1"/>
  <c r="E260" i="60"/>
  <c r="H260" i="60" s="1"/>
  <c r="U259" i="60"/>
  <c r="X259" i="60" s="1"/>
  <c r="Q259" i="60"/>
  <c r="Q267" i="60"/>
  <c r="T267" i="60" s="1"/>
  <c r="Q265" i="60"/>
  <c r="T265" i="60" s="1"/>
  <c r="E259" i="60"/>
  <c r="H259" i="60" s="1"/>
  <c r="U267" i="60"/>
  <c r="X267" i="60" s="1"/>
  <c r="U265" i="60"/>
  <c r="X265" i="60" s="1"/>
  <c r="I259" i="60"/>
  <c r="L259" i="60" s="1"/>
  <c r="T234" i="60"/>
  <c r="H205" i="60"/>
  <c r="T207" i="60"/>
  <c r="H204" i="60"/>
  <c r="T210" i="60"/>
  <c r="T212" i="60"/>
  <c r="T193" i="60"/>
  <c r="H194" i="60"/>
  <c r="T196" i="60"/>
  <c r="H193" i="60"/>
  <c r="T199" i="60"/>
  <c r="T201" i="60"/>
  <c r="U223" i="60"/>
  <c r="X223" i="60" s="1"/>
  <c r="Q223" i="60"/>
  <c r="T223" i="60" s="1"/>
  <c r="U221" i="60"/>
  <c r="X221" i="60" s="1"/>
  <c r="Q221" i="60"/>
  <c r="T221" i="60" s="1"/>
  <c r="I215" i="60"/>
  <c r="L215" i="60" s="1"/>
  <c r="E215" i="60"/>
  <c r="H215" i="60" s="1"/>
  <c r="U218" i="60"/>
  <c r="X218" i="60" s="1"/>
  <c r="Q218" i="60"/>
  <c r="T218" i="60" s="1"/>
  <c r="I216" i="60"/>
  <c r="L216" i="60" s="1"/>
  <c r="E216" i="60"/>
  <c r="H216" i="60" s="1"/>
  <c r="U215" i="60"/>
  <c r="X215" i="60" s="1"/>
  <c r="Q215" i="60"/>
  <c r="X204" i="60"/>
  <c r="L205" i="60"/>
  <c r="X207" i="60"/>
  <c r="L204" i="60"/>
  <c r="X210" i="60"/>
  <c r="X212" i="60"/>
  <c r="X193" i="60"/>
  <c r="L194" i="60"/>
  <c r="X196" i="60"/>
  <c r="L193" i="60"/>
  <c r="X199" i="60"/>
  <c r="X201" i="60"/>
  <c r="Q179" i="59"/>
  <c r="Q177" i="59"/>
  <c r="Q171" i="59"/>
  <c r="Q174" i="59"/>
  <c r="T452" i="59"/>
  <c r="Q12" i="59"/>
  <c r="Q223" i="59"/>
  <c r="Q221" i="59"/>
  <c r="T221" i="59" s="1"/>
  <c r="Q215" i="59"/>
  <c r="Q218" i="59"/>
  <c r="T218" i="59" s="1"/>
  <c r="Q119" i="59"/>
  <c r="T119" i="59" s="1"/>
  <c r="Q124" i="59"/>
  <c r="T124" i="59" s="1"/>
  <c r="Q122" i="59"/>
  <c r="T122" i="59" s="1"/>
  <c r="Q116" i="59"/>
  <c r="Q75" i="59"/>
  <c r="T75" i="59" s="1"/>
  <c r="Q80" i="59"/>
  <c r="T80" i="59" s="1"/>
  <c r="Q78" i="59"/>
  <c r="T78" i="59" s="1"/>
  <c r="Q72" i="59"/>
  <c r="Q201" i="59"/>
  <c r="T201" i="59" s="1"/>
  <c r="Q199" i="59"/>
  <c r="T199" i="59" s="1"/>
  <c r="Q193" i="59"/>
  <c r="Q196" i="59"/>
  <c r="T196" i="59" s="1"/>
  <c r="Q157" i="59"/>
  <c r="Q155" i="59"/>
  <c r="T155" i="59" s="1"/>
  <c r="Q149" i="59"/>
  <c r="Q152" i="59"/>
  <c r="T152" i="59" s="1"/>
  <c r="Q97" i="59"/>
  <c r="T97" i="59" s="1"/>
  <c r="Q102" i="59"/>
  <c r="T102" i="59" s="1"/>
  <c r="Q100" i="59"/>
  <c r="T100" i="59" s="1"/>
  <c r="Q94" i="59"/>
  <c r="Q53" i="59"/>
  <c r="T53" i="59" s="1"/>
  <c r="Q58" i="59"/>
  <c r="T58" i="59" s="1"/>
  <c r="Q56" i="59"/>
  <c r="T56" i="59" s="1"/>
  <c r="Q50" i="59"/>
  <c r="Q229" i="59"/>
  <c r="T229" i="59" s="1"/>
  <c r="Q234" i="59"/>
  <c r="T234" i="59" s="1"/>
  <c r="Q232" i="59"/>
  <c r="T232" i="59" s="1"/>
  <c r="Q226" i="59"/>
  <c r="Q207" i="59"/>
  <c r="T207" i="59" s="1"/>
  <c r="Q212" i="59"/>
  <c r="Q210" i="59"/>
  <c r="T210" i="59" s="1"/>
  <c r="Q204" i="59"/>
  <c r="Q185" i="59"/>
  <c r="T185" i="59" s="1"/>
  <c r="Q190" i="59"/>
  <c r="T190" i="59" s="1"/>
  <c r="Q188" i="59"/>
  <c r="T188" i="59" s="1"/>
  <c r="Q182" i="59"/>
  <c r="Q163" i="59"/>
  <c r="T163" i="59" s="1"/>
  <c r="Q168" i="59"/>
  <c r="T168" i="59" s="1"/>
  <c r="Q166" i="59"/>
  <c r="T166" i="59" s="1"/>
  <c r="Q160" i="59"/>
  <c r="Q141" i="59"/>
  <c r="T141" i="59" s="1"/>
  <c r="Q146" i="59"/>
  <c r="T146" i="59" s="1"/>
  <c r="Q144" i="59"/>
  <c r="T144" i="59" s="1"/>
  <c r="Q138" i="59"/>
  <c r="Q113" i="59"/>
  <c r="T113" i="59" s="1"/>
  <c r="Q111" i="59"/>
  <c r="T111" i="59" s="1"/>
  <c r="Q105" i="59"/>
  <c r="Q108" i="59"/>
  <c r="T108" i="59" s="1"/>
  <c r="Q69" i="59"/>
  <c r="T69" i="59" s="1"/>
  <c r="Q67" i="59"/>
  <c r="T67" i="59" s="1"/>
  <c r="Q61" i="59"/>
  <c r="Q64" i="59"/>
  <c r="T64" i="59" s="1"/>
  <c r="Q377" i="59"/>
  <c r="T377" i="59" s="1"/>
  <c r="Q375" i="59"/>
  <c r="T375" i="59" s="1"/>
  <c r="Q369" i="59"/>
  <c r="Q372" i="59"/>
  <c r="T372" i="59" s="1"/>
  <c r="Q333" i="59"/>
  <c r="T333" i="59" s="1"/>
  <c r="Q331" i="59"/>
  <c r="T331" i="59" s="1"/>
  <c r="Q325" i="59"/>
  <c r="Q328" i="59"/>
  <c r="T328" i="59" s="1"/>
  <c r="Q311" i="59"/>
  <c r="T311" i="59" s="1"/>
  <c r="Q309" i="59"/>
  <c r="T309" i="59" s="1"/>
  <c r="Q303" i="59"/>
  <c r="Q306" i="59"/>
  <c r="T306" i="59" s="1"/>
  <c r="Q339" i="59"/>
  <c r="T339" i="59" s="1"/>
  <c r="Q344" i="59"/>
  <c r="T344" i="59" s="1"/>
  <c r="Q342" i="59"/>
  <c r="T342" i="59" s="1"/>
  <c r="Q336" i="59"/>
  <c r="Q317" i="59"/>
  <c r="T317" i="59" s="1"/>
  <c r="Q322" i="59"/>
  <c r="T322" i="59" s="1"/>
  <c r="Q320" i="59"/>
  <c r="T320" i="59" s="1"/>
  <c r="Q314" i="59"/>
  <c r="Q31" i="59"/>
  <c r="T31" i="59" s="1"/>
  <c r="Q36" i="59"/>
  <c r="Q34" i="59"/>
  <c r="T34" i="59" s="1"/>
  <c r="Q28" i="59"/>
  <c r="Q91" i="59"/>
  <c r="T91" i="59" s="1"/>
  <c r="Q89" i="59"/>
  <c r="T89" i="59" s="1"/>
  <c r="Q83" i="59"/>
  <c r="Q86" i="59"/>
  <c r="T86" i="59" s="1"/>
  <c r="Q47" i="59"/>
  <c r="Q45" i="59"/>
  <c r="T45" i="59" s="1"/>
  <c r="Q39" i="59"/>
  <c r="Q42" i="59"/>
  <c r="T42" i="59" s="1"/>
  <c r="Q355" i="59"/>
  <c r="T355" i="59" s="1"/>
  <c r="Q353" i="59"/>
  <c r="T353" i="59" s="1"/>
  <c r="Q347" i="59"/>
  <c r="Q350" i="59"/>
  <c r="T350" i="59" s="1"/>
  <c r="Q273" i="59"/>
  <c r="T273" i="59" s="1"/>
  <c r="Q278" i="59"/>
  <c r="T278" i="59" s="1"/>
  <c r="Q276" i="59"/>
  <c r="T276" i="59" s="1"/>
  <c r="Q270" i="59"/>
  <c r="Q361" i="59"/>
  <c r="T361" i="59" s="1"/>
  <c r="Q366" i="59"/>
  <c r="T366" i="59" s="1"/>
  <c r="Q364" i="59"/>
  <c r="T364" i="59" s="1"/>
  <c r="Q358" i="59"/>
  <c r="X281" i="57"/>
  <c r="U333" i="59"/>
  <c r="X333" i="59" s="1"/>
  <c r="U325" i="59"/>
  <c r="X325" i="59" s="1"/>
  <c r="U328" i="59"/>
  <c r="X328" i="59" s="1"/>
  <c r="E325" i="59"/>
  <c r="H325" i="59" s="1"/>
  <c r="E326" i="59"/>
  <c r="H326" i="59" s="1"/>
  <c r="U331" i="59"/>
  <c r="X331" i="59" s="1"/>
  <c r="I326" i="59"/>
  <c r="L326" i="59" s="1"/>
  <c r="I325" i="59"/>
  <c r="L325" i="59" s="1"/>
  <c r="U278" i="59"/>
  <c r="U270" i="59"/>
  <c r="U273" i="59"/>
  <c r="X273" i="59" s="1"/>
  <c r="E270" i="59"/>
  <c r="E271" i="59"/>
  <c r="H271" i="59" s="1"/>
  <c r="U276" i="59"/>
  <c r="X276" i="59" s="1"/>
  <c r="I270" i="59"/>
  <c r="L270" i="59" s="1"/>
  <c r="I271" i="59"/>
  <c r="L271" i="59" s="1"/>
  <c r="U322" i="59"/>
  <c r="X322" i="59" s="1"/>
  <c r="U317" i="59"/>
  <c r="X317" i="59" s="1"/>
  <c r="E315" i="59"/>
  <c r="H315" i="59" s="1"/>
  <c r="E314" i="59"/>
  <c r="U320" i="59"/>
  <c r="X320" i="59" s="1"/>
  <c r="U314" i="59"/>
  <c r="X314" i="59" s="1"/>
  <c r="I314" i="59"/>
  <c r="L314" i="59" s="1"/>
  <c r="I315" i="59"/>
  <c r="L315" i="59" s="1"/>
  <c r="U377" i="59"/>
  <c r="X377" i="59" s="1"/>
  <c r="I369" i="59"/>
  <c r="L369" i="59" s="1"/>
  <c r="I370" i="59"/>
  <c r="L370" i="59" s="1"/>
  <c r="U369" i="59"/>
  <c r="E369" i="59"/>
  <c r="U372" i="59"/>
  <c r="X372" i="59" s="1"/>
  <c r="E370" i="59"/>
  <c r="H370" i="59" s="1"/>
  <c r="U375" i="59"/>
  <c r="X375" i="59" s="1"/>
  <c r="U355" i="59"/>
  <c r="X355" i="59" s="1"/>
  <c r="U347" i="59"/>
  <c r="X347" i="59" s="1"/>
  <c r="U350" i="59"/>
  <c r="X350" i="59" s="1"/>
  <c r="E347" i="59"/>
  <c r="E348" i="59"/>
  <c r="H348" i="59" s="1"/>
  <c r="U353" i="59"/>
  <c r="X353" i="59" s="1"/>
  <c r="I348" i="59"/>
  <c r="L348" i="59" s="1"/>
  <c r="I347" i="59"/>
  <c r="U311" i="59"/>
  <c r="X311" i="59" s="1"/>
  <c r="I303" i="59"/>
  <c r="L303" i="59" s="1"/>
  <c r="I304" i="59"/>
  <c r="L304" i="59" s="1"/>
  <c r="U303" i="59"/>
  <c r="E303" i="59"/>
  <c r="U306" i="59"/>
  <c r="X306" i="59" s="1"/>
  <c r="E304" i="59"/>
  <c r="H304" i="59" s="1"/>
  <c r="U309" i="59"/>
  <c r="X309" i="59" s="1"/>
  <c r="I359" i="59"/>
  <c r="L359" i="59" s="1"/>
  <c r="I358" i="59"/>
  <c r="E358" i="59"/>
  <c r="H358" i="59" s="1"/>
  <c r="U361" i="59"/>
  <c r="X361" i="59" s="1"/>
  <c r="U358" i="59"/>
  <c r="X358" i="59" s="1"/>
  <c r="U366" i="59"/>
  <c r="X366" i="59" s="1"/>
  <c r="E359" i="59"/>
  <c r="H359" i="59" s="1"/>
  <c r="U364" i="59"/>
  <c r="X364" i="59" s="1"/>
  <c r="U344" i="59"/>
  <c r="X344" i="59" s="1"/>
  <c r="U336" i="59"/>
  <c r="U339" i="59"/>
  <c r="X339" i="59" s="1"/>
  <c r="E336" i="59"/>
  <c r="H336" i="59" s="1"/>
  <c r="E337" i="59"/>
  <c r="H337" i="59" s="1"/>
  <c r="U342" i="59"/>
  <c r="X342" i="59" s="1"/>
  <c r="I337" i="59"/>
  <c r="L337" i="59" s="1"/>
  <c r="I336" i="59"/>
  <c r="L336" i="59" s="1"/>
  <c r="T430" i="59"/>
  <c r="T419" i="59"/>
  <c r="T397" i="59"/>
  <c r="T408" i="59"/>
  <c r="T386" i="59"/>
  <c r="T496" i="59"/>
  <c r="T441" i="59"/>
  <c r="T298" i="59"/>
  <c r="Q28" i="57"/>
  <c r="Q438" i="60"/>
  <c r="U438" i="60"/>
  <c r="U443" i="60"/>
  <c r="U441" i="60"/>
  <c r="E435" i="60"/>
  <c r="U435" i="60"/>
  <c r="E436" i="60"/>
  <c r="Q435" i="60"/>
  <c r="I435" i="60"/>
  <c r="Q256" i="57"/>
  <c r="T256" i="57" s="1"/>
  <c r="Q248" i="57"/>
  <c r="I249" i="57"/>
  <c r="L249" i="57" s="1"/>
  <c r="U256" i="57"/>
  <c r="E248" i="57"/>
  <c r="U248" i="57"/>
  <c r="U254" i="57"/>
  <c r="X254" i="57" s="1"/>
  <c r="U251" i="57"/>
  <c r="X251" i="57" s="1"/>
  <c r="I248" i="57"/>
  <c r="E249" i="57"/>
  <c r="Q251" i="57"/>
  <c r="T251" i="57" s="1"/>
  <c r="U47" i="57"/>
  <c r="X47" i="57" s="1"/>
  <c r="U894" i="57"/>
  <c r="X894" i="57" s="1"/>
  <c r="Q894" i="57"/>
  <c r="T894" i="57" s="1"/>
  <c r="U892" i="57"/>
  <c r="X892" i="57" s="1"/>
  <c r="E887" i="57"/>
  <c r="H887" i="57" s="1"/>
  <c r="U116" i="57"/>
  <c r="I887" i="57"/>
  <c r="L887" i="57" s="1"/>
  <c r="E117" i="57"/>
  <c r="H117" i="57" s="1"/>
  <c r="U124" i="57"/>
  <c r="U119" i="57"/>
  <c r="I51" i="57"/>
  <c r="L51" i="57" s="1"/>
  <c r="E205" i="57"/>
  <c r="H205" i="57" s="1"/>
  <c r="I116" i="57"/>
  <c r="L116" i="57" s="1"/>
  <c r="Q119" i="57"/>
  <c r="T119" i="57" s="1"/>
  <c r="Q212" i="57"/>
  <c r="Q17" i="57"/>
  <c r="T17" i="57" s="1"/>
  <c r="I138" i="57"/>
  <c r="L138" i="57" s="1"/>
  <c r="Q207" i="57"/>
  <c r="T207" i="57" s="1"/>
  <c r="E18" i="57"/>
  <c r="U31" i="57"/>
  <c r="X31" i="57" s="1"/>
  <c r="U28" i="57"/>
  <c r="U100" i="57"/>
  <c r="X100" i="57" s="1"/>
  <c r="E28" i="57"/>
  <c r="E29" i="57"/>
  <c r="H29" i="57" s="1"/>
  <c r="Q14" i="60"/>
  <c r="T14" i="60" s="1"/>
  <c r="U34" i="57"/>
  <c r="X34" i="57" s="1"/>
  <c r="I7" i="60"/>
  <c r="L7" i="60" s="1"/>
  <c r="I238" i="57"/>
  <c r="L238" i="57" s="1"/>
  <c r="U174" i="57"/>
  <c r="U45" i="57"/>
  <c r="X45" i="57" s="1"/>
  <c r="U102" i="57"/>
  <c r="X102" i="57" s="1"/>
  <c r="I117" i="57"/>
  <c r="L117" i="57" s="1"/>
  <c r="E40" i="57"/>
  <c r="H40" i="57" s="1"/>
  <c r="U14" i="60"/>
  <c r="X14" i="60" s="1"/>
  <c r="I172" i="57"/>
  <c r="L172" i="57" s="1"/>
  <c r="E17" i="57"/>
  <c r="I94" i="57"/>
  <c r="L94" i="57" s="1"/>
  <c r="U138" i="57"/>
  <c r="Q47" i="57"/>
  <c r="Q6" i="60"/>
  <c r="E7" i="60"/>
  <c r="H7" i="60" s="1"/>
  <c r="U6" i="60"/>
  <c r="X6" i="60" s="1"/>
  <c r="U12" i="60"/>
  <c r="X12" i="60" s="1"/>
  <c r="Q441" i="60"/>
  <c r="E6" i="60"/>
  <c r="H6" i="60" s="1"/>
  <c r="U97" i="57"/>
  <c r="X97" i="57" s="1"/>
  <c r="Q94" i="57"/>
  <c r="U39" i="57"/>
  <c r="I39" i="57"/>
  <c r="L39" i="57" s="1"/>
  <c r="Q9" i="60"/>
  <c r="T9" i="60" s="1"/>
  <c r="I6" i="60"/>
  <c r="L6" i="60" s="1"/>
  <c r="U9" i="60"/>
  <c r="X9" i="60" s="1"/>
  <c r="U23" i="57"/>
  <c r="X23" i="57" s="1"/>
  <c r="Q20" i="57"/>
  <c r="T20" i="57" s="1"/>
  <c r="U149" i="57"/>
  <c r="E226" i="57"/>
  <c r="U199" i="57"/>
  <c r="X199" i="57" s="1"/>
  <c r="U75" i="57"/>
  <c r="X75" i="57" s="1"/>
  <c r="I61" i="57"/>
  <c r="L61" i="57" s="1"/>
  <c r="Q223" i="57"/>
  <c r="E182" i="57"/>
  <c r="Q240" i="57"/>
  <c r="T240" i="57" s="1"/>
  <c r="U221" i="57"/>
  <c r="X221" i="57" s="1"/>
  <c r="Q163" i="57"/>
  <c r="T163" i="57" s="1"/>
  <c r="Q75" i="57"/>
  <c r="T75" i="57" s="1"/>
  <c r="Q226" i="57"/>
  <c r="U78" i="57"/>
  <c r="X78" i="57" s="1"/>
  <c r="U152" i="57"/>
  <c r="X152" i="57" s="1"/>
  <c r="E61" i="57"/>
  <c r="H61" i="57" s="1"/>
  <c r="E215" i="57"/>
  <c r="U193" i="57"/>
  <c r="U163" i="57"/>
  <c r="X163" i="57" s="1"/>
  <c r="U190" i="57"/>
  <c r="X190" i="57" s="1"/>
  <c r="Q149" i="57"/>
  <c r="Q61" i="57"/>
  <c r="Q185" i="57"/>
  <c r="T185" i="57" s="1"/>
  <c r="T80" i="57"/>
  <c r="X185" i="57"/>
  <c r="I237" i="57"/>
  <c r="L237" i="57" s="1"/>
  <c r="E149" i="57"/>
  <c r="Q69" i="57"/>
  <c r="T69" i="57" s="1"/>
  <c r="U229" i="57"/>
  <c r="X229" i="57" s="1"/>
  <c r="U223" i="57"/>
  <c r="Q193" i="57"/>
  <c r="I193" i="57"/>
  <c r="Q160" i="57"/>
  <c r="E161" i="57"/>
  <c r="H161" i="57" s="1"/>
  <c r="U182" i="57"/>
  <c r="U188" i="57"/>
  <c r="X188" i="57" s="1"/>
  <c r="U72" i="57"/>
  <c r="I73" i="57"/>
  <c r="L73" i="57" s="1"/>
  <c r="Q889" i="57"/>
  <c r="T889" i="57" s="1"/>
  <c r="U889" i="57"/>
  <c r="X889" i="57" s="1"/>
  <c r="Q237" i="57"/>
  <c r="E237" i="57"/>
  <c r="U243" i="57"/>
  <c r="X243" i="57" s="1"/>
  <c r="I150" i="57"/>
  <c r="L150" i="57" s="1"/>
  <c r="U157" i="57"/>
  <c r="X157" i="57" s="1"/>
  <c r="Q157" i="57"/>
  <c r="U69" i="57"/>
  <c r="X69" i="57" s="1"/>
  <c r="Q64" i="57"/>
  <c r="T64" i="57" s="1"/>
  <c r="U64" i="57"/>
  <c r="X64" i="57" s="1"/>
  <c r="E227" i="57"/>
  <c r="U232" i="57"/>
  <c r="X232" i="57" s="1"/>
  <c r="Q234" i="57"/>
  <c r="T234" i="57" s="1"/>
  <c r="Q215" i="57"/>
  <c r="Q218" i="57"/>
  <c r="T218" i="57" s="1"/>
  <c r="I216" i="57"/>
  <c r="L216" i="57" s="1"/>
  <c r="I194" i="57"/>
  <c r="L194" i="57" s="1"/>
  <c r="U196" i="57"/>
  <c r="X196" i="57" s="1"/>
  <c r="E193" i="57"/>
  <c r="U160" i="57"/>
  <c r="I160" i="57"/>
  <c r="U168" i="57"/>
  <c r="X168" i="57" s="1"/>
  <c r="Q182" i="57"/>
  <c r="E183" i="57"/>
  <c r="H183" i="57" s="1"/>
  <c r="E72" i="57"/>
  <c r="Q72" i="57"/>
  <c r="E73" i="57"/>
  <c r="H73" i="57" s="1"/>
  <c r="U245" i="57"/>
  <c r="I62" i="57"/>
  <c r="L62" i="57" s="1"/>
  <c r="Q229" i="57"/>
  <c r="T229" i="57" s="1"/>
  <c r="U215" i="57"/>
  <c r="Q201" i="57"/>
  <c r="T201" i="57" s="1"/>
  <c r="I183" i="57"/>
  <c r="L183" i="57" s="1"/>
  <c r="I72" i="57"/>
  <c r="L72" i="57" s="1"/>
  <c r="E238" i="57"/>
  <c r="U237" i="57"/>
  <c r="U240" i="57"/>
  <c r="X240" i="57" s="1"/>
  <c r="E150" i="57"/>
  <c r="H150" i="57" s="1"/>
  <c r="Q152" i="57"/>
  <c r="T152" i="57" s="1"/>
  <c r="E62" i="57"/>
  <c r="U67" i="57"/>
  <c r="X67" i="57" s="1"/>
  <c r="I226" i="57"/>
  <c r="I227" i="57"/>
  <c r="L227" i="57" s="1"/>
  <c r="U234" i="57"/>
  <c r="E216" i="57"/>
  <c r="H216" i="57" s="1"/>
  <c r="U218" i="57"/>
  <c r="X218" i="57" s="1"/>
  <c r="E194" i="57"/>
  <c r="H194" i="57" s="1"/>
  <c r="Q196" i="57"/>
  <c r="T196" i="57" s="1"/>
  <c r="Q168" i="57"/>
  <c r="T168" i="57" s="1"/>
  <c r="E160" i="57"/>
  <c r="I161" i="57"/>
  <c r="L161" i="57" s="1"/>
  <c r="I182" i="57"/>
  <c r="Q190" i="57"/>
  <c r="T190" i="57" s="1"/>
  <c r="U80" i="57"/>
  <c r="X80" i="57" s="1"/>
  <c r="U155" i="57"/>
  <c r="X155" i="57" s="1"/>
  <c r="I50" i="57"/>
  <c r="L50" i="57" s="1"/>
  <c r="U212" i="57"/>
  <c r="U122" i="57"/>
  <c r="X122" i="57" s="1"/>
  <c r="Q116" i="57"/>
  <c r="U50" i="57"/>
  <c r="Q113" i="57"/>
  <c r="T113" i="57" s="1"/>
  <c r="T124" i="57"/>
  <c r="Q146" i="57"/>
  <c r="T146" i="57" s="1"/>
  <c r="U141" i="57"/>
  <c r="X141" i="57" s="1"/>
  <c r="Q171" i="57"/>
  <c r="E172" i="57"/>
  <c r="U58" i="57"/>
  <c r="X58" i="57" s="1"/>
  <c r="Q141" i="57"/>
  <c r="T141" i="57" s="1"/>
  <c r="Q174" i="57"/>
  <c r="U56" i="57"/>
  <c r="X56" i="57" s="1"/>
  <c r="Q58" i="57"/>
  <c r="T58" i="57" s="1"/>
  <c r="U204" i="57"/>
  <c r="I204" i="57"/>
  <c r="L204" i="57" s="1"/>
  <c r="E116" i="57"/>
  <c r="U179" i="57"/>
  <c r="X179" i="57" s="1"/>
  <c r="X20" i="57"/>
  <c r="U265" i="57"/>
  <c r="X265" i="57" s="1"/>
  <c r="I84" i="57"/>
  <c r="L84" i="57" s="1"/>
  <c r="E105" i="57"/>
  <c r="I260" i="57"/>
  <c r="L260" i="57" s="1"/>
  <c r="Q86" i="57"/>
  <c r="T86" i="57" s="1"/>
  <c r="U267" i="57"/>
  <c r="X267" i="57" s="1"/>
  <c r="E83" i="57"/>
  <c r="Q108" i="57"/>
  <c r="T108" i="57" s="1"/>
  <c r="Q259" i="57"/>
  <c r="U262" i="57"/>
  <c r="X262" i="57" s="1"/>
  <c r="E84" i="57"/>
  <c r="H84" i="57" s="1"/>
  <c r="U91" i="57"/>
  <c r="X91" i="57" s="1"/>
  <c r="U111" i="57"/>
  <c r="X111" i="57" s="1"/>
  <c r="U113" i="57"/>
  <c r="X113" i="57" s="1"/>
  <c r="Q267" i="57"/>
  <c r="T267" i="57" s="1"/>
  <c r="U89" i="57"/>
  <c r="X89" i="57" s="1"/>
  <c r="Q262" i="57"/>
  <c r="T262" i="57" s="1"/>
  <c r="E260" i="57"/>
  <c r="U86" i="57"/>
  <c r="X86" i="57" s="1"/>
  <c r="Q91" i="57"/>
  <c r="T91" i="57" s="1"/>
  <c r="I106" i="57"/>
  <c r="L106" i="57" s="1"/>
  <c r="E106" i="57"/>
  <c r="H106" i="57" s="1"/>
  <c r="U105" i="57"/>
  <c r="U259" i="57"/>
  <c r="X259" i="57" s="1"/>
  <c r="E259" i="57"/>
  <c r="U83" i="57"/>
  <c r="Q83" i="57"/>
  <c r="U108" i="57"/>
  <c r="X108" i="57" s="1"/>
  <c r="I105" i="57"/>
  <c r="L28" i="57"/>
  <c r="T102" i="57"/>
  <c r="L259" i="57"/>
  <c r="T245" i="57"/>
  <c r="I95" i="57"/>
  <c r="L95" i="57" s="1"/>
  <c r="Q97" i="57"/>
  <c r="T97" i="57" s="1"/>
  <c r="E95" i="57"/>
  <c r="H95" i="57" s="1"/>
  <c r="E94" i="57"/>
  <c r="U94" i="57"/>
  <c r="X94" i="57" s="1"/>
  <c r="X61" i="57"/>
  <c r="U146" i="57"/>
  <c r="X146" i="57" s="1"/>
  <c r="I139" i="57"/>
  <c r="L139" i="57" s="1"/>
  <c r="E138" i="57"/>
  <c r="E139" i="57"/>
  <c r="U144" i="57"/>
  <c r="X144" i="57" s="1"/>
  <c r="L83" i="57"/>
  <c r="I171" i="57"/>
  <c r="U177" i="57"/>
  <c r="X177" i="57" s="1"/>
  <c r="Q179" i="57"/>
  <c r="U171" i="57"/>
  <c r="Q53" i="57"/>
  <c r="T53" i="57" s="1"/>
  <c r="E51" i="57"/>
  <c r="H51" i="57" s="1"/>
  <c r="E50" i="57"/>
  <c r="H50" i="57" s="1"/>
  <c r="U53" i="57"/>
  <c r="X53" i="57" s="1"/>
  <c r="X166" i="57"/>
  <c r="Q204" i="57"/>
  <c r="I205" i="57"/>
  <c r="L205" i="57" s="1"/>
  <c r="U207" i="57"/>
  <c r="X207" i="57" s="1"/>
  <c r="U210" i="57"/>
  <c r="X210" i="57" s="1"/>
  <c r="I29" i="57"/>
  <c r="L29" i="57" s="1"/>
  <c r="U36" i="57"/>
  <c r="Q31" i="57"/>
  <c r="T31" i="57" s="1"/>
  <c r="Q36" i="57"/>
  <c r="T36" i="57" s="1"/>
  <c r="I17" i="57"/>
  <c r="L17" i="57" s="1"/>
  <c r="U25" i="57"/>
  <c r="X25" i="57" s="1"/>
  <c r="U17" i="57"/>
  <c r="X17" i="57" s="1"/>
  <c r="Q25" i="57"/>
  <c r="I18" i="57"/>
  <c r="L18" i="57" s="1"/>
  <c r="I40" i="57"/>
  <c r="L40" i="57" s="1"/>
  <c r="U42" i="57"/>
  <c r="X42" i="57" s="1"/>
  <c r="Q42" i="57"/>
  <c r="T42" i="57" s="1"/>
  <c r="Q39" i="57"/>
  <c r="U116" i="59"/>
  <c r="U124" i="59"/>
  <c r="U119" i="59"/>
  <c r="X119" i="59" s="1"/>
  <c r="I117" i="59"/>
  <c r="L117" i="59" s="1"/>
  <c r="I116" i="59"/>
  <c r="L116" i="59" s="1"/>
  <c r="U122" i="59"/>
  <c r="X122" i="59" s="1"/>
  <c r="E117" i="59"/>
  <c r="H117" i="59" s="1"/>
  <c r="E116" i="59"/>
  <c r="I28" i="59"/>
  <c r="L28" i="59" s="1"/>
  <c r="I29" i="59"/>
  <c r="L29" i="59" s="1"/>
  <c r="U34" i="59"/>
  <c r="X34" i="59" s="1"/>
  <c r="E29" i="59"/>
  <c r="H29" i="59" s="1"/>
  <c r="U31" i="59"/>
  <c r="X31" i="59" s="1"/>
  <c r="U36" i="59"/>
  <c r="U28" i="59"/>
  <c r="E28" i="59"/>
  <c r="U199" i="59"/>
  <c r="X199" i="59" s="1"/>
  <c r="E194" i="59"/>
  <c r="H194" i="59" s="1"/>
  <c r="E193" i="59"/>
  <c r="I193" i="59"/>
  <c r="L193" i="59" s="1"/>
  <c r="U201" i="59"/>
  <c r="U196" i="59"/>
  <c r="X196" i="59" s="1"/>
  <c r="I194" i="59"/>
  <c r="L194" i="59" s="1"/>
  <c r="U193" i="59"/>
  <c r="U155" i="59"/>
  <c r="X155" i="59" s="1"/>
  <c r="E150" i="59"/>
  <c r="H150" i="59" s="1"/>
  <c r="E149" i="59"/>
  <c r="U149" i="59"/>
  <c r="U157" i="59"/>
  <c r="X157" i="59" s="1"/>
  <c r="U152" i="59"/>
  <c r="X152" i="59" s="1"/>
  <c r="I149" i="59"/>
  <c r="I150" i="59"/>
  <c r="L150" i="59" s="1"/>
  <c r="I95" i="59"/>
  <c r="L95" i="59" s="1"/>
  <c r="I94" i="59"/>
  <c r="L94" i="59" s="1"/>
  <c r="U100" i="59"/>
  <c r="X100" i="59" s="1"/>
  <c r="E95" i="59"/>
  <c r="H95" i="59" s="1"/>
  <c r="E94" i="59"/>
  <c r="U94" i="59"/>
  <c r="X94" i="59" s="1"/>
  <c r="U102" i="59"/>
  <c r="X102" i="59" s="1"/>
  <c r="U97" i="59"/>
  <c r="X97" i="59" s="1"/>
  <c r="Q509" i="59"/>
  <c r="T509" i="59" s="1"/>
  <c r="E501" i="59"/>
  <c r="Q501" i="59"/>
  <c r="U504" i="59"/>
  <c r="X504" i="59" s="1"/>
  <c r="U509" i="59"/>
  <c r="U501" i="59"/>
  <c r="Q504" i="59"/>
  <c r="T504" i="59" s="1"/>
  <c r="E502" i="59"/>
  <c r="U507" i="59"/>
  <c r="X507" i="59" s="1"/>
  <c r="I501" i="59"/>
  <c r="I502" i="59"/>
  <c r="L502" i="59" s="1"/>
  <c r="U226" i="59"/>
  <c r="U234" i="59"/>
  <c r="U229" i="59"/>
  <c r="X229" i="59" s="1"/>
  <c r="I227" i="59"/>
  <c r="L227" i="59" s="1"/>
  <c r="I226" i="59"/>
  <c r="U232" i="59"/>
  <c r="X232" i="59" s="1"/>
  <c r="E227" i="59"/>
  <c r="E226" i="59"/>
  <c r="U190" i="59"/>
  <c r="X190" i="59" s="1"/>
  <c r="I182" i="59"/>
  <c r="U188" i="59"/>
  <c r="X188" i="59" s="1"/>
  <c r="I183" i="59"/>
  <c r="L183" i="59" s="1"/>
  <c r="U182" i="59"/>
  <c r="U185" i="59"/>
  <c r="X185" i="59" s="1"/>
  <c r="E183" i="59"/>
  <c r="H183" i="59" s="1"/>
  <c r="E182" i="59"/>
  <c r="Q25" i="59"/>
  <c r="I18" i="59"/>
  <c r="L18" i="59" s="1"/>
  <c r="I17" i="59"/>
  <c r="L17" i="59" s="1"/>
  <c r="U23" i="59"/>
  <c r="X23" i="59" s="1"/>
  <c r="Q17" i="59"/>
  <c r="E18" i="59"/>
  <c r="Q20" i="59"/>
  <c r="T20" i="59" s="1"/>
  <c r="U17" i="59"/>
  <c r="X17" i="59" s="1"/>
  <c r="U25" i="59"/>
  <c r="X25" i="59" s="1"/>
  <c r="U20" i="59"/>
  <c r="X20" i="59" s="1"/>
  <c r="E17" i="59"/>
  <c r="T133" i="59"/>
  <c r="U6" i="59"/>
  <c r="X6" i="59" s="1"/>
  <c r="Q9" i="59"/>
  <c r="T9" i="59" s="1"/>
  <c r="E6" i="59"/>
  <c r="H6" i="59" s="1"/>
  <c r="E7" i="59"/>
  <c r="U12" i="59"/>
  <c r="X12" i="59" s="1"/>
  <c r="Q507" i="59"/>
  <c r="T507" i="59" s="1"/>
  <c r="I6" i="59"/>
  <c r="L6" i="59" s="1"/>
  <c r="I7" i="59"/>
  <c r="L7" i="59" s="1"/>
  <c r="Q14" i="59"/>
  <c r="T14" i="59" s="1"/>
  <c r="Q6" i="59"/>
  <c r="U9" i="59"/>
  <c r="X9" i="59" s="1"/>
  <c r="U14" i="59"/>
  <c r="X14" i="59" s="1"/>
  <c r="T23" i="59"/>
  <c r="U221" i="59"/>
  <c r="X221" i="59" s="1"/>
  <c r="E216" i="59"/>
  <c r="H216" i="59" s="1"/>
  <c r="E215" i="59"/>
  <c r="U215" i="59"/>
  <c r="U223" i="59"/>
  <c r="U218" i="59"/>
  <c r="X218" i="59" s="1"/>
  <c r="I216" i="59"/>
  <c r="L216" i="59" s="1"/>
  <c r="I215" i="59"/>
  <c r="U174" i="59"/>
  <c r="U177" i="59"/>
  <c r="X177" i="59" s="1"/>
  <c r="U171" i="59"/>
  <c r="E171" i="59"/>
  <c r="E172" i="59"/>
  <c r="U179" i="59"/>
  <c r="X179" i="59" s="1"/>
  <c r="I171" i="59"/>
  <c r="I172" i="59"/>
  <c r="L172" i="59" s="1"/>
  <c r="I73" i="59"/>
  <c r="L73" i="59" s="1"/>
  <c r="I72" i="59"/>
  <c r="L72" i="59" s="1"/>
  <c r="E73" i="59"/>
  <c r="H73" i="59" s="1"/>
  <c r="E72" i="59"/>
  <c r="U75" i="59"/>
  <c r="X75" i="59" s="1"/>
  <c r="U72" i="59"/>
  <c r="U80" i="59"/>
  <c r="X80" i="59" s="1"/>
  <c r="U78" i="59"/>
  <c r="X78" i="59" s="1"/>
  <c r="I51" i="59"/>
  <c r="L51" i="59" s="1"/>
  <c r="I50" i="59"/>
  <c r="L50" i="59" s="1"/>
  <c r="U53" i="59"/>
  <c r="X53" i="59" s="1"/>
  <c r="E51" i="59"/>
  <c r="H51" i="59" s="1"/>
  <c r="E50" i="59"/>
  <c r="H50" i="59" s="1"/>
  <c r="U50" i="59"/>
  <c r="U56" i="59"/>
  <c r="X56" i="59" s="1"/>
  <c r="U58" i="59"/>
  <c r="X58" i="59" s="1"/>
  <c r="U204" i="59"/>
  <c r="U212" i="59"/>
  <c r="U210" i="59"/>
  <c r="X210" i="59" s="1"/>
  <c r="I205" i="59"/>
  <c r="L205" i="59" s="1"/>
  <c r="I204" i="59"/>
  <c r="L204" i="59" s="1"/>
  <c r="E205" i="59"/>
  <c r="H205" i="59" s="1"/>
  <c r="E204" i="59"/>
  <c r="U207" i="59"/>
  <c r="X207" i="59" s="1"/>
  <c r="U168" i="59"/>
  <c r="X168" i="59" s="1"/>
  <c r="U163" i="59"/>
  <c r="X163" i="59" s="1"/>
  <c r="U160" i="59"/>
  <c r="E160" i="59"/>
  <c r="U166" i="59"/>
  <c r="X166" i="59" s="1"/>
  <c r="E161" i="59"/>
  <c r="H161" i="59" s="1"/>
  <c r="I161" i="59"/>
  <c r="L161" i="59" s="1"/>
  <c r="I160" i="59"/>
  <c r="U138" i="59"/>
  <c r="U146" i="59"/>
  <c r="X146" i="59" s="1"/>
  <c r="U144" i="59"/>
  <c r="X144" i="59" s="1"/>
  <c r="I139" i="59"/>
  <c r="L139" i="59" s="1"/>
  <c r="I138" i="59"/>
  <c r="L138" i="59" s="1"/>
  <c r="E139" i="59"/>
  <c r="E138" i="59"/>
  <c r="U141" i="59"/>
  <c r="X141" i="59" s="1"/>
  <c r="U113" i="59"/>
  <c r="X113" i="59" s="1"/>
  <c r="U105" i="59"/>
  <c r="E105" i="59"/>
  <c r="E106" i="59"/>
  <c r="H106" i="59" s="1"/>
  <c r="U111" i="59"/>
  <c r="X111" i="59" s="1"/>
  <c r="I105" i="59"/>
  <c r="I106" i="59"/>
  <c r="L106" i="59" s="1"/>
  <c r="U108" i="59"/>
  <c r="X108" i="59" s="1"/>
  <c r="U89" i="59"/>
  <c r="X89" i="59" s="1"/>
  <c r="E84" i="59"/>
  <c r="H84" i="59" s="1"/>
  <c r="E83" i="59"/>
  <c r="U83" i="59"/>
  <c r="U91" i="59"/>
  <c r="X91" i="59" s="1"/>
  <c r="U86" i="59"/>
  <c r="X86" i="59" s="1"/>
  <c r="I84" i="59"/>
  <c r="L84" i="59" s="1"/>
  <c r="I83" i="59"/>
  <c r="L83" i="59" s="1"/>
  <c r="I62" i="59"/>
  <c r="L62" i="59" s="1"/>
  <c r="U69" i="59"/>
  <c r="X69" i="59" s="1"/>
  <c r="U64" i="59"/>
  <c r="X64" i="59" s="1"/>
  <c r="I61" i="59"/>
  <c r="L61" i="59" s="1"/>
  <c r="U67" i="59"/>
  <c r="X67" i="59" s="1"/>
  <c r="E62" i="59"/>
  <c r="E61" i="59"/>
  <c r="H61" i="59" s="1"/>
  <c r="U61" i="59"/>
  <c r="X61" i="59" s="1"/>
  <c r="U47" i="59"/>
  <c r="X47" i="59" s="1"/>
  <c r="U42" i="59"/>
  <c r="X42" i="59" s="1"/>
  <c r="I39" i="59"/>
  <c r="L39" i="59" s="1"/>
  <c r="U45" i="59"/>
  <c r="X45" i="59" s="1"/>
  <c r="E40" i="59"/>
  <c r="H40" i="59" s="1"/>
  <c r="E39" i="59"/>
  <c r="U39" i="59"/>
  <c r="I40" i="59"/>
  <c r="L40" i="59" s="1"/>
  <c r="Z325" i="60" l="1"/>
  <c r="Z237" i="59"/>
  <c r="AC242" i="59" s="1"/>
  <c r="K31" i="59"/>
  <c r="L31" i="59" s="1"/>
  <c r="K372" i="59"/>
  <c r="L372" i="59" s="1"/>
  <c r="K416" i="59"/>
  <c r="L416" i="59" s="1"/>
  <c r="K427" i="59"/>
  <c r="L427" i="59" s="1"/>
  <c r="K42" i="59"/>
  <c r="L42" i="59" s="1"/>
  <c r="K339" i="59"/>
  <c r="L339" i="59" s="1"/>
  <c r="K306" i="59"/>
  <c r="L306" i="59" s="1"/>
  <c r="K350" i="59"/>
  <c r="L350" i="59" s="1"/>
  <c r="S490" i="59"/>
  <c r="T490" i="59" s="1"/>
  <c r="K438" i="59"/>
  <c r="L438" i="59" s="1"/>
  <c r="K196" i="59"/>
  <c r="L196" i="59" s="1"/>
  <c r="K317" i="59"/>
  <c r="L317" i="59" s="1"/>
  <c r="K361" i="59"/>
  <c r="L361" i="59" s="1"/>
  <c r="K405" i="59"/>
  <c r="L405" i="59" s="1"/>
  <c r="K449" i="59"/>
  <c r="L449" i="59" s="1"/>
  <c r="K493" i="59"/>
  <c r="L493" i="59" s="1"/>
  <c r="G28" i="59"/>
  <c r="H28" i="59" s="1"/>
  <c r="G182" i="59"/>
  <c r="H182" i="59" s="1"/>
  <c r="G172" i="59"/>
  <c r="H172" i="59" s="1"/>
  <c r="W182" i="59"/>
  <c r="X182" i="59" s="1"/>
  <c r="W127" i="59"/>
  <c r="X127" i="59" s="1"/>
  <c r="W278" i="59"/>
  <c r="X278" i="59" s="1"/>
  <c r="K149" i="59"/>
  <c r="L149" i="59" s="1"/>
  <c r="S150" i="59"/>
  <c r="T150" i="59" s="1"/>
  <c r="G94" i="59"/>
  <c r="H94" i="59" s="1"/>
  <c r="W36" i="59"/>
  <c r="X36" i="59" s="1"/>
  <c r="G105" i="59"/>
  <c r="H105" i="59" s="1"/>
  <c r="W204" i="59"/>
  <c r="X204" i="59" s="1"/>
  <c r="S174" i="59"/>
  <c r="T174" i="59" s="1"/>
  <c r="P3" i="38"/>
  <c r="K262" i="57" l="1"/>
  <c r="K229" i="57"/>
  <c r="K218" i="57"/>
  <c r="K251" i="57"/>
  <c r="S336" i="59"/>
  <c r="T336" i="59" s="1"/>
  <c r="S380" i="59"/>
  <c r="T380" i="59" s="1"/>
  <c r="K328" i="59"/>
  <c r="L328" i="59" s="1"/>
  <c r="W443" i="59"/>
  <c r="X443" i="59" s="1"/>
  <c r="W369" i="59"/>
  <c r="X369" i="59" s="1"/>
  <c r="G281" i="59"/>
  <c r="H281" i="59" s="1"/>
  <c r="K152" i="59"/>
  <c r="L152" i="59" s="1"/>
  <c r="K383" i="59"/>
  <c r="L383" i="59" s="1"/>
  <c r="K273" i="59"/>
  <c r="L273" i="59" s="1"/>
  <c r="K295" i="59"/>
  <c r="L295" i="59" s="1"/>
  <c r="K20" i="59"/>
  <c r="L20" i="59" s="1"/>
  <c r="K229" i="59"/>
  <c r="L229" i="59" s="1"/>
  <c r="K218" i="59"/>
  <c r="L218" i="59" s="1"/>
  <c r="K284" i="59"/>
  <c r="L284" i="59" s="1"/>
  <c r="K504" i="59"/>
  <c r="L504" i="59" s="1"/>
  <c r="S424" i="59"/>
  <c r="T424" i="59" s="1"/>
  <c r="K160" i="59"/>
  <c r="L160" i="59" s="1"/>
  <c r="W39" i="59"/>
  <c r="X39" i="59" s="1"/>
  <c r="G413" i="59"/>
  <c r="H413" i="59" s="1"/>
  <c r="W50" i="59"/>
  <c r="X50" i="59" s="1"/>
  <c r="G490" i="59"/>
  <c r="H490" i="59" s="1"/>
  <c r="W435" i="59"/>
  <c r="X435" i="59" s="1"/>
  <c r="S403" i="59"/>
  <c r="T403" i="59" s="1"/>
  <c r="W410" i="59"/>
  <c r="X410" i="59" s="1"/>
  <c r="K394" i="59"/>
  <c r="L394" i="59" s="1"/>
  <c r="K380" i="59"/>
  <c r="L380" i="59" s="1"/>
  <c r="G314" i="59"/>
  <c r="H314" i="59" s="1"/>
  <c r="K141" i="59"/>
  <c r="L141" i="59" s="1"/>
  <c r="S304" i="59"/>
  <c r="T304" i="59" s="1"/>
  <c r="W281" i="59"/>
  <c r="X281" i="59" s="1"/>
  <c r="W501" i="59"/>
  <c r="X501" i="59" s="1"/>
  <c r="W289" i="59"/>
  <c r="X289" i="59" s="1"/>
  <c r="W509" i="59"/>
  <c r="X509" i="59" s="1"/>
  <c r="S358" i="59"/>
  <c r="T358" i="59" s="1"/>
  <c r="S337" i="59"/>
  <c r="T337" i="59" s="1"/>
  <c r="S370" i="59"/>
  <c r="T370" i="59" s="1"/>
  <c r="K163" i="59"/>
  <c r="L163" i="59" s="1"/>
  <c r="K174" i="59"/>
  <c r="L174" i="59" s="1"/>
  <c r="W116" i="59"/>
  <c r="X116" i="59" s="1"/>
  <c r="K347" i="59"/>
  <c r="L347" i="59" s="1"/>
  <c r="W336" i="59"/>
  <c r="X336" i="59" s="1"/>
  <c r="W303" i="59"/>
  <c r="X303" i="59" s="1"/>
  <c r="G292" i="59"/>
  <c r="H292" i="59" s="1"/>
  <c r="S282" i="59"/>
  <c r="T282" i="59" s="1"/>
  <c r="S502" i="59"/>
  <c r="T502" i="59" s="1"/>
  <c r="W226" i="59"/>
  <c r="X226" i="59" s="1"/>
  <c r="W234" i="59"/>
  <c r="X234" i="59" s="1"/>
  <c r="G171" i="59"/>
  <c r="H171" i="59" s="1"/>
  <c r="K130" i="59"/>
  <c r="L130" i="59" s="1"/>
  <c r="K86" i="59"/>
  <c r="L86" i="59" s="1"/>
  <c r="K9" i="59"/>
  <c r="L9" i="59" s="1"/>
  <c r="G435" i="59"/>
  <c r="H435" i="59" s="1"/>
  <c r="S292" i="59"/>
  <c r="T292" i="59" s="1"/>
  <c r="S435" i="59"/>
  <c r="T435" i="59" s="1"/>
  <c r="S391" i="59"/>
  <c r="T391" i="59" s="1"/>
  <c r="S281" i="59"/>
  <c r="T281" i="59" s="1"/>
  <c r="G39" i="59"/>
  <c r="H39" i="59" s="1"/>
  <c r="S223" i="59"/>
  <c r="T223" i="59" s="1"/>
  <c r="G270" i="59"/>
  <c r="K490" i="59"/>
  <c r="S270" i="59"/>
  <c r="T270" i="59" s="1"/>
  <c r="G369" i="59"/>
  <c r="G391" i="59"/>
  <c r="S216" i="59"/>
  <c r="T216" i="59" s="1"/>
  <c r="S325" i="59"/>
  <c r="K358" i="59"/>
  <c r="G303" i="59"/>
  <c r="W270" i="59"/>
  <c r="X270" i="59" s="1"/>
  <c r="K281" i="59"/>
  <c r="S413" i="59"/>
  <c r="S446" i="59"/>
  <c r="S314" i="59"/>
  <c r="S369" i="59"/>
  <c r="T369" i="59" s="1"/>
  <c r="K207" i="59"/>
  <c r="L207" i="59" s="1"/>
  <c r="S194" i="59"/>
  <c r="T194" i="59" s="1"/>
  <c r="S205" i="59"/>
  <c r="T205" i="59" s="1"/>
  <c r="S402" i="59"/>
  <c r="S347" i="59"/>
  <c r="T347" i="59" s="1"/>
  <c r="G347" i="59"/>
  <c r="K424" i="59"/>
  <c r="S303" i="59"/>
  <c r="T303" i="59" s="1"/>
  <c r="K501" i="59"/>
  <c r="L501" i="59" s="1"/>
  <c r="W135" i="59"/>
  <c r="X135" i="59" s="1"/>
  <c r="K105" i="59"/>
  <c r="L105" i="59" s="1"/>
  <c r="W193" i="59"/>
  <c r="X193" i="59" s="1"/>
  <c r="G502" i="59"/>
  <c r="H502" i="59" s="1"/>
  <c r="G402" i="57"/>
  <c r="K185" i="59"/>
  <c r="L185" i="59" s="1"/>
  <c r="G139" i="59"/>
  <c r="H139" i="59" s="1"/>
  <c r="S501" i="59"/>
  <c r="T501" i="59" s="1"/>
  <c r="G138" i="59"/>
  <c r="H138" i="59" s="1"/>
  <c r="G227" i="59"/>
  <c r="H227" i="59" s="1"/>
  <c r="W212" i="59"/>
  <c r="X212" i="59" s="1"/>
  <c r="W72" i="59"/>
  <c r="X72" i="59" s="1"/>
  <c r="W124" i="59"/>
  <c r="X124" i="59" s="1"/>
  <c r="W138" i="59"/>
  <c r="X138" i="59" s="1"/>
  <c r="K215" i="59"/>
  <c r="L215" i="59" s="1"/>
  <c r="G116" i="59"/>
  <c r="H116" i="59" s="1"/>
  <c r="G72" i="59"/>
  <c r="H72" i="59" s="1"/>
  <c r="G7" i="59"/>
  <c r="H7" i="59" s="1"/>
  <c r="G501" i="59"/>
  <c r="H501" i="59" s="1"/>
  <c r="G215" i="59"/>
  <c r="H215" i="59" s="1"/>
  <c r="S212" i="59"/>
  <c r="T212" i="59" s="1"/>
  <c r="G193" i="59"/>
  <c r="H193" i="59" s="1"/>
  <c r="K53" i="59"/>
  <c r="L53" i="59" s="1"/>
  <c r="W160" i="59"/>
  <c r="X160" i="59" s="1"/>
  <c r="S157" i="59"/>
  <c r="T157" i="59" s="1"/>
  <c r="S105" i="59"/>
  <c r="T105" i="59" s="1"/>
  <c r="K97" i="59"/>
  <c r="L97" i="59" s="1"/>
  <c r="S36" i="59"/>
  <c r="T36" i="59" s="1"/>
  <c r="S413" i="57"/>
  <c r="T413" i="57" s="1"/>
  <c r="K325" i="57"/>
  <c r="L325" i="57" s="1"/>
  <c r="G17" i="59"/>
  <c r="H17" i="59" s="1"/>
  <c r="S380" i="57"/>
  <c r="T380" i="57" s="1"/>
  <c r="W149" i="59"/>
  <c r="X149" i="59" s="1"/>
  <c r="K226" i="59"/>
  <c r="L226" i="59" s="1"/>
  <c r="G83" i="59"/>
  <c r="H83" i="59" s="1"/>
  <c r="G62" i="59"/>
  <c r="H62" i="59" s="1"/>
  <c r="G18" i="59"/>
  <c r="H18" i="59" s="1"/>
  <c r="W174" i="57"/>
  <c r="X174" i="57" s="1"/>
  <c r="W174" i="59"/>
  <c r="X174" i="59" s="1"/>
  <c r="S179" i="57"/>
  <c r="S179" i="59"/>
  <c r="T179" i="59" s="1"/>
  <c r="S177" i="57"/>
  <c r="S177" i="59"/>
  <c r="T177" i="59" s="1"/>
  <c r="W215" i="59"/>
  <c r="X215" i="59" s="1"/>
  <c r="W105" i="59"/>
  <c r="X105" i="59" s="1"/>
  <c r="W223" i="59"/>
  <c r="X223" i="59" s="1"/>
  <c r="W171" i="59"/>
  <c r="X171" i="59" s="1"/>
  <c r="S149" i="59"/>
  <c r="T149" i="59" s="1"/>
  <c r="G127" i="59"/>
  <c r="H127" i="59" s="1"/>
  <c r="K108" i="59"/>
  <c r="L108" i="59" s="1"/>
  <c r="S72" i="59"/>
  <c r="T72" i="59" s="1"/>
  <c r="S50" i="59"/>
  <c r="T50" i="59" s="1"/>
  <c r="S28" i="59"/>
  <c r="T28" i="59" s="1"/>
  <c r="S215" i="59"/>
  <c r="S204" i="59"/>
  <c r="T204" i="59" s="1"/>
  <c r="S174" i="57"/>
  <c r="T174" i="57" s="1"/>
  <c r="S171" i="59"/>
  <c r="T171" i="59" s="1"/>
  <c r="G149" i="59"/>
  <c r="H149" i="59" s="1"/>
  <c r="S127" i="59"/>
  <c r="T127" i="59" s="1"/>
  <c r="K75" i="59"/>
  <c r="L75" i="59" s="1"/>
  <c r="S25" i="59"/>
  <c r="T25" i="59" s="1"/>
  <c r="S6" i="59"/>
  <c r="K182" i="59"/>
  <c r="L182" i="59" s="1"/>
  <c r="S160" i="59"/>
  <c r="T160" i="59" s="1"/>
  <c r="S83" i="59"/>
  <c r="T83" i="59" s="1"/>
  <c r="W28" i="59"/>
  <c r="X28" i="59" s="1"/>
  <c r="W201" i="59"/>
  <c r="X201" i="59" s="1"/>
  <c r="S138" i="59"/>
  <c r="T138" i="59" s="1"/>
  <c r="S116" i="59"/>
  <c r="T116" i="59" s="1"/>
  <c r="G226" i="59"/>
  <c r="H226" i="59" s="1"/>
  <c r="S47" i="59"/>
  <c r="T47" i="59" s="1"/>
  <c r="G204" i="59"/>
  <c r="H204" i="59" s="1"/>
  <c r="S226" i="59"/>
  <c r="T226" i="59" s="1"/>
  <c r="S182" i="59"/>
  <c r="T182" i="59" s="1"/>
  <c r="G160" i="59"/>
  <c r="H160" i="59" s="1"/>
  <c r="K64" i="59"/>
  <c r="L64" i="59" s="1"/>
  <c r="S17" i="59"/>
  <c r="T17" i="59" s="1"/>
  <c r="S94" i="59"/>
  <c r="T94" i="59" s="1"/>
  <c r="S193" i="59"/>
  <c r="T193" i="59" s="1"/>
  <c r="K171" i="59"/>
  <c r="L171" i="59" s="1"/>
  <c r="K119" i="59"/>
  <c r="L119" i="59" s="1"/>
  <c r="W83" i="59"/>
  <c r="X83" i="59" s="1"/>
  <c r="S61" i="59"/>
  <c r="T61" i="59" s="1"/>
  <c r="S39" i="59"/>
  <c r="T39" i="59" s="1"/>
  <c r="K193" i="57"/>
  <c r="L193" i="57" s="1"/>
  <c r="K119" i="57"/>
  <c r="W212" i="57"/>
  <c r="X212" i="57" s="1"/>
  <c r="L218" i="57" l="1"/>
  <c r="T179" i="57"/>
  <c r="L229" i="57"/>
  <c r="H402" i="57"/>
  <c r="L262" i="57"/>
  <c r="L119" i="57"/>
  <c r="L251" i="57"/>
  <c r="Z292" i="59"/>
  <c r="AC297" i="59" s="1"/>
  <c r="G336" i="57"/>
  <c r="K42" i="57"/>
  <c r="K361" i="57"/>
  <c r="S370" i="57"/>
  <c r="K174" i="57"/>
  <c r="W336" i="57"/>
  <c r="X336" i="57" s="1"/>
  <c r="W410" i="57"/>
  <c r="K20" i="57"/>
  <c r="K240" i="57"/>
  <c r="K152" i="57"/>
  <c r="K31" i="57"/>
  <c r="W377" i="57"/>
  <c r="W402" i="57"/>
  <c r="X402" i="57" s="1"/>
  <c r="S271" i="57"/>
  <c r="Y380" i="59"/>
  <c r="AC386" i="59" s="1"/>
  <c r="W50" i="57"/>
  <c r="X50" i="57" s="1"/>
  <c r="K284" i="57"/>
  <c r="K306" i="57"/>
  <c r="K328" i="57"/>
  <c r="K405" i="57"/>
  <c r="K394" i="57"/>
  <c r="K273" i="57"/>
  <c r="K295" i="57"/>
  <c r="K317" i="57"/>
  <c r="K339" i="57"/>
  <c r="K383" i="57"/>
  <c r="K889" i="57"/>
  <c r="K416" i="57"/>
  <c r="K372" i="57"/>
  <c r="Z380" i="59"/>
  <c r="AC385" i="59" s="1"/>
  <c r="K347" i="57"/>
  <c r="L347" i="57" s="1"/>
  <c r="K141" i="57"/>
  <c r="Z336" i="59"/>
  <c r="AC341" i="59" s="1"/>
  <c r="Y292" i="59"/>
  <c r="AC298" i="59" s="1"/>
  <c r="S61" i="57"/>
  <c r="G281" i="57"/>
  <c r="W248" i="57"/>
  <c r="X248" i="57" s="1"/>
  <c r="W256" i="57"/>
  <c r="S304" i="57"/>
  <c r="S337" i="57"/>
  <c r="G182" i="57"/>
  <c r="K314" i="57"/>
  <c r="L314" i="57" s="1"/>
  <c r="W303" i="57"/>
  <c r="X303" i="57" s="1"/>
  <c r="Y336" i="59"/>
  <c r="AC342" i="59" s="1"/>
  <c r="G259" i="57"/>
  <c r="W270" i="57"/>
  <c r="X270" i="57" s="1"/>
  <c r="W226" i="57"/>
  <c r="X226" i="57" s="1"/>
  <c r="S249" i="57"/>
  <c r="T249" i="57" s="1"/>
  <c r="W234" i="57"/>
  <c r="K163" i="57"/>
  <c r="K149" i="57"/>
  <c r="L149" i="57" s="1"/>
  <c r="K130" i="57"/>
  <c r="K86" i="57"/>
  <c r="G28" i="57"/>
  <c r="Z435" i="59"/>
  <c r="AC440" i="59" s="1"/>
  <c r="Y435" i="59"/>
  <c r="AC441" i="59" s="1"/>
  <c r="S402" i="57"/>
  <c r="T402" i="57" s="1"/>
  <c r="W127" i="57"/>
  <c r="X127" i="57" s="1"/>
  <c r="W182" i="57"/>
  <c r="X182" i="57" s="1"/>
  <c r="S259" i="57"/>
  <c r="T259" i="57" s="1"/>
  <c r="G160" i="57"/>
  <c r="W28" i="57"/>
  <c r="X28" i="57" s="1"/>
  <c r="X36" i="57"/>
  <c r="Y347" i="59"/>
  <c r="AC353" i="59" s="1"/>
  <c r="H347" i="59"/>
  <c r="Z347" i="59" s="1"/>
  <c r="AC352" i="59" s="1"/>
  <c r="Y402" i="59"/>
  <c r="AC408" i="59" s="1"/>
  <c r="T402" i="59"/>
  <c r="Z402" i="59" s="1"/>
  <c r="Y446" i="59"/>
  <c r="AC452" i="59" s="1"/>
  <c r="T446" i="59"/>
  <c r="Z446" i="59" s="1"/>
  <c r="AC451" i="59" s="1"/>
  <c r="Y281" i="59"/>
  <c r="AC287" i="59" s="1"/>
  <c r="L281" i="59"/>
  <c r="Z281" i="59" s="1"/>
  <c r="AC286" i="59" s="1"/>
  <c r="Y303" i="59"/>
  <c r="AC309" i="59" s="1"/>
  <c r="H303" i="59"/>
  <c r="Z303" i="59" s="1"/>
  <c r="AC308" i="59" s="1"/>
  <c r="Y358" i="59"/>
  <c r="AC364" i="59" s="1"/>
  <c r="L358" i="59"/>
  <c r="Z358" i="59" s="1"/>
  <c r="AC363" i="59" s="1"/>
  <c r="Y369" i="59"/>
  <c r="AC375" i="59" s="1"/>
  <c r="H369" i="59"/>
  <c r="Z369" i="59" s="1"/>
  <c r="AC374" i="59" s="1"/>
  <c r="Y490" i="59"/>
  <c r="AC496" i="59" s="1"/>
  <c r="L490" i="59"/>
  <c r="Z490" i="59" s="1"/>
  <c r="AC495" i="59" s="1"/>
  <c r="Y270" i="59"/>
  <c r="AC276" i="59" s="1"/>
  <c r="H270" i="59"/>
  <c r="Z270" i="59" s="1"/>
  <c r="AC275" i="59" s="1"/>
  <c r="Y424" i="59"/>
  <c r="AC430" i="59" s="1"/>
  <c r="L424" i="59"/>
  <c r="Z424" i="59" s="1"/>
  <c r="Y314" i="59"/>
  <c r="AC320" i="59" s="1"/>
  <c r="T314" i="59"/>
  <c r="Z314" i="59" s="1"/>
  <c r="AC319" i="59" s="1"/>
  <c r="Y413" i="59"/>
  <c r="AC419" i="59" s="1"/>
  <c r="T413" i="59"/>
  <c r="Z413" i="59" s="1"/>
  <c r="Y325" i="59"/>
  <c r="AC331" i="59" s="1"/>
  <c r="T325" i="59"/>
  <c r="Z325" i="59" s="1"/>
  <c r="AC330" i="59" s="1"/>
  <c r="Y391" i="59"/>
  <c r="AC397" i="59" s="1"/>
  <c r="H391" i="59"/>
  <c r="Z391" i="59" s="1"/>
  <c r="AC396" i="59" s="1"/>
  <c r="G358" i="57"/>
  <c r="K391" i="57"/>
  <c r="G270" i="57"/>
  <c r="G380" i="57"/>
  <c r="G347" i="57"/>
  <c r="G325" i="57"/>
  <c r="K402" i="57"/>
  <c r="S336" i="57"/>
  <c r="G171" i="57"/>
  <c r="K358" i="57"/>
  <c r="G314" i="57"/>
  <c r="S391" i="57"/>
  <c r="S281" i="57"/>
  <c r="S358" i="57"/>
  <c r="T358" i="57" s="1"/>
  <c r="G204" i="57"/>
  <c r="S270" i="57"/>
  <c r="S369" i="57"/>
  <c r="G413" i="57"/>
  <c r="S314" i="57"/>
  <c r="T314" i="57" s="1"/>
  <c r="K248" i="57"/>
  <c r="L248" i="57" s="1"/>
  <c r="S216" i="57"/>
  <c r="S223" i="57"/>
  <c r="K207" i="57"/>
  <c r="S194" i="57"/>
  <c r="W135" i="57"/>
  <c r="S150" i="57"/>
  <c r="K185" i="57"/>
  <c r="S248" i="57"/>
  <c r="T248" i="57" s="1"/>
  <c r="W193" i="57"/>
  <c r="X193" i="57" s="1"/>
  <c r="Z138" i="59"/>
  <c r="AC143" i="59" s="1"/>
  <c r="W124" i="57"/>
  <c r="W204" i="57"/>
  <c r="X204" i="57" s="1"/>
  <c r="K160" i="57"/>
  <c r="L160" i="57" s="1"/>
  <c r="W160" i="57"/>
  <c r="X160" i="57" s="1"/>
  <c r="W138" i="57"/>
  <c r="X138" i="57" s="1"/>
  <c r="K105" i="57"/>
  <c r="L105" i="57" s="1"/>
  <c r="G39" i="57"/>
  <c r="Z501" i="59"/>
  <c r="AC506" i="59" s="1"/>
  <c r="G248" i="57"/>
  <c r="Y501" i="59"/>
  <c r="AC507" i="59" s="1"/>
  <c r="S212" i="57"/>
  <c r="G94" i="57"/>
  <c r="K53" i="57"/>
  <c r="G249" i="57"/>
  <c r="G238" i="57"/>
  <c r="G227" i="57"/>
  <c r="G260" i="57"/>
  <c r="K215" i="57"/>
  <c r="L215" i="57" s="1"/>
  <c r="G193" i="57"/>
  <c r="G172" i="57"/>
  <c r="S157" i="57"/>
  <c r="G139" i="57"/>
  <c r="G116" i="57"/>
  <c r="G105" i="57"/>
  <c r="K97" i="57"/>
  <c r="G72" i="57"/>
  <c r="W72" i="57"/>
  <c r="X72" i="57" s="1"/>
  <c r="S105" i="57"/>
  <c r="T105" i="57" s="1"/>
  <c r="AL34" i="66"/>
  <c r="G17" i="57"/>
  <c r="W105" i="57"/>
  <c r="X105" i="57" s="1"/>
  <c r="S28" i="57"/>
  <c r="W83" i="57"/>
  <c r="X83" i="57" s="1"/>
  <c r="K75" i="57"/>
  <c r="K182" i="57"/>
  <c r="L182" i="57" s="1"/>
  <c r="K171" i="57"/>
  <c r="L171" i="57" s="1"/>
  <c r="W223" i="57"/>
  <c r="X223" i="57" s="1"/>
  <c r="S47" i="57"/>
  <c r="W201" i="57"/>
  <c r="S171" i="57"/>
  <c r="T171" i="57" s="1"/>
  <c r="G149" i="57"/>
  <c r="S160" i="57"/>
  <c r="T160" i="57" s="1"/>
  <c r="G226" i="57"/>
  <c r="W171" i="57"/>
  <c r="X171" i="57" s="1"/>
  <c r="S72" i="57"/>
  <c r="T72" i="57" s="1"/>
  <c r="S127" i="57"/>
  <c r="T127" i="57" s="1"/>
  <c r="S94" i="57"/>
  <c r="S226" i="57"/>
  <c r="T226" i="57" s="1"/>
  <c r="K108" i="57"/>
  <c r="K64" i="57"/>
  <c r="AL34" i="62"/>
  <c r="S50" i="57"/>
  <c r="S193" i="57"/>
  <c r="T193" i="57" s="1"/>
  <c r="G237" i="57"/>
  <c r="G127" i="57"/>
  <c r="W149" i="57"/>
  <c r="X149" i="57" s="1"/>
  <c r="AL34" i="63"/>
  <c r="AL38" i="64"/>
  <c r="G18" i="57"/>
  <c r="K226" i="57"/>
  <c r="L226" i="57" s="1"/>
  <c r="Y105" i="59"/>
  <c r="AC111" i="59" s="1"/>
  <c r="T215" i="59"/>
  <c r="Y215" i="59"/>
  <c r="AC221" i="59" s="1"/>
  <c r="Y171" i="59"/>
  <c r="AC177" i="59" s="1"/>
  <c r="Y6" i="59"/>
  <c r="AC12" i="59" s="1"/>
  <c r="T6" i="59"/>
  <c r="Z6" i="59" s="1"/>
  <c r="Y204" i="59"/>
  <c r="AC210" i="59" s="1"/>
  <c r="Y138" i="59"/>
  <c r="AC144" i="59" s="1"/>
  <c r="Z105" i="59"/>
  <c r="AC110" i="59" s="1"/>
  <c r="Z171" i="59"/>
  <c r="AC176" i="59" s="1"/>
  <c r="Z204" i="59"/>
  <c r="Y39" i="59"/>
  <c r="AC45" i="59" s="1"/>
  <c r="Z39" i="59"/>
  <c r="AC44" i="59" s="1"/>
  <c r="Y193" i="59"/>
  <c r="AC199" i="59" s="1"/>
  <c r="Z193" i="59"/>
  <c r="AC198" i="59" s="1"/>
  <c r="Y17" i="59"/>
  <c r="AC23" i="59" s="1"/>
  <c r="Z17" i="59"/>
  <c r="Y160" i="59"/>
  <c r="AC166" i="59" s="1"/>
  <c r="Z160" i="59"/>
  <c r="AC165" i="59" s="1"/>
  <c r="Z72" i="59"/>
  <c r="AC77" i="59" s="1"/>
  <c r="Y72" i="59"/>
  <c r="AC78" i="59" s="1"/>
  <c r="Y149" i="59"/>
  <c r="AC155" i="59" s="1"/>
  <c r="Z149" i="59"/>
  <c r="AC154" i="59" s="1"/>
  <c r="Y50" i="59"/>
  <c r="AC56" i="59" s="1"/>
  <c r="Z50" i="59"/>
  <c r="AC55" i="59" s="1"/>
  <c r="Y127" i="59"/>
  <c r="AC133" i="59" s="1"/>
  <c r="Z127" i="59"/>
  <c r="AC132" i="59" s="1"/>
  <c r="Z116" i="59"/>
  <c r="AC121" i="59" s="1"/>
  <c r="Y116" i="59"/>
  <c r="AC122" i="59" s="1"/>
  <c r="Y94" i="59"/>
  <c r="AC100" i="59" s="1"/>
  <c r="Z94" i="59"/>
  <c r="AC99" i="59" s="1"/>
  <c r="Z61" i="59"/>
  <c r="Y61" i="59"/>
  <c r="AC67" i="59" s="1"/>
  <c r="Y226" i="59"/>
  <c r="AC232" i="59" s="1"/>
  <c r="Z226" i="59"/>
  <c r="AC231" i="59" s="1"/>
  <c r="Y83" i="59"/>
  <c r="AC89" i="59" s="1"/>
  <c r="Z83" i="59"/>
  <c r="AC88" i="59" s="1"/>
  <c r="Y182" i="59"/>
  <c r="AC188" i="59" s="1"/>
  <c r="Z182" i="59"/>
  <c r="AC187" i="59" s="1"/>
  <c r="Y28" i="59"/>
  <c r="AC34" i="59" s="1"/>
  <c r="Z28" i="59"/>
  <c r="AC33" i="59" s="1"/>
  <c r="Q3" i="40"/>
  <c r="P3" i="25"/>
  <c r="O7" i="38"/>
  <c r="S127" i="60"/>
  <c r="T127" i="60" s="1"/>
  <c r="S204" i="60"/>
  <c r="T204" i="60" s="1"/>
  <c r="S358" i="60"/>
  <c r="T358" i="60" s="1"/>
  <c r="W303" i="60"/>
  <c r="X303" i="60" s="1"/>
  <c r="W402" i="60"/>
  <c r="K97" i="60"/>
  <c r="L97" i="60" s="1"/>
  <c r="S28" i="60"/>
  <c r="G281" i="60"/>
  <c r="H281" i="60" s="1"/>
  <c r="U11" i="57"/>
  <c r="Q11" i="57"/>
  <c r="U8" i="57"/>
  <c r="Q16" i="57"/>
  <c r="Q15" i="57"/>
  <c r="I10" i="57"/>
  <c r="I9" i="57"/>
  <c r="U7" i="57"/>
  <c r="Y248" i="57" l="1"/>
  <c r="AC253" i="57" s="1"/>
  <c r="Y281" i="57"/>
  <c r="AC286" i="57" s="1"/>
  <c r="Y270" i="57"/>
  <c r="AC275" i="57" s="1"/>
  <c r="Y226" i="57"/>
  <c r="AC231" i="57" s="1"/>
  <c r="Y259" i="57"/>
  <c r="AC264" i="57" s="1"/>
  <c r="Y798" i="59"/>
  <c r="T25" i="57"/>
  <c r="H105" i="57"/>
  <c r="H172" i="57"/>
  <c r="H227" i="57"/>
  <c r="H39" i="57"/>
  <c r="L185" i="57"/>
  <c r="X135" i="57"/>
  <c r="T216" i="57"/>
  <c r="H171" i="57"/>
  <c r="L391" i="57"/>
  <c r="H160" i="57"/>
  <c r="L86" i="57"/>
  <c r="X234" i="57"/>
  <c r="H259" i="57"/>
  <c r="H182" i="57"/>
  <c r="X256" i="57"/>
  <c r="L383" i="57"/>
  <c r="L273" i="57"/>
  <c r="L328" i="57"/>
  <c r="L240" i="57"/>
  <c r="L174" i="57"/>
  <c r="H336" i="57"/>
  <c r="H237" i="57"/>
  <c r="L64" i="57"/>
  <c r="X201" i="57"/>
  <c r="L75" i="57"/>
  <c r="H17" i="57"/>
  <c r="H116" i="57"/>
  <c r="H193" i="57"/>
  <c r="H238" i="57"/>
  <c r="L53" i="57"/>
  <c r="T194" i="57"/>
  <c r="H204" i="57"/>
  <c r="H358" i="57"/>
  <c r="L130" i="57"/>
  <c r="L372" i="57"/>
  <c r="L339" i="57"/>
  <c r="L306" i="57"/>
  <c r="X377" i="57"/>
  <c r="L20" i="57"/>
  <c r="T370" i="57"/>
  <c r="H226" i="57"/>
  <c r="T47" i="57"/>
  <c r="H72" i="57"/>
  <c r="H139" i="57"/>
  <c r="H94" i="57"/>
  <c r="H248" i="57"/>
  <c r="X124" i="57"/>
  <c r="L207" i="57"/>
  <c r="T337" i="57"/>
  <c r="H281" i="57"/>
  <c r="L141" i="57"/>
  <c r="L416" i="57"/>
  <c r="L317" i="57"/>
  <c r="L394" i="57"/>
  <c r="L284" i="57"/>
  <c r="L31" i="57"/>
  <c r="X410" i="57"/>
  <c r="L361" i="57"/>
  <c r="H62" i="57"/>
  <c r="H18" i="57"/>
  <c r="H149" i="57"/>
  <c r="L97" i="57"/>
  <c r="T157" i="57"/>
  <c r="H260" i="57"/>
  <c r="T212" i="57"/>
  <c r="T150" i="57"/>
  <c r="T223" i="57"/>
  <c r="H270" i="57"/>
  <c r="H28" i="57"/>
  <c r="L163" i="57"/>
  <c r="T304" i="57"/>
  <c r="T61" i="57"/>
  <c r="L295" i="57"/>
  <c r="L405" i="57"/>
  <c r="T271" i="57"/>
  <c r="L152" i="57"/>
  <c r="L42" i="57"/>
  <c r="L889" i="57"/>
  <c r="Y886" i="57"/>
  <c r="AC891" i="57" s="1"/>
  <c r="T28" i="60"/>
  <c r="Y28" i="60"/>
  <c r="W336" i="60"/>
  <c r="X336" i="60" s="1"/>
  <c r="Y358" i="60"/>
  <c r="S171" i="60"/>
  <c r="T171" i="60" s="1"/>
  <c r="G380" i="60"/>
  <c r="Y402" i="60"/>
  <c r="X402" i="60"/>
  <c r="S413" i="60"/>
  <c r="Y413" i="60" s="1"/>
  <c r="S116" i="60"/>
  <c r="T116" i="60" s="1"/>
  <c r="K9" i="60"/>
  <c r="L9" i="60" s="1"/>
  <c r="S149" i="60"/>
  <c r="T149" i="60" s="1"/>
  <c r="S281" i="60"/>
  <c r="T281" i="60" s="1"/>
  <c r="K75" i="60"/>
  <c r="L75" i="60" s="1"/>
  <c r="S17" i="60"/>
  <c r="S336" i="60"/>
  <c r="T336" i="60" s="1"/>
  <c r="S369" i="60"/>
  <c r="S270" i="60"/>
  <c r="K141" i="60"/>
  <c r="L141" i="60" s="1"/>
  <c r="S61" i="60"/>
  <c r="T61" i="60" s="1"/>
  <c r="S259" i="60"/>
  <c r="W116" i="60"/>
  <c r="W39" i="60"/>
  <c r="X39" i="60" s="1"/>
  <c r="S303" i="60"/>
  <c r="T303" i="60" s="1"/>
  <c r="S314" i="60"/>
  <c r="S105" i="60"/>
  <c r="T105" i="60" s="1"/>
  <c r="S215" i="60"/>
  <c r="Y347" i="60"/>
  <c r="Y248" i="60"/>
  <c r="Y413" i="57"/>
  <c r="AC418" i="57" s="1"/>
  <c r="H413" i="57"/>
  <c r="T369" i="57"/>
  <c r="Y369" i="57"/>
  <c r="AC374" i="57" s="1"/>
  <c r="Y391" i="57"/>
  <c r="AC396" i="57" s="1"/>
  <c r="T391" i="57"/>
  <c r="L402" i="57"/>
  <c r="Y402" i="57"/>
  <c r="AC407" i="57" s="1"/>
  <c r="H325" i="57"/>
  <c r="H347" i="57"/>
  <c r="H380" i="57"/>
  <c r="Y380" i="57"/>
  <c r="AC385" i="57" s="1"/>
  <c r="T270" i="57"/>
  <c r="T281" i="57"/>
  <c r="H314" i="57"/>
  <c r="Y314" i="57"/>
  <c r="AC319" i="57" s="1"/>
  <c r="L358" i="57"/>
  <c r="Y358" i="57"/>
  <c r="AC363" i="57" s="1"/>
  <c r="T336" i="57"/>
  <c r="Y336" i="57"/>
  <c r="AC341" i="57" s="1"/>
  <c r="S435" i="60"/>
  <c r="Y435" i="60" s="1"/>
  <c r="Y50" i="57"/>
  <c r="AC55" i="57" s="1"/>
  <c r="Y94" i="57"/>
  <c r="AC99" i="57" s="1"/>
  <c r="Y127" i="60"/>
  <c r="H249" i="57"/>
  <c r="Y28" i="57"/>
  <c r="Y105" i="57"/>
  <c r="AC110" i="57" s="1"/>
  <c r="T28" i="57"/>
  <c r="Y72" i="57"/>
  <c r="AC77" i="57" s="1"/>
  <c r="Y160" i="57"/>
  <c r="AC165" i="57" s="1"/>
  <c r="Y171" i="57"/>
  <c r="AC176" i="57" s="1"/>
  <c r="L108" i="57"/>
  <c r="Y127" i="57"/>
  <c r="AC132" i="57" s="1"/>
  <c r="T50" i="57"/>
  <c r="T94" i="57"/>
  <c r="H127" i="57"/>
  <c r="Y61" i="57"/>
  <c r="S6" i="60"/>
  <c r="Y424" i="60"/>
  <c r="Z215" i="59"/>
  <c r="AC220" i="59" s="1"/>
  <c r="B6" i="57"/>
  <c r="K9" i="57" s="1"/>
  <c r="AR3" i="9"/>
  <c r="AP3" i="9" s="1"/>
  <c r="AC638" i="59" s="1"/>
  <c r="AN2" i="26"/>
  <c r="AC209" i="59" l="1"/>
  <c r="T633" i="60"/>
  <c r="T634" i="60"/>
  <c r="AC407" i="59"/>
  <c r="AC418" i="59"/>
  <c r="AC429" i="59"/>
  <c r="AC22" i="59"/>
  <c r="AC11" i="59"/>
  <c r="AC616" i="59"/>
  <c r="AC66" i="59"/>
  <c r="D8" i="68"/>
  <c r="AC66" i="57"/>
  <c r="Z798" i="59"/>
  <c r="D5" i="68"/>
  <c r="AC33" i="57"/>
  <c r="B3" i="68"/>
  <c r="D6" i="57"/>
  <c r="C6" i="57"/>
  <c r="C3" i="68" s="1"/>
  <c r="T513" i="60"/>
  <c r="Z512" i="60" s="1"/>
  <c r="L504" i="60"/>
  <c r="Z501" i="60" s="1"/>
  <c r="T17" i="60"/>
  <c r="Y17" i="60"/>
  <c r="T215" i="60"/>
  <c r="Y215" i="60"/>
  <c r="AO3" i="9"/>
  <c r="T413" i="60"/>
  <c r="Y380" i="60"/>
  <c r="H380" i="60"/>
  <c r="Y281" i="60"/>
  <c r="Y149" i="60"/>
  <c r="Y138" i="60"/>
  <c r="Y336" i="60"/>
  <c r="Y369" i="60"/>
  <c r="T369" i="60"/>
  <c r="Z369" i="60" s="1"/>
  <c r="Y270" i="60"/>
  <c r="T270" i="60"/>
  <c r="Y259" i="60"/>
  <c r="T259" i="60"/>
  <c r="Y116" i="60"/>
  <c r="X116" i="60"/>
  <c r="Y303" i="60"/>
  <c r="Y314" i="60"/>
  <c r="T314" i="60"/>
  <c r="Y6" i="60"/>
  <c r="T6" i="60"/>
  <c r="Y94" i="60"/>
  <c r="Y160" i="60"/>
  <c r="Y72" i="60"/>
  <c r="Y50" i="60"/>
  <c r="Y39" i="60"/>
  <c r="Y193" i="60"/>
  <c r="Y226" i="60"/>
  <c r="Y61" i="60"/>
  <c r="Y105" i="60"/>
  <c r="Y204" i="60"/>
  <c r="Y83" i="60"/>
  <c r="Y171" i="60"/>
  <c r="W14" i="57"/>
  <c r="S10" i="57"/>
  <c r="O6" i="57"/>
  <c r="P6" i="57" s="1"/>
  <c r="W13" i="57"/>
  <c r="X13" i="57" s="1"/>
  <c r="W12" i="57"/>
  <c r="S15" i="57"/>
  <c r="O7" i="57"/>
  <c r="P7" i="57" s="1"/>
  <c r="K10" i="57"/>
  <c r="S12" i="57"/>
  <c r="W16" i="57"/>
  <c r="X16" i="57" s="1"/>
  <c r="W8" i="57"/>
  <c r="X8" i="57" s="1"/>
  <c r="W15" i="57"/>
  <c r="X15" i="57" s="1"/>
  <c r="W10" i="57"/>
  <c r="X10" i="57" s="1"/>
  <c r="S13" i="57"/>
  <c r="S8" i="57"/>
  <c r="S16" i="57"/>
  <c r="S11" i="57"/>
  <c r="W9" i="57"/>
  <c r="S6" i="57"/>
  <c r="S9" i="57"/>
  <c r="S7" i="57"/>
  <c r="T7" i="57" s="1"/>
  <c r="W6" i="57"/>
  <c r="K6" i="57"/>
  <c r="G7" i="57"/>
  <c r="G6" i="57"/>
  <c r="W11" i="57"/>
  <c r="X11" i="57" s="1"/>
  <c r="S14" i="57"/>
  <c r="W7" i="57"/>
  <c r="X7" i="57" s="1"/>
  <c r="K7" i="57"/>
  <c r="AL34" i="25"/>
  <c r="Z633" i="60" l="1"/>
  <c r="Q881" i="57"/>
  <c r="T881" i="57" s="1"/>
  <c r="Z875" i="57" s="1"/>
  <c r="AC879" i="57" s="1"/>
  <c r="Q870" i="57"/>
  <c r="T870" i="57" s="1"/>
  <c r="Z864" i="57" s="1"/>
  <c r="AC868" i="57" s="1"/>
  <c r="Q859" i="57"/>
  <c r="T859" i="57" s="1"/>
  <c r="Z853" i="57" s="1"/>
  <c r="AC857" i="57" s="1"/>
  <c r="Q837" i="57"/>
  <c r="T837" i="57" s="1"/>
  <c r="Z831" i="57" s="1"/>
  <c r="Q826" i="57"/>
  <c r="T826" i="57" s="1"/>
  <c r="Z820" i="57" s="1"/>
  <c r="Q804" i="57"/>
  <c r="T804" i="57" s="1"/>
  <c r="Z798" i="57" s="1"/>
  <c r="Q848" i="57"/>
  <c r="T848" i="57" s="1"/>
  <c r="Z842" i="57" s="1"/>
  <c r="AC846" i="57" s="1"/>
  <c r="Q760" i="57"/>
  <c r="T760" i="57" s="1"/>
  <c r="Z754" i="57" s="1"/>
  <c r="Y787" i="60"/>
  <c r="Q815" i="57"/>
  <c r="T815" i="57" s="1"/>
  <c r="Z809" i="57" s="1"/>
  <c r="Q793" i="57"/>
  <c r="T793" i="57" s="1"/>
  <c r="Z787" i="57" s="1"/>
  <c r="Q782" i="57"/>
  <c r="T782" i="57" s="1"/>
  <c r="Z776" i="57" s="1"/>
  <c r="Q771" i="57"/>
  <c r="T771" i="57" s="1"/>
  <c r="Z765" i="57" s="1"/>
  <c r="T16" i="57"/>
  <c r="L10" i="57"/>
  <c r="T8" i="57"/>
  <c r="T13" i="57"/>
  <c r="T15" i="57"/>
  <c r="L9" i="57"/>
  <c r="T11" i="57"/>
  <c r="Q738" i="57"/>
  <c r="T738" i="57" s="1"/>
  <c r="Z732" i="57" s="1"/>
  <c r="Q749" i="57"/>
  <c r="T749" i="57" s="1"/>
  <c r="Z743" i="57" s="1"/>
  <c r="Q705" i="57"/>
  <c r="T705" i="57" s="1"/>
  <c r="Q694" i="57"/>
  <c r="T694" i="57" s="1"/>
  <c r="Z688" i="57" s="1"/>
  <c r="Q727" i="57"/>
  <c r="T727" i="57" s="1"/>
  <c r="Q716" i="57"/>
  <c r="T716" i="57" s="1"/>
  <c r="Q672" i="57"/>
  <c r="T672" i="57" s="1"/>
  <c r="Q650" i="57"/>
  <c r="T650" i="57" s="1"/>
  <c r="Z644" i="57" s="1"/>
  <c r="Q661" i="57"/>
  <c r="T661" i="57" s="1"/>
  <c r="Z655" i="57" s="1"/>
  <c r="Q683" i="57"/>
  <c r="T683" i="57" s="1"/>
  <c r="Z677" i="57" s="1"/>
  <c r="Q628" i="57"/>
  <c r="T628" i="57" s="1"/>
  <c r="Q639" i="57"/>
  <c r="T639" i="57" s="1"/>
  <c r="Z633" i="57" s="1"/>
  <c r="Q606" i="57"/>
  <c r="T606" i="57" s="1"/>
  <c r="Q617" i="57"/>
  <c r="T617" i="57" s="1"/>
  <c r="Z611" i="57" s="1"/>
  <c r="Q584" i="57"/>
  <c r="T584" i="57" s="1"/>
  <c r="Q595" i="57"/>
  <c r="T595" i="57" s="1"/>
  <c r="Z589" i="57" s="1"/>
  <c r="Q562" i="57"/>
  <c r="T562" i="57" s="1"/>
  <c r="Z556" i="57" s="1"/>
  <c r="Q573" i="57"/>
  <c r="T573" i="57" s="1"/>
  <c r="Q540" i="57"/>
  <c r="T540" i="57" s="1"/>
  <c r="Q551" i="57"/>
  <c r="T551" i="57" s="1"/>
  <c r="Q518" i="57"/>
  <c r="T518" i="57" s="1"/>
  <c r="Q529" i="57"/>
  <c r="T529" i="57" s="1"/>
  <c r="Z523" i="57" s="1"/>
  <c r="Q496" i="57"/>
  <c r="T496" i="57" s="1"/>
  <c r="Q507" i="57"/>
  <c r="T507" i="57" s="1"/>
  <c r="Q474" i="57"/>
  <c r="T474" i="57" s="1"/>
  <c r="Z468" i="57" s="1"/>
  <c r="Q485" i="57"/>
  <c r="T485" i="57" s="1"/>
  <c r="Z479" i="57" s="1"/>
  <c r="Q452" i="57"/>
  <c r="T452" i="57" s="1"/>
  <c r="Q463" i="57"/>
  <c r="T463" i="57" s="1"/>
  <c r="Q430" i="57"/>
  <c r="T430" i="57" s="1"/>
  <c r="Z424" i="57" s="1"/>
  <c r="Q441" i="57"/>
  <c r="T441" i="57" s="1"/>
  <c r="Z435" i="57" s="1"/>
  <c r="Z292" i="60"/>
  <c r="H435" i="60"/>
  <c r="Q419" i="57"/>
  <c r="T419" i="57" s="1"/>
  <c r="Z413" i="57" s="1"/>
  <c r="Q408" i="57"/>
  <c r="T408" i="57" s="1"/>
  <c r="Z402" i="57" s="1"/>
  <c r="Q397" i="57"/>
  <c r="T397" i="57" s="1"/>
  <c r="Z391" i="57" s="1"/>
  <c r="Q386" i="57"/>
  <c r="T386" i="57" s="1"/>
  <c r="Z380" i="57" s="1"/>
  <c r="Q375" i="57"/>
  <c r="T375" i="57" s="1"/>
  <c r="Z369" i="57" s="1"/>
  <c r="Q364" i="57"/>
  <c r="T364" i="57" s="1"/>
  <c r="Z358" i="57" s="1"/>
  <c r="Q353" i="57"/>
  <c r="T353" i="57" s="1"/>
  <c r="Q342" i="57"/>
  <c r="T342" i="57" s="1"/>
  <c r="Z336" i="57" s="1"/>
  <c r="AC340" i="57" s="1"/>
  <c r="Q331" i="57"/>
  <c r="T331" i="57" s="1"/>
  <c r="Q309" i="57"/>
  <c r="T309" i="57" s="1"/>
  <c r="Q298" i="57"/>
  <c r="T298" i="57" s="1"/>
  <c r="Q320" i="57"/>
  <c r="T320" i="57" s="1"/>
  <c r="Z314" i="57" s="1"/>
  <c r="Q254" i="57"/>
  <c r="T254" i="57" s="1"/>
  <c r="Z248" i="57" s="1"/>
  <c r="Q287" i="57"/>
  <c r="T287" i="57" s="1"/>
  <c r="Z281" i="57" s="1"/>
  <c r="Q276" i="57"/>
  <c r="T276" i="57" s="1"/>
  <c r="Z270" i="57" s="1"/>
  <c r="AL38" i="40"/>
  <c r="Q892" i="57"/>
  <c r="T892" i="57" s="1"/>
  <c r="Z886" i="57" s="1"/>
  <c r="AC890" i="57" s="1"/>
  <c r="Q265" i="57"/>
  <c r="T265" i="57" s="1"/>
  <c r="Z259" i="57" s="1"/>
  <c r="Y6" i="57"/>
  <c r="Q232" i="57"/>
  <c r="T232" i="57" s="1"/>
  <c r="Z226" i="57" s="1"/>
  <c r="Q210" i="57"/>
  <c r="T210" i="57" s="1"/>
  <c r="Q199" i="57"/>
  <c r="T199" i="57" s="1"/>
  <c r="Q188" i="57"/>
  <c r="T188" i="57" s="1"/>
  <c r="Q133" i="57"/>
  <c r="T133" i="57" s="1"/>
  <c r="Z127" i="57" s="1"/>
  <c r="Q243" i="57"/>
  <c r="T243" i="57" s="1"/>
  <c r="Q221" i="57"/>
  <c r="T221" i="57" s="1"/>
  <c r="Q166" i="57"/>
  <c r="T166" i="57" s="1"/>
  <c r="Z160" i="57" s="1"/>
  <c r="Q89" i="57"/>
  <c r="T89" i="57" s="1"/>
  <c r="Q100" i="57"/>
  <c r="T100" i="57" s="1"/>
  <c r="Z94" i="57" s="1"/>
  <c r="Q155" i="57"/>
  <c r="T155" i="57" s="1"/>
  <c r="Q144" i="57"/>
  <c r="T144" i="57" s="1"/>
  <c r="Q56" i="57"/>
  <c r="T56" i="57" s="1"/>
  <c r="Z50" i="57" s="1"/>
  <c r="Q45" i="57"/>
  <c r="T45" i="57" s="1"/>
  <c r="Q34" i="57"/>
  <c r="T34" i="57" s="1"/>
  <c r="Z28" i="57" s="1"/>
  <c r="Q78" i="57"/>
  <c r="T78" i="57" s="1"/>
  <c r="Z72" i="57" s="1"/>
  <c r="Q67" i="57"/>
  <c r="T67" i="57" s="1"/>
  <c r="Z61" i="57" s="1"/>
  <c r="Q177" i="57"/>
  <c r="T177" i="57" s="1"/>
  <c r="Z171" i="57" s="1"/>
  <c r="Q122" i="57"/>
  <c r="T122" i="57" s="1"/>
  <c r="Q111" i="57"/>
  <c r="T111" i="57" s="1"/>
  <c r="Z105" i="57" s="1"/>
  <c r="U12" i="57"/>
  <c r="X12" i="57" s="1"/>
  <c r="Q6" i="57"/>
  <c r="T6" i="57" s="1"/>
  <c r="E6" i="57"/>
  <c r="H6" i="57" s="1"/>
  <c r="Q23" i="57"/>
  <c r="T23" i="57" s="1"/>
  <c r="U9" i="57"/>
  <c r="X9" i="57" s="1"/>
  <c r="I7" i="57"/>
  <c r="L7" i="57" s="1"/>
  <c r="U6" i="57"/>
  <c r="X6" i="57" s="1"/>
  <c r="I6" i="57"/>
  <c r="L6" i="57" s="1"/>
  <c r="U14" i="57"/>
  <c r="X14" i="57" s="1"/>
  <c r="Q14" i="57"/>
  <c r="T14" i="57" s="1"/>
  <c r="Q9" i="57"/>
  <c r="T9" i="57" s="1"/>
  <c r="E7" i="57"/>
  <c r="H7" i="57" s="1"/>
  <c r="Q12" i="57"/>
  <c r="T12" i="57" s="1"/>
  <c r="T10" i="57"/>
  <c r="H436" i="60"/>
  <c r="E8" i="68" l="1"/>
  <c r="AC11" i="57"/>
  <c r="E5" i="68"/>
  <c r="AC32" i="57"/>
  <c r="D3" i="68"/>
  <c r="Z402" i="60"/>
  <c r="Z391" i="60"/>
  <c r="Z116" i="60"/>
  <c r="Z347" i="60"/>
  <c r="Z380" i="60"/>
  <c r="Z413" i="60"/>
  <c r="Z270" i="60"/>
  <c r="Z358" i="60"/>
  <c r="Z336" i="60"/>
  <c r="Z259" i="60"/>
  <c r="Z281" i="60"/>
  <c r="Z248" i="60"/>
  <c r="Z303" i="60"/>
  <c r="T435" i="60"/>
  <c r="Z435" i="60" s="1"/>
  <c r="AM27" i="65"/>
  <c r="Z149" i="60"/>
  <c r="Z138" i="60"/>
  <c r="Z215" i="60"/>
  <c r="Z6" i="57"/>
  <c r="Z6" i="60"/>
  <c r="AM28" i="38"/>
  <c r="E3" i="68" l="1"/>
  <c r="Z314" i="60"/>
  <c r="Z237" i="60"/>
  <c r="Z424" i="60"/>
  <c r="Z127" i="60"/>
  <c r="Z193" i="60"/>
  <c r="Z50" i="60"/>
  <c r="Z72" i="60"/>
  <c r="Z226" i="60"/>
  <c r="Z160" i="60"/>
  <c r="Z83" i="60"/>
  <c r="Z61" i="60"/>
  <c r="Z28" i="60"/>
  <c r="Z94" i="60"/>
  <c r="Z17" i="60"/>
  <c r="Z182" i="60"/>
  <c r="Z204" i="60"/>
  <c r="AN494" i="26"/>
  <c r="Z171" i="60"/>
  <c r="Z39" i="60"/>
  <c r="Z105" i="60"/>
  <c r="Z787" i="60" l="1"/>
  <c r="X10" i="25" l="1"/>
  <c r="Z33" i="66"/>
  <c r="X12" i="64"/>
  <c r="M29" i="66"/>
  <c r="R18" i="40"/>
  <c r="P18" i="25"/>
  <c r="W25" i="25"/>
  <c r="L24" i="25"/>
  <c r="J10" i="64"/>
  <c r="AB20" i="25"/>
  <c r="AH15" i="40"/>
  <c r="O12" i="25"/>
  <c r="N13" i="66"/>
  <c r="B20" i="66"/>
  <c r="S33" i="66"/>
  <c r="R29" i="66"/>
  <c r="AE24" i="66"/>
  <c r="AD33" i="66"/>
  <c r="Y27" i="66"/>
  <c r="U17" i="66"/>
  <c r="AB17" i="40"/>
  <c r="U16" i="25"/>
  <c r="H23" i="64"/>
  <c r="Z31" i="66"/>
  <c r="AA10" i="25"/>
  <c r="S8" i="40"/>
  <c r="G13" i="25"/>
  <c r="I10" i="40"/>
  <c r="AE28" i="25"/>
  <c r="AB9" i="25"/>
  <c r="T12" i="25"/>
  <c r="C20" i="40"/>
  <c r="H12" i="40"/>
  <c r="AF8" i="66"/>
  <c r="AC23" i="66"/>
  <c r="X32" i="66"/>
  <c r="G28" i="66"/>
  <c r="C28" i="66"/>
  <c r="N24" i="40"/>
  <c r="AH12" i="66"/>
  <c r="C31" i="66"/>
  <c r="P18" i="66"/>
  <c r="V18" i="25"/>
  <c r="D31" i="25"/>
  <c r="AH26" i="66"/>
  <c r="Z16" i="25"/>
  <c r="Z11" i="25"/>
  <c r="N10" i="66"/>
  <c r="U13" i="40"/>
  <c r="R10" i="40"/>
  <c r="L19" i="25"/>
  <c r="V29" i="66"/>
  <c r="K11" i="64"/>
  <c r="K25" i="25"/>
  <c r="S21" i="25"/>
  <c r="AI14" i="25"/>
  <c r="B24" i="25"/>
  <c r="AA28" i="25"/>
  <c r="G11" i="40"/>
  <c r="P21" i="40"/>
  <c r="X12" i="25"/>
  <c r="AF32" i="25"/>
  <c r="AE18" i="25"/>
  <c r="K17" i="40"/>
  <c r="R16" i="25"/>
  <c r="R23" i="25"/>
  <c r="D14" i="25"/>
  <c r="K19" i="40"/>
  <c r="R23" i="40"/>
  <c r="Z22" i="64"/>
  <c r="L20" i="40"/>
  <c r="AE15" i="25"/>
  <c r="AC30" i="25"/>
  <c r="C27" i="25"/>
  <c r="E26" i="64"/>
  <c r="M8" i="64"/>
  <c r="D12" i="25"/>
  <c r="AI12" i="40"/>
  <c r="AI26" i="25"/>
  <c r="O21" i="25"/>
  <c r="N20" i="25"/>
  <c r="R21" i="64"/>
  <c r="L27" i="25"/>
  <c r="AG25" i="64"/>
  <c r="O17" i="25"/>
  <c r="J8" i="25"/>
  <c r="T15" i="64"/>
  <c r="U25" i="40"/>
  <c r="C23" i="25"/>
  <c r="Q17" i="40"/>
  <c r="O13" i="25"/>
  <c r="X21" i="25"/>
  <c r="Q11" i="40"/>
  <c r="Z23" i="40"/>
  <c r="AH29" i="25"/>
  <c r="X33" i="25"/>
  <c r="W18" i="25"/>
  <c r="F16" i="40"/>
  <c r="Z14" i="25"/>
  <c r="J25" i="64"/>
  <c r="R7" i="25"/>
  <c r="Y26" i="40"/>
  <c r="AG9" i="25"/>
  <c r="O24" i="25"/>
  <c r="V25" i="25"/>
  <c r="AD11" i="64"/>
  <c r="C10" i="25"/>
  <c r="U31" i="25"/>
  <c r="T14" i="40"/>
  <c r="S19" i="64"/>
  <c r="H9" i="40"/>
  <c r="N25" i="40"/>
  <c r="N18" i="40"/>
  <c r="N24" i="25"/>
  <c r="T24" i="40"/>
  <c r="B10" i="25"/>
  <c r="AB12" i="40"/>
  <c r="J7" i="25"/>
  <c r="I10" i="64"/>
  <c r="X28" i="25"/>
  <c r="B30" i="64"/>
  <c r="E10" i="25"/>
  <c r="U15" i="40"/>
  <c r="B32" i="25"/>
  <c r="K18" i="25"/>
  <c r="AI19" i="25"/>
  <c r="E8" i="64"/>
  <c r="T31" i="25"/>
  <c r="X8" i="25"/>
  <c r="G7" i="40"/>
  <c r="Y8" i="66"/>
  <c r="L18" i="66"/>
  <c r="N27" i="66"/>
  <c r="AE18" i="66"/>
  <c r="AD11" i="66"/>
  <c r="AA23" i="66"/>
  <c r="D15" i="66"/>
  <c r="X9" i="66"/>
  <c r="AC23" i="64"/>
  <c r="F11" i="66"/>
  <c r="J23" i="66"/>
  <c r="O8" i="40"/>
  <c r="Z12" i="25"/>
  <c r="L15" i="25"/>
  <c r="K14" i="40"/>
  <c r="T28" i="25"/>
  <c r="H30" i="64"/>
  <c r="J24" i="40"/>
  <c r="D7" i="25"/>
  <c r="Y21" i="25"/>
  <c r="Z13" i="66"/>
  <c r="X26" i="66"/>
  <c r="O21" i="66"/>
  <c r="AE19" i="66"/>
  <c r="O18" i="66"/>
  <c r="Z30" i="66"/>
  <c r="K26" i="66"/>
  <c r="AD25" i="40"/>
  <c r="J13" i="66"/>
  <c r="H22" i="66"/>
  <c r="Q14" i="66"/>
  <c r="R23" i="66"/>
  <c r="Y12" i="40"/>
  <c r="AC9" i="64"/>
  <c r="AG26" i="40"/>
  <c r="C10" i="40"/>
  <c r="M13" i="40"/>
  <c r="B28" i="66"/>
  <c r="I26" i="66"/>
  <c r="U24" i="64"/>
  <c r="D22" i="40"/>
  <c r="Y27" i="25"/>
  <c r="K12" i="40"/>
  <c r="D32" i="66"/>
  <c r="P14" i="66"/>
  <c r="T11" i="66"/>
  <c r="AI18" i="66"/>
  <c r="V12" i="66"/>
  <c r="K29" i="66"/>
  <c r="F28" i="66"/>
  <c r="S18" i="66"/>
  <c r="L22" i="66"/>
  <c r="D22" i="66"/>
  <c r="N23" i="64"/>
  <c r="AE27" i="64"/>
  <c r="AA22" i="64"/>
  <c r="G18" i="40"/>
  <c r="AG17" i="25"/>
  <c r="P8" i="40"/>
  <c r="K7" i="40"/>
  <c r="W14" i="40"/>
  <c r="C15" i="40"/>
  <c r="F14" i="40"/>
  <c r="AF22" i="25"/>
  <c r="P29" i="66"/>
  <c r="W16" i="66"/>
  <c r="AE15" i="66"/>
  <c r="T7" i="66"/>
  <c r="L12" i="66"/>
  <c r="Y21" i="66"/>
  <c r="AB22" i="66"/>
  <c r="U14" i="66"/>
  <c r="E19" i="66"/>
  <c r="F13" i="25"/>
  <c r="Z19" i="25"/>
  <c r="P12" i="66"/>
  <c r="Z8" i="66"/>
  <c r="AF10" i="66"/>
  <c r="AD9" i="25"/>
  <c r="E24" i="64"/>
  <c r="J13" i="25"/>
  <c r="J14" i="40"/>
  <c r="Z17" i="25"/>
  <c r="AD19" i="40"/>
  <c r="AG21" i="40"/>
  <c r="Y30" i="25"/>
  <c r="AG9" i="40"/>
  <c r="AH10" i="64"/>
  <c r="AD30" i="25"/>
  <c r="AB31" i="25"/>
  <c r="AH22" i="40"/>
  <c r="V14" i="40"/>
  <c r="AA11" i="25"/>
  <c r="Y24" i="64"/>
  <c r="D21" i="64"/>
  <c r="J30" i="25"/>
  <c r="AD17" i="25"/>
  <c r="AG22" i="25"/>
  <c r="Y12" i="25"/>
  <c r="H8" i="25"/>
  <c r="T30" i="25"/>
  <c r="AI20" i="40"/>
  <c r="Q13" i="40"/>
  <c r="D25" i="40"/>
  <c r="U23" i="40"/>
  <c r="T28" i="64"/>
  <c r="M8" i="40"/>
  <c r="M30" i="25"/>
  <c r="AA17" i="25"/>
  <c r="AB21" i="25"/>
  <c r="I20" i="64"/>
  <c r="AA23" i="40"/>
  <c r="AG22" i="40"/>
  <c r="U26" i="25"/>
  <c r="J25" i="40"/>
  <c r="AE14" i="25"/>
  <c r="E22" i="64"/>
  <c r="AG25" i="25"/>
  <c r="E16" i="40"/>
  <c r="AF8" i="64"/>
  <c r="N30" i="64"/>
  <c r="H13" i="25"/>
  <c r="P14" i="40"/>
  <c r="F29" i="25"/>
  <c r="Z13" i="64"/>
  <c r="T11" i="40"/>
  <c r="J19" i="25"/>
  <c r="M23" i="40"/>
  <c r="AF17" i="40"/>
  <c r="G14" i="25"/>
  <c r="H16" i="40"/>
  <c r="I8" i="25"/>
  <c r="V22" i="64"/>
  <c r="T17" i="40"/>
  <c r="W22" i="25"/>
  <c r="AA24" i="25"/>
  <c r="S10" i="40"/>
  <c r="AE15" i="40"/>
  <c r="AC24" i="25"/>
  <c r="K14" i="25"/>
  <c r="H24" i="25"/>
  <c r="T21" i="40"/>
  <c r="Y15" i="40"/>
  <c r="AB12" i="25"/>
  <c r="AD18" i="40"/>
  <c r="R17" i="64"/>
  <c r="AA9" i="25"/>
  <c r="I9" i="40"/>
  <c r="AF7" i="25"/>
  <c r="AC10" i="25"/>
  <c r="AH19" i="64"/>
  <c r="Y32" i="25"/>
  <c r="L31" i="25"/>
  <c r="C11" i="25"/>
  <c r="Z26" i="64"/>
  <c r="U28" i="25"/>
  <c r="AE16" i="40"/>
  <c r="AB24" i="64"/>
  <c r="AH25" i="25"/>
  <c r="M17" i="64"/>
  <c r="F15" i="25"/>
  <c r="AI30" i="25"/>
  <c r="AD27" i="25"/>
  <c r="AI11" i="40"/>
  <c r="D17" i="66"/>
  <c r="X25" i="66"/>
  <c r="AF7" i="66"/>
  <c r="Z11" i="66"/>
  <c r="AC17" i="66"/>
  <c r="E12" i="66"/>
  <c r="C17" i="66"/>
  <c r="N29" i="66"/>
  <c r="T16" i="40"/>
  <c r="T17" i="66"/>
  <c r="J30" i="66"/>
  <c r="N19" i="64"/>
  <c r="AC28" i="64"/>
  <c r="AH26" i="40"/>
  <c r="M20" i="40"/>
  <c r="S11" i="25"/>
  <c r="O16" i="40"/>
  <c r="AA14" i="25"/>
  <c r="AC19" i="66"/>
  <c r="H27" i="64"/>
  <c r="E29" i="64"/>
  <c r="AD22" i="66"/>
  <c r="AG8" i="66"/>
  <c r="AH14" i="66"/>
  <c r="AA13" i="66"/>
  <c r="W21" i="66"/>
  <c r="U13" i="66"/>
  <c r="I25" i="40"/>
  <c r="C33" i="66"/>
  <c r="W11" i="66"/>
  <c r="T32" i="66"/>
  <c r="Y29" i="66"/>
  <c r="AH19" i="25"/>
  <c r="AI30" i="64"/>
  <c r="H25" i="40"/>
  <c r="B10" i="40"/>
  <c r="W15" i="40"/>
  <c r="X13" i="25"/>
  <c r="AB10" i="40"/>
  <c r="X15" i="25"/>
  <c r="M14" i="25"/>
  <c r="X8" i="40"/>
  <c r="AF23" i="40"/>
  <c r="T29" i="66"/>
  <c r="AH22" i="66"/>
  <c r="R19" i="66"/>
  <c r="AD16" i="66"/>
  <c r="F32" i="66"/>
  <c r="O14" i="66"/>
  <c r="AA30" i="66"/>
  <c r="E25" i="66"/>
  <c r="O17" i="66"/>
  <c r="U23" i="64"/>
  <c r="M18" i="40"/>
  <c r="H12" i="66"/>
  <c r="W30" i="66"/>
  <c r="AB20" i="66"/>
  <c r="O31" i="25"/>
  <c r="S15" i="25"/>
  <c r="AI24" i="25"/>
  <c r="AC19" i="40"/>
  <c r="AH18" i="40"/>
  <c r="E25" i="40"/>
  <c r="G26" i="64"/>
  <c r="R28" i="66"/>
  <c r="AF23" i="66"/>
  <c r="AI8" i="66"/>
  <c r="X15" i="66"/>
  <c r="AH24" i="66"/>
  <c r="V30" i="66"/>
  <c r="U18" i="66"/>
  <c r="AG25" i="66"/>
  <c r="F23" i="66"/>
  <c r="V22" i="25"/>
  <c r="S33" i="25"/>
  <c r="C30" i="66"/>
  <c r="G19" i="40"/>
  <c r="Z9" i="25"/>
  <c r="AG18" i="40"/>
  <c r="W14" i="64"/>
  <c r="AG16" i="25"/>
  <c r="K12" i="25"/>
  <c r="AG20" i="25"/>
  <c r="U7" i="25"/>
  <c r="M12" i="25"/>
  <c r="X9" i="40"/>
  <c r="AG30" i="25"/>
  <c r="F11" i="25"/>
  <c r="R12" i="40"/>
  <c r="AH8" i="40"/>
  <c r="E10" i="40"/>
  <c r="M18" i="25"/>
  <c r="AE33" i="25"/>
  <c r="AB16" i="40"/>
  <c r="P12" i="40"/>
  <c r="B12" i="25"/>
  <c r="L14" i="25"/>
  <c r="Q8" i="25"/>
  <c r="M14" i="40"/>
  <c r="AD28" i="25"/>
  <c r="AI13" i="25"/>
  <c r="E20" i="40"/>
  <c r="W21" i="40"/>
  <c r="N31" i="25"/>
  <c r="Z23" i="64"/>
  <c r="AG11" i="40"/>
  <c r="G17" i="25"/>
  <c r="J11" i="40"/>
  <c r="AB27" i="25"/>
  <c r="E24" i="40"/>
  <c r="J20" i="25"/>
  <c r="AE7" i="40"/>
  <c r="AE26" i="25"/>
  <c r="AI27" i="64"/>
  <c r="M27" i="64"/>
  <c r="E31" i="25"/>
  <c r="AE10" i="25"/>
  <c r="Q14" i="25"/>
  <c r="Z22" i="25"/>
  <c r="Z18" i="40"/>
  <c r="V21" i="40"/>
  <c r="Y11" i="40"/>
  <c r="B15" i="64"/>
  <c r="X11" i="40"/>
  <c r="Z10" i="64"/>
  <c r="L11" i="25"/>
  <c r="Y10" i="25"/>
  <c r="F22" i="25"/>
  <c r="D28" i="25"/>
  <c r="AF10" i="40"/>
  <c r="E18" i="40"/>
  <c r="U9" i="40"/>
  <c r="G30" i="25"/>
  <c r="V19" i="64"/>
  <c r="S7" i="64"/>
  <c r="Y19" i="40"/>
  <c r="R17" i="25"/>
  <c r="Q8" i="40"/>
  <c r="B17" i="25"/>
  <c r="AD20" i="25"/>
  <c r="W23" i="40"/>
  <c r="W21" i="25"/>
  <c r="E12" i="25"/>
  <c r="U19" i="40"/>
  <c r="Q22" i="40"/>
  <c r="AC16" i="64"/>
  <c r="F12" i="40"/>
  <c r="AD24" i="25"/>
  <c r="Q10" i="40"/>
  <c r="B16" i="25"/>
  <c r="V20" i="25"/>
  <c r="W16" i="25"/>
  <c r="J15" i="25"/>
  <c r="P26" i="25"/>
  <c r="U25" i="64"/>
  <c r="R27" i="25"/>
  <c r="I24" i="64"/>
  <c r="J20" i="40"/>
  <c r="W18" i="40"/>
  <c r="AD17" i="40"/>
  <c r="Q20" i="25"/>
  <c r="Y17" i="64"/>
  <c r="AF24" i="64"/>
  <c r="G26" i="40"/>
  <c r="U25" i="66"/>
  <c r="AE17" i="66"/>
  <c r="AI28" i="66"/>
  <c r="D31" i="66"/>
  <c r="H7" i="66"/>
  <c r="T16" i="64"/>
  <c r="F9" i="66"/>
  <c r="K17" i="66"/>
  <c r="D20" i="40"/>
  <c r="B11" i="25"/>
  <c r="F18" i="25"/>
  <c r="D27" i="66"/>
  <c r="W26" i="25"/>
  <c r="M25" i="40"/>
  <c r="AA16" i="40"/>
  <c r="D27" i="64"/>
  <c r="B22" i="25"/>
  <c r="D11" i="40"/>
  <c r="D10" i="40"/>
  <c r="P16" i="64"/>
  <c r="V24" i="25"/>
  <c r="C19" i="66"/>
  <c r="P15" i="66"/>
  <c r="K27" i="66"/>
  <c r="Z26" i="66"/>
  <c r="H20" i="66"/>
  <c r="AF22" i="66"/>
  <c r="Z28" i="66"/>
  <c r="T32" i="25"/>
  <c r="AD21" i="66"/>
  <c r="O19" i="66"/>
  <c r="AH24" i="64"/>
  <c r="M16" i="40"/>
  <c r="C21" i="25"/>
  <c r="AF15" i="25"/>
  <c r="I15" i="66"/>
  <c r="U19" i="25"/>
  <c r="AH26" i="64"/>
  <c r="O28" i="66"/>
  <c r="H31" i="25"/>
  <c r="AA8" i="25"/>
  <c r="AI26" i="64"/>
  <c r="AI33" i="66"/>
  <c r="X29" i="66"/>
  <c r="AA17" i="66"/>
  <c r="C25" i="66"/>
  <c r="N8" i="66"/>
  <c r="AE21" i="66"/>
  <c r="V25" i="40"/>
  <c r="Y31" i="66"/>
  <c r="Z19" i="66"/>
  <c r="C11" i="66"/>
  <c r="AD14" i="66"/>
  <c r="AA30" i="25"/>
  <c r="AI23" i="25"/>
  <c r="S15" i="64"/>
  <c r="W24" i="40"/>
  <c r="T23" i="25"/>
  <c r="B9" i="25"/>
  <c r="H16" i="25"/>
  <c r="K22" i="64"/>
  <c r="H17" i="25"/>
  <c r="W22" i="40"/>
  <c r="AA25" i="66"/>
  <c r="V16" i="66"/>
  <c r="AG20" i="66"/>
  <c r="AB14" i="66"/>
  <c r="S24" i="66"/>
  <c r="G29" i="66"/>
  <c r="X21" i="66"/>
  <c r="O16" i="66"/>
  <c r="AI9" i="66"/>
  <c r="AG17" i="66"/>
  <c r="P13" i="66"/>
  <c r="U11" i="66"/>
  <c r="G10" i="25"/>
  <c r="AD15" i="66"/>
  <c r="G24" i="25"/>
  <c r="L13" i="25"/>
  <c r="AG32" i="25"/>
  <c r="W12" i="40"/>
  <c r="W19" i="64"/>
  <c r="AI17" i="40"/>
  <c r="H14" i="40"/>
  <c r="T18" i="40"/>
  <c r="D26" i="25"/>
  <c r="F10" i="64"/>
  <c r="E13" i="64"/>
  <c r="T23" i="40"/>
  <c r="AH11" i="25"/>
  <c r="E29" i="25"/>
  <c r="M28" i="64"/>
  <c r="H9" i="25"/>
  <c r="AG15" i="25"/>
  <c r="AE18" i="40"/>
  <c r="Q13" i="64"/>
  <c r="Q20" i="40"/>
  <c r="L16" i="25"/>
  <c r="N25" i="25"/>
  <c r="Z11" i="40"/>
  <c r="J29" i="25"/>
  <c r="G25" i="25"/>
  <c r="N13" i="25"/>
  <c r="J28" i="64"/>
  <c r="E14" i="40"/>
  <c r="U17" i="25"/>
  <c r="Y33" i="25"/>
  <c r="F16" i="25"/>
  <c r="S29" i="25"/>
  <c r="AB30" i="64"/>
  <c r="X16" i="25"/>
  <c r="G23" i="25"/>
  <c r="G7" i="64"/>
  <c r="G26" i="25"/>
  <c r="V16" i="40"/>
  <c r="O33" i="25"/>
  <c r="G14" i="40"/>
  <c r="G7" i="25"/>
  <c r="H15" i="40"/>
  <c r="B21" i="25"/>
  <c r="AB11" i="25"/>
  <c r="I9" i="64"/>
  <c r="W10" i="40"/>
  <c r="T20" i="40"/>
  <c r="I13" i="25"/>
  <c r="J33" i="25"/>
  <c r="S28" i="25"/>
  <c r="AI16" i="25"/>
  <c r="M8" i="25"/>
  <c r="F30" i="64"/>
  <c r="E13" i="40"/>
  <c r="V23" i="40"/>
  <c r="R26" i="40"/>
  <c r="AD7" i="40"/>
  <c r="AG13" i="64"/>
  <c r="R32" i="25"/>
  <c r="I19" i="25"/>
  <c r="V19" i="25"/>
  <c r="H13" i="40"/>
  <c r="L9" i="40"/>
  <c r="AG12" i="40"/>
  <c r="AE7" i="64"/>
  <c r="I29" i="64"/>
  <c r="R14" i="40"/>
  <c r="K23" i="40"/>
  <c r="G27" i="25"/>
  <c r="D16" i="40"/>
  <c r="X25" i="40"/>
  <c r="G9" i="25"/>
  <c r="B25" i="40"/>
  <c r="C8" i="25"/>
  <c r="P7" i="40"/>
  <c r="AF16" i="25"/>
  <c r="AG15" i="40"/>
  <c r="AA7" i="40"/>
  <c r="AD13" i="25"/>
  <c r="AC27" i="25"/>
  <c r="V8" i="25"/>
  <c r="AA13" i="25"/>
  <c r="AB7" i="40"/>
  <c r="Q23" i="25"/>
  <c r="E20" i="25"/>
  <c r="X30" i="64"/>
  <c r="F25" i="25"/>
  <c r="D9" i="40"/>
  <c r="AF18" i="40"/>
  <c r="F17" i="40"/>
  <c r="G8" i="25"/>
  <c r="N11" i="40"/>
  <c r="W24" i="64"/>
  <c r="Y10" i="40"/>
  <c r="AE12" i="25"/>
  <c r="Z26" i="25"/>
  <c r="Z31" i="25"/>
  <c r="H33" i="25"/>
  <c r="AH28" i="25"/>
  <c r="K20" i="40"/>
  <c r="R15" i="40"/>
  <c r="S29" i="64"/>
  <c r="AA11" i="64"/>
  <c r="AD8" i="40"/>
  <c r="AF26" i="40"/>
  <c r="C24" i="40"/>
  <c r="N21" i="64"/>
  <c r="AE29" i="66"/>
  <c r="AD7" i="66"/>
  <c r="R12" i="66"/>
  <c r="C29" i="66"/>
  <c r="Z21" i="66"/>
  <c r="AC33" i="25"/>
  <c r="N22" i="66"/>
  <c r="AB16" i="66"/>
  <c r="I14" i="66"/>
  <c r="U8" i="66"/>
  <c r="AC18" i="40"/>
  <c r="AC16" i="25"/>
  <c r="O22" i="40"/>
  <c r="M22" i="64"/>
  <c r="S9" i="66"/>
  <c r="AH13" i="64"/>
  <c r="AC28" i="66"/>
  <c r="AA24" i="40"/>
  <c r="F27" i="66"/>
  <c r="AD30" i="64"/>
  <c r="H10" i="25"/>
  <c r="C13" i="66"/>
  <c r="C26" i="66"/>
  <c r="W7" i="66"/>
  <c r="AC31" i="66"/>
  <c r="X28" i="66"/>
  <c r="H25" i="66"/>
  <c r="B25" i="66"/>
  <c r="D25" i="66"/>
  <c r="AH11" i="40"/>
  <c r="E18" i="66"/>
  <c r="AD20" i="40"/>
  <c r="L8" i="25"/>
  <c r="W24" i="66"/>
  <c r="T12" i="40"/>
  <c r="X8" i="66"/>
  <c r="AI27" i="25"/>
  <c r="AD26" i="25"/>
  <c r="M26" i="64"/>
  <c r="D15" i="25"/>
  <c r="U24" i="40"/>
  <c r="AG19" i="25"/>
  <c r="Y25" i="66"/>
  <c r="Q17" i="66"/>
  <c r="J16" i="66"/>
  <c r="AA11" i="66"/>
  <c r="V14" i="66"/>
  <c r="AB11" i="66"/>
  <c r="AC15" i="66"/>
  <c r="M26" i="66"/>
  <c r="F16" i="66"/>
  <c r="K30" i="66"/>
  <c r="U26" i="66"/>
  <c r="Y12" i="66"/>
  <c r="R8" i="40"/>
  <c r="W9" i="66"/>
  <c r="P13" i="40"/>
  <c r="U30" i="25"/>
  <c r="K7" i="25"/>
  <c r="B19" i="40"/>
  <c r="C15" i="64"/>
  <c r="V13" i="40"/>
  <c r="S24" i="40"/>
  <c r="AI10" i="66"/>
  <c r="Y26" i="66"/>
  <c r="F8" i="66"/>
  <c r="AF19" i="66"/>
  <c r="E10" i="66"/>
  <c r="W12" i="66"/>
  <c r="AF29" i="66"/>
  <c r="J25" i="25"/>
  <c r="N33" i="66"/>
  <c r="B32" i="66"/>
  <c r="C32" i="25"/>
  <c r="S17" i="40"/>
  <c r="AH23" i="40"/>
  <c r="Y9" i="66"/>
  <c r="AE31" i="25"/>
  <c r="G15" i="40"/>
  <c r="Q7" i="40"/>
  <c r="U25" i="25"/>
  <c r="AB20" i="40"/>
  <c r="V9" i="25"/>
  <c r="T30" i="66"/>
  <c r="B23" i="40"/>
  <c r="J23" i="25"/>
  <c r="N19" i="40"/>
  <c r="AI9" i="40"/>
  <c r="H17" i="40"/>
  <c r="Q9" i="64"/>
  <c r="L12" i="64"/>
  <c r="G12" i="40"/>
  <c r="J18" i="25"/>
  <c r="O32" i="25"/>
  <c r="Z14" i="64"/>
  <c r="U22" i="64"/>
  <c r="I22" i="25"/>
  <c r="M17" i="40"/>
  <c r="K16" i="40"/>
  <c r="K16" i="25"/>
  <c r="E7" i="40"/>
  <c r="AD11" i="40"/>
  <c r="U20" i="40"/>
  <c r="AB26" i="40"/>
  <c r="E28" i="25"/>
  <c r="AD20" i="64"/>
  <c r="F21" i="25"/>
  <c r="I11" i="25"/>
  <c r="X12" i="40"/>
  <c r="N10" i="64"/>
  <c r="K8" i="40"/>
  <c r="N7" i="64"/>
  <c r="AE19" i="40"/>
  <c r="S23" i="40"/>
  <c r="R9" i="40"/>
  <c r="B22" i="40"/>
  <c r="X7" i="40"/>
  <c r="R18" i="64"/>
  <c r="C19" i="40"/>
  <c r="Y15" i="25"/>
  <c r="U20" i="64"/>
  <c r="AF20" i="40"/>
  <c r="Q16" i="40"/>
  <c r="T16" i="25"/>
  <c r="T25" i="25"/>
  <c r="I19" i="40"/>
  <c r="Q25" i="64"/>
  <c r="D9" i="25"/>
  <c r="W30" i="64"/>
  <c r="AA23" i="25"/>
  <c r="O17" i="40"/>
  <c r="W8" i="25"/>
  <c r="W8" i="40"/>
  <c r="C8" i="64"/>
  <c r="AC13" i="40"/>
  <c r="U22" i="25"/>
  <c r="AC27" i="64"/>
  <c r="AE26" i="40"/>
  <c r="F33" i="25"/>
  <c r="O15" i="64"/>
  <c r="L9" i="25"/>
  <c r="R28" i="64"/>
  <c r="Z20" i="25"/>
  <c r="P9" i="25"/>
  <c r="V21" i="64"/>
  <c r="Y16" i="25"/>
  <c r="C16" i="40"/>
  <c r="AG17" i="64"/>
  <c r="Z8" i="40"/>
  <c r="H8" i="64"/>
  <c r="W14" i="25"/>
  <c r="F31" i="25"/>
  <c r="D33" i="25"/>
  <c r="AI26" i="40"/>
  <c r="X13" i="64"/>
  <c r="F20" i="64"/>
  <c r="S11" i="64"/>
  <c r="W20" i="40"/>
  <c r="AD16" i="40"/>
  <c r="Y20" i="64"/>
  <c r="L22" i="25"/>
  <c r="AE33" i="66"/>
  <c r="AI12" i="66"/>
  <c r="X17" i="66"/>
  <c r="AB19" i="66"/>
  <c r="AC22" i="66"/>
  <c r="W18" i="66"/>
  <c r="M16" i="66"/>
  <c r="AG23" i="66"/>
  <c r="C15" i="66"/>
  <c r="Z28" i="64"/>
  <c r="Y29" i="25"/>
  <c r="K20" i="66"/>
  <c r="F15" i="66"/>
  <c r="Y7" i="66"/>
  <c r="X18" i="25"/>
  <c r="Y18" i="40"/>
  <c r="AF28" i="25"/>
  <c r="C21" i="64"/>
  <c r="AC28" i="25"/>
  <c r="Y23" i="25"/>
  <c r="P14" i="25"/>
  <c r="AG11" i="66"/>
  <c r="AA32" i="66"/>
  <c r="AD31" i="66"/>
  <c r="L16" i="66"/>
  <c r="B26" i="66"/>
  <c r="G18" i="66"/>
  <c r="G26" i="66"/>
  <c r="AB13" i="40"/>
  <c r="B19" i="66"/>
  <c r="K33" i="66"/>
  <c r="AG10" i="25"/>
  <c r="U11" i="25"/>
  <c r="T18" i="25"/>
  <c r="M11" i="66"/>
  <c r="AE24" i="40"/>
  <c r="AE24" i="25"/>
  <c r="AD7" i="25"/>
  <c r="M21" i="40"/>
  <c r="W29" i="64"/>
  <c r="D7" i="64"/>
  <c r="O25" i="40"/>
  <c r="R11" i="40"/>
  <c r="D14" i="66"/>
  <c r="K24" i="66"/>
  <c r="L10" i="66"/>
  <c r="P8" i="66"/>
  <c r="Z32" i="66"/>
  <c r="U9" i="64"/>
  <c r="I19" i="66"/>
  <c r="J12" i="66"/>
  <c r="Z29" i="66"/>
  <c r="R24" i="64"/>
  <c r="AE12" i="40"/>
  <c r="AH23" i="66"/>
  <c r="Q26" i="64"/>
  <c r="U15" i="25"/>
  <c r="E9" i="66"/>
  <c r="I28" i="25"/>
  <c r="AC29" i="25"/>
  <c r="J18" i="64"/>
  <c r="AG30" i="66"/>
  <c r="Y15" i="66"/>
  <c r="W15" i="66"/>
  <c r="AI30" i="66"/>
  <c r="D18" i="66"/>
  <c r="C16" i="66"/>
  <c r="Z10" i="66"/>
  <c r="AD12" i="66"/>
  <c r="AD8" i="25"/>
  <c r="J7" i="66"/>
  <c r="AE22" i="66"/>
  <c r="AG7" i="66"/>
  <c r="AF26" i="66"/>
  <c r="E15" i="25"/>
  <c r="I22" i="40"/>
  <c r="AI33" i="25"/>
  <c r="AD21" i="40"/>
  <c r="K33" i="25"/>
  <c r="AH17" i="66"/>
  <c r="T23" i="66"/>
  <c r="S24" i="25"/>
  <c r="V11" i="25"/>
  <c r="O25" i="25"/>
  <c r="AF12" i="40"/>
  <c r="AA10" i="40"/>
  <c r="U7" i="40"/>
  <c r="K27" i="25"/>
  <c r="N33" i="25"/>
  <c r="N25" i="64"/>
  <c r="AG23" i="25"/>
  <c r="L33" i="25"/>
  <c r="D27" i="25"/>
  <c r="AC13" i="64"/>
  <c r="S31" i="25"/>
  <c r="W9" i="25"/>
  <c r="U18" i="25"/>
  <c r="H22" i="64"/>
  <c r="M11" i="25"/>
  <c r="R29" i="64"/>
  <c r="Z19" i="40"/>
  <c r="AC11" i="25"/>
  <c r="H26" i="40"/>
  <c r="Z24" i="40"/>
  <c r="V10" i="40"/>
  <c r="T25" i="64"/>
  <c r="AA20" i="25"/>
  <c r="AG30" i="64"/>
  <c r="B19" i="25"/>
  <c r="G25" i="64"/>
  <c r="R21" i="40"/>
  <c r="D25" i="64"/>
  <c r="AB20" i="64"/>
  <c r="U22" i="40"/>
  <c r="AD23" i="25"/>
  <c r="U16" i="64"/>
  <c r="P28" i="25"/>
  <c r="V26" i="25"/>
  <c r="C18" i="25"/>
  <c r="AD31" i="25"/>
  <c r="C31" i="25"/>
  <c r="I11" i="40"/>
  <c r="P11" i="40"/>
  <c r="L32" i="25"/>
  <c r="Y28" i="64"/>
  <c r="AA19" i="40"/>
  <c r="AG19" i="64"/>
  <c r="F24" i="40"/>
  <c r="M24" i="64"/>
  <c r="AD26" i="64"/>
  <c r="AA7" i="25"/>
  <c r="L19" i="40"/>
  <c r="W26" i="40"/>
  <c r="S13" i="25"/>
  <c r="T30" i="64"/>
  <c r="E17" i="64"/>
  <c r="V24" i="40"/>
  <c r="Z23" i="25"/>
  <c r="M26" i="25"/>
  <c r="D25" i="25"/>
  <c r="L23" i="40"/>
  <c r="U33" i="25"/>
  <c r="T24" i="64"/>
  <c r="D26" i="40"/>
  <c r="R22" i="25"/>
  <c r="P11" i="25"/>
  <c r="AC19" i="25"/>
  <c r="AI11" i="64"/>
  <c r="J23" i="64"/>
  <c r="U18" i="40"/>
  <c r="M29" i="25"/>
  <c r="AH8" i="25"/>
  <c r="AI11" i="25"/>
  <c r="AA26" i="64"/>
  <c r="F32" i="25"/>
  <c r="U14" i="25"/>
  <c r="D24" i="25"/>
  <c r="Z19" i="64"/>
  <c r="D18" i="25"/>
  <c r="D18" i="40"/>
  <c r="AD18" i="25"/>
  <c r="AB30" i="25"/>
  <c r="AA21" i="40"/>
  <c r="X30" i="25"/>
  <c r="AA27" i="66"/>
  <c r="J8" i="66"/>
  <c r="N17" i="66"/>
  <c r="V25" i="66"/>
  <c r="M27" i="66"/>
  <c r="AH30" i="66"/>
  <c r="R9" i="66"/>
  <c r="AE25" i="66"/>
  <c r="AA20" i="66"/>
  <c r="X21" i="40"/>
  <c r="AG10" i="40"/>
  <c r="AH27" i="66"/>
  <c r="E17" i="40"/>
  <c r="F23" i="40"/>
  <c r="Z33" i="25"/>
  <c r="I7" i="25"/>
  <c r="R7" i="40"/>
  <c r="K29" i="25"/>
  <c r="P29" i="25"/>
  <c r="Q12" i="40"/>
  <c r="AB17" i="25"/>
  <c r="AH19" i="66"/>
  <c r="O13" i="66"/>
  <c r="E30" i="66"/>
  <c r="G21" i="66"/>
  <c r="E21" i="66"/>
  <c r="AH28" i="66"/>
  <c r="U9" i="66"/>
  <c r="L26" i="25"/>
  <c r="J29" i="66"/>
  <c r="C12" i="66"/>
  <c r="N23" i="40"/>
  <c r="V7" i="40"/>
  <c r="J21" i="25"/>
  <c r="AB19" i="25"/>
  <c r="X16" i="66"/>
  <c r="E13" i="66"/>
  <c r="AB14" i="40"/>
  <c r="AB11" i="64"/>
  <c r="J11" i="25"/>
  <c r="F26" i="25"/>
  <c r="AD9" i="40"/>
  <c r="L23" i="66"/>
  <c r="M9" i="66"/>
  <c r="E16" i="66"/>
  <c r="AG24" i="66"/>
  <c r="AC10" i="66"/>
  <c r="W28" i="66"/>
  <c r="Z17" i="40"/>
  <c r="AF14" i="66"/>
  <c r="L14" i="66"/>
  <c r="AB18" i="66"/>
  <c r="AD32" i="66"/>
  <c r="F23" i="64"/>
  <c r="AH16" i="40"/>
  <c r="I31" i="25"/>
  <c r="U12" i="64"/>
  <c r="Q28" i="25"/>
  <c r="X10" i="66"/>
  <c r="Q23" i="66"/>
  <c r="C12" i="25"/>
  <c r="U12" i="25"/>
  <c r="N11" i="25"/>
  <c r="R13" i="66"/>
  <c r="AB33" i="66"/>
  <c r="F33" i="66"/>
  <c r="F20" i="66"/>
  <c r="R21" i="66"/>
  <c r="K11" i="66"/>
  <c r="S25" i="40"/>
  <c r="R31" i="66"/>
  <c r="D29" i="66"/>
  <c r="R10" i="66"/>
  <c r="AC32" i="66"/>
  <c r="Y16" i="40"/>
  <c r="X27" i="25"/>
  <c r="AG31" i="66"/>
  <c r="AC29" i="66"/>
  <c r="J9" i="40"/>
  <c r="K20" i="25"/>
  <c r="J24" i="64"/>
  <c r="I20" i="25"/>
  <c r="Q13" i="25"/>
  <c r="U21" i="40"/>
  <c r="V30" i="25"/>
  <c r="X16" i="40"/>
  <c r="Q12" i="25"/>
  <c r="AH31" i="25"/>
  <c r="V18" i="40"/>
  <c r="N17" i="25"/>
  <c r="B27" i="25"/>
  <c r="AH10" i="25"/>
  <c r="P30" i="64"/>
  <c r="AI13" i="40"/>
  <c r="E8" i="40"/>
  <c r="AF16" i="40"/>
  <c r="AA20" i="64"/>
  <c r="I8" i="40"/>
  <c r="AG14" i="40"/>
  <c r="I25" i="64"/>
  <c r="Q28" i="64"/>
  <c r="M21" i="64"/>
  <c r="T26" i="40"/>
  <c r="X8" i="64"/>
  <c r="P18" i="40"/>
  <c r="AI29" i="25"/>
  <c r="L12" i="40"/>
  <c r="AH7" i="25"/>
  <c r="L23" i="25"/>
  <c r="J26" i="40"/>
  <c r="X18" i="40"/>
  <c r="W7" i="25"/>
  <c r="G29" i="25"/>
  <c r="AG14" i="64"/>
  <c r="B18" i="64"/>
  <c r="M12" i="40"/>
  <c r="AB13" i="25"/>
  <c r="S22" i="64"/>
  <c r="AE11" i="40"/>
  <c r="Y9" i="25"/>
  <c r="C12" i="40"/>
  <c r="AH14" i="40"/>
  <c r="W29" i="25"/>
  <c r="L30" i="25"/>
  <c r="S22" i="40"/>
  <c r="S21" i="64"/>
  <c r="M19" i="40"/>
  <c r="B7" i="40"/>
  <c r="AI7" i="25"/>
  <c r="E9" i="25"/>
  <c r="Z29" i="25"/>
  <c r="AD15" i="40"/>
  <c r="AF26" i="25"/>
  <c r="O9" i="40"/>
  <c r="AF8" i="25"/>
  <c r="N20" i="40"/>
  <c r="O9" i="25"/>
  <c r="K17" i="25"/>
  <c r="P12" i="64"/>
  <c r="AI24" i="40"/>
  <c r="AE11" i="64"/>
  <c r="R30" i="64"/>
  <c r="AI29" i="64"/>
  <c r="K28" i="25"/>
  <c r="R20" i="40"/>
  <c r="B25" i="64"/>
  <c r="V18" i="64"/>
  <c r="AB24" i="40"/>
  <c r="AA19" i="25"/>
  <c r="W20" i="64"/>
  <c r="AG28" i="64"/>
  <c r="S22" i="25"/>
  <c r="R26" i="25"/>
  <c r="AA25" i="40"/>
  <c r="D30" i="64"/>
  <c r="AD14" i="25"/>
  <c r="C11" i="40"/>
  <c r="J17" i="40"/>
  <c r="W10" i="25"/>
  <c r="H21" i="40"/>
  <c r="AI31" i="25"/>
  <c r="AA12" i="40"/>
  <c r="Y31" i="25"/>
  <c r="I16" i="40"/>
  <c r="K31" i="66"/>
  <c r="Y28" i="66"/>
  <c r="M20" i="66"/>
  <c r="M7" i="66"/>
  <c r="X24" i="66"/>
  <c r="J21" i="66"/>
  <c r="Y32" i="66"/>
  <c r="AI27" i="66"/>
  <c r="V11" i="66"/>
  <c r="AB28" i="66"/>
  <c r="B16" i="40"/>
  <c r="Y13" i="25"/>
  <c r="AB21" i="66"/>
  <c r="H22" i="25"/>
  <c r="J29" i="64"/>
  <c r="C11" i="64"/>
  <c r="M13" i="25"/>
  <c r="AG21" i="25"/>
  <c r="P12" i="25"/>
  <c r="AD25" i="64"/>
  <c r="F9" i="25"/>
  <c r="P26" i="66"/>
  <c r="I16" i="66"/>
  <c r="S23" i="66"/>
  <c r="I10" i="66"/>
  <c r="D24" i="66"/>
  <c r="G25" i="66"/>
  <c r="J25" i="66"/>
  <c r="AB23" i="66"/>
  <c r="C29" i="25"/>
  <c r="AE9" i="66"/>
  <c r="H21" i="66"/>
  <c r="P20" i="25"/>
  <c r="O11" i="40"/>
  <c r="AI21" i="40"/>
  <c r="F29" i="64"/>
  <c r="Y13" i="40"/>
  <c r="AF27" i="25"/>
  <c r="D28" i="64"/>
  <c r="L25" i="66"/>
  <c r="U24" i="25"/>
  <c r="AD29" i="25"/>
  <c r="M25" i="66"/>
  <c r="E27" i="66"/>
  <c r="F30" i="66"/>
  <c r="AG10" i="66"/>
  <c r="AE26" i="66"/>
  <c r="AA24" i="66"/>
  <c r="Z16" i="66"/>
  <c r="H7" i="25"/>
  <c r="AI29" i="66"/>
  <c r="W27" i="66"/>
  <c r="AA27" i="25"/>
  <c r="S13" i="40"/>
  <c r="K24" i="40"/>
  <c r="Q19" i="25"/>
  <c r="Q24" i="66"/>
  <c r="B33" i="66"/>
  <c r="W27" i="64"/>
  <c r="K30" i="64"/>
  <c r="AF22" i="40"/>
  <c r="T7" i="25"/>
  <c r="AA32" i="25"/>
  <c r="AE20" i="66"/>
  <c r="Q18" i="66"/>
  <c r="G23" i="66"/>
  <c r="W31" i="66"/>
  <c r="G8" i="66"/>
  <c r="AI11" i="66"/>
  <c r="Q8" i="66"/>
  <c r="AC22" i="25"/>
  <c r="AC16" i="66"/>
  <c r="C21" i="66"/>
  <c r="B24" i="40"/>
  <c r="S20" i="40"/>
  <c r="AD21" i="25"/>
  <c r="AD33" i="25"/>
  <c r="W14" i="66"/>
  <c r="R10" i="25"/>
  <c r="J23" i="40"/>
  <c r="T13" i="25"/>
  <c r="X25" i="25"/>
  <c r="R11" i="25"/>
  <c r="H33" i="66"/>
  <c r="C29" i="64"/>
  <c r="L10" i="40"/>
  <c r="F11" i="64"/>
  <c r="AC32" i="25"/>
  <c r="F18" i="64"/>
  <c r="W20" i="25"/>
  <c r="AB22" i="40"/>
  <c r="M25" i="25"/>
  <c r="Y18" i="25"/>
  <c r="O21" i="40"/>
  <c r="W23" i="25"/>
  <c r="Z25" i="40"/>
  <c r="AF17" i="25"/>
  <c r="V33" i="25"/>
  <c r="AA30" i="64"/>
  <c r="AG24" i="64"/>
  <c r="AE17" i="40"/>
  <c r="AG27" i="64"/>
  <c r="J10" i="25"/>
  <c r="I21" i="25"/>
  <c r="G11" i="64"/>
  <c r="F7" i="25"/>
  <c r="C18" i="40"/>
  <c r="AD10" i="40"/>
  <c r="AG16" i="64"/>
  <c r="J24" i="25"/>
  <c r="AH26" i="25"/>
  <c r="AF13" i="25"/>
  <c r="K18" i="40"/>
  <c r="AI15" i="64"/>
  <c r="C14" i="25"/>
  <c r="B23" i="64"/>
  <c r="M28" i="25"/>
  <c r="G20" i="64"/>
  <c r="E19" i="25"/>
  <c r="I20" i="40"/>
  <c r="C20" i="25"/>
  <c r="X20" i="25"/>
  <c r="G23" i="64"/>
  <c r="T9" i="25"/>
  <c r="H30" i="25"/>
  <c r="J7" i="40"/>
  <c r="AF29" i="25"/>
  <c r="M15" i="40"/>
  <c r="N9" i="40"/>
  <c r="M9" i="64"/>
  <c r="X21" i="64"/>
  <c r="K15" i="64"/>
  <c r="F21" i="64"/>
  <c r="AD27" i="66"/>
  <c r="AF33" i="66"/>
  <c r="B23" i="66"/>
  <c r="E32" i="66"/>
  <c r="M10" i="66"/>
  <c r="AC13" i="66"/>
  <c r="AA13" i="40"/>
  <c r="M8" i="66"/>
  <c r="U29" i="66"/>
  <c r="H10" i="40"/>
  <c r="AF7" i="40"/>
  <c r="C7" i="40"/>
  <c r="O8" i="66"/>
  <c r="AE20" i="25"/>
  <c r="Q23" i="40"/>
  <c r="E9" i="64"/>
  <c r="D21" i="25"/>
  <c r="AB18" i="40"/>
  <c r="V23" i="25"/>
  <c r="S29" i="66"/>
  <c r="O10" i="25"/>
  <c r="X22" i="66"/>
  <c r="Z7" i="66"/>
  <c r="Z23" i="66"/>
  <c r="P25" i="66"/>
  <c r="E26" i="66"/>
  <c r="AA22" i="66"/>
  <c r="AD20" i="66"/>
  <c r="P17" i="66"/>
  <c r="D23" i="66"/>
  <c r="K22" i="66"/>
  <c r="AD10" i="64"/>
  <c r="N18" i="25"/>
  <c r="AB29" i="25"/>
  <c r="J27" i="64"/>
  <c r="Y17" i="25"/>
  <c r="G27" i="66"/>
  <c r="T19" i="25"/>
  <c r="X19" i="40"/>
  <c r="N32" i="25"/>
  <c r="P13" i="25"/>
  <c r="AD11" i="25"/>
  <c r="AH16" i="66"/>
  <c r="Y23" i="66"/>
  <c r="AA10" i="66"/>
  <c r="W23" i="66"/>
  <c r="S22" i="66"/>
  <c r="V23" i="66"/>
  <c r="G14" i="66"/>
  <c r="M23" i="25"/>
  <c r="Z20" i="66"/>
  <c r="E11" i="66"/>
  <c r="U11" i="40"/>
  <c r="AI15" i="40"/>
  <c r="I17" i="40"/>
  <c r="N26" i="64"/>
  <c r="G31" i="66"/>
  <c r="O23" i="64"/>
  <c r="Q15" i="25"/>
  <c r="S21" i="40"/>
  <c r="M21" i="25"/>
  <c r="U17" i="40"/>
  <c r="P31" i="25"/>
  <c r="U30" i="66"/>
  <c r="AG18" i="66"/>
  <c r="L26" i="66"/>
  <c r="J20" i="66"/>
  <c r="AI7" i="66"/>
  <c r="U10" i="66"/>
  <c r="AA14" i="66"/>
  <c r="Z22" i="66"/>
  <c r="M24" i="25"/>
  <c r="N12" i="66"/>
  <c r="C20" i="66"/>
  <c r="C9" i="66"/>
  <c r="W33" i="66"/>
  <c r="L18" i="25"/>
  <c r="E29" i="66"/>
  <c r="AE21" i="40"/>
  <c r="Q19" i="40"/>
  <c r="AE27" i="25"/>
  <c r="AF30" i="64"/>
  <c r="U10" i="25"/>
  <c r="M22" i="40"/>
  <c r="V13" i="25"/>
  <c r="U12" i="40"/>
  <c r="S9" i="40"/>
  <c r="AG33" i="25"/>
  <c r="L20" i="64"/>
  <c r="Q24" i="64"/>
  <c r="O28" i="25"/>
  <c r="Q25" i="40"/>
  <c r="K30" i="25"/>
  <c r="AI25" i="25"/>
  <c r="Q21" i="25"/>
  <c r="Z15" i="25"/>
  <c r="F19" i="40"/>
  <c r="B14" i="25"/>
  <c r="Y26" i="25"/>
  <c r="H12" i="25"/>
  <c r="C17" i="25"/>
  <c r="F10" i="25"/>
  <c r="K10" i="40"/>
  <c r="L21" i="40"/>
  <c r="AB23" i="25"/>
  <c r="D22" i="25"/>
  <c r="N22" i="25"/>
  <c r="AE29" i="25"/>
  <c r="I10" i="25"/>
  <c r="M7" i="40"/>
  <c r="N14" i="64"/>
  <c r="Q27" i="25"/>
  <c r="AH25" i="64"/>
  <c r="N15" i="40"/>
  <c r="L21" i="25"/>
  <c r="G18" i="25"/>
  <c r="Q17" i="64"/>
  <c r="B26" i="25"/>
  <c r="AF14" i="25"/>
  <c r="T29" i="25"/>
  <c r="P27" i="64"/>
  <c r="W9" i="40"/>
  <c r="R17" i="40"/>
  <c r="Y8" i="40"/>
  <c r="AD26" i="40"/>
  <c r="R21" i="25"/>
  <c r="S30" i="64"/>
  <c r="H16" i="64"/>
  <c r="Z30" i="64"/>
  <c r="Q15" i="40"/>
  <c r="AG19" i="40"/>
  <c r="G19" i="64"/>
  <c r="E21" i="40"/>
  <c r="D29" i="25"/>
  <c r="X23" i="64"/>
  <c r="G22" i="40"/>
  <c r="AA18" i="25"/>
  <c r="B11" i="40"/>
  <c r="L28" i="64"/>
  <c r="F24" i="25"/>
  <c r="J14" i="25"/>
  <c r="S16" i="64"/>
  <c r="Y24" i="25"/>
  <c r="B29" i="25"/>
  <c r="X23" i="40"/>
  <c r="AE23" i="40"/>
  <c r="L18" i="40"/>
  <c r="I26" i="64"/>
  <c r="AB8" i="40"/>
  <c r="H18" i="25"/>
  <c r="Y25" i="40"/>
  <c r="Z22" i="40"/>
  <c r="AC8" i="25"/>
  <c r="L12" i="25"/>
  <c r="AI32" i="25"/>
  <c r="Y17" i="40"/>
  <c r="AF25" i="40"/>
  <c r="Y18" i="64"/>
  <c r="T8" i="64"/>
  <c r="P7" i="25"/>
  <c r="W25" i="64"/>
  <c r="K28" i="66"/>
  <c r="V32" i="66"/>
  <c r="M22" i="66"/>
  <c r="J22" i="66"/>
  <c r="F24" i="66"/>
  <c r="V22" i="40"/>
  <c r="L17" i="66"/>
  <c r="AI25" i="66"/>
  <c r="T28" i="66"/>
  <c r="T27" i="66"/>
  <c r="E13" i="25"/>
  <c r="H7" i="40"/>
  <c r="C9" i="25"/>
  <c r="Q16" i="25"/>
  <c r="X14" i="40"/>
  <c r="D23" i="40"/>
  <c r="AC12" i="25"/>
  <c r="F27" i="25"/>
  <c r="AA12" i="25"/>
  <c r="Q14" i="40"/>
  <c r="T33" i="25"/>
  <c r="B16" i="66"/>
  <c r="O32" i="66"/>
  <c r="P16" i="66"/>
  <c r="F7" i="66"/>
  <c r="P32" i="66"/>
  <c r="I13" i="66"/>
  <c r="AE13" i="66"/>
  <c r="AF12" i="66"/>
  <c r="M17" i="25"/>
  <c r="Q22" i="66"/>
  <c r="H24" i="66"/>
  <c r="H17" i="66"/>
  <c r="AF33" i="25"/>
  <c r="AE7" i="25"/>
  <c r="AF8" i="40"/>
  <c r="X10" i="40"/>
  <c r="AI22" i="25"/>
  <c r="AC26" i="64"/>
  <c r="C22" i="25"/>
  <c r="P10" i="40"/>
  <c r="F13" i="40"/>
  <c r="E20" i="66"/>
  <c r="K10" i="66"/>
  <c r="P33" i="66"/>
  <c r="B27" i="66"/>
  <c r="AC11" i="66"/>
  <c r="U24" i="66"/>
  <c r="O25" i="66"/>
  <c r="R27" i="66"/>
  <c r="AI20" i="66"/>
  <c r="Z17" i="66"/>
  <c r="AF21" i="40"/>
  <c r="E27" i="64"/>
  <c r="E11" i="25"/>
  <c r="Q28" i="66"/>
  <c r="H28" i="25"/>
  <c r="V12" i="40"/>
  <c r="AG13" i="40"/>
  <c r="AG23" i="40"/>
  <c r="C25" i="40"/>
  <c r="I13" i="40"/>
  <c r="S30" i="66"/>
  <c r="AC24" i="66"/>
  <c r="U33" i="66"/>
  <c r="E31" i="66"/>
  <c r="R33" i="66"/>
  <c r="K19" i="66"/>
  <c r="I30" i="66"/>
  <c r="P30" i="66"/>
  <c r="W25" i="40"/>
  <c r="AD23" i="66"/>
  <c r="F17" i="66"/>
  <c r="K10" i="25"/>
  <c r="AB7" i="25"/>
  <c r="L10" i="25"/>
  <c r="N15" i="66"/>
  <c r="D21" i="66"/>
  <c r="F28" i="64"/>
  <c r="G29" i="64"/>
  <c r="H12" i="64"/>
  <c r="X32" i="25"/>
  <c r="AG26" i="25"/>
  <c r="K21" i="40"/>
  <c r="AH17" i="25"/>
  <c r="AE11" i="25"/>
  <c r="AB18" i="25"/>
  <c r="Q21" i="40"/>
  <c r="AE8" i="25"/>
  <c r="O10" i="40"/>
  <c r="C13" i="25"/>
  <c r="N22" i="40"/>
  <c r="B31" i="25"/>
  <c r="Z12" i="40"/>
  <c r="X14" i="25"/>
  <c r="AF12" i="25"/>
  <c r="D13" i="25"/>
  <c r="O26" i="40"/>
  <c r="V25" i="64"/>
  <c r="AG12" i="25"/>
  <c r="F23" i="25"/>
  <c r="AA14" i="40"/>
  <c r="AI16" i="40"/>
  <c r="G17" i="40"/>
  <c r="D12" i="40"/>
  <c r="J9" i="25"/>
  <c r="S26" i="64"/>
  <c r="E11" i="40"/>
  <c r="P22" i="40"/>
  <c r="K24" i="25"/>
  <c r="L11" i="40"/>
  <c r="AI19" i="40"/>
  <c r="L14" i="40"/>
  <c r="L24" i="64"/>
  <c r="D10" i="25"/>
  <c r="AC8" i="40"/>
  <c r="X23" i="25"/>
  <c r="W31" i="25"/>
  <c r="K27" i="64"/>
  <c r="Z9" i="40"/>
  <c r="X16" i="64"/>
  <c r="R13" i="25"/>
  <c r="AB21" i="40"/>
  <c r="AF11" i="40"/>
  <c r="AH13" i="25"/>
  <c r="M11" i="40"/>
  <c r="C21" i="40"/>
  <c r="AG29" i="64"/>
  <c r="P33" i="25"/>
  <c r="I23" i="40"/>
  <c r="AC14" i="40"/>
  <c r="H32" i="25"/>
  <c r="Y11" i="25"/>
  <c r="W7" i="40"/>
  <c r="E22" i="40"/>
  <c r="O27" i="64"/>
  <c r="H15" i="25"/>
  <c r="T21" i="25"/>
  <c r="P9" i="40"/>
  <c r="AG20" i="40"/>
  <c r="S17" i="25"/>
  <c r="P26" i="40"/>
  <c r="N14" i="40"/>
  <c r="AG8" i="25"/>
  <c r="B21" i="40"/>
  <c r="AB24" i="25"/>
  <c r="M10" i="40"/>
  <c r="D20" i="25"/>
  <c r="N17" i="40"/>
  <c r="P22" i="25"/>
  <c r="W32" i="25"/>
  <c r="AI25" i="40"/>
  <c r="K22" i="25"/>
  <c r="S9" i="25"/>
  <c r="D15" i="40"/>
  <c r="Y9" i="40"/>
  <c r="AH16" i="25"/>
  <c r="S18" i="40"/>
  <c r="K31" i="25"/>
  <c r="Z18" i="25"/>
  <c r="T15" i="40"/>
  <c r="P27" i="25"/>
  <c r="S24" i="64"/>
  <c r="Q29" i="25"/>
  <c r="AH7" i="66"/>
  <c r="B10" i="66"/>
  <c r="U7" i="66"/>
  <c r="J9" i="66"/>
  <c r="I31" i="66"/>
  <c r="AB16" i="25"/>
  <c r="Q20" i="66"/>
  <c r="AE23" i="66"/>
  <c r="N9" i="66"/>
  <c r="H31" i="66"/>
  <c r="AE8" i="40"/>
  <c r="K7" i="64"/>
  <c r="I32" i="66"/>
  <c r="AH13" i="40"/>
  <c r="K19" i="25"/>
  <c r="S14" i="25"/>
  <c r="AA23" i="64"/>
  <c r="I30" i="25"/>
  <c r="E26" i="40"/>
  <c r="P24" i="25"/>
  <c r="AG14" i="25"/>
  <c r="L15" i="66"/>
  <c r="T14" i="66"/>
  <c r="W22" i="66"/>
  <c r="AB32" i="66"/>
  <c r="W25" i="66"/>
  <c r="N31" i="66"/>
  <c r="F18" i="66"/>
  <c r="O31" i="66"/>
  <c r="D11" i="25"/>
  <c r="T19" i="66"/>
  <c r="D30" i="66"/>
  <c r="N27" i="25"/>
  <c r="K29" i="64"/>
  <c r="AE29" i="64"/>
  <c r="G21" i="25"/>
  <c r="R19" i="40"/>
  <c r="M22" i="25"/>
  <c r="C23" i="40"/>
  <c r="X13" i="40"/>
  <c r="AC17" i="64"/>
  <c r="I28" i="66"/>
  <c r="J33" i="66"/>
  <c r="G22" i="66"/>
  <c r="K16" i="66"/>
  <c r="N11" i="66"/>
  <c r="G15" i="66"/>
  <c r="N20" i="66"/>
  <c r="L31" i="66"/>
  <c r="S25" i="25"/>
  <c r="S10" i="66"/>
  <c r="AG9" i="66"/>
  <c r="L8" i="64"/>
  <c r="AH22" i="25"/>
  <c r="AF23" i="25"/>
  <c r="T10" i="66"/>
  <c r="AG29" i="25"/>
  <c r="AD24" i="40"/>
  <c r="L23" i="64"/>
  <c r="T13" i="40"/>
  <c r="F28" i="25"/>
  <c r="AA25" i="25"/>
  <c r="B9" i="40"/>
  <c r="AF21" i="66"/>
  <c r="AF24" i="66"/>
  <c r="N25" i="66"/>
  <c r="J26" i="66"/>
  <c r="AA19" i="66"/>
  <c r="I11" i="66"/>
  <c r="AB12" i="66"/>
  <c r="C9" i="40"/>
  <c r="AD29" i="66"/>
  <c r="B18" i="66"/>
  <c r="R30" i="25"/>
  <c r="O16" i="25"/>
  <c r="O11" i="25"/>
  <c r="E27" i="25"/>
  <c r="H13" i="66"/>
  <c r="AF13" i="40"/>
  <c r="Z32" i="25"/>
  <c r="B30" i="66"/>
  <c r="AG29" i="66"/>
  <c r="Z13" i="25"/>
  <c r="V27" i="25"/>
  <c r="B28" i="64"/>
  <c r="D16" i="64"/>
  <c r="X24" i="40"/>
  <c r="AD16" i="25"/>
  <c r="AC18" i="64"/>
  <c r="C30" i="64"/>
  <c r="AH18" i="64"/>
  <c r="W11" i="64"/>
  <c r="AG7" i="40"/>
  <c r="K26" i="64"/>
  <c r="Y9" i="64"/>
  <c r="N16" i="25"/>
  <c r="AH21" i="40"/>
  <c r="L26" i="40"/>
  <c r="AC23" i="25"/>
  <c r="W13" i="40"/>
  <c r="H11" i="25"/>
  <c r="AD14" i="40"/>
  <c r="AF9" i="64"/>
  <c r="AE10" i="40"/>
  <c r="AB32" i="25"/>
  <c r="AF24" i="40"/>
  <c r="AG24" i="40"/>
  <c r="T22" i="25"/>
  <c r="D19" i="25"/>
  <c r="AG18" i="25"/>
  <c r="X15" i="40"/>
  <c r="V31" i="25"/>
  <c r="E30" i="25"/>
  <c r="B14" i="64"/>
  <c r="M9" i="25"/>
  <c r="AH23" i="25"/>
  <c r="AA16" i="25"/>
  <c r="AF28" i="64"/>
  <c r="N12" i="40"/>
  <c r="B13" i="64"/>
  <c r="T24" i="25"/>
  <c r="AH25" i="40"/>
  <c r="AG27" i="25"/>
  <c r="B18" i="25"/>
  <c r="H19" i="25"/>
  <c r="M7" i="25"/>
  <c r="L25" i="64"/>
  <c r="AB25" i="25"/>
  <c r="AA19" i="64"/>
  <c r="G11" i="25"/>
  <c r="AD15" i="64"/>
  <c r="AF10" i="25"/>
  <c r="AB11" i="40"/>
  <c r="O7" i="40"/>
  <c r="AE25" i="25"/>
  <c r="Q26" i="25"/>
  <c r="N23" i="25"/>
  <c r="P19" i="40"/>
  <c r="L22" i="40"/>
  <c r="S12" i="40"/>
  <c r="AI14" i="40"/>
  <c r="Q18" i="25"/>
  <c r="D32" i="25"/>
  <c r="D29" i="64"/>
  <c r="N7" i="40"/>
  <c r="AH20" i="25"/>
  <c r="W12" i="25"/>
  <c r="Q9" i="40"/>
  <c r="AI22" i="40"/>
  <c r="AD10" i="25"/>
  <c r="AH10" i="40"/>
  <c r="AA22" i="25"/>
  <c r="AH23" i="64"/>
  <c r="Y8" i="25"/>
  <c r="R23" i="64"/>
  <c r="W13" i="25"/>
  <c r="I15" i="25"/>
  <c r="AG7" i="25"/>
  <c r="Q7" i="25"/>
  <c r="J16" i="40"/>
  <c r="L29" i="25"/>
  <c r="O24" i="64"/>
  <c r="B13" i="40"/>
  <c r="AB29" i="66"/>
  <c r="B14" i="66"/>
  <c r="P10" i="66"/>
  <c r="AB25" i="66"/>
  <c r="G7" i="66"/>
  <c r="I8" i="66"/>
  <c r="H23" i="66"/>
  <c r="C8" i="66"/>
  <c r="X20" i="66"/>
  <c r="D33" i="66"/>
  <c r="B7" i="25"/>
  <c r="Y14" i="64"/>
  <c r="C24" i="66"/>
  <c r="AD32" i="25"/>
  <c r="E14" i="66"/>
  <c r="B30" i="25"/>
  <c r="P17" i="40"/>
  <c r="AI17" i="25"/>
  <c r="J17" i="25"/>
  <c r="F25" i="40"/>
  <c r="N15" i="25"/>
  <c r="G20" i="25"/>
  <c r="C22" i="66"/>
  <c r="B13" i="66"/>
  <c r="D26" i="66"/>
  <c r="AH13" i="66"/>
  <c r="M18" i="66"/>
  <c r="N14" i="66"/>
  <c r="Q25" i="66"/>
  <c r="H18" i="66"/>
  <c r="AE20" i="40"/>
  <c r="C15" i="25"/>
  <c r="F7" i="40"/>
  <c r="T26" i="66"/>
  <c r="J8" i="40"/>
  <c r="Y14" i="40"/>
  <c r="AD15" i="25"/>
  <c r="AB23" i="40"/>
  <c r="X24" i="25"/>
  <c r="K15" i="25"/>
  <c r="AA31" i="25"/>
  <c r="AC10" i="40"/>
  <c r="AE24" i="64"/>
  <c r="AE12" i="66"/>
  <c r="AE16" i="66"/>
  <c r="AF30" i="66"/>
  <c r="B21" i="66"/>
  <c r="AI31" i="66"/>
  <c r="AB8" i="66"/>
  <c r="X27" i="66"/>
  <c r="Q30" i="66"/>
  <c r="D16" i="25"/>
  <c r="V28" i="66"/>
  <c r="N21" i="66"/>
  <c r="V9" i="66"/>
  <c r="AH24" i="25"/>
  <c r="AC7" i="25"/>
  <c r="W15" i="25"/>
  <c r="O19" i="25"/>
  <c r="T19" i="40"/>
  <c r="G10" i="40"/>
  <c r="AF19" i="40"/>
  <c r="B23" i="25"/>
  <c r="M30" i="66"/>
  <c r="F31" i="66"/>
  <c r="AB7" i="66"/>
  <c r="AH29" i="66"/>
  <c r="T13" i="66"/>
  <c r="C32" i="66"/>
  <c r="AC25" i="66"/>
  <c r="AI13" i="66"/>
  <c r="X31" i="66"/>
  <c r="R18" i="66"/>
  <c r="L29" i="66"/>
  <c r="T25" i="66"/>
  <c r="X29" i="25"/>
  <c r="O20" i="25"/>
  <c r="I32" i="25"/>
  <c r="P15" i="40"/>
  <c r="O29" i="66"/>
  <c r="AI18" i="40"/>
  <c r="R24" i="25"/>
  <c r="X31" i="25"/>
  <c r="E23" i="25"/>
  <c r="O30" i="25"/>
  <c r="O13" i="40"/>
  <c r="AF21" i="25"/>
  <c r="B10" i="64"/>
  <c r="AA18" i="40"/>
  <c r="R25" i="40"/>
  <c r="C7" i="25"/>
  <c r="O18" i="25"/>
  <c r="O20" i="40"/>
  <c r="P16" i="40"/>
  <c r="AB33" i="25"/>
  <c r="V21" i="25"/>
  <c r="N21" i="40"/>
  <c r="X19" i="25"/>
  <c r="S7" i="25"/>
  <c r="F26" i="40"/>
  <c r="D8" i="25"/>
  <c r="Q30" i="25"/>
  <c r="AF23" i="64"/>
  <c r="AC9" i="25"/>
  <c r="AH12" i="40"/>
  <c r="AB15" i="25"/>
  <c r="Z7" i="25"/>
  <c r="K26" i="25"/>
  <c r="H18" i="40"/>
  <c r="AC16" i="40"/>
  <c r="AF14" i="40"/>
  <c r="H14" i="25"/>
  <c r="AH19" i="40"/>
  <c r="O8" i="25"/>
  <c r="AB25" i="40"/>
  <c r="N28" i="25"/>
  <c r="AD21" i="64"/>
  <c r="U32" i="25"/>
  <c r="D23" i="25"/>
  <c r="L17" i="40"/>
  <c r="V8" i="40"/>
  <c r="V32" i="25"/>
  <c r="F30" i="25"/>
  <c r="L16" i="40"/>
  <c r="G16" i="40"/>
  <c r="AC24" i="40"/>
  <c r="G16" i="25"/>
  <c r="E22" i="25"/>
  <c r="M20" i="25"/>
  <c r="AA15" i="40"/>
  <c r="U26" i="64"/>
  <c r="N9" i="25"/>
  <c r="AI7" i="64"/>
  <c r="L25" i="40"/>
  <c r="AI12" i="25"/>
  <c r="S20" i="25"/>
  <c r="U8" i="40"/>
  <c r="N30" i="25"/>
  <c r="AD18" i="64"/>
  <c r="S19" i="40"/>
  <c r="R26" i="64"/>
  <c r="G22" i="25"/>
  <c r="K25" i="40"/>
  <c r="I12" i="25"/>
  <c r="Q25" i="25"/>
  <c r="K22" i="40"/>
  <c r="R16" i="40"/>
  <c r="V15" i="64"/>
  <c r="F8" i="40"/>
  <c r="H8" i="40"/>
  <c r="F19" i="25"/>
  <c r="K9" i="40"/>
  <c r="U26" i="40"/>
  <c r="B17" i="40"/>
  <c r="AE13" i="40"/>
  <c r="C26" i="40"/>
  <c r="F14" i="25"/>
  <c r="R29" i="25"/>
  <c r="AC20" i="40"/>
  <c r="AG9" i="64"/>
  <c r="I18" i="25"/>
  <c r="G15" i="25"/>
  <c r="AB15" i="40"/>
  <c r="I21" i="40"/>
  <c r="AF25" i="66"/>
  <c r="F20" i="40"/>
  <c r="S30" i="25"/>
  <c r="Z20" i="40"/>
  <c r="Z7" i="40"/>
  <c r="F14" i="64"/>
  <c r="AE21" i="25"/>
  <c r="W11" i="40"/>
  <c r="AG28" i="25"/>
  <c r="T11" i="25"/>
  <c r="O29" i="25"/>
  <c r="V30" i="64"/>
  <c r="AB8" i="25"/>
  <c r="L28" i="25"/>
  <c r="H22" i="40"/>
  <c r="AE15" i="64"/>
  <c r="T26" i="25"/>
  <c r="P8" i="25"/>
  <c r="X17" i="25"/>
  <c r="AC14" i="66"/>
  <c r="AA8" i="66"/>
  <c r="M31" i="66"/>
  <c r="K32" i="66"/>
  <c r="Q10" i="66"/>
  <c r="F29" i="66"/>
  <c r="T15" i="66"/>
  <c r="C14" i="66"/>
  <c r="T25" i="40"/>
  <c r="O7" i="66"/>
  <c r="C7" i="66"/>
  <c r="X18" i="66"/>
  <c r="X26" i="25"/>
  <c r="E7" i="25"/>
  <c r="Y10" i="66"/>
  <c r="J13" i="40"/>
  <c r="U20" i="25"/>
  <c r="AE9" i="40"/>
  <c r="AF20" i="25"/>
  <c r="S26" i="40"/>
  <c r="F18" i="40"/>
  <c r="D21" i="40"/>
  <c r="B8" i="66"/>
  <c r="AH31" i="66"/>
  <c r="G19" i="66"/>
  <c r="P21" i="66"/>
  <c r="AD25" i="66"/>
  <c r="S11" i="40"/>
  <c r="G33" i="66"/>
  <c r="Z24" i="66"/>
  <c r="M15" i="66"/>
  <c r="T22" i="40"/>
  <c r="R25" i="25"/>
  <c r="E28" i="66"/>
  <c r="P23" i="25"/>
  <c r="F10" i="40"/>
  <c r="G33" i="25"/>
  <c r="Q17" i="25"/>
  <c r="V14" i="64"/>
  <c r="G9" i="40"/>
  <c r="AA9" i="66"/>
  <c r="C33" i="25"/>
  <c r="AD12" i="25"/>
  <c r="AH21" i="66"/>
  <c r="Q21" i="66"/>
  <c r="AF11" i="66"/>
  <c r="F14" i="66"/>
  <c r="AH32" i="66"/>
  <c r="S25" i="66"/>
  <c r="U19" i="66"/>
  <c r="Q16" i="66"/>
  <c r="T7" i="40"/>
  <c r="AC7" i="66"/>
  <c r="N26" i="66"/>
  <c r="J18" i="40"/>
  <c r="AD22" i="25"/>
  <c r="U29" i="25"/>
  <c r="S18" i="25"/>
  <c r="AF32" i="66"/>
  <c r="R33" i="25"/>
  <c r="B27" i="64"/>
  <c r="AI20" i="25"/>
  <c r="E32" i="25"/>
  <c r="AB28" i="25"/>
  <c r="J15" i="66"/>
  <c r="AE7" i="66"/>
  <c r="B31" i="66"/>
  <c r="T16" i="66"/>
  <c r="H15" i="66"/>
  <c r="AD26" i="66"/>
  <c r="D12" i="66"/>
  <c r="AC30" i="66"/>
  <c r="G12" i="66"/>
  <c r="W13" i="66"/>
  <c r="G25" i="40"/>
  <c r="J22" i="40"/>
  <c r="AD13" i="40"/>
  <c r="B18" i="40"/>
  <c r="C17" i="40"/>
  <c r="AA29" i="25"/>
  <c r="AB22" i="25"/>
  <c r="E24" i="25"/>
  <c r="Z26" i="40"/>
  <c r="AC25" i="40"/>
  <c r="S14" i="40"/>
  <c r="X22" i="64"/>
  <c r="V20" i="40"/>
  <c r="U21" i="64"/>
  <c r="B20" i="25"/>
  <c r="M19" i="25"/>
  <c r="AH24" i="40"/>
  <c r="P17" i="25"/>
  <c r="Q24" i="40"/>
  <c r="L17" i="25"/>
  <c r="U16" i="40"/>
  <c r="AE17" i="25"/>
  <c r="X20" i="64"/>
  <c r="L24" i="40"/>
  <c r="V15" i="40"/>
  <c r="U10" i="40"/>
  <c r="AI9" i="25"/>
  <c r="AI21" i="25"/>
  <c r="O14" i="25"/>
  <c r="AH30" i="25"/>
  <c r="AG20" i="64"/>
  <c r="L13" i="40"/>
  <c r="Y21" i="40"/>
  <c r="W19" i="25"/>
  <c r="M15" i="25"/>
  <c r="J9" i="64"/>
  <c r="H24" i="40"/>
  <c r="O22" i="25"/>
  <c r="AF9" i="40"/>
  <c r="AH12" i="25"/>
  <c r="AI7" i="40"/>
  <c r="J31" i="25"/>
  <c r="K8" i="25"/>
  <c r="AE16" i="25"/>
  <c r="J10" i="40"/>
  <c r="V17" i="25"/>
  <c r="W30" i="25"/>
  <c r="N19" i="25"/>
  <c r="O24" i="40"/>
  <c r="AB19" i="40"/>
  <c r="J26" i="25"/>
  <c r="C19" i="64"/>
  <c r="W27" i="25"/>
  <c r="D12" i="64"/>
  <c r="AE19" i="25"/>
  <c r="X26" i="40"/>
  <c r="J22" i="25"/>
  <c r="W11" i="25"/>
  <c r="AI8" i="25"/>
  <c r="H23" i="40"/>
  <c r="K13" i="25"/>
  <c r="D7" i="40"/>
  <c r="J32" i="25"/>
  <c r="AA7" i="64"/>
  <c r="R10" i="64"/>
  <c r="AI18" i="25"/>
  <c r="L15" i="40"/>
  <c r="C24" i="25"/>
  <c r="AH28" i="64"/>
  <c r="Z10" i="25"/>
  <c r="AG13" i="25"/>
  <c r="H19" i="40"/>
  <c r="Z10" i="40"/>
  <c r="X7" i="25"/>
  <c r="M31" i="25"/>
  <c r="R13" i="40"/>
  <c r="L29" i="64"/>
  <c r="X9" i="25"/>
  <c r="I25" i="25"/>
  <c r="AC9" i="40"/>
  <c r="U13" i="64"/>
  <c r="AI23" i="40"/>
  <c r="I22" i="64"/>
  <c r="G20" i="40"/>
  <c r="L7" i="40"/>
  <c r="P25" i="25"/>
  <c r="K13" i="40"/>
  <c r="K21" i="66"/>
  <c r="AF31" i="66"/>
  <c r="H9" i="66"/>
  <c r="Q19" i="66"/>
  <c r="AF20" i="66"/>
  <c r="AG27" i="66"/>
  <c r="O27" i="66"/>
  <c r="F20" i="25"/>
  <c r="O15" i="66"/>
  <c r="AI24" i="66"/>
  <c r="V15" i="25"/>
  <c r="AA29" i="64"/>
  <c r="I13" i="64"/>
  <c r="N30" i="66"/>
  <c r="U21" i="66"/>
  <c r="AG33" i="66"/>
  <c r="D19" i="40"/>
  <c r="H11" i="40"/>
  <c r="I17" i="64"/>
  <c r="C30" i="25"/>
  <c r="R15" i="25"/>
  <c r="AC25" i="25"/>
  <c r="Y13" i="66"/>
  <c r="M33" i="66"/>
  <c r="O11" i="66"/>
  <c r="Y30" i="66"/>
  <c r="AC9" i="66"/>
  <c r="V8" i="66"/>
  <c r="D19" i="66"/>
  <c r="U31" i="66"/>
  <c r="O23" i="66"/>
  <c r="AA12" i="66"/>
  <c r="G21" i="40"/>
  <c r="Z24" i="25"/>
  <c r="B8" i="40"/>
  <c r="N24" i="66"/>
  <c r="C26" i="25"/>
  <c r="V10" i="25"/>
  <c r="O15" i="25"/>
  <c r="L8" i="40"/>
  <c r="AE32" i="25"/>
  <c r="G24" i="64"/>
  <c r="AF15" i="40"/>
  <c r="AB17" i="66"/>
  <c r="U32" i="66"/>
  <c r="AA21" i="66"/>
  <c r="AG32" i="66"/>
  <c r="AA15" i="66"/>
  <c r="V10" i="66"/>
  <c r="V21" i="66"/>
  <c r="AF17" i="66"/>
  <c r="AA17" i="40"/>
  <c r="U12" i="66"/>
  <c r="J32" i="66"/>
  <c r="AI23" i="64"/>
  <c r="AG15" i="66"/>
  <c r="L27" i="64"/>
  <c r="AG16" i="66"/>
  <c r="W33" i="25"/>
  <c r="AE25" i="40"/>
  <c r="C19" i="25"/>
  <c r="N12" i="25"/>
  <c r="AB12" i="64"/>
  <c r="G27" i="64"/>
  <c r="Q15" i="66"/>
  <c r="AA18" i="66"/>
  <c r="AE32" i="66"/>
  <c r="H11" i="66"/>
  <c r="X14" i="66"/>
  <c r="AB15" i="66"/>
  <c r="K7" i="66"/>
  <c r="AB31" i="66"/>
  <c r="J21" i="40"/>
  <c r="Y33" i="66"/>
  <c r="AD30" i="66"/>
  <c r="O18" i="64"/>
  <c r="AF24" i="25"/>
  <c r="P16" i="25"/>
  <c r="O18" i="40"/>
  <c r="AC21" i="25"/>
  <c r="J12" i="40"/>
  <c r="D8" i="64"/>
  <c r="S26" i="25"/>
  <c r="I24" i="40"/>
  <c r="V11" i="40"/>
  <c r="T20" i="25"/>
  <c r="AG16" i="40"/>
  <c r="AH15" i="25"/>
  <c r="AC20" i="25"/>
  <c r="D24" i="40"/>
  <c r="H26" i="25"/>
  <c r="E12" i="40"/>
  <c r="AC18" i="25"/>
  <c r="G31" i="25"/>
  <c r="U27" i="64"/>
  <c r="X11" i="25"/>
  <c r="J12" i="25"/>
  <c r="C25" i="25"/>
  <c r="O23" i="25"/>
  <c r="Z25" i="25"/>
  <c r="E33" i="25"/>
  <c r="R12" i="25"/>
  <c r="Y23" i="40"/>
  <c r="AH17" i="40"/>
  <c r="F9" i="40"/>
  <c r="Y7" i="25"/>
  <c r="S16" i="25"/>
  <c r="AF27" i="64"/>
  <c r="N10" i="40"/>
  <c r="I30" i="64"/>
  <c r="AA11" i="40"/>
  <c r="AH21" i="25"/>
  <c r="V7" i="25"/>
  <c r="B28" i="25"/>
  <c r="Y7" i="40"/>
  <c r="K11" i="25"/>
  <c r="O15" i="40"/>
  <c r="AC24" i="64"/>
  <c r="Q32" i="25"/>
  <c r="J27" i="25"/>
  <c r="AH27" i="25"/>
  <c r="Q26" i="40"/>
  <c r="AI21" i="64"/>
  <c r="S8" i="25"/>
  <c r="U23" i="25"/>
  <c r="R14" i="64"/>
  <c r="C14" i="40"/>
  <c r="F11" i="40"/>
  <c r="AC12" i="64"/>
  <c r="AB10" i="25"/>
  <c r="AA26" i="25"/>
  <c r="I17" i="25"/>
  <c r="Y14" i="25"/>
  <c r="J15" i="40"/>
  <c r="E23" i="40"/>
  <c r="H20" i="40"/>
  <c r="H27" i="25"/>
  <c r="E16" i="25"/>
  <c r="O23" i="40"/>
  <c r="AC12" i="40"/>
  <c r="J21" i="64"/>
  <c r="R28" i="25"/>
  <c r="L19" i="64"/>
  <c r="T15" i="25"/>
  <c r="T10" i="25"/>
  <c r="D17" i="25"/>
  <c r="AF11" i="25"/>
  <c r="AB26" i="25"/>
  <c r="N8" i="25"/>
  <c r="I23" i="25"/>
  <c r="P24" i="40"/>
  <c r="AB27" i="64"/>
  <c r="G12" i="25"/>
  <c r="N29" i="25"/>
  <c r="G23" i="40"/>
  <c r="V14" i="25"/>
  <c r="E18" i="25"/>
  <c r="AE22" i="40"/>
  <c r="AD25" i="25"/>
  <c r="E12" i="64"/>
  <c r="W19" i="40"/>
  <c r="B8" i="25"/>
  <c r="G32" i="25"/>
  <c r="B14" i="40"/>
  <c r="X20" i="40"/>
  <c r="X23" i="66"/>
  <c r="L21" i="66"/>
  <c r="I22" i="66"/>
  <c r="AA29" i="66"/>
  <c r="Q13" i="66"/>
  <c r="Z15" i="40"/>
  <c r="AG25" i="40"/>
  <c r="AD13" i="66"/>
  <c r="Y14" i="66"/>
  <c r="O19" i="64"/>
  <c r="X17" i="40"/>
  <c r="K26" i="40"/>
  <c r="AF18" i="25"/>
  <c r="D28" i="66"/>
  <c r="P21" i="25"/>
  <c r="U14" i="40"/>
  <c r="G17" i="66"/>
  <c r="T9" i="40"/>
  <c r="P20" i="40"/>
  <c r="E19" i="40"/>
  <c r="T17" i="25"/>
  <c r="R8" i="66"/>
  <c r="V24" i="66"/>
  <c r="AB13" i="66"/>
  <c r="I7" i="66"/>
  <c r="O22" i="66"/>
  <c r="N32" i="66"/>
  <c r="AI23" i="66"/>
  <c r="AD28" i="66"/>
  <c r="S28" i="66"/>
  <c r="L20" i="25"/>
  <c r="AF31" i="25"/>
  <c r="T21" i="66"/>
  <c r="C18" i="66"/>
  <c r="G19" i="25"/>
  <c r="Z16" i="40"/>
  <c r="AE14" i="40"/>
  <c r="I26" i="40"/>
  <c r="AF25" i="25"/>
  <c r="P10" i="25"/>
  <c r="Q22" i="64"/>
  <c r="B15" i="40"/>
  <c r="F26" i="66"/>
  <c r="S11" i="66"/>
  <c r="M13" i="66"/>
  <c r="S8" i="66"/>
  <c r="AA7" i="66"/>
  <c r="AC27" i="66"/>
  <c r="P9" i="66"/>
  <c r="R11" i="66"/>
  <c r="O22" i="64"/>
  <c r="W19" i="66"/>
  <c r="Z18" i="66"/>
  <c r="G24" i="40"/>
  <c r="R20" i="25"/>
  <c r="O7" i="25"/>
  <c r="AD22" i="40"/>
  <c r="AA12" i="64"/>
  <c r="Y24" i="40"/>
  <c r="AC13" i="25"/>
  <c r="AC15" i="40"/>
  <c r="AF19" i="25"/>
  <c r="P17" i="64"/>
  <c r="R16" i="66"/>
  <c r="T24" i="66"/>
  <c r="J17" i="66"/>
  <c r="R14" i="66"/>
  <c r="O20" i="66"/>
  <c r="M21" i="66"/>
  <c r="B29" i="66"/>
  <c r="AG28" i="66"/>
  <c r="B26" i="40"/>
  <c r="L32" i="66"/>
  <c r="L7" i="66"/>
  <c r="AH9" i="40"/>
  <c r="Z14" i="40"/>
  <c r="N8" i="40"/>
  <c r="AH20" i="40"/>
  <c r="Z27" i="25"/>
  <c r="Q18" i="40"/>
  <c r="E21" i="25"/>
  <c r="AB24" i="66"/>
  <c r="O11" i="64"/>
  <c r="M20" i="64"/>
  <c r="V20" i="64"/>
  <c r="S23" i="25"/>
  <c r="F17" i="25"/>
  <c r="Z28" i="25"/>
  <c r="N14" i="25"/>
  <c r="V9" i="40"/>
  <c r="AA26" i="40"/>
  <c r="W17" i="25"/>
  <c r="N16" i="40"/>
  <c r="I14" i="25"/>
  <c r="I15" i="40"/>
  <c r="AD19" i="25"/>
  <c r="N13" i="40"/>
  <c r="H21" i="25"/>
  <c r="C22" i="40"/>
  <c r="AC17" i="25"/>
  <c r="AC21" i="40"/>
  <c r="H21" i="64"/>
  <c r="Z13" i="40"/>
  <c r="AA20" i="40"/>
  <c r="Q29" i="64"/>
  <c r="B9" i="64"/>
  <c r="AE30" i="25"/>
  <c r="S16" i="40"/>
  <c r="I29" i="25"/>
  <c r="N10" i="25"/>
  <c r="T14" i="25"/>
  <c r="J16" i="25"/>
  <c r="AC26" i="40"/>
  <c r="AF30" i="25"/>
  <c r="T8" i="40"/>
  <c r="Z24" i="64"/>
  <c r="AI22" i="64"/>
  <c r="V16" i="25"/>
  <c r="S15" i="40"/>
  <c r="H25" i="25"/>
  <c r="T23" i="64"/>
  <c r="T27" i="25"/>
  <c r="AI24" i="64"/>
  <c r="AH14" i="25"/>
  <c r="AA33" i="25"/>
  <c r="Q18" i="64"/>
  <c r="C16" i="25"/>
  <c r="M32" i="25"/>
  <c r="AC7" i="40"/>
  <c r="AH9" i="25"/>
  <c r="E14" i="25"/>
  <c r="W16" i="40"/>
  <c r="AD17" i="64"/>
  <c r="AC14" i="25"/>
  <c r="S27" i="25"/>
  <c r="I14" i="40"/>
  <c r="U27" i="25"/>
  <c r="V17" i="40"/>
  <c r="AA21" i="25"/>
  <c r="AE19" i="64"/>
  <c r="AD28" i="64"/>
  <c r="AC17" i="40"/>
  <c r="AD12" i="40"/>
  <c r="P25" i="40"/>
  <c r="K23" i="25"/>
  <c r="G30" i="64"/>
  <c r="K32" i="25"/>
  <c r="Y29" i="64"/>
  <c r="I18" i="40"/>
  <c r="C7" i="64"/>
  <c r="J19" i="40"/>
  <c r="O19" i="40"/>
  <c r="D13" i="40"/>
  <c r="AG26" i="64"/>
  <c r="T10" i="40"/>
  <c r="S10" i="25"/>
  <c r="R14" i="25"/>
  <c r="F25" i="64"/>
  <c r="AA27" i="64"/>
  <c r="R22" i="40"/>
  <c r="AB16" i="64"/>
  <c r="O30" i="64"/>
  <c r="U9" i="25"/>
  <c r="Z15" i="66"/>
  <c r="AF18" i="66"/>
  <c r="AE30" i="66"/>
  <c r="J24" i="66"/>
  <c r="K14" i="66"/>
  <c r="G10" i="66"/>
  <c r="AG21" i="66"/>
  <c r="F19" i="66"/>
  <c r="E23" i="66"/>
  <c r="AD10" i="66"/>
  <c r="Z17" i="64"/>
  <c r="Z21" i="40"/>
  <c r="M26" i="40"/>
  <c r="AC22" i="40"/>
  <c r="B25" i="25"/>
  <c r="M19" i="66"/>
  <c r="P23" i="40"/>
  <c r="I33" i="25"/>
  <c r="AE23" i="25"/>
  <c r="D17" i="40"/>
  <c r="Y22" i="40"/>
  <c r="G16" i="66"/>
  <c r="Q9" i="66"/>
  <c r="AF13" i="66"/>
  <c r="T31" i="66"/>
  <c r="W26" i="66"/>
  <c r="I29" i="66"/>
  <c r="F22" i="40"/>
  <c r="Q29" i="66"/>
  <c r="R30" i="66"/>
  <c r="T33" i="66"/>
  <c r="Z12" i="66"/>
  <c r="O30" i="66"/>
  <c r="Q22" i="25"/>
  <c r="Y17" i="66"/>
  <c r="Z8" i="25"/>
  <c r="AH32" i="25"/>
  <c r="AG17" i="40"/>
  <c r="AI28" i="25"/>
  <c r="C22" i="64"/>
  <c r="S32" i="25"/>
  <c r="AG11" i="25"/>
  <c r="K11" i="40"/>
  <c r="Z27" i="66"/>
  <c r="AH8" i="66"/>
  <c r="T22" i="66"/>
  <c r="L13" i="66"/>
  <c r="V17" i="66"/>
  <c r="T12" i="66"/>
  <c r="Y11" i="66"/>
  <c r="Q33" i="66"/>
  <c r="T20" i="66"/>
  <c r="AF22" i="64"/>
  <c r="M16" i="25"/>
  <c r="I23" i="66"/>
  <c r="Q20" i="64"/>
  <c r="AD14" i="64"/>
  <c r="I24" i="25"/>
  <c r="E15" i="40"/>
  <c r="AH33" i="25"/>
  <c r="M33" i="25"/>
  <c r="F15" i="40"/>
  <c r="Y25" i="25"/>
  <c r="S7" i="40"/>
  <c r="U22" i="66"/>
  <c r="AH9" i="66"/>
  <c r="G11" i="66"/>
  <c r="AI15" i="66"/>
  <c r="T8" i="66"/>
  <c r="E7" i="66"/>
  <c r="K13" i="66"/>
  <c r="P19" i="66"/>
  <c r="U13" i="25"/>
  <c r="E26" i="25"/>
  <c r="L16" i="64"/>
  <c r="C10" i="66"/>
  <c r="W10" i="66"/>
  <c r="AI10" i="25"/>
  <c r="M9" i="40"/>
  <c r="N21" i="25"/>
  <c r="O27" i="25"/>
  <c r="P22" i="64"/>
  <c r="O14" i="40"/>
  <c r="N26" i="40"/>
  <c r="AC23" i="40"/>
  <c r="O26" i="25"/>
  <c r="P8" i="64"/>
  <c r="Y28" i="25"/>
  <c r="AC26" i="25"/>
  <c r="B12" i="40"/>
  <c r="H29" i="25"/>
  <c r="F12" i="25"/>
  <c r="K21" i="25"/>
  <c r="H28" i="64"/>
  <c r="Y19" i="25"/>
  <c r="AA8" i="40"/>
  <c r="B15" i="25"/>
  <c r="AE10" i="64"/>
  <c r="T27" i="64"/>
  <c r="G13" i="40"/>
  <c r="D30" i="25"/>
  <c r="D8" i="40"/>
  <c r="F8" i="25"/>
  <c r="AE22" i="25"/>
  <c r="X22" i="40"/>
  <c r="Y20" i="25"/>
  <c r="I26" i="25"/>
  <c r="AB14" i="25"/>
  <c r="AB8" i="64"/>
  <c r="I9" i="25"/>
  <c r="AG8" i="40"/>
  <c r="C13" i="40"/>
  <c r="F21" i="40"/>
  <c r="R19" i="25"/>
  <c r="P15" i="25"/>
  <c r="N18" i="64"/>
  <c r="L7" i="25"/>
  <c r="R9" i="25"/>
  <c r="AE9" i="25"/>
  <c r="E25" i="25"/>
  <c r="AH9" i="64"/>
  <c r="T21" i="64"/>
  <c r="AA15" i="25"/>
  <c r="AF12" i="64"/>
  <c r="AH18" i="25"/>
  <c r="AH7" i="40"/>
  <c r="K15" i="40"/>
  <c r="AI8" i="40"/>
  <c r="K9" i="25"/>
  <c r="S19" i="25"/>
  <c r="J26" i="64"/>
  <c r="H25" i="64"/>
  <c r="E8" i="25"/>
  <c r="AB28" i="64"/>
  <c r="B20" i="40"/>
  <c r="G28" i="25"/>
  <c r="H23" i="25"/>
  <c r="V10" i="64"/>
  <c r="C8" i="40"/>
  <c r="Y22" i="25"/>
  <c r="V26" i="40"/>
  <c r="N7" i="25"/>
  <c r="AG24" i="25"/>
  <c r="AI15" i="25"/>
  <c r="J14" i="64"/>
  <c r="I7" i="40"/>
  <c r="R24" i="40"/>
  <c r="Z21" i="25"/>
  <c r="AI10" i="40"/>
  <c r="E9" i="40"/>
  <c r="T8" i="25"/>
  <c r="M27" i="25"/>
  <c r="W17" i="40"/>
  <c r="K19" i="64"/>
  <c r="W28" i="25"/>
  <c r="O12" i="40"/>
  <c r="R8" i="25"/>
  <c r="R31" i="25"/>
  <c r="V33" i="66"/>
  <c r="C23" i="66"/>
  <c r="AC22" i="64" l="1"/>
  <c r="U20" i="66"/>
  <c r="AA16" i="66"/>
  <c r="N23" i="66"/>
  <c r="AG19" i="66"/>
  <c r="B22" i="66"/>
  <c r="AG13" i="66"/>
  <c r="I20" i="66"/>
  <c r="M17" i="66"/>
  <c r="AI17" i="66"/>
  <c r="S16" i="66"/>
  <c r="AH15" i="64"/>
  <c r="B33" i="25"/>
  <c r="AD23" i="40"/>
  <c r="X30" i="66"/>
  <c r="O28" i="64"/>
  <c r="Q24" i="25"/>
  <c r="J28" i="25"/>
  <c r="Q31" i="25"/>
  <c r="B13" i="25"/>
  <c r="Q11" i="25"/>
  <c r="AJ11" i="25" s="1"/>
  <c r="AI26" i="66"/>
  <c r="H10" i="66"/>
  <c r="G24" i="66"/>
  <c r="AB9" i="66"/>
  <c r="O26" i="66"/>
  <c r="Y16" i="66"/>
  <c r="Q12" i="66"/>
  <c r="AF15" i="66"/>
  <c r="AA33" i="66"/>
  <c r="Q26" i="66"/>
  <c r="Z14" i="66"/>
  <c r="AE28" i="66"/>
  <c r="I9" i="66"/>
  <c r="O34" i="25"/>
  <c r="AJ7" i="25"/>
  <c r="AJ21" i="40"/>
  <c r="F34" i="25"/>
  <c r="T34" i="25"/>
  <c r="AD34" i="25"/>
  <c r="K34" i="25"/>
  <c r="AJ13" i="40"/>
  <c r="AJ18" i="40"/>
  <c r="AJ10" i="40"/>
  <c r="AJ25" i="40"/>
  <c r="AJ16" i="40"/>
  <c r="AJ14" i="25"/>
  <c r="AJ23" i="25"/>
  <c r="AJ26" i="40"/>
  <c r="AB34" i="25"/>
  <c r="AI34" i="25"/>
  <c r="AJ17" i="40"/>
  <c r="G34" i="25"/>
  <c r="R15" i="66"/>
  <c r="E23" i="61"/>
  <c r="D14" i="40"/>
  <c r="J10" i="66"/>
  <c r="T27" i="40"/>
  <c r="M23" i="66"/>
  <c r="AI15" i="62"/>
  <c r="S27" i="66"/>
  <c r="H23" i="63"/>
  <c r="W12" i="64"/>
  <c r="L28" i="40"/>
  <c r="AC14" i="61"/>
  <c r="O26" i="62"/>
  <c r="F22" i="64"/>
  <c r="J22" i="64"/>
  <c r="R11" i="61"/>
  <c r="AF11" i="61"/>
  <c r="AA30" i="62"/>
  <c r="S30" i="61"/>
  <c r="AE8" i="61"/>
  <c r="X27" i="62"/>
  <c r="S7" i="66"/>
  <c r="N20" i="63"/>
  <c r="L8" i="62"/>
  <c r="AA10" i="64"/>
  <c r="W8" i="64"/>
  <c r="AI21" i="66"/>
  <c r="AI9" i="63"/>
  <c r="K27" i="61"/>
  <c r="X21" i="61"/>
  <c r="F21" i="62"/>
  <c r="D32" i="63"/>
  <c r="AA9" i="63"/>
  <c r="AB28" i="62"/>
  <c r="Z8" i="63"/>
  <c r="N27" i="64"/>
  <c r="Q16" i="62"/>
  <c r="AI12" i="64"/>
  <c r="T11" i="62"/>
  <c r="B32" i="61"/>
  <c r="C25" i="64"/>
  <c r="AG29" i="61"/>
  <c r="AI30" i="62"/>
  <c r="F9" i="62"/>
  <c r="D20" i="66"/>
  <c r="AC14" i="64"/>
  <c r="AF13" i="64"/>
  <c r="G13" i="66"/>
  <c r="U33" i="61"/>
  <c r="AH25" i="66"/>
  <c r="Q33" i="61"/>
  <c r="V28" i="25"/>
  <c r="I21" i="66"/>
  <c r="Y12" i="61"/>
  <c r="I31" i="61"/>
  <c r="Z16" i="62"/>
  <c r="E28" i="63"/>
  <c r="L16" i="63"/>
  <c r="L10" i="63"/>
  <c r="U31" i="63"/>
  <c r="F28" i="61"/>
  <c r="Q22" i="63"/>
  <c r="AC25" i="63"/>
  <c r="E16" i="61"/>
  <c r="I25" i="66"/>
  <c r="L10" i="61"/>
  <c r="I27" i="25"/>
  <c r="N16" i="61"/>
  <c r="S15" i="62"/>
  <c r="J31" i="66"/>
  <c r="K17" i="62"/>
  <c r="AC11" i="40"/>
  <c r="AJ11" i="40" s="1"/>
  <c r="AG31" i="63"/>
  <c r="V16" i="62"/>
  <c r="O30" i="61"/>
  <c r="AI20" i="62"/>
  <c r="H13" i="64"/>
  <c r="G10" i="61"/>
  <c r="AF8" i="61"/>
  <c r="AB24" i="62"/>
  <c r="E33" i="62"/>
  <c r="M27" i="63"/>
  <c r="S14" i="61"/>
  <c r="M14" i="64"/>
  <c r="X30" i="63"/>
  <c r="AE16" i="61"/>
  <c r="AF24" i="63"/>
  <c r="C33" i="63"/>
  <c r="M23" i="62"/>
  <c r="X22" i="63"/>
  <c r="B18" i="63"/>
  <c r="M30" i="63"/>
  <c r="X7" i="64"/>
  <c r="R14" i="61"/>
  <c r="V27" i="64"/>
  <c r="Y12" i="62"/>
  <c r="F29" i="40"/>
  <c r="U28" i="61"/>
  <c r="AC16" i="62"/>
  <c r="R33" i="62"/>
  <c r="F21" i="61"/>
  <c r="W31" i="63"/>
  <c r="Y8" i="64"/>
  <c r="AG16" i="61"/>
  <c r="K10" i="62"/>
  <c r="H20" i="62"/>
  <c r="D32" i="62"/>
  <c r="AC9" i="61"/>
  <c r="J15" i="63"/>
  <c r="M23" i="64"/>
  <c r="J32" i="61"/>
  <c r="Y29" i="61"/>
  <c r="M18" i="63"/>
  <c r="M16" i="62"/>
  <c r="J33" i="63"/>
  <c r="F30" i="63"/>
  <c r="AG11" i="63"/>
  <c r="AA14" i="63"/>
  <c r="N15" i="61"/>
  <c r="W13" i="62"/>
  <c r="P21" i="64"/>
  <c r="AG18" i="62"/>
  <c r="R16" i="64"/>
  <c r="AH29" i="64"/>
  <c r="AI30" i="61"/>
  <c r="Z33" i="62"/>
  <c r="N8" i="61"/>
  <c r="AC33" i="62"/>
  <c r="F32" i="61"/>
  <c r="P20" i="63"/>
  <c r="AE12" i="61"/>
  <c r="X26" i="62"/>
  <c r="G33" i="63"/>
  <c r="C15" i="62"/>
  <c r="AH22" i="63"/>
  <c r="S32" i="62"/>
  <c r="W33" i="63"/>
  <c r="X32" i="62"/>
  <c r="X16" i="63"/>
  <c r="Y20" i="61"/>
  <c r="N33" i="62"/>
  <c r="O28" i="61"/>
  <c r="L32" i="62"/>
  <c r="B21" i="62"/>
  <c r="N18" i="61"/>
  <c r="I18" i="64"/>
  <c r="AF31" i="62"/>
  <c r="AI20" i="64"/>
  <c r="U19" i="62"/>
  <c r="L22" i="61"/>
  <c r="AC20" i="61"/>
  <c r="AF16" i="63"/>
  <c r="AA10" i="62"/>
  <c r="AI7" i="63"/>
  <c r="C7" i="62"/>
  <c r="N29" i="61"/>
  <c r="R10" i="61"/>
  <c r="AB13" i="63"/>
  <c r="N23" i="63"/>
  <c r="S18" i="61"/>
  <c r="AI28" i="64"/>
  <c r="AB26" i="64"/>
  <c r="AH18" i="62"/>
  <c r="AI30" i="40"/>
  <c r="F23" i="61"/>
  <c r="X10" i="62"/>
  <c r="AC7" i="62"/>
  <c r="C18" i="63"/>
  <c r="AD8" i="63"/>
  <c r="U21" i="25"/>
  <c r="AJ21" i="25" s="1"/>
  <c r="M20" i="61"/>
  <c r="R17" i="61"/>
  <c r="S32" i="66"/>
  <c r="R18" i="61"/>
  <c r="N26" i="25"/>
  <c r="AE27" i="61"/>
  <c r="C32" i="63"/>
  <c r="Y26" i="62"/>
  <c r="E26" i="62"/>
  <c r="E22" i="62"/>
  <c r="G9" i="63"/>
  <c r="P21" i="63"/>
  <c r="W33" i="62"/>
  <c r="O21" i="64"/>
  <c r="I33" i="62"/>
  <c r="D20" i="63"/>
  <c r="V29" i="40"/>
  <c r="AA27" i="40"/>
  <c r="F31" i="63"/>
  <c r="I18" i="63"/>
  <c r="C28" i="25"/>
  <c r="G14" i="63"/>
  <c r="H16" i="63"/>
  <c r="P24" i="66"/>
  <c r="AA8" i="62"/>
  <c r="AG10" i="64"/>
  <c r="AI17" i="62"/>
  <c r="I12" i="40"/>
  <c r="AJ12" i="40" s="1"/>
  <c r="R25" i="66"/>
  <c r="K23" i="61"/>
  <c r="AH17" i="62"/>
  <c r="AB8" i="61"/>
  <c r="W17" i="64"/>
  <c r="AA25" i="63"/>
  <c r="AD9" i="62"/>
  <c r="AC26" i="63"/>
  <c r="W25" i="62"/>
  <c r="AD10" i="62"/>
  <c r="P28" i="61"/>
  <c r="D22" i="63"/>
  <c r="G17" i="64"/>
  <c r="W8" i="66"/>
  <c r="E9" i="62"/>
  <c r="U28" i="66"/>
  <c r="K11" i="62"/>
  <c r="AA28" i="64"/>
  <c r="R22" i="66"/>
  <c r="E19" i="64"/>
  <c r="O9" i="66"/>
  <c r="C23" i="61"/>
  <c r="Y18" i="61"/>
  <c r="H7" i="64"/>
  <c r="AD11" i="62"/>
  <c r="J21" i="63"/>
  <c r="AA33" i="63"/>
  <c r="AG23" i="64"/>
  <c r="AG29" i="62"/>
  <c r="AD13" i="64"/>
  <c r="D31" i="62"/>
  <c r="K10" i="61"/>
  <c r="C29" i="63"/>
  <c r="M8" i="63"/>
  <c r="AF25" i="61"/>
  <c r="AA28" i="66"/>
  <c r="B7" i="61"/>
  <c r="Z30" i="25"/>
  <c r="Z34" i="25" s="1"/>
  <c r="D16" i="66"/>
  <c r="AH31" i="62"/>
  <c r="V26" i="66"/>
  <c r="G17" i="62"/>
  <c r="N18" i="66"/>
  <c r="C28" i="64"/>
  <c r="H8" i="63"/>
  <c r="AF11" i="64"/>
  <c r="AG28" i="61"/>
  <c r="E23" i="62"/>
  <c r="U15" i="63"/>
  <c r="Y27" i="40"/>
  <c r="I23" i="62"/>
  <c r="Z20" i="64"/>
  <c r="F27" i="62"/>
  <c r="M10" i="62"/>
  <c r="I27" i="62"/>
  <c r="T9" i="64"/>
  <c r="S27" i="40"/>
  <c r="S22" i="62"/>
  <c r="S28" i="64"/>
  <c r="T12" i="62"/>
  <c r="AD14" i="62"/>
  <c r="G14" i="62"/>
  <c r="W7" i="64"/>
  <c r="B24" i="63"/>
  <c r="AI19" i="64"/>
  <c r="AA32" i="62"/>
  <c r="X25" i="64"/>
  <c r="D14" i="61"/>
  <c r="O23" i="63"/>
  <c r="AE33" i="61"/>
  <c r="T18" i="64"/>
  <c r="AD13" i="62"/>
  <c r="S26" i="63"/>
  <c r="Z28" i="63"/>
  <c r="O22" i="63"/>
  <c r="S29" i="61"/>
  <c r="O33" i="62"/>
  <c r="E27" i="61"/>
  <c r="Q7" i="63"/>
  <c r="AE14" i="64"/>
  <c r="O24" i="63"/>
  <c r="P20" i="62"/>
  <c r="Y10" i="61"/>
  <c r="B24" i="61"/>
  <c r="W16" i="64"/>
  <c r="AF27" i="62"/>
  <c r="E14" i="64"/>
  <c r="D24" i="62"/>
  <c r="AI33" i="61"/>
  <c r="I19" i="64"/>
  <c r="AB13" i="61"/>
  <c r="T20" i="63"/>
  <c r="Q11" i="64"/>
  <c r="X27" i="63"/>
  <c r="D19" i="63"/>
  <c r="R28" i="63"/>
  <c r="V26" i="62"/>
  <c r="K12" i="61"/>
  <c r="AB30" i="61"/>
  <c r="L17" i="63"/>
  <c r="H30" i="63"/>
  <c r="E18" i="61"/>
  <c r="Y28" i="63"/>
  <c r="Z13" i="63"/>
  <c r="E15" i="61"/>
  <c r="P27" i="63"/>
  <c r="L28" i="62"/>
  <c r="E30" i="61"/>
  <c r="O29" i="61"/>
  <c r="O26" i="61"/>
  <c r="Y33" i="61"/>
  <c r="AG8" i="61"/>
  <c r="U28" i="64"/>
  <c r="AF32" i="63"/>
  <c r="R14" i="63"/>
  <c r="V31" i="63"/>
  <c r="AD15" i="63"/>
  <c r="K16" i="61"/>
  <c r="Y18" i="63"/>
  <c r="X28" i="40"/>
  <c r="Q12" i="64"/>
  <c r="AG29" i="63"/>
  <c r="AD27" i="63"/>
  <c r="N17" i="63"/>
  <c r="V9" i="62"/>
  <c r="T11" i="63"/>
  <c r="L13" i="63"/>
  <c r="AE25" i="64"/>
  <c r="AB24" i="61"/>
  <c r="V20" i="62"/>
  <c r="L24" i="61"/>
  <c r="AA18" i="61"/>
  <c r="AG15" i="64"/>
  <c r="AB30" i="62"/>
  <c r="AC28" i="63"/>
  <c r="O20" i="63"/>
  <c r="L27" i="40"/>
  <c r="C24" i="62"/>
  <c r="N7" i="66"/>
  <c r="H9" i="62"/>
  <c r="V19" i="40"/>
  <c r="R26" i="66"/>
  <c r="P12" i="63"/>
  <c r="F25" i="66"/>
  <c r="W24" i="62"/>
  <c r="M32" i="66"/>
  <c r="X10" i="63"/>
  <c r="D26" i="61"/>
  <c r="O27" i="40"/>
  <c r="W28" i="63"/>
  <c r="AG19" i="61"/>
  <c r="D29" i="63"/>
  <c r="R26" i="63"/>
  <c r="B19" i="64"/>
  <c r="H8" i="62"/>
  <c r="F16" i="64"/>
  <c r="W13" i="64"/>
  <c r="R17" i="62"/>
  <c r="U14" i="63"/>
  <c r="C27" i="66"/>
  <c r="J24" i="61"/>
  <c r="AC31" i="25"/>
  <c r="V31" i="66"/>
  <c r="AA31" i="62"/>
  <c r="G30" i="66"/>
  <c r="AD12" i="61"/>
  <c r="I27" i="66"/>
  <c r="D30" i="61"/>
  <c r="G12" i="63"/>
  <c r="F8" i="62"/>
  <c r="AB30" i="63"/>
  <c r="Y31" i="63"/>
  <c r="AD9" i="63"/>
  <c r="K21" i="64"/>
  <c r="I11" i="64"/>
  <c r="C30" i="61"/>
  <c r="C28" i="63"/>
  <c r="I19" i="63"/>
  <c r="O19" i="62"/>
  <c r="AE16" i="63"/>
  <c r="S19" i="66"/>
  <c r="Z32" i="63"/>
  <c r="AC15" i="25"/>
  <c r="U23" i="62"/>
  <c r="P11" i="62"/>
  <c r="Y19" i="66"/>
  <c r="P17" i="62"/>
  <c r="J11" i="66"/>
  <c r="I26" i="63"/>
  <c r="Z29" i="64"/>
  <c r="L23" i="63"/>
  <c r="AI27" i="62"/>
  <c r="I28" i="61"/>
  <c r="M13" i="64"/>
  <c r="U21" i="61"/>
  <c r="AF27" i="40"/>
  <c r="Q15" i="62"/>
  <c r="O10" i="61"/>
  <c r="AB9" i="64"/>
  <c r="S15" i="61"/>
  <c r="I18" i="61"/>
  <c r="Z7" i="64"/>
  <c r="H29" i="66"/>
  <c r="L15" i="64"/>
  <c r="L9" i="66"/>
  <c r="D16" i="63"/>
  <c r="AB17" i="62"/>
  <c r="S13" i="66"/>
  <c r="M18" i="64"/>
  <c r="F10" i="66"/>
  <c r="AE11" i="62"/>
  <c r="H33" i="62"/>
  <c r="S10" i="61"/>
  <c r="AB20" i="63"/>
  <c r="P28" i="62"/>
  <c r="G17" i="63"/>
  <c r="C31" i="61"/>
  <c r="G25" i="61"/>
  <c r="Z29" i="63"/>
  <c r="W16" i="63"/>
  <c r="X8" i="62"/>
  <c r="O29" i="40"/>
  <c r="AB17" i="63"/>
  <c r="G32" i="63"/>
  <c r="I9" i="61"/>
  <c r="H14" i="63"/>
  <c r="W9" i="63"/>
  <c r="Q30" i="40"/>
  <c r="D27" i="63"/>
  <c r="J26" i="61"/>
  <c r="M32" i="63"/>
  <c r="L19" i="61"/>
  <c r="D11" i="64"/>
  <c r="I29" i="61"/>
  <c r="X25" i="63"/>
  <c r="AC17" i="63"/>
  <c r="Q28" i="40"/>
  <c r="Z20" i="63"/>
  <c r="W10" i="61"/>
  <c r="J22" i="62"/>
  <c r="G28" i="40"/>
  <c r="H20" i="64"/>
  <c r="M33" i="62"/>
  <c r="S28" i="61"/>
  <c r="N13" i="62"/>
  <c r="G11" i="63"/>
  <c r="Y19" i="62"/>
  <c r="G15" i="61"/>
  <c r="E32" i="63"/>
  <c r="S24" i="62"/>
  <c r="N22" i="64"/>
  <c r="M28" i="63"/>
  <c r="S18" i="63"/>
  <c r="T30" i="61"/>
  <c r="AF18" i="61"/>
  <c r="U18" i="62"/>
  <c r="S31" i="61"/>
  <c r="B16" i="62"/>
  <c r="N10" i="61"/>
  <c r="L32" i="61"/>
  <c r="AE22" i="63"/>
  <c r="AG8" i="62"/>
  <c r="Z19" i="63"/>
  <c r="F26" i="62"/>
  <c r="P19" i="63"/>
  <c r="P27" i="40"/>
  <c r="I21" i="63"/>
  <c r="M15" i="61"/>
  <c r="P13" i="63"/>
  <c r="C12" i="61"/>
  <c r="K11" i="61"/>
  <c r="I11" i="61"/>
  <c r="Y33" i="62"/>
  <c r="AB32" i="61"/>
  <c r="AF26" i="64"/>
  <c r="C18" i="61"/>
  <c r="V13" i="64"/>
  <c r="J8" i="63"/>
  <c r="Q21" i="64"/>
  <c r="AD8" i="61"/>
  <c r="AE24" i="61"/>
  <c r="D12" i="61"/>
  <c r="M7" i="62"/>
  <c r="AG15" i="62"/>
  <c r="X32" i="63"/>
  <c r="AF30" i="63"/>
  <c r="AI10" i="64"/>
  <c r="H15" i="64"/>
  <c r="M7" i="64"/>
  <c r="AB29" i="61"/>
  <c r="Z18" i="64"/>
  <c r="H17" i="63"/>
  <c r="J20" i="62"/>
  <c r="V27" i="62"/>
  <c r="AB15" i="63"/>
  <c r="G22" i="64"/>
  <c r="F26" i="63"/>
  <c r="U27" i="63"/>
  <c r="AB31" i="62"/>
  <c r="B19" i="62"/>
  <c r="X7" i="62"/>
  <c r="F12" i="63"/>
  <c r="U11" i="61"/>
  <c r="E22" i="61"/>
  <c r="AC29" i="61"/>
  <c r="O15" i="61"/>
  <c r="C21" i="62"/>
  <c r="R32" i="66"/>
  <c r="G11" i="61"/>
  <c r="G20" i="66"/>
  <c r="AE22" i="64"/>
  <c r="U17" i="61"/>
  <c r="W17" i="66"/>
  <c r="AH23" i="63"/>
  <c r="E8" i="66"/>
  <c r="AA11" i="62"/>
  <c r="Y7" i="62"/>
  <c r="T16" i="63"/>
  <c r="I24" i="62"/>
  <c r="AG33" i="62"/>
  <c r="AH29" i="40"/>
  <c r="P32" i="62"/>
  <c r="AH22" i="62"/>
  <c r="AG26" i="63"/>
  <c r="AD13" i="61"/>
  <c r="Q20" i="62"/>
  <c r="H32" i="63"/>
  <c r="AC8" i="62"/>
  <c r="Q7" i="66"/>
  <c r="W18" i="63"/>
  <c r="AD11" i="63"/>
  <c r="R23" i="63"/>
  <c r="H27" i="40"/>
  <c r="K23" i="66"/>
  <c r="AG9" i="63"/>
  <c r="S12" i="25"/>
  <c r="T30" i="40"/>
  <c r="G22" i="61"/>
  <c r="C10" i="62"/>
  <c r="O7" i="62"/>
  <c r="L7" i="61"/>
  <c r="B20" i="64"/>
  <c r="AB15" i="62"/>
  <c r="AF9" i="62"/>
  <c r="F13" i="63"/>
  <c r="F17" i="61"/>
  <c r="Y7" i="64"/>
  <c r="AD30" i="62"/>
  <c r="G23" i="61"/>
  <c r="Q26" i="61"/>
  <c r="V12" i="64"/>
  <c r="B11" i="66"/>
  <c r="AA32" i="61"/>
  <c r="X28" i="64"/>
  <c r="AD24" i="66"/>
  <c r="H12" i="62"/>
  <c r="H16" i="66"/>
  <c r="B33" i="61"/>
  <c r="AH33" i="66"/>
  <c r="T26" i="61"/>
  <c r="N9" i="61"/>
  <c r="N11" i="61"/>
  <c r="H15" i="63"/>
  <c r="B29" i="64"/>
  <c r="AG13" i="63"/>
  <c r="U15" i="62"/>
  <c r="AH15" i="63"/>
  <c r="AE21" i="62"/>
  <c r="U29" i="40"/>
  <c r="P7" i="62"/>
  <c r="Z27" i="62"/>
  <c r="AF27" i="61"/>
  <c r="Z8" i="61"/>
  <c r="U27" i="66"/>
  <c r="T33" i="62"/>
  <c r="Y25" i="62"/>
  <c r="AI13" i="62"/>
  <c r="O29" i="64"/>
  <c r="E24" i="66"/>
  <c r="W28" i="61"/>
  <c r="W20" i="66"/>
  <c r="B27" i="63"/>
  <c r="AG23" i="61"/>
  <c r="AF30" i="62"/>
  <c r="M29" i="64"/>
  <c r="AE23" i="63"/>
  <c r="AH29" i="63"/>
  <c r="T21" i="63"/>
  <c r="L7" i="62"/>
  <c r="H15" i="61"/>
  <c r="B13" i="62"/>
  <c r="I8" i="63"/>
  <c r="U12" i="61"/>
  <c r="Y27" i="63"/>
  <c r="J31" i="63"/>
  <c r="Q27" i="62"/>
  <c r="AA9" i="64"/>
  <c r="AA13" i="61"/>
  <c r="C22" i="63"/>
  <c r="N13" i="61"/>
  <c r="AE23" i="61"/>
  <c r="F29" i="63"/>
  <c r="K21" i="63"/>
  <c r="O7" i="64"/>
  <c r="N30" i="63"/>
  <c r="B31" i="62"/>
  <c r="U16" i="61"/>
  <c r="Z15" i="62"/>
  <c r="B19" i="61"/>
  <c r="P28" i="64"/>
  <c r="P9" i="62"/>
  <c r="Z13" i="61"/>
  <c r="F25" i="61"/>
  <c r="E26" i="63"/>
  <c r="AI10" i="61"/>
  <c r="AB22" i="63"/>
  <c r="L14" i="61"/>
  <c r="J23" i="63"/>
  <c r="AC8" i="63"/>
  <c r="AH20" i="64"/>
  <c r="AG22" i="64"/>
  <c r="X23" i="63"/>
  <c r="V7" i="61"/>
  <c r="X31" i="61"/>
  <c r="AE25" i="62"/>
  <c r="T31" i="61"/>
  <c r="AF29" i="63"/>
  <c r="P18" i="64"/>
  <c r="V20" i="63"/>
  <c r="AE32" i="61"/>
  <c r="Q28" i="63"/>
  <c r="O18" i="63"/>
  <c r="H25" i="62"/>
  <c r="W14" i="62"/>
  <c r="AF22" i="62"/>
  <c r="W17" i="63"/>
  <c r="P8" i="62"/>
  <c r="AI18" i="61"/>
  <c r="F33" i="63"/>
  <c r="V29" i="63"/>
  <c r="S7" i="62"/>
  <c r="AA18" i="63"/>
  <c r="AG17" i="63"/>
  <c r="R9" i="64"/>
  <c r="Q29" i="61"/>
  <c r="U12" i="63"/>
  <c r="U9" i="62"/>
  <c r="J27" i="63"/>
  <c r="T17" i="61"/>
  <c r="F14" i="62"/>
  <c r="U9" i="63"/>
  <c r="AI16" i="64"/>
  <c r="AC16" i="63"/>
  <c r="O31" i="61"/>
  <c r="T29" i="40"/>
  <c r="AH10" i="62"/>
  <c r="K31" i="61"/>
  <c r="B29" i="61"/>
  <c r="M17" i="63"/>
  <c r="K32" i="62"/>
  <c r="N31" i="61"/>
  <c r="E18" i="62"/>
  <c r="Z15" i="61"/>
  <c r="U15" i="66"/>
  <c r="T7" i="64"/>
  <c r="AH27" i="62"/>
  <c r="H25" i="61"/>
  <c r="X20" i="63"/>
  <c r="AE31" i="66"/>
  <c r="C27" i="64"/>
  <c r="P19" i="25"/>
  <c r="V8" i="63"/>
  <c r="AH32" i="62"/>
  <c r="G20" i="62"/>
  <c r="F8" i="63"/>
  <c r="AI16" i="63"/>
  <c r="P9" i="64"/>
  <c r="C13" i="61"/>
  <c r="AG31" i="61"/>
  <c r="F24" i="62"/>
  <c r="AE26" i="64"/>
  <c r="AG16" i="63"/>
  <c r="S16" i="61"/>
  <c r="F18" i="61"/>
  <c r="K25" i="66"/>
  <c r="M12" i="61"/>
  <c r="U8" i="64"/>
  <c r="R7" i="66"/>
  <c r="AH11" i="64"/>
  <c r="Y20" i="66"/>
  <c r="O32" i="62"/>
  <c r="X12" i="66"/>
  <c r="R24" i="66"/>
  <c r="R11" i="63"/>
  <c r="P26" i="63"/>
  <c r="S14" i="63"/>
  <c r="Y21" i="64"/>
  <c r="AB25" i="62"/>
  <c r="R9" i="62"/>
  <c r="AF26" i="63"/>
  <c r="AA26" i="62"/>
  <c r="AD29" i="40"/>
  <c r="S33" i="62"/>
  <c r="AD33" i="63"/>
  <c r="Y17" i="61"/>
  <c r="AG15" i="63"/>
  <c r="E16" i="64"/>
  <c r="AE11" i="66"/>
  <c r="L22" i="63"/>
  <c r="J31" i="61"/>
  <c r="R32" i="63"/>
  <c r="W31" i="62"/>
  <c r="O24" i="66"/>
  <c r="L19" i="63"/>
  <c r="C15" i="63"/>
  <c r="Y28" i="62"/>
  <c r="P32" i="61"/>
  <c r="C14" i="61"/>
  <c r="S8" i="63"/>
  <c r="X9" i="64"/>
  <c r="AA12" i="63"/>
  <c r="K31" i="63"/>
  <c r="X18" i="61"/>
  <c r="Z16" i="61"/>
  <c r="AD19" i="61"/>
  <c r="E10" i="62"/>
  <c r="R18" i="25"/>
  <c r="AJ18" i="25" s="1"/>
  <c r="N16" i="66"/>
  <c r="AF8" i="63"/>
  <c r="S15" i="66"/>
  <c r="W19" i="61"/>
  <c r="E23" i="64"/>
  <c r="N28" i="66"/>
  <c r="L14" i="63"/>
  <c r="Q27" i="66"/>
  <c r="S28" i="40"/>
  <c r="Q17" i="62"/>
  <c r="X25" i="62"/>
  <c r="T24" i="63"/>
  <c r="AH26" i="61"/>
  <c r="I25" i="61"/>
  <c r="Q32" i="61"/>
  <c r="AA7" i="61"/>
  <c r="AH25" i="62"/>
  <c r="AF28" i="61"/>
  <c r="F29" i="61"/>
  <c r="L15" i="63"/>
  <c r="J19" i="61"/>
  <c r="AC17" i="61"/>
  <c r="R21" i="61"/>
  <c r="Z30" i="62"/>
  <c r="M33" i="61"/>
  <c r="J23" i="62"/>
  <c r="B7" i="63"/>
  <c r="I16" i="64"/>
  <c r="AB23" i="62"/>
  <c r="AA30" i="61"/>
  <c r="S12" i="62"/>
  <c r="Q31" i="63"/>
  <c r="AC30" i="64"/>
  <c r="P8" i="61"/>
  <c r="G25" i="62"/>
  <c r="G18" i="63"/>
  <c r="N8" i="64"/>
  <c r="J27" i="61"/>
  <c r="Q15" i="63"/>
  <c r="AD14" i="61"/>
  <c r="E25" i="61"/>
  <c r="Y9" i="62"/>
  <c r="R10" i="62"/>
  <c r="L7" i="63"/>
  <c r="H11" i="61"/>
  <c r="AD24" i="62"/>
  <c r="AD32" i="63"/>
  <c r="AI33" i="63"/>
  <c r="E26" i="61"/>
  <c r="W12" i="61"/>
  <c r="R19" i="63"/>
  <c r="AF32" i="62"/>
  <c r="AD16" i="64"/>
  <c r="M10" i="63"/>
  <c r="AH30" i="61"/>
  <c r="L30" i="64"/>
  <c r="C30" i="40"/>
  <c r="B29" i="40"/>
  <c r="AF7" i="62"/>
  <c r="I15" i="62"/>
  <c r="AE20" i="64"/>
  <c r="AI31" i="61"/>
  <c r="R25" i="64"/>
  <c r="AB10" i="63"/>
  <c r="AE19" i="62"/>
  <c r="M24" i="61"/>
  <c r="W19" i="62"/>
  <c r="AI18" i="63"/>
  <c r="D26" i="63"/>
  <c r="AD22" i="61"/>
  <c r="N18" i="63"/>
  <c r="D23" i="62"/>
  <c r="U24" i="63"/>
  <c r="AC29" i="40"/>
  <c r="I18" i="62"/>
  <c r="I9" i="62"/>
  <c r="K18" i="61"/>
  <c r="AA19" i="62"/>
  <c r="R19" i="62"/>
  <c r="W23" i="63"/>
  <c r="R28" i="61"/>
  <c r="AH21" i="61"/>
  <c r="AD30" i="63"/>
  <c r="O8" i="63"/>
  <c r="K28" i="64"/>
  <c r="T25" i="61"/>
  <c r="S29" i="40"/>
  <c r="V28" i="62"/>
  <c r="N32" i="63"/>
  <c r="X12" i="62"/>
  <c r="N10" i="63"/>
  <c r="D8" i="61"/>
  <c r="AD25" i="62"/>
  <c r="T8" i="62"/>
  <c r="V26" i="61"/>
  <c r="AE33" i="62"/>
  <c r="N15" i="64"/>
  <c r="AG7" i="64"/>
  <c r="Q11" i="62"/>
  <c r="AI32" i="61"/>
  <c r="Z11" i="62"/>
  <c r="V25" i="63"/>
  <c r="H24" i="62"/>
  <c r="Y18" i="66"/>
  <c r="AC29" i="62"/>
  <c r="J14" i="66"/>
  <c r="W18" i="64"/>
  <c r="AF9" i="25"/>
  <c r="AF34" i="25" s="1"/>
  <c r="P28" i="66"/>
  <c r="C27" i="63"/>
  <c r="U23" i="66"/>
  <c r="T13" i="64"/>
  <c r="P33" i="61"/>
  <c r="AH30" i="63"/>
  <c r="P26" i="64"/>
  <c r="D16" i="62"/>
  <c r="R20" i="64"/>
  <c r="AI32" i="62"/>
  <c r="Z30" i="40"/>
  <c r="X24" i="62"/>
  <c r="B16" i="61"/>
  <c r="AC27" i="63"/>
  <c r="O14" i="63"/>
  <c r="I24" i="63"/>
  <c r="AD17" i="66"/>
  <c r="H33" i="63"/>
  <c r="S12" i="66"/>
  <c r="K19" i="62"/>
  <c r="K28" i="40"/>
  <c r="Y24" i="66"/>
  <c r="AH8" i="62"/>
  <c r="L28" i="66"/>
  <c r="C19" i="61"/>
  <c r="L30" i="62"/>
  <c r="I23" i="64"/>
  <c r="AC8" i="61"/>
  <c r="B26" i="63"/>
  <c r="K11" i="63"/>
  <c r="I14" i="64"/>
  <c r="T18" i="61"/>
  <c r="B29" i="62"/>
  <c r="Y15" i="62"/>
  <c r="N28" i="61"/>
  <c r="AH16" i="63"/>
  <c r="Z24" i="62"/>
  <c r="Y20" i="63"/>
  <c r="I21" i="64"/>
  <c r="D9" i="66"/>
  <c r="X33" i="61"/>
  <c r="U8" i="25"/>
  <c r="AJ8" i="25" s="1"/>
  <c r="O14" i="62"/>
  <c r="AH31" i="61"/>
  <c r="P27" i="66"/>
  <c r="P29" i="40"/>
  <c r="J19" i="66"/>
  <c r="AG25" i="63"/>
  <c r="P19" i="61"/>
  <c r="C17" i="61"/>
  <c r="AH29" i="61"/>
  <c r="U20" i="61"/>
  <c r="S20" i="61"/>
  <c r="P17" i="63"/>
  <c r="N31" i="63"/>
  <c r="V32" i="63"/>
  <c r="H18" i="61"/>
  <c r="D29" i="61"/>
  <c r="D11" i="62"/>
  <c r="X17" i="61"/>
  <c r="K10" i="63"/>
  <c r="J27" i="66"/>
  <c r="Z20" i="62"/>
  <c r="AC25" i="64"/>
  <c r="P29" i="61"/>
  <c r="AF15" i="63"/>
  <c r="H28" i="66"/>
  <c r="AC19" i="64"/>
  <c r="AI8" i="64"/>
  <c r="E16" i="63"/>
  <c r="AF27" i="63"/>
  <c r="S8" i="62"/>
  <c r="AE12" i="63"/>
  <c r="H26" i="62"/>
  <c r="X9" i="62"/>
  <c r="I12" i="63"/>
  <c r="Q23" i="63"/>
  <c r="Q23" i="61"/>
  <c r="AA11" i="61"/>
  <c r="AD9" i="64"/>
  <c r="AD13" i="63"/>
  <c r="E7" i="62"/>
  <c r="L29" i="63"/>
  <c r="S32" i="63"/>
  <c r="O32" i="63"/>
  <c r="E8" i="62"/>
  <c r="V11" i="62"/>
  <c r="O14" i="61"/>
  <c r="Z7" i="62"/>
  <c r="AD15" i="61"/>
  <c r="F28" i="63"/>
  <c r="T28" i="62"/>
  <c r="AG7" i="62"/>
  <c r="K17" i="63"/>
  <c r="E25" i="63"/>
  <c r="T19" i="62"/>
  <c r="H15" i="62"/>
  <c r="Y30" i="61"/>
  <c r="Q27" i="64"/>
  <c r="AH33" i="61"/>
  <c r="X28" i="62"/>
  <c r="Q28" i="62"/>
  <c r="J14" i="62"/>
  <c r="K8" i="61"/>
  <c r="S27" i="62"/>
  <c r="X8" i="63"/>
  <c r="AA29" i="40"/>
  <c r="E30" i="63"/>
  <c r="L33" i="61"/>
  <c r="F24" i="64"/>
  <c r="AE24" i="63"/>
  <c r="W18" i="62"/>
  <c r="C14" i="62"/>
  <c r="Z21" i="61"/>
  <c r="T14" i="63"/>
  <c r="F33" i="62"/>
  <c r="K15" i="63"/>
  <c r="AI15" i="63"/>
  <c r="M11" i="62"/>
  <c r="V9" i="61"/>
  <c r="U14" i="64"/>
  <c r="AA22" i="62"/>
  <c r="D20" i="62"/>
  <c r="AG31" i="62"/>
  <c r="AB14" i="61"/>
  <c r="K24" i="63"/>
  <c r="R27" i="40"/>
  <c r="B9" i="62"/>
  <c r="AC32" i="63"/>
  <c r="AE28" i="62"/>
  <c r="AG22" i="62"/>
  <c r="W15" i="61"/>
  <c r="Y14" i="61"/>
  <c r="Y23" i="63"/>
  <c r="Y9" i="61"/>
  <c r="F12" i="61"/>
  <c r="W29" i="62"/>
  <c r="E14" i="63"/>
  <c r="AE18" i="62"/>
  <c r="AG28" i="40"/>
  <c r="J26" i="62"/>
  <c r="B8" i="63"/>
  <c r="Z27" i="63"/>
  <c r="S9" i="64"/>
  <c r="P15" i="64"/>
  <c r="AF20" i="61"/>
  <c r="AD28" i="61"/>
  <c r="S14" i="64"/>
  <c r="Y11" i="64"/>
  <c r="AA20" i="63"/>
  <c r="X12" i="61"/>
  <c r="AA24" i="61"/>
  <c r="T20" i="61"/>
  <c r="AB16" i="61"/>
  <c r="Q27" i="61"/>
  <c r="N12" i="64"/>
  <c r="V29" i="61"/>
  <c r="AF28" i="40"/>
  <c r="D9" i="63"/>
  <c r="T13" i="61"/>
  <c r="K13" i="62"/>
  <c r="AH22" i="61"/>
  <c r="AE11" i="61"/>
  <c r="AE18" i="61"/>
  <c r="AF9" i="66"/>
  <c r="AI12" i="63"/>
  <c r="M12" i="64"/>
  <c r="AD33" i="62"/>
  <c r="AA24" i="63"/>
  <c r="I17" i="66"/>
  <c r="R8" i="61"/>
  <c r="G8" i="40"/>
  <c r="X31" i="62"/>
  <c r="Y30" i="40"/>
  <c r="AE29" i="40"/>
  <c r="AH10" i="63"/>
  <c r="AH32" i="63"/>
  <c r="K17" i="61"/>
  <c r="Z9" i="62"/>
  <c r="R15" i="64"/>
  <c r="P30" i="40"/>
  <c r="J16" i="61"/>
  <c r="AI16" i="62"/>
  <c r="W32" i="66"/>
  <c r="Y28" i="61"/>
  <c r="AH11" i="66"/>
  <c r="AI32" i="63"/>
  <c r="AA28" i="62"/>
  <c r="F15" i="64"/>
  <c r="R30" i="62"/>
  <c r="H30" i="66"/>
  <c r="C25" i="61"/>
  <c r="Y20" i="40"/>
  <c r="AJ20" i="40" s="1"/>
  <c r="M15" i="62"/>
  <c r="U30" i="61"/>
  <c r="M7" i="61"/>
  <c r="AB11" i="62"/>
  <c r="M27" i="62"/>
  <c r="Z9" i="63"/>
  <c r="AF31" i="63"/>
  <c r="W28" i="64"/>
  <c r="AI26" i="61"/>
  <c r="M15" i="63"/>
  <c r="G17" i="61"/>
  <c r="T30" i="63"/>
  <c r="V12" i="25"/>
  <c r="V15" i="66"/>
  <c r="AH12" i="63"/>
  <c r="V27" i="66"/>
  <c r="AC7" i="63"/>
  <c r="C26" i="64"/>
  <c r="L33" i="66"/>
  <c r="V8" i="61"/>
  <c r="V13" i="66"/>
  <c r="W31" i="61"/>
  <c r="N12" i="61"/>
  <c r="M23" i="63"/>
  <c r="K24" i="64"/>
  <c r="W12" i="63"/>
  <c r="X33" i="62"/>
  <c r="B23" i="62"/>
  <c r="AG10" i="61"/>
  <c r="O25" i="62"/>
  <c r="AF33" i="63"/>
  <c r="E17" i="61"/>
  <c r="F20" i="63"/>
  <c r="S23" i="63"/>
  <c r="R13" i="63"/>
  <c r="H19" i="66"/>
  <c r="W25" i="61"/>
  <c r="P30" i="25"/>
  <c r="AJ30" i="25" s="1"/>
  <c r="D11" i="63"/>
  <c r="AE9" i="63"/>
  <c r="N19" i="66"/>
  <c r="J11" i="61"/>
  <c r="AC33" i="66"/>
  <c r="Z25" i="62"/>
  <c r="R29" i="63"/>
  <c r="R28" i="40"/>
  <c r="B22" i="64"/>
  <c r="L12" i="62"/>
  <c r="O10" i="64"/>
  <c r="AE30" i="40"/>
  <c r="AG20" i="62"/>
  <c r="X11" i="63"/>
  <c r="AI14" i="62"/>
  <c r="S25" i="63"/>
  <c r="G25" i="63"/>
  <c r="AB21" i="63"/>
  <c r="F17" i="64"/>
  <c r="AE33" i="63"/>
  <c r="J30" i="40"/>
  <c r="P18" i="61"/>
  <c r="Q11" i="63"/>
  <c r="L18" i="61"/>
  <c r="P12" i="62"/>
  <c r="K12" i="63"/>
  <c r="B23" i="63"/>
  <c r="C24" i="64"/>
  <c r="AH20" i="62"/>
  <c r="O13" i="62"/>
  <c r="K8" i="62"/>
  <c r="D22" i="61"/>
  <c r="B22" i="61"/>
  <c r="AG14" i="63"/>
  <c r="AI27" i="61"/>
  <c r="AD29" i="61"/>
  <c r="H12" i="61"/>
  <c r="AI22" i="62"/>
  <c r="O13" i="63"/>
  <c r="H29" i="62"/>
  <c r="C25" i="62"/>
  <c r="AI28" i="62"/>
  <c r="Y32" i="63"/>
  <c r="F10" i="62"/>
  <c r="AH32" i="61"/>
  <c r="AC13" i="62"/>
  <c r="AC10" i="61"/>
  <c r="AA28" i="61"/>
  <c r="T26" i="63"/>
  <c r="AB31" i="63"/>
  <c r="J22" i="61"/>
  <c r="AH21" i="63"/>
  <c r="AG7" i="63"/>
  <c r="J7" i="63"/>
  <c r="T23" i="63"/>
  <c r="O13" i="61"/>
  <c r="AI26" i="63"/>
  <c r="R27" i="64"/>
  <c r="O12" i="62"/>
  <c r="AA16" i="64"/>
  <c r="AE13" i="62"/>
  <c r="H9" i="64"/>
  <c r="M23" i="61"/>
  <c r="L17" i="61"/>
  <c r="S30" i="62"/>
  <c r="X18" i="64"/>
  <c r="B11" i="61"/>
  <c r="AC26" i="62"/>
  <c r="H30" i="62"/>
  <c r="X18" i="62"/>
  <c r="C7" i="63"/>
  <c r="Y11" i="62"/>
  <c r="F24" i="63"/>
  <c r="K27" i="62"/>
  <c r="D7" i="61"/>
  <c r="O16" i="64"/>
  <c r="U16" i="63"/>
  <c r="AH14" i="61"/>
  <c r="E20" i="61"/>
  <c r="E20" i="62"/>
  <c r="M15" i="64"/>
  <c r="I28" i="40"/>
  <c r="AI25" i="61"/>
  <c r="I13" i="61"/>
  <c r="AH16" i="61"/>
  <c r="Y32" i="61"/>
  <c r="B10" i="61"/>
  <c r="AH22" i="64"/>
  <c r="O26" i="64"/>
  <c r="Z16" i="64"/>
  <c r="AA25" i="62"/>
  <c r="L30" i="61"/>
  <c r="V13" i="62"/>
  <c r="G32" i="61"/>
  <c r="AD29" i="63"/>
  <c r="AC31" i="63"/>
  <c r="AF29" i="40"/>
  <c r="AH18" i="63"/>
  <c r="T32" i="62"/>
  <c r="W22" i="62"/>
  <c r="L21" i="62"/>
  <c r="O25" i="64"/>
  <c r="M24" i="66"/>
  <c r="M32" i="61"/>
  <c r="M24" i="40"/>
  <c r="AJ24" i="40" s="1"/>
  <c r="B28" i="40"/>
  <c r="J30" i="61"/>
  <c r="Q32" i="66"/>
  <c r="N21" i="63"/>
  <c r="F13" i="66"/>
  <c r="P11" i="63"/>
  <c r="H30" i="40"/>
  <c r="AF7" i="61"/>
  <c r="J12" i="61"/>
  <c r="P9" i="61"/>
  <c r="AH26" i="62"/>
  <c r="AE12" i="62"/>
  <c r="Z21" i="64"/>
  <c r="Z15" i="63"/>
  <c r="Y25" i="64"/>
  <c r="AB18" i="61"/>
  <c r="AI22" i="63"/>
  <c r="J25" i="61"/>
  <c r="AG22" i="66"/>
  <c r="T17" i="63"/>
  <c r="AB26" i="66"/>
  <c r="S20" i="66"/>
  <c r="AE7" i="62"/>
  <c r="P23" i="66"/>
  <c r="T28" i="61"/>
  <c r="S26" i="66"/>
  <c r="T33" i="61"/>
  <c r="AG21" i="61"/>
  <c r="U23" i="61"/>
  <c r="X17" i="64"/>
  <c r="AA28" i="63"/>
  <c r="Z12" i="63"/>
  <c r="I13" i="62"/>
  <c r="Z22" i="62"/>
  <c r="S11" i="61"/>
  <c r="AC13" i="63"/>
  <c r="B17" i="61"/>
  <c r="Z23" i="62"/>
  <c r="U29" i="61"/>
  <c r="AI27" i="40"/>
  <c r="Y22" i="61"/>
  <c r="P11" i="66"/>
  <c r="E30" i="62"/>
  <c r="C9" i="61"/>
  <c r="F32" i="62"/>
  <c r="AF31" i="61"/>
  <c r="X19" i="66"/>
  <c r="Q15" i="64"/>
  <c r="H20" i="25"/>
  <c r="H34" i="25" s="1"/>
  <c r="I22" i="62"/>
  <c r="I30" i="40"/>
  <c r="AA12" i="61"/>
  <c r="E30" i="64"/>
  <c r="AB8" i="62"/>
  <c r="M14" i="63"/>
  <c r="AE14" i="61"/>
  <c r="J13" i="62"/>
  <c r="F9" i="63"/>
  <c r="Y12" i="64"/>
  <c r="AA27" i="63"/>
  <c r="AC18" i="66"/>
  <c r="AF10" i="61"/>
  <c r="H25" i="63"/>
  <c r="X7" i="66"/>
  <c r="N19" i="61"/>
  <c r="I33" i="66"/>
  <c r="T27" i="63"/>
  <c r="AH24" i="61"/>
  <c r="J18" i="66"/>
  <c r="P23" i="61"/>
  <c r="K21" i="62"/>
  <c r="AD15" i="62"/>
  <c r="P14" i="62"/>
  <c r="R33" i="63"/>
  <c r="X27" i="64"/>
  <c r="T21" i="61"/>
  <c r="U21" i="63"/>
  <c r="J12" i="64"/>
  <c r="K7" i="62"/>
  <c r="B25" i="63"/>
  <c r="AA17" i="61"/>
  <c r="L32" i="63"/>
  <c r="Z33" i="63"/>
  <c r="P26" i="61"/>
  <c r="U26" i="63"/>
  <c r="R20" i="61"/>
  <c r="G26" i="62"/>
  <c r="S28" i="62"/>
  <c r="Y23" i="62"/>
  <c r="L21" i="61"/>
  <c r="J11" i="64"/>
  <c r="Q13" i="63"/>
  <c r="W21" i="62"/>
  <c r="H10" i="61"/>
  <c r="P12" i="61"/>
  <c r="Q19" i="62"/>
  <c r="I16" i="62"/>
  <c r="N27" i="62"/>
  <c r="H11" i="62"/>
  <c r="G24" i="63"/>
  <c r="S31" i="63"/>
  <c r="W21" i="63"/>
  <c r="U25" i="62"/>
  <c r="L26" i="61"/>
  <c r="F27" i="63"/>
  <c r="S12" i="61"/>
  <c r="AE11" i="63"/>
  <c r="C8" i="62"/>
  <c r="M29" i="62"/>
  <c r="N32" i="62"/>
  <c r="AH8" i="63"/>
  <c r="J22" i="63"/>
  <c r="AB22" i="62"/>
  <c r="V15" i="62"/>
  <c r="AB19" i="62"/>
  <c r="AH21" i="64"/>
  <c r="G20" i="63"/>
  <c r="J11" i="63"/>
  <c r="L20" i="63"/>
  <c r="N16" i="64"/>
  <c r="H28" i="62"/>
  <c r="Z20" i="61"/>
  <c r="R20" i="63"/>
  <c r="J26" i="63"/>
  <c r="C11" i="61"/>
  <c r="J7" i="61"/>
  <c r="L30" i="63"/>
  <c r="C9" i="63"/>
  <c r="E11" i="64"/>
  <c r="G31" i="62"/>
  <c r="R31" i="62"/>
  <c r="Z24" i="61"/>
  <c r="AC15" i="64"/>
  <c r="Y16" i="62"/>
  <c r="O8" i="64"/>
  <c r="Q27" i="40"/>
  <c r="Q12" i="61"/>
  <c r="O7" i="63"/>
  <c r="G21" i="63"/>
  <c r="C16" i="64"/>
  <c r="N14" i="61"/>
  <c r="T14" i="64"/>
  <c r="AE13" i="63"/>
  <c r="AC11" i="63"/>
  <c r="AD25" i="63"/>
  <c r="Z17" i="62"/>
  <c r="K23" i="62"/>
  <c r="H31" i="61"/>
  <c r="AB9" i="61"/>
  <c r="AH25" i="63"/>
  <c r="L9" i="62"/>
  <c r="AE31" i="63"/>
  <c r="Q16" i="63"/>
  <c r="N18" i="62"/>
  <c r="E28" i="64"/>
  <c r="AA15" i="61"/>
  <c r="AA32" i="63"/>
  <c r="AD7" i="62"/>
  <c r="AD31" i="63"/>
  <c r="T29" i="61"/>
  <c r="AF12" i="63"/>
  <c r="AI14" i="64"/>
  <c r="Y12" i="63"/>
  <c r="F26" i="61"/>
  <c r="S18" i="64"/>
  <c r="V33" i="62"/>
  <c r="F23" i="63"/>
  <c r="F9" i="61"/>
  <c r="C30" i="63"/>
  <c r="F15" i="61"/>
  <c r="AI25" i="64"/>
  <c r="AG10" i="62"/>
  <c r="AC20" i="66"/>
  <c r="AI16" i="66"/>
  <c r="R13" i="62"/>
  <c r="E33" i="66"/>
  <c r="AF18" i="63"/>
  <c r="AE14" i="66"/>
  <c r="N13" i="64"/>
  <c r="S26" i="62"/>
  <c r="E17" i="66"/>
  <c r="T19" i="61"/>
  <c r="AI14" i="63"/>
  <c r="N28" i="64"/>
  <c r="W28" i="40"/>
  <c r="AC12" i="62"/>
  <c r="H29" i="61"/>
  <c r="Y31" i="62"/>
  <c r="U8" i="63"/>
  <c r="N12" i="63"/>
  <c r="H8" i="61"/>
  <c r="M25" i="61"/>
  <c r="S7" i="63"/>
  <c r="AH28" i="63"/>
  <c r="AF7" i="64"/>
  <c r="P18" i="62"/>
  <c r="E22" i="66"/>
  <c r="AH28" i="61"/>
  <c r="AE17" i="62"/>
  <c r="T12" i="64"/>
  <c r="U10" i="64"/>
  <c r="Y22" i="66"/>
  <c r="W20" i="62"/>
  <c r="AG25" i="61"/>
  <c r="X27" i="61"/>
  <c r="AE30" i="63"/>
  <c r="Z26" i="62"/>
  <c r="J24" i="63"/>
  <c r="AF21" i="61"/>
  <c r="B16" i="63"/>
  <c r="U7" i="63"/>
  <c r="B8" i="62"/>
  <c r="K9" i="62"/>
  <c r="G30" i="61"/>
  <c r="I22" i="63"/>
  <c r="AI23" i="62"/>
  <c r="N29" i="64"/>
  <c r="O12" i="66"/>
  <c r="R27" i="62"/>
  <c r="V7" i="66"/>
  <c r="Y13" i="62"/>
  <c r="AG31" i="25"/>
  <c r="AG34" i="25" s="1"/>
  <c r="B15" i="66"/>
  <c r="I22" i="61"/>
  <c r="P20" i="66"/>
  <c r="E7" i="61"/>
  <c r="AH25" i="61"/>
  <c r="L15" i="62"/>
  <c r="AD33" i="61"/>
  <c r="F20" i="61"/>
  <c r="AD17" i="63"/>
  <c r="N19" i="62"/>
  <c r="E11" i="61"/>
  <c r="AF14" i="64"/>
  <c r="U28" i="63"/>
  <c r="AE23" i="64"/>
  <c r="AC15" i="63"/>
  <c r="W14" i="63"/>
  <c r="D7" i="62"/>
  <c r="F12" i="66"/>
  <c r="AA17" i="63"/>
  <c r="AD29" i="64"/>
  <c r="AB21" i="61"/>
  <c r="F19" i="64"/>
  <c r="AD31" i="62"/>
  <c r="D33" i="62"/>
  <c r="AE10" i="66"/>
  <c r="D26" i="62"/>
  <c r="M31" i="61"/>
  <c r="F31" i="61"/>
  <c r="G19" i="62"/>
  <c r="E31" i="61"/>
  <c r="W7" i="61"/>
  <c r="K29" i="63"/>
  <c r="AC12" i="61"/>
  <c r="G22" i="63"/>
  <c r="W21" i="64"/>
  <c r="AE15" i="63"/>
  <c r="D31" i="63"/>
  <c r="X14" i="61"/>
  <c r="P15" i="62"/>
  <c r="AG11" i="62"/>
  <c r="N30" i="40"/>
  <c r="C26" i="62"/>
  <c r="H20" i="63"/>
  <c r="F12" i="62"/>
  <c r="P24" i="61"/>
  <c r="Z31" i="61"/>
  <c r="AE26" i="63"/>
  <c r="B11" i="62"/>
  <c r="R22" i="62"/>
  <c r="S10" i="64"/>
  <c r="Q16" i="61"/>
  <c r="AI28" i="61"/>
  <c r="W29" i="61"/>
  <c r="AF24" i="62"/>
  <c r="Y7" i="63"/>
  <c r="J33" i="61"/>
  <c r="O17" i="62"/>
  <c r="Q21" i="61"/>
  <c r="S11" i="62"/>
  <c r="AC30" i="63"/>
  <c r="AH14" i="63"/>
  <c r="F9" i="64"/>
  <c r="K17" i="64"/>
  <c r="W29" i="40"/>
  <c r="AB27" i="62"/>
  <c r="J21" i="61"/>
  <c r="AE8" i="64"/>
  <c r="AI19" i="63"/>
  <c r="C29" i="62"/>
  <c r="M14" i="61"/>
  <c r="K18" i="64"/>
  <c r="G10" i="62"/>
  <c r="Y31" i="61"/>
  <c r="R28" i="62"/>
  <c r="R11" i="64"/>
  <c r="D12" i="63"/>
  <c r="G33" i="61"/>
  <c r="P13" i="62"/>
  <c r="AF19" i="61"/>
  <c r="K9" i="61"/>
  <c r="AI24" i="62"/>
  <c r="R22" i="61"/>
  <c r="AA8" i="61"/>
  <c r="Y15" i="64"/>
  <c r="E27" i="40"/>
  <c r="AI20" i="61"/>
  <c r="H26" i="63"/>
  <c r="Q29" i="40"/>
  <c r="C17" i="64"/>
  <c r="G20" i="61"/>
  <c r="V17" i="62"/>
  <c r="AE25" i="63"/>
  <c r="K23" i="63"/>
  <c r="X9" i="63"/>
  <c r="N15" i="62"/>
  <c r="Z8" i="62"/>
  <c r="S22" i="63"/>
  <c r="G22" i="62"/>
  <c r="K26" i="62"/>
  <c r="AD23" i="64"/>
  <c r="N20" i="61"/>
  <c r="AI9" i="61"/>
  <c r="V24" i="62"/>
  <c r="O22" i="62"/>
  <c r="C13" i="64"/>
  <c r="AI28" i="40"/>
  <c r="AA18" i="64"/>
  <c r="T20" i="62"/>
  <c r="M31" i="62"/>
  <c r="M16" i="61"/>
  <c r="G23" i="62"/>
  <c r="AG12" i="63"/>
  <c r="N24" i="64"/>
  <c r="X13" i="63"/>
  <c r="Z13" i="62"/>
  <c r="B28" i="62"/>
  <c r="E12" i="63"/>
  <c r="W27" i="61"/>
  <c r="Q8" i="63"/>
  <c r="K8" i="64"/>
  <c r="H26" i="66"/>
  <c r="AB7" i="64"/>
  <c r="AA23" i="61"/>
  <c r="H19" i="62"/>
  <c r="AC21" i="63"/>
  <c r="L18" i="62"/>
  <c r="B22" i="63"/>
  <c r="I24" i="66"/>
  <c r="AI7" i="62"/>
  <c r="AI24" i="61"/>
  <c r="H31" i="62"/>
  <c r="M32" i="62"/>
  <c r="V23" i="64"/>
  <c r="Q25" i="62"/>
  <c r="AG9" i="62"/>
  <c r="W25" i="63"/>
  <c r="C22" i="62"/>
  <c r="AC21" i="64"/>
  <c r="K25" i="62"/>
  <c r="U14" i="62"/>
  <c r="M28" i="62"/>
  <c r="AH15" i="66"/>
  <c r="Y23" i="61"/>
  <c r="P32" i="25"/>
  <c r="AJ32" i="25" s="1"/>
  <c r="AH13" i="61"/>
  <c r="D17" i="63"/>
  <c r="AA31" i="66"/>
  <c r="AA14" i="61"/>
  <c r="AC8" i="66"/>
  <c r="G16" i="63"/>
  <c r="AF10" i="62"/>
  <c r="F16" i="63"/>
  <c r="D24" i="64"/>
  <c r="Y26" i="61"/>
  <c r="N25" i="63"/>
  <c r="H26" i="64"/>
  <c r="I27" i="63"/>
  <c r="W30" i="62"/>
  <c r="G15" i="64"/>
  <c r="AG19" i="63"/>
  <c r="T18" i="63"/>
  <c r="K12" i="66"/>
  <c r="Z27" i="40"/>
  <c r="V13" i="63"/>
  <c r="AC21" i="66"/>
  <c r="W15" i="63"/>
  <c r="U16" i="66"/>
  <c r="H30" i="61"/>
  <c r="U33" i="62"/>
  <c r="AD8" i="66"/>
  <c r="E21" i="63"/>
  <c r="J25" i="63"/>
  <c r="Y29" i="63"/>
  <c r="M21" i="63"/>
  <c r="C21" i="63"/>
  <c r="M26" i="62"/>
  <c r="F11" i="63"/>
  <c r="AF9" i="63"/>
  <c r="T28" i="63"/>
  <c r="C14" i="63"/>
  <c r="AI21" i="62"/>
  <c r="K28" i="61"/>
  <c r="J29" i="63"/>
  <c r="Q9" i="25"/>
  <c r="AD18" i="66"/>
  <c r="H28" i="40"/>
  <c r="AG14" i="66"/>
  <c r="J24" i="62"/>
  <c r="AB30" i="66"/>
  <c r="Q11" i="66"/>
  <c r="E17" i="25"/>
  <c r="AJ17" i="25" s="1"/>
  <c r="B12" i="66"/>
  <c r="I25" i="63"/>
  <c r="Q17" i="61"/>
  <c r="I7" i="61"/>
  <c r="Y22" i="62"/>
  <c r="L20" i="62"/>
  <c r="AC30" i="61"/>
  <c r="X21" i="63"/>
  <c r="V14" i="61"/>
  <c r="T18" i="62"/>
  <c r="AG26" i="61"/>
  <c r="Y21" i="63"/>
  <c r="W9" i="62"/>
  <c r="Q24" i="61"/>
  <c r="K22" i="62"/>
  <c r="Q9" i="61"/>
  <c r="AD7" i="63"/>
  <c r="T23" i="61"/>
  <c r="H23" i="62"/>
  <c r="K20" i="64"/>
  <c r="M20" i="63"/>
  <c r="Z27" i="64"/>
  <c r="Z12" i="61"/>
  <c r="AA29" i="63"/>
  <c r="AH13" i="62"/>
  <c r="N33" i="63"/>
  <c r="AD12" i="63"/>
  <c r="Y30" i="62"/>
  <c r="W32" i="63"/>
  <c r="U27" i="61"/>
  <c r="AA16" i="63"/>
  <c r="M19" i="64"/>
  <c r="AG32" i="62"/>
  <c r="N12" i="62"/>
  <c r="Q30" i="62"/>
  <c r="AH27" i="61"/>
  <c r="AD18" i="63"/>
  <c r="AC18" i="62"/>
  <c r="I25" i="62"/>
  <c r="AG23" i="62"/>
  <c r="T16" i="62"/>
  <c r="T8" i="63"/>
  <c r="D10" i="61"/>
  <c r="V10" i="61"/>
  <c r="AA31" i="63"/>
  <c r="J17" i="64"/>
  <c r="B15" i="61"/>
  <c r="C8" i="63"/>
  <c r="Y20" i="62"/>
  <c r="AD23" i="61"/>
  <c r="F7" i="61"/>
  <c r="AH27" i="63"/>
  <c r="G24" i="61"/>
  <c r="Q21" i="62"/>
  <c r="V26" i="64"/>
  <c r="AF13" i="63"/>
  <c r="O22" i="61"/>
  <c r="U8" i="61"/>
  <c r="AB14" i="63"/>
  <c r="Z29" i="61"/>
  <c r="AA24" i="62"/>
  <c r="V18" i="62"/>
  <c r="AC11" i="62"/>
  <c r="P21" i="61"/>
  <c r="AG11" i="64"/>
  <c r="B21" i="63"/>
  <c r="AE16" i="64"/>
  <c r="R24" i="62"/>
  <c r="F14" i="61"/>
  <c r="H22" i="61"/>
  <c r="T10" i="62"/>
  <c r="Z22" i="63"/>
  <c r="W20" i="61"/>
  <c r="AB15" i="61"/>
  <c r="N28" i="40"/>
  <c r="AA21" i="64"/>
  <c r="Q12" i="63"/>
  <c r="AD10" i="63"/>
  <c r="O11" i="61"/>
  <c r="T27" i="61"/>
  <c r="R19" i="61"/>
  <c r="Z10" i="63"/>
  <c r="D7" i="63"/>
  <c r="AI8" i="63"/>
  <c r="AB28" i="63"/>
  <c r="AA28" i="40"/>
  <c r="U10" i="63"/>
  <c r="B29" i="63"/>
  <c r="T9" i="61"/>
  <c r="T30" i="62"/>
  <c r="F27" i="64"/>
  <c r="AA31" i="61"/>
  <c r="V29" i="62"/>
  <c r="S17" i="62"/>
  <c r="H28" i="63"/>
  <c r="AF16" i="64"/>
  <c r="AD9" i="66"/>
  <c r="T7" i="63"/>
  <c r="B17" i="66"/>
  <c r="T24" i="62"/>
  <c r="Q10" i="25"/>
  <c r="Q31" i="66"/>
  <c r="AF30" i="40"/>
  <c r="M12" i="66"/>
  <c r="K16" i="62"/>
  <c r="F23" i="62"/>
  <c r="AB22" i="64"/>
  <c r="K24" i="61"/>
  <c r="B13" i="61"/>
  <c r="E29" i="40"/>
  <c r="AI31" i="63"/>
  <c r="W26" i="62"/>
  <c r="Z9" i="61"/>
  <c r="AC30" i="62"/>
  <c r="V32" i="61"/>
  <c r="AH7" i="64"/>
  <c r="K18" i="66"/>
  <c r="H14" i="66"/>
  <c r="W24" i="61"/>
  <c r="O33" i="66"/>
  <c r="L13" i="61"/>
  <c r="B7" i="66"/>
  <c r="S14" i="66"/>
  <c r="AH8" i="61"/>
  <c r="H32" i="66"/>
  <c r="AB19" i="64"/>
  <c r="T22" i="63"/>
  <c r="AF10" i="64"/>
  <c r="H14" i="62"/>
  <c r="C9" i="64"/>
  <c r="S10" i="62"/>
  <c r="V12" i="61"/>
  <c r="M21" i="61"/>
  <c r="W11" i="62"/>
  <c r="T19" i="63"/>
  <c r="AI9" i="64"/>
  <c r="J14" i="61"/>
  <c r="B33" i="62"/>
  <c r="G11" i="62"/>
  <c r="U22" i="63"/>
  <c r="M28" i="66"/>
  <c r="Q28" i="61"/>
  <c r="L25" i="25"/>
  <c r="AJ25" i="25" s="1"/>
  <c r="V24" i="61"/>
  <c r="U21" i="62"/>
  <c r="N17" i="62"/>
  <c r="E9" i="61"/>
  <c r="AC12" i="66"/>
  <c r="AI18" i="64"/>
  <c r="AB9" i="62"/>
  <c r="X20" i="62"/>
  <c r="P13" i="64"/>
  <c r="S13" i="61"/>
  <c r="M30" i="64"/>
  <c r="V17" i="64"/>
  <c r="AB7" i="63"/>
  <c r="AH11" i="61"/>
  <c r="AF25" i="64"/>
  <c r="H29" i="64"/>
  <c r="O10" i="66"/>
  <c r="AC27" i="62"/>
  <c r="E24" i="61"/>
  <c r="L19" i="66"/>
  <c r="AA21" i="62"/>
  <c r="D13" i="66"/>
  <c r="P33" i="63"/>
  <c r="N32" i="61"/>
  <c r="V15" i="63"/>
  <c r="AI8" i="61"/>
  <c r="N29" i="63"/>
  <c r="X25" i="61"/>
  <c r="M13" i="63"/>
  <c r="AH11" i="62"/>
  <c r="AG32" i="63"/>
  <c r="S17" i="63"/>
  <c r="N11" i="64"/>
  <c r="P26" i="62"/>
  <c r="AF26" i="62"/>
  <c r="J28" i="40"/>
  <c r="R30" i="40"/>
  <c r="L26" i="64"/>
  <c r="AH19" i="61"/>
  <c r="T27" i="62"/>
  <c r="K19" i="61"/>
  <c r="I7" i="62"/>
  <c r="F13" i="61"/>
  <c r="C10" i="64"/>
  <c r="I23" i="63"/>
  <c r="H27" i="62"/>
  <c r="AH19" i="63"/>
  <c r="N11" i="62"/>
  <c r="AD28" i="40"/>
  <c r="W13" i="63"/>
  <c r="N22" i="61"/>
  <c r="U30" i="63"/>
  <c r="G27" i="63"/>
  <c r="AD25" i="61"/>
  <c r="AF29" i="62"/>
  <c r="M14" i="62"/>
  <c r="K18" i="63"/>
  <c r="K14" i="64"/>
  <c r="V28" i="63"/>
  <c r="H7" i="63"/>
  <c r="F15" i="62"/>
  <c r="C32" i="62"/>
  <c r="J10" i="61"/>
  <c r="I8" i="61"/>
  <c r="C23" i="63"/>
  <c r="X10" i="61"/>
  <c r="D13" i="64"/>
  <c r="D28" i="61"/>
  <c r="AE10" i="62"/>
  <c r="AF8" i="62"/>
  <c r="P28" i="63"/>
  <c r="AH16" i="62"/>
  <c r="F22" i="62"/>
  <c r="AD8" i="62"/>
  <c r="B14" i="62"/>
  <c r="I14" i="62"/>
  <c r="C13" i="62"/>
  <c r="T22" i="61"/>
  <c r="L28" i="63"/>
  <c r="AH11" i="63"/>
  <c r="D32" i="61"/>
  <c r="O25" i="63"/>
  <c r="Y14" i="63"/>
  <c r="B16" i="64"/>
  <c r="H19" i="61"/>
  <c r="AC31" i="61"/>
  <c r="N17" i="61"/>
  <c r="G9" i="64"/>
  <c r="O27" i="62"/>
  <c r="AD20" i="62"/>
  <c r="AB20" i="62"/>
  <c r="AG27" i="62"/>
  <c r="AH30" i="40"/>
  <c r="P32" i="63"/>
  <c r="M20" i="62"/>
  <c r="F18" i="62"/>
  <c r="AH23" i="62"/>
  <c r="AH20" i="61"/>
  <c r="J18" i="63"/>
  <c r="O8" i="62"/>
  <c r="X11" i="61"/>
  <c r="Y8" i="62"/>
  <c r="V30" i="61"/>
  <c r="Z15" i="64"/>
  <c r="AF23" i="61"/>
  <c r="E21" i="64"/>
  <c r="Z22" i="61"/>
  <c r="C23" i="62"/>
  <c r="Y23" i="64"/>
  <c r="O31" i="62"/>
  <c r="U20" i="62"/>
  <c r="AI29" i="63"/>
  <c r="E31" i="62"/>
  <c r="L21" i="64"/>
  <c r="Q15" i="61"/>
  <c r="I27" i="61"/>
  <c r="Y19" i="61"/>
  <c r="M26" i="63"/>
  <c r="G16" i="62"/>
  <c r="V19" i="61"/>
  <c r="R29" i="62"/>
  <c r="G7" i="61"/>
  <c r="Y13" i="61"/>
  <c r="Z31" i="62"/>
  <c r="S21" i="66"/>
  <c r="B7" i="62"/>
  <c r="M14" i="66"/>
  <c r="B15" i="62"/>
  <c r="G26" i="61"/>
  <c r="X28" i="63"/>
  <c r="S19" i="61"/>
  <c r="AB28" i="61"/>
  <c r="B11" i="63"/>
  <c r="U18" i="61"/>
  <c r="O9" i="61"/>
  <c r="I19" i="62"/>
  <c r="AC11" i="61"/>
  <c r="D11" i="61"/>
  <c r="V28" i="61"/>
  <c r="AB13" i="62"/>
  <c r="M9" i="62"/>
  <c r="W9" i="61"/>
  <c r="M24" i="63"/>
  <c r="AA19" i="63"/>
  <c r="AF28" i="63"/>
  <c r="D7" i="66"/>
  <c r="AC22" i="62"/>
  <c r="X12" i="63"/>
  <c r="B12" i="64"/>
  <c r="B17" i="63"/>
  <c r="AC26" i="66"/>
  <c r="X26" i="64"/>
  <c r="I16" i="25"/>
  <c r="AJ16" i="25" s="1"/>
  <c r="U7" i="64"/>
  <c r="AC7" i="61"/>
  <c r="V14" i="62"/>
  <c r="AG13" i="61"/>
  <c r="AC12" i="63"/>
  <c r="AE13" i="61"/>
  <c r="V11" i="61"/>
  <c r="AE30" i="62"/>
  <c r="AG27" i="61"/>
  <c r="AE29" i="61"/>
  <c r="AB17" i="61"/>
  <c r="AA33" i="61"/>
  <c r="F22" i="66"/>
  <c r="V19" i="66"/>
  <c r="U32" i="61"/>
  <c r="R17" i="66"/>
  <c r="X11" i="62"/>
  <c r="V18" i="66"/>
  <c r="AG12" i="66"/>
  <c r="AB25" i="64"/>
  <c r="AF28" i="66"/>
  <c r="S10" i="63"/>
  <c r="U32" i="62"/>
  <c r="C8" i="61"/>
  <c r="V27" i="63"/>
  <c r="O21" i="62"/>
  <c r="Z12" i="62"/>
  <c r="AA7" i="63"/>
  <c r="S26" i="61"/>
  <c r="T31" i="62"/>
  <c r="AA24" i="64"/>
  <c r="Q18" i="61"/>
  <c r="AG22" i="61"/>
  <c r="AH7" i="61"/>
  <c r="V29" i="25"/>
  <c r="AJ29" i="25" s="1"/>
  <c r="AD11" i="61"/>
  <c r="F30" i="40"/>
  <c r="AD19" i="66"/>
  <c r="V10" i="63"/>
  <c r="X22" i="25"/>
  <c r="AJ22" i="25" s="1"/>
  <c r="D9" i="62"/>
  <c r="X10" i="64"/>
  <c r="G9" i="66"/>
  <c r="AH17" i="64"/>
  <c r="T13" i="62"/>
  <c r="AE18" i="64"/>
  <c r="AG25" i="62"/>
  <c r="AG27" i="63"/>
  <c r="AC33" i="63"/>
  <c r="I26" i="61"/>
  <c r="F13" i="64"/>
  <c r="U17" i="62"/>
  <c r="K12" i="62"/>
  <c r="S20" i="63"/>
  <c r="G14" i="61"/>
  <c r="N27" i="40"/>
  <c r="M9" i="63"/>
  <c r="Y27" i="61"/>
  <c r="V20" i="61"/>
  <c r="N27" i="61"/>
  <c r="N21" i="62"/>
  <c r="AB7" i="62"/>
  <c r="F33" i="61"/>
  <c r="W11" i="63"/>
  <c r="T29" i="63"/>
  <c r="L14" i="62"/>
  <c r="W16" i="61"/>
  <c r="Q10" i="62"/>
  <c r="J19" i="63"/>
  <c r="Y15" i="61"/>
  <c r="X14" i="62"/>
  <c r="V16" i="61"/>
  <c r="R22" i="63"/>
  <c r="H29" i="63"/>
  <c r="P19" i="62"/>
  <c r="I31" i="62"/>
  <c r="J16" i="63"/>
  <c r="J21" i="62"/>
  <c r="AE29" i="62"/>
  <c r="AB14" i="64"/>
  <c r="C33" i="62"/>
  <c r="AI19" i="61"/>
  <c r="E21" i="61"/>
  <c r="W32" i="61"/>
  <c r="D30" i="63"/>
  <c r="M33" i="63"/>
  <c r="AC30" i="40"/>
  <c r="S21" i="61"/>
  <c r="AE13" i="64"/>
  <c r="S23" i="64"/>
  <c r="AA26" i="63"/>
  <c r="L22" i="64"/>
  <c r="AB19" i="61"/>
  <c r="G28" i="63"/>
  <c r="C31" i="63"/>
  <c r="K9" i="63"/>
  <c r="U7" i="61"/>
  <c r="AF20" i="63"/>
  <c r="AG24" i="63"/>
  <c r="L11" i="64"/>
  <c r="R32" i="61"/>
  <c r="R8" i="63"/>
  <c r="P7" i="64"/>
  <c r="F28" i="62"/>
  <c r="AD28" i="63"/>
  <c r="J32" i="63"/>
  <c r="N7" i="61"/>
  <c r="AE24" i="62"/>
  <c r="X14" i="64"/>
  <c r="T15" i="62"/>
  <c r="F29" i="62"/>
  <c r="Q14" i="61"/>
  <c r="T15" i="61"/>
  <c r="X18" i="63"/>
  <c r="N22" i="62"/>
  <c r="Q33" i="63"/>
  <c r="G19" i="63"/>
  <c r="R17" i="63"/>
  <c r="L31" i="62"/>
  <c r="X26" i="63"/>
  <c r="Y21" i="61"/>
  <c r="AC13" i="61"/>
  <c r="AF30" i="61"/>
  <c r="B26" i="61"/>
  <c r="V30" i="40"/>
  <c r="E32" i="62"/>
  <c r="AB23" i="61"/>
  <c r="M16" i="63"/>
  <c r="D28" i="40"/>
  <c r="T32" i="63"/>
  <c r="E27" i="63"/>
  <c r="K20" i="62"/>
  <c r="M10" i="61"/>
  <c r="L26" i="63"/>
  <c r="I28" i="64"/>
  <c r="I10" i="61"/>
  <c r="U23" i="63"/>
  <c r="T18" i="66"/>
  <c r="X7" i="61"/>
  <c r="O9" i="62"/>
  <c r="C20" i="63"/>
  <c r="P30" i="61"/>
  <c r="L20" i="66"/>
  <c r="C17" i="62"/>
  <c r="T31" i="63"/>
  <c r="Q31" i="61"/>
  <c r="AF33" i="61"/>
  <c r="N15" i="63"/>
  <c r="F30" i="61"/>
  <c r="AF17" i="63"/>
  <c r="M30" i="61"/>
  <c r="AG30" i="63"/>
  <c r="L15" i="61"/>
  <c r="K15" i="61"/>
  <c r="R23" i="62"/>
  <c r="Y13" i="64"/>
  <c r="AG26" i="66"/>
  <c r="F19" i="63"/>
  <c r="L24" i="66"/>
  <c r="N20" i="64"/>
  <c r="AE13" i="25"/>
  <c r="AE34" i="25" s="1"/>
  <c r="AI22" i="66"/>
  <c r="C23" i="64"/>
  <c r="P31" i="66"/>
  <c r="Z30" i="61"/>
  <c r="R26" i="62"/>
  <c r="U30" i="40"/>
  <c r="U13" i="62"/>
  <c r="V24" i="64"/>
  <c r="V19" i="63"/>
  <c r="F12" i="64"/>
  <c r="AE22" i="62"/>
  <c r="U19" i="61"/>
  <c r="AF15" i="62"/>
  <c r="B9" i="63"/>
  <c r="N25" i="61"/>
  <c r="Z9" i="66"/>
  <c r="G29" i="63"/>
  <c r="AC31" i="62"/>
  <c r="B24" i="66"/>
  <c r="AF19" i="62"/>
  <c r="AH18" i="66"/>
  <c r="L9" i="64"/>
  <c r="C16" i="62"/>
  <c r="M11" i="61"/>
  <c r="V32" i="62"/>
  <c r="N23" i="61"/>
  <c r="O17" i="63"/>
  <c r="AD28" i="62"/>
  <c r="AA20" i="62"/>
  <c r="G8" i="63"/>
  <c r="K16" i="63"/>
  <c r="Z19" i="61"/>
  <c r="Z28" i="61"/>
  <c r="Z24" i="63"/>
  <c r="V18" i="61"/>
  <c r="T10" i="61"/>
  <c r="P23" i="62"/>
  <c r="AA26" i="66"/>
  <c r="F20" i="62"/>
  <c r="AA9" i="40"/>
  <c r="L27" i="66"/>
  <c r="O33" i="61"/>
  <c r="K15" i="66"/>
  <c r="Q29" i="63"/>
  <c r="D8" i="66"/>
  <c r="AF17" i="61"/>
  <c r="Y14" i="62"/>
  <c r="AG18" i="61"/>
  <c r="M30" i="40"/>
  <c r="O28" i="62"/>
  <c r="AH33" i="62"/>
  <c r="V23" i="61"/>
  <c r="X13" i="61"/>
  <c r="U30" i="64"/>
  <c r="AI17" i="64"/>
  <c r="D33" i="61"/>
  <c r="AE12" i="64"/>
  <c r="F14" i="63"/>
  <c r="G9" i="61"/>
  <c r="G27" i="40"/>
  <c r="U31" i="62"/>
  <c r="AD16" i="63"/>
  <c r="X32" i="61"/>
  <c r="N17" i="64"/>
  <c r="N24" i="62"/>
  <c r="R30" i="61"/>
  <c r="O16" i="62"/>
  <c r="C27" i="40"/>
  <c r="T10" i="63"/>
  <c r="H31" i="63"/>
  <c r="M25" i="64"/>
  <c r="W26" i="61"/>
  <c r="AB10" i="64"/>
  <c r="L25" i="63"/>
  <c r="Q19" i="61"/>
  <c r="L31" i="63"/>
  <c r="T22" i="64"/>
  <c r="AC27" i="40"/>
  <c r="AG12" i="62"/>
  <c r="F31" i="62"/>
  <c r="U20" i="63"/>
  <c r="E13" i="61"/>
  <c r="R8" i="64"/>
  <c r="Q22" i="62"/>
  <c r="N16" i="62"/>
  <c r="Y10" i="63"/>
  <c r="B15" i="63"/>
  <c r="AI10" i="62"/>
  <c r="W8" i="63"/>
  <c r="AA18" i="62"/>
  <c r="G13" i="61"/>
  <c r="V30" i="63"/>
  <c r="G28" i="62"/>
  <c r="I28" i="63"/>
  <c r="H21" i="62"/>
  <c r="N11" i="63"/>
  <c r="AE9" i="62"/>
  <c r="Q12" i="62"/>
  <c r="P11" i="64"/>
  <c r="AF28" i="62"/>
  <c r="M9" i="61"/>
  <c r="AB9" i="63"/>
  <c r="AH20" i="63"/>
  <c r="P10" i="64"/>
  <c r="Y24" i="63"/>
  <c r="E25" i="64"/>
  <c r="R27" i="63"/>
  <c r="J7" i="62"/>
  <c r="E15" i="63"/>
  <c r="AG26" i="62"/>
  <c r="O19" i="63"/>
  <c r="W22" i="61"/>
  <c r="R9" i="61"/>
  <c r="AA14" i="64"/>
  <c r="R29" i="61"/>
  <c r="AD32" i="61"/>
  <c r="Z23" i="63"/>
  <c r="I9" i="63"/>
  <c r="S33" i="63"/>
  <c r="M27" i="40"/>
  <c r="R14" i="62"/>
  <c r="F25" i="62"/>
  <c r="V8" i="62"/>
  <c r="J29" i="61"/>
  <c r="B24" i="62"/>
  <c r="X24" i="64"/>
  <c r="K13" i="64"/>
  <c r="G23" i="63"/>
  <c r="W22" i="63"/>
  <c r="AA17" i="62"/>
  <c r="AI21" i="61"/>
  <c r="Z10" i="61"/>
  <c r="AG12" i="61"/>
  <c r="D20" i="64"/>
  <c r="AE31" i="62"/>
  <c r="C26" i="63"/>
  <c r="AG32" i="61"/>
  <c r="G21" i="61"/>
  <c r="H32" i="61"/>
  <c r="G31" i="63"/>
  <c r="L11" i="66"/>
  <c r="B32" i="62"/>
  <c r="O10" i="63"/>
  <c r="E15" i="66"/>
  <c r="V33" i="61"/>
  <c r="S17" i="66"/>
  <c r="Q32" i="62"/>
  <c r="G32" i="66"/>
  <c r="X33" i="66"/>
  <c r="M10" i="64"/>
  <c r="AH26" i="63"/>
  <c r="I29" i="63"/>
  <c r="AC15" i="62"/>
  <c r="I24" i="61"/>
  <c r="AE8" i="62"/>
  <c r="T20" i="64"/>
  <c r="H18" i="63"/>
  <c r="AB26" i="63"/>
  <c r="AE17" i="61"/>
  <c r="V11" i="64"/>
  <c r="I29" i="40"/>
  <c r="J28" i="66"/>
  <c r="J16" i="62"/>
  <c r="H18" i="62"/>
  <c r="AE8" i="66"/>
  <c r="AH33" i="63"/>
  <c r="AI32" i="66"/>
  <c r="N9" i="62"/>
  <c r="W27" i="62"/>
  <c r="AC25" i="61"/>
  <c r="N33" i="61"/>
  <c r="AG18" i="64"/>
  <c r="L13" i="62"/>
  <c r="O19" i="61"/>
  <c r="O14" i="64"/>
  <c r="AD20" i="63"/>
  <c r="AD7" i="64"/>
  <c r="AB27" i="63"/>
  <c r="T26" i="62"/>
  <c r="L25" i="62"/>
  <c r="J13" i="64"/>
  <c r="AA13" i="64"/>
  <c r="Y25" i="63"/>
  <c r="AB25" i="63"/>
  <c r="AA22" i="40"/>
  <c r="AJ22" i="40" s="1"/>
  <c r="AD18" i="61"/>
  <c r="AG17" i="62"/>
  <c r="AB27" i="66"/>
  <c r="C20" i="64"/>
  <c r="W24" i="25"/>
  <c r="AJ24" i="25" s="1"/>
  <c r="U16" i="62"/>
  <c r="M25" i="63"/>
  <c r="AI19" i="66"/>
  <c r="J29" i="62"/>
  <c r="J30" i="62"/>
  <c r="Z19" i="62"/>
  <c r="I20" i="62"/>
  <c r="H19" i="63"/>
  <c r="C20" i="62"/>
  <c r="AF12" i="61"/>
  <c r="N14" i="62"/>
  <c r="AD7" i="61"/>
  <c r="AH9" i="62"/>
  <c r="L14" i="64"/>
  <c r="Z25" i="66"/>
  <c r="H17" i="61"/>
  <c r="AG9" i="61"/>
  <c r="P24" i="62"/>
  <c r="E12" i="62"/>
  <c r="I12" i="66"/>
  <c r="R25" i="61"/>
  <c r="V15" i="61"/>
  <c r="S27" i="61"/>
  <c r="K27" i="63"/>
  <c r="D14" i="62"/>
  <c r="AB14" i="62"/>
  <c r="K29" i="62"/>
  <c r="AC10" i="62"/>
  <c r="E10" i="63"/>
  <c r="D13" i="61"/>
  <c r="F16" i="61"/>
  <c r="S23" i="61"/>
  <c r="AC28" i="61"/>
  <c r="L29" i="61"/>
  <c r="X23" i="61"/>
  <c r="C31" i="62"/>
  <c r="G8" i="64"/>
  <c r="L33" i="62"/>
  <c r="W20" i="63"/>
  <c r="J7" i="64"/>
  <c r="P10" i="61"/>
  <c r="H13" i="61"/>
  <c r="Y7" i="61"/>
  <c r="M22" i="62"/>
  <c r="U29" i="62"/>
  <c r="D12" i="62"/>
  <c r="V16" i="64"/>
  <c r="P16" i="63"/>
  <c r="U8" i="62"/>
  <c r="F10" i="63"/>
  <c r="AH9" i="63"/>
  <c r="C11" i="62"/>
  <c r="X24" i="61"/>
  <c r="U32" i="63"/>
  <c r="AD26" i="62"/>
  <c r="K28" i="62"/>
  <c r="G24" i="62"/>
  <c r="F25" i="63"/>
  <c r="Q9" i="63"/>
  <c r="AE17" i="63"/>
  <c r="K32" i="61"/>
  <c r="P27" i="62"/>
  <c r="R15" i="61"/>
  <c r="H9" i="63"/>
  <c r="Z18" i="61"/>
  <c r="P20" i="64"/>
  <c r="AD22" i="64"/>
  <c r="H9" i="61"/>
  <c r="P23" i="63"/>
  <c r="C14" i="64"/>
  <c r="G18" i="64"/>
  <c r="W23" i="61"/>
  <c r="L16" i="61"/>
  <c r="Z14" i="63"/>
  <c r="AH23" i="61"/>
  <c r="O29" i="63"/>
  <c r="AE21" i="63"/>
  <c r="O29" i="62"/>
  <c r="AC10" i="64"/>
  <c r="I32" i="62"/>
  <c r="S21" i="63"/>
  <c r="AE25" i="61"/>
  <c r="C28" i="61"/>
  <c r="E14" i="62"/>
  <c r="I28" i="62"/>
  <c r="K16" i="64"/>
  <c r="Q30" i="64"/>
  <c r="S16" i="63"/>
  <c r="O33" i="63"/>
  <c r="P14" i="63"/>
  <c r="U26" i="61"/>
  <c r="V13" i="61"/>
  <c r="Z23" i="61"/>
  <c r="T14" i="61"/>
  <c r="G16" i="64"/>
  <c r="U10" i="61"/>
  <c r="AF33" i="62"/>
  <c r="E24" i="63"/>
  <c r="AA30" i="40"/>
  <c r="U18" i="63"/>
  <c r="AB25" i="61"/>
  <c r="AA23" i="63"/>
  <c r="P28" i="40"/>
  <c r="AF24" i="61"/>
  <c r="Q11" i="61"/>
  <c r="AD30" i="40"/>
  <c r="AG24" i="62"/>
  <c r="AH24" i="63"/>
  <c r="V22" i="63"/>
  <c r="AC22" i="61"/>
  <c r="J11" i="62"/>
  <c r="Q21" i="63"/>
  <c r="P33" i="62"/>
  <c r="AA8" i="64"/>
  <c r="I30" i="63"/>
  <c r="T17" i="62"/>
  <c r="V7" i="63"/>
  <c r="J19" i="62"/>
  <c r="O23" i="62"/>
  <c r="AD19" i="64"/>
  <c r="T32" i="61"/>
  <c r="U29" i="63"/>
  <c r="AF16" i="66"/>
  <c r="B9" i="61"/>
  <c r="K10" i="64"/>
  <c r="B30" i="63"/>
  <c r="L28" i="61"/>
  <c r="P15" i="63"/>
  <c r="I26" i="62"/>
  <c r="L11" i="62"/>
  <c r="AC19" i="62"/>
  <c r="AH9" i="61"/>
  <c r="AI29" i="61"/>
  <c r="R19" i="64"/>
  <c r="AG13" i="62"/>
  <c r="X11" i="64"/>
  <c r="N10" i="62"/>
  <c r="M11" i="64"/>
  <c r="T12" i="63"/>
  <c r="C29" i="61"/>
  <c r="S29" i="63"/>
  <c r="H8" i="66"/>
  <c r="AH7" i="62"/>
  <c r="Q33" i="25"/>
  <c r="AJ33" i="25" s="1"/>
  <c r="AE15" i="62"/>
  <c r="AG12" i="64"/>
  <c r="Q30" i="63"/>
  <c r="AG29" i="40"/>
  <c r="K9" i="66"/>
  <c r="V28" i="64"/>
  <c r="AE28" i="64"/>
  <c r="I17" i="63"/>
  <c r="H22" i="62"/>
  <c r="D14" i="63"/>
  <c r="AD24" i="63"/>
  <c r="K26" i="63"/>
  <c r="AH29" i="62"/>
  <c r="AI33" i="62"/>
  <c r="AD16" i="61"/>
  <c r="D19" i="62"/>
  <c r="E28" i="40"/>
  <c r="AE27" i="66"/>
  <c r="O18" i="62"/>
  <c r="AA15" i="64"/>
  <c r="L8" i="66"/>
  <c r="Q31" i="62"/>
  <c r="T9" i="66"/>
  <c r="T34" i="66" s="1"/>
  <c r="K29" i="61"/>
  <c r="R20" i="66"/>
  <c r="Q13" i="61"/>
  <c r="W10" i="63"/>
  <c r="AA21" i="63"/>
  <c r="C20" i="61"/>
  <c r="G7" i="62"/>
  <c r="C12" i="62"/>
  <c r="C30" i="62"/>
  <c r="AE21" i="64"/>
  <c r="AI31" i="62"/>
  <c r="S12" i="63"/>
  <c r="J27" i="62"/>
  <c r="W8" i="62"/>
  <c r="D18" i="64"/>
  <c r="Y9" i="63"/>
  <c r="I18" i="66"/>
  <c r="J28" i="62"/>
  <c r="AD21" i="61"/>
  <c r="H27" i="66"/>
  <c r="O24" i="61"/>
  <c r="W29" i="66"/>
  <c r="AJ29" i="66" s="1"/>
  <c r="D31" i="61"/>
  <c r="AB9" i="40"/>
  <c r="F21" i="66"/>
  <c r="F22" i="61"/>
  <c r="AE26" i="61"/>
  <c r="AA33" i="62"/>
  <c r="K26" i="61"/>
  <c r="AE7" i="63"/>
  <c r="I16" i="61"/>
  <c r="AI17" i="61"/>
  <c r="AE20" i="61"/>
  <c r="AE30" i="64"/>
  <c r="O17" i="61"/>
  <c r="AD29" i="62"/>
  <c r="T21" i="62"/>
  <c r="I20" i="61"/>
  <c r="E17" i="62"/>
  <c r="AG8" i="63"/>
  <c r="N27" i="63"/>
  <c r="J9" i="62"/>
  <c r="N26" i="61"/>
  <c r="I19" i="61"/>
  <c r="AD26" i="63"/>
  <c r="AA7" i="62"/>
  <c r="D29" i="62"/>
  <c r="D9" i="64"/>
  <c r="AC25" i="62"/>
  <c r="AC23" i="61"/>
  <c r="K28" i="63"/>
  <c r="Q8" i="62"/>
  <c r="D15" i="61"/>
  <c r="E13" i="62"/>
  <c r="P9" i="63"/>
  <c r="Z21" i="62"/>
  <c r="AE7" i="61"/>
  <c r="V11" i="63"/>
  <c r="F24" i="61"/>
  <c r="AG18" i="63"/>
  <c r="S23" i="62"/>
  <c r="AI23" i="63"/>
  <c r="AF14" i="61"/>
  <c r="AD17" i="62"/>
  <c r="N22" i="63"/>
  <c r="S25" i="61"/>
  <c r="AE27" i="40"/>
  <c r="P25" i="63"/>
  <c r="AF11" i="62"/>
  <c r="D30" i="62"/>
  <c r="Y32" i="62"/>
  <c r="B33" i="63"/>
  <c r="B31" i="61"/>
  <c r="X31" i="63"/>
  <c r="L17" i="64"/>
  <c r="O30" i="63"/>
  <c r="AB33" i="61"/>
  <c r="AD24" i="64"/>
  <c r="X21" i="62"/>
  <c r="J30" i="64"/>
  <c r="I17" i="62"/>
  <c r="AE16" i="62"/>
  <c r="G28" i="64"/>
  <c r="F11" i="62"/>
  <c r="S33" i="61"/>
  <c r="L27" i="61"/>
  <c r="T11" i="61"/>
  <c r="AG19" i="62"/>
  <c r="AG28" i="63"/>
  <c r="W15" i="62"/>
  <c r="W17" i="62"/>
  <c r="K25" i="63"/>
  <c r="AB16" i="63"/>
  <c r="AG20" i="63"/>
  <c r="E9" i="63"/>
  <c r="AE18" i="63"/>
  <c r="U27" i="40"/>
  <c r="Z7" i="63"/>
  <c r="C24" i="63"/>
  <c r="AH17" i="63"/>
  <c r="E19" i="63"/>
  <c r="AA13" i="62"/>
  <c r="AC9" i="63"/>
  <c r="U19" i="63"/>
  <c r="V17" i="63"/>
  <c r="L29" i="40"/>
  <c r="Q19" i="63"/>
  <c r="H18" i="64"/>
  <c r="AF21" i="63"/>
  <c r="AB18" i="63"/>
  <c r="Q20" i="61"/>
  <c r="D22" i="62"/>
  <c r="T9" i="62"/>
  <c r="W32" i="62"/>
  <c r="AI30" i="63"/>
  <c r="J20" i="61"/>
  <c r="E28" i="62"/>
  <c r="D14" i="64"/>
  <c r="O12" i="61"/>
  <c r="AB33" i="63"/>
  <c r="AI19" i="62"/>
  <c r="X13" i="66"/>
  <c r="Q8" i="61"/>
  <c r="AA16" i="61"/>
  <c r="V20" i="66"/>
  <c r="AC18" i="61"/>
  <c r="AH20" i="66"/>
  <c r="L10" i="64"/>
  <c r="P23" i="64"/>
  <c r="X11" i="66"/>
  <c r="Y17" i="62"/>
  <c r="AH27" i="64"/>
  <c r="Y19" i="64"/>
  <c r="B27" i="40"/>
  <c r="S9" i="63"/>
  <c r="AE23" i="62"/>
  <c r="O20" i="62"/>
  <c r="K7" i="63"/>
  <c r="V25" i="62"/>
  <c r="X29" i="62"/>
  <c r="AC9" i="62"/>
  <c r="AB20" i="61"/>
  <c r="D11" i="66"/>
  <c r="N26" i="63"/>
  <c r="I21" i="61"/>
  <c r="L30" i="66"/>
  <c r="M13" i="62"/>
  <c r="B9" i="66"/>
  <c r="H27" i="63"/>
  <c r="M10" i="25"/>
  <c r="M34" i="25" s="1"/>
  <c r="D10" i="66"/>
  <c r="I17" i="61"/>
  <c r="AB10" i="62"/>
  <c r="S24" i="61"/>
  <c r="L18" i="64"/>
  <c r="G15" i="62"/>
  <c r="S24" i="63"/>
  <c r="S9" i="61"/>
  <c r="E11" i="62"/>
  <c r="B12" i="61"/>
  <c r="AH16" i="64"/>
  <c r="F16" i="62"/>
  <c r="AH21" i="62"/>
  <c r="K8" i="66"/>
  <c r="U31" i="61"/>
  <c r="X29" i="40"/>
  <c r="AG16" i="62"/>
  <c r="U15" i="61"/>
  <c r="AF27" i="66"/>
  <c r="R16" i="62"/>
  <c r="H7" i="62"/>
  <c r="AB10" i="61"/>
  <c r="B22" i="62"/>
  <c r="AC10" i="63"/>
  <c r="M19" i="62"/>
  <c r="AD32" i="62"/>
  <c r="I16" i="63"/>
  <c r="L19" i="62"/>
  <c r="Z25" i="63"/>
  <c r="X19" i="62"/>
  <c r="J33" i="62"/>
  <c r="T28" i="40"/>
  <c r="I12" i="64"/>
  <c r="Z27" i="61"/>
  <c r="J18" i="61"/>
  <c r="P7" i="66"/>
  <c r="AF26" i="61"/>
  <c r="AH10" i="66"/>
  <c r="AI14" i="66"/>
  <c r="B28" i="63"/>
  <c r="P22" i="66"/>
  <c r="I7" i="63"/>
  <c r="AB10" i="66"/>
  <c r="L29" i="62"/>
  <c r="O21" i="61"/>
  <c r="AI23" i="61"/>
  <c r="AB16" i="62"/>
  <c r="D24" i="61"/>
  <c r="AD27" i="62"/>
  <c r="Q14" i="62"/>
  <c r="Z8" i="64"/>
  <c r="W30" i="40"/>
  <c r="N29" i="62"/>
  <c r="V17" i="61"/>
  <c r="U24" i="61"/>
  <c r="T7" i="62"/>
  <c r="U12" i="62"/>
  <c r="N19" i="63"/>
  <c r="F32" i="63"/>
  <c r="K22" i="63"/>
  <c r="L8" i="63"/>
  <c r="AD27" i="64"/>
  <c r="E31" i="63"/>
  <c r="AI26" i="62"/>
  <c r="AE19" i="63"/>
  <c r="J9" i="63"/>
  <c r="J17" i="61"/>
  <c r="V22" i="62"/>
  <c r="J27" i="40"/>
  <c r="J8" i="64"/>
  <c r="O20" i="64"/>
  <c r="P29" i="62"/>
  <c r="O30" i="40"/>
  <c r="D26" i="64"/>
  <c r="R24" i="63"/>
  <c r="AD26" i="61"/>
  <c r="L25" i="61"/>
  <c r="AD23" i="63"/>
  <c r="AH12" i="61"/>
  <c r="U28" i="62"/>
  <c r="Y11" i="61"/>
  <c r="Q14" i="63"/>
  <c r="AA29" i="61"/>
  <c r="J32" i="62"/>
  <c r="AD19" i="63"/>
  <c r="H23" i="61"/>
  <c r="V14" i="63"/>
  <c r="R16" i="63"/>
  <c r="O24" i="62"/>
  <c r="T10" i="64"/>
  <c r="AE21" i="61"/>
  <c r="AB24" i="63"/>
  <c r="M13" i="61"/>
  <c r="E29" i="62"/>
  <c r="T9" i="63"/>
  <c r="V19" i="62"/>
  <c r="Y11" i="63"/>
  <c r="Q7" i="61"/>
  <c r="AE20" i="63"/>
  <c r="C21" i="61"/>
  <c r="AF21" i="62"/>
  <c r="Y22" i="64"/>
  <c r="K9" i="64"/>
  <c r="W17" i="61"/>
  <c r="J14" i="63"/>
  <c r="K7" i="61"/>
  <c r="L10" i="62"/>
  <c r="Y10" i="64"/>
  <c r="Y29" i="62"/>
  <c r="P25" i="61"/>
  <c r="U7" i="62"/>
  <c r="B31" i="63"/>
  <c r="Q10" i="64"/>
  <c r="K33" i="61"/>
  <c r="S25" i="64"/>
  <c r="N14" i="63"/>
  <c r="G28" i="61"/>
  <c r="X15" i="62"/>
  <c r="U26" i="62"/>
  <c r="Q13" i="62"/>
  <c r="AF16" i="62"/>
  <c r="P8" i="63"/>
  <c r="U24" i="62"/>
  <c r="M22" i="61"/>
  <c r="O9" i="64"/>
  <c r="G8" i="61"/>
  <c r="E7" i="64"/>
  <c r="W12" i="62"/>
  <c r="AA9" i="62"/>
  <c r="C9" i="62"/>
  <c r="AH12" i="64"/>
  <c r="O12" i="63"/>
  <c r="AD27" i="40"/>
  <c r="G32" i="62"/>
  <c r="AG11" i="61"/>
  <c r="F7" i="64"/>
  <c r="K20" i="63"/>
  <c r="E15" i="62"/>
  <c r="S28" i="63"/>
  <c r="I13" i="63"/>
  <c r="Z26" i="61"/>
  <c r="AI10" i="63"/>
  <c r="V21" i="63"/>
  <c r="AA13" i="63"/>
  <c r="H26" i="61"/>
  <c r="P31" i="62"/>
  <c r="I11" i="63"/>
  <c r="L8" i="61"/>
  <c r="D10" i="62"/>
  <c r="E29" i="61"/>
  <c r="J28" i="63"/>
  <c r="G10" i="64"/>
  <c r="Q27" i="63"/>
  <c r="V12" i="62"/>
  <c r="AH14" i="62"/>
  <c r="AE9" i="61"/>
  <c r="R7" i="63"/>
  <c r="AC28" i="62"/>
  <c r="N9" i="64"/>
  <c r="N28" i="62"/>
  <c r="AB26" i="61"/>
  <c r="Z17" i="63"/>
  <c r="K13" i="63"/>
  <c r="K24" i="62"/>
  <c r="F19" i="61"/>
  <c r="AA10" i="61"/>
  <c r="V7" i="64"/>
  <c r="AA19" i="61"/>
  <c r="R9" i="63"/>
  <c r="U22" i="62"/>
  <c r="AA26" i="61"/>
  <c r="C27" i="62"/>
  <c r="U30" i="62"/>
  <c r="I8" i="64"/>
  <c r="AA17" i="64"/>
  <c r="J28" i="61"/>
  <c r="O9" i="63"/>
  <c r="AC14" i="63"/>
  <c r="H24" i="64"/>
  <c r="S18" i="62"/>
  <c r="C27" i="61"/>
  <c r="AH8" i="64"/>
  <c r="AG21" i="64"/>
  <c r="W30" i="63"/>
  <c r="L11" i="61"/>
  <c r="D25" i="61"/>
  <c r="Z28" i="40"/>
  <c r="D22" i="64"/>
  <c r="AF32" i="61"/>
  <c r="Q20" i="63"/>
  <c r="L17" i="62"/>
  <c r="V25" i="61"/>
  <c r="L33" i="63"/>
  <c r="S22" i="61"/>
  <c r="L24" i="63"/>
  <c r="K29" i="40"/>
  <c r="Y33" i="63"/>
  <c r="E20" i="63"/>
  <c r="I32" i="61"/>
  <c r="AF15" i="64"/>
  <c r="D27" i="62"/>
  <c r="U28" i="40"/>
  <c r="R25" i="63"/>
  <c r="C10" i="63"/>
  <c r="Q25" i="61"/>
  <c r="P13" i="61"/>
  <c r="H20" i="61"/>
  <c r="AB17" i="64"/>
  <c r="AB15" i="64"/>
  <c r="V16" i="63"/>
  <c r="E8" i="63"/>
  <c r="H13" i="62"/>
  <c r="D17" i="64"/>
  <c r="AE26" i="62"/>
  <c r="AB33" i="62"/>
  <c r="D19" i="61"/>
  <c r="S14" i="62"/>
  <c r="Q24" i="62"/>
  <c r="AB28" i="40"/>
  <c r="R7" i="62"/>
  <c r="L27" i="62"/>
  <c r="E19" i="61"/>
  <c r="R15" i="62"/>
  <c r="B19" i="63"/>
  <c r="H17" i="64"/>
  <c r="E10" i="61"/>
  <c r="W10" i="62"/>
  <c r="B7" i="64"/>
  <c r="D23" i="64"/>
  <c r="AB18" i="62"/>
  <c r="AE30" i="61"/>
  <c r="AF18" i="64"/>
  <c r="G8" i="62"/>
  <c r="AF23" i="62"/>
  <c r="V24" i="63"/>
  <c r="Z7" i="61"/>
  <c r="Y8" i="63"/>
  <c r="AI17" i="63"/>
  <c r="C11" i="63"/>
  <c r="C12" i="63"/>
  <c r="V31" i="62"/>
  <c r="V30" i="62"/>
  <c r="E10" i="64"/>
  <c r="I12" i="62"/>
  <c r="AG8" i="64"/>
  <c r="K22" i="61"/>
  <c r="V8" i="64"/>
  <c r="AC29" i="64"/>
  <c r="AB23" i="63"/>
  <c r="H27" i="61"/>
  <c r="AB29" i="64"/>
  <c r="M28" i="40"/>
  <c r="J9" i="61"/>
  <c r="R33" i="61"/>
  <c r="Q25" i="63"/>
  <c r="AF29" i="64"/>
  <c r="C12" i="64"/>
  <c r="M8" i="61"/>
  <c r="F30" i="62"/>
  <c r="AI13" i="64"/>
  <c r="AH18" i="61"/>
  <c r="B8" i="61"/>
  <c r="AH7" i="63"/>
  <c r="D28" i="63"/>
  <c r="M30" i="62"/>
  <c r="E8" i="61"/>
  <c r="AF25" i="63"/>
  <c r="J31" i="62"/>
  <c r="N28" i="63"/>
  <c r="V9" i="63"/>
  <c r="AD17" i="61"/>
  <c r="AC33" i="61"/>
  <c r="AI11" i="61"/>
  <c r="Z32" i="61"/>
  <c r="G18" i="61"/>
  <c r="AC21" i="61"/>
  <c r="B24" i="64"/>
  <c r="X17" i="62"/>
  <c r="AB27" i="40"/>
  <c r="D19" i="64"/>
  <c r="W30" i="61"/>
  <c r="K8" i="63"/>
  <c r="AD21" i="63"/>
  <c r="AA9" i="61"/>
  <c r="R12" i="63"/>
  <c r="Z11" i="63"/>
  <c r="AA10" i="63"/>
  <c r="C25" i="63"/>
  <c r="Q23" i="64"/>
  <c r="W29" i="63"/>
  <c r="S17" i="61"/>
  <c r="Q19" i="64"/>
  <c r="M18" i="62"/>
  <c r="I33" i="63"/>
  <c r="V10" i="62"/>
  <c r="AB13" i="64"/>
  <c r="AB32" i="62"/>
  <c r="D30" i="40"/>
  <c r="X13" i="62"/>
  <c r="AB12" i="62"/>
  <c r="D17" i="61"/>
  <c r="W24" i="63"/>
  <c r="H12" i="63"/>
  <c r="Z31" i="63"/>
  <c r="K12" i="64"/>
  <c r="Z17" i="61"/>
  <c r="Y13" i="63"/>
  <c r="H24" i="63"/>
  <c r="N8" i="62"/>
  <c r="E19" i="62"/>
  <c r="AD12" i="62"/>
  <c r="M8" i="62"/>
  <c r="B14" i="63"/>
  <c r="E11" i="63"/>
  <c r="Y19" i="63"/>
  <c r="T24" i="61"/>
  <c r="D16" i="61"/>
  <c r="AA12" i="62"/>
  <c r="AF16" i="61"/>
  <c r="O16" i="61"/>
  <c r="U11" i="64"/>
  <c r="Q8" i="64"/>
  <c r="G30" i="40"/>
  <c r="AE20" i="62"/>
  <c r="AH12" i="62"/>
  <c r="E33" i="63"/>
  <c r="C29" i="40"/>
  <c r="J15" i="61"/>
  <c r="D13" i="63"/>
  <c r="AD22" i="62"/>
  <c r="W10" i="64"/>
  <c r="AC18" i="63"/>
  <c r="T13" i="63"/>
  <c r="S27" i="64"/>
  <c r="L26" i="62"/>
  <c r="L23" i="62"/>
  <c r="E12" i="61"/>
  <c r="AI29" i="40"/>
  <c r="AD10" i="61"/>
  <c r="S27" i="63"/>
  <c r="AG22" i="63"/>
  <c r="AD30" i="61"/>
  <c r="K21" i="61"/>
  <c r="U13" i="63"/>
  <c r="J12" i="63"/>
  <c r="AE28" i="61"/>
  <c r="K31" i="62"/>
  <c r="S13" i="63"/>
  <c r="O26" i="63"/>
  <c r="AH15" i="62"/>
  <c r="O15" i="63"/>
  <c r="Y30" i="64"/>
  <c r="G26" i="63"/>
  <c r="Z29" i="62"/>
  <c r="I27" i="40"/>
  <c r="L9" i="63"/>
  <c r="F13" i="62"/>
  <c r="N21" i="61"/>
  <c r="AF17" i="62"/>
  <c r="AB30" i="40"/>
  <c r="H10" i="64"/>
  <c r="F22" i="63"/>
  <c r="S31" i="66"/>
  <c r="W26" i="63"/>
  <c r="AF11" i="63"/>
  <c r="F17" i="63"/>
  <c r="H22" i="63"/>
  <c r="W21" i="61"/>
  <c r="Z25" i="61"/>
  <c r="K25" i="64"/>
  <c r="X8" i="61"/>
  <c r="X15" i="61"/>
  <c r="X14" i="63"/>
  <c r="V21" i="61"/>
  <c r="AI25" i="63"/>
  <c r="AC29" i="63"/>
  <c r="AA29" i="62"/>
  <c r="N8" i="63"/>
  <c r="AF23" i="63"/>
  <c r="AA15" i="62"/>
  <c r="O25" i="61"/>
  <c r="W22" i="64"/>
  <c r="G10" i="63"/>
  <c r="AC20" i="63"/>
  <c r="B25" i="62"/>
  <c r="X27" i="40"/>
  <c r="AA27" i="62"/>
  <c r="AF12" i="62"/>
  <c r="AD31" i="61"/>
  <c r="M22" i="63"/>
  <c r="O15" i="62"/>
  <c r="P15" i="61"/>
  <c r="Q22" i="61"/>
  <c r="R23" i="61"/>
  <c r="AC17" i="62"/>
  <c r="W23" i="62"/>
  <c r="X15" i="64"/>
  <c r="W19" i="63"/>
  <c r="U11" i="62"/>
  <c r="J29" i="40"/>
  <c r="B27" i="62"/>
  <c r="X19" i="64"/>
  <c r="AI12" i="62"/>
  <c r="X20" i="61"/>
  <c r="P31" i="63"/>
  <c r="D18" i="61"/>
  <c r="R32" i="62"/>
  <c r="B32" i="63"/>
  <c r="O10" i="62"/>
  <c r="J30" i="63"/>
  <c r="H11" i="64"/>
  <c r="B26" i="64"/>
  <c r="S9" i="62"/>
  <c r="AH14" i="64"/>
  <c r="T22" i="62"/>
  <c r="R13" i="64"/>
  <c r="I27" i="64"/>
  <c r="AG28" i="62"/>
  <c r="R20" i="62"/>
  <c r="AE32" i="63"/>
  <c r="L7" i="64"/>
  <c r="AC26" i="61"/>
  <c r="U17" i="64"/>
  <c r="I7" i="64"/>
  <c r="AH30" i="62"/>
  <c r="D15" i="62"/>
  <c r="C7" i="61"/>
  <c r="W23" i="64"/>
  <c r="S21" i="62"/>
  <c r="D25" i="62"/>
  <c r="M12" i="63"/>
  <c r="C15" i="61"/>
  <c r="T14" i="62"/>
  <c r="B28" i="61"/>
  <c r="K14" i="61"/>
  <c r="R29" i="40"/>
  <c r="AC22" i="63"/>
  <c r="Q7" i="62"/>
  <c r="AI20" i="63"/>
  <c r="AD9" i="61"/>
  <c r="O27" i="63"/>
  <c r="Z14" i="61"/>
  <c r="D23" i="61"/>
  <c r="G18" i="62"/>
  <c r="B30" i="62"/>
  <c r="AA14" i="62"/>
  <c r="T23" i="62"/>
  <c r="AC23" i="62"/>
  <c r="O17" i="64"/>
  <c r="N24" i="63"/>
  <c r="I21" i="62"/>
  <c r="I12" i="61"/>
  <c r="P21" i="62"/>
  <c r="H7" i="61"/>
  <c r="AC28" i="40"/>
  <c r="G27" i="62"/>
  <c r="M27" i="61"/>
  <c r="H17" i="62"/>
  <c r="AF20" i="62"/>
  <c r="AB11" i="63"/>
  <c r="F7" i="63"/>
  <c r="AF9" i="61"/>
  <c r="AG33" i="63"/>
  <c r="AD20" i="61"/>
  <c r="H28" i="61"/>
  <c r="U15" i="64"/>
  <c r="G30" i="63"/>
  <c r="G29" i="40"/>
  <c r="G7" i="63"/>
  <c r="AI24" i="63"/>
  <c r="X7" i="63"/>
  <c r="AF21" i="64"/>
  <c r="N23" i="62"/>
  <c r="W7" i="63"/>
  <c r="V27" i="40"/>
  <c r="Z25" i="64"/>
  <c r="Q18" i="63"/>
  <c r="K18" i="62"/>
  <c r="AI28" i="63"/>
  <c r="D8" i="62"/>
  <c r="AG14" i="61"/>
  <c r="S31" i="62"/>
  <c r="R25" i="62"/>
  <c r="U33" i="63"/>
  <c r="N7" i="62"/>
  <c r="J18" i="62"/>
  <c r="S13" i="64"/>
  <c r="D29" i="40"/>
  <c r="AG23" i="63"/>
  <c r="AE10" i="63"/>
  <c r="V12" i="63"/>
  <c r="U13" i="61"/>
  <c r="Q7" i="64"/>
  <c r="I15" i="64"/>
  <c r="K30" i="62"/>
  <c r="H16" i="62"/>
  <c r="E13" i="63"/>
  <c r="AH28" i="62"/>
  <c r="J17" i="62"/>
  <c r="B18" i="62"/>
  <c r="F18" i="63"/>
  <c r="X23" i="62"/>
  <c r="AB21" i="62"/>
  <c r="AI15" i="61"/>
  <c r="H13" i="63"/>
  <c r="F17" i="62"/>
  <c r="Z9" i="64"/>
  <c r="Q9" i="62"/>
  <c r="Q10" i="61"/>
  <c r="G30" i="62"/>
  <c r="AD18" i="62"/>
  <c r="S13" i="62"/>
  <c r="C16" i="63"/>
  <c r="L31" i="61"/>
  <c r="S8" i="64"/>
  <c r="R27" i="61"/>
  <c r="M19" i="63"/>
  <c r="X29" i="64"/>
  <c r="AB29" i="40"/>
  <c r="B21" i="64"/>
  <c r="AH31" i="63"/>
  <c r="C18" i="64"/>
  <c r="K20" i="61"/>
  <c r="AH24" i="62"/>
  <c r="J13" i="63"/>
  <c r="AC15" i="61"/>
  <c r="J8" i="62"/>
  <c r="U11" i="63"/>
  <c r="AC24" i="61"/>
  <c r="G15" i="63"/>
  <c r="AD24" i="61"/>
  <c r="T33" i="63"/>
  <c r="J20" i="64"/>
  <c r="AB12" i="61"/>
  <c r="I15" i="61"/>
  <c r="V21" i="62"/>
  <c r="T17" i="64"/>
  <c r="M31" i="63"/>
  <c r="Y16" i="63"/>
  <c r="P7" i="63"/>
  <c r="X17" i="63"/>
  <c r="AG30" i="61"/>
  <c r="T19" i="64"/>
  <c r="V9" i="64"/>
  <c r="P31" i="61"/>
  <c r="D10" i="63"/>
  <c r="J15" i="64"/>
  <c r="Z33" i="61"/>
  <c r="S30" i="40"/>
  <c r="AG24" i="61"/>
  <c r="AB29" i="62"/>
  <c r="O31" i="63"/>
  <c r="I14" i="63"/>
  <c r="AI16" i="61"/>
  <c r="R21" i="62"/>
  <c r="AE32" i="62"/>
  <c r="AD19" i="62"/>
  <c r="P22" i="62"/>
  <c r="N9" i="63"/>
  <c r="U10" i="62"/>
  <c r="D21" i="61"/>
  <c r="Y28" i="40"/>
  <c r="R18" i="63"/>
  <c r="AA27" i="61"/>
  <c r="Q26" i="62"/>
  <c r="Q16" i="64"/>
  <c r="Y10" i="62"/>
  <c r="B17" i="62"/>
  <c r="AF13" i="61"/>
  <c r="T25" i="63"/>
  <c r="C33" i="61"/>
  <c r="C17" i="63"/>
  <c r="V7" i="62"/>
  <c r="W13" i="61"/>
  <c r="M29" i="40"/>
  <c r="L9" i="61"/>
  <c r="E33" i="61"/>
  <c r="I31" i="63"/>
  <c r="AG33" i="61"/>
  <c r="T29" i="64"/>
  <c r="E18" i="63"/>
  <c r="B17" i="64"/>
  <c r="AA21" i="61"/>
  <c r="AB18" i="64"/>
  <c r="AG20" i="61"/>
  <c r="AH10" i="61"/>
  <c r="D18" i="63"/>
  <c r="K30" i="63"/>
  <c r="P14" i="61"/>
  <c r="H16" i="61"/>
  <c r="W33" i="61"/>
  <c r="U27" i="62"/>
  <c r="AG17" i="61"/>
  <c r="AF17" i="64"/>
  <c r="E14" i="61"/>
  <c r="V22" i="66"/>
  <c r="S29" i="62"/>
  <c r="R30" i="63"/>
  <c r="O27" i="61"/>
  <c r="P24" i="63"/>
  <c r="S19" i="63"/>
  <c r="S30" i="63"/>
  <c r="X16" i="61"/>
  <c r="F27" i="61"/>
  <c r="AI8" i="62"/>
  <c r="P25" i="64"/>
  <c r="I23" i="61"/>
  <c r="P24" i="64"/>
  <c r="R7" i="64"/>
  <c r="J25" i="62"/>
  <c r="M16" i="64"/>
  <c r="U22" i="61"/>
  <c r="B30" i="61"/>
  <c r="D27" i="40"/>
  <c r="AD23" i="62"/>
  <c r="J16" i="64"/>
  <c r="D21" i="62"/>
  <c r="L12" i="61"/>
  <c r="C28" i="62"/>
  <c r="Y26" i="64"/>
  <c r="AB26" i="62"/>
  <c r="L16" i="62"/>
  <c r="O32" i="61"/>
  <c r="AG30" i="62"/>
  <c r="AF29" i="61"/>
  <c r="W14" i="61"/>
  <c r="Q10" i="63"/>
  <c r="Q26" i="63"/>
  <c r="M18" i="61"/>
  <c r="U25" i="61"/>
  <c r="AF19" i="64"/>
  <c r="P29" i="64"/>
  <c r="U14" i="61"/>
  <c r="M19" i="61"/>
  <c r="S8" i="61"/>
  <c r="X29" i="63"/>
  <c r="AG14" i="62"/>
  <c r="AG27" i="40"/>
  <c r="AD21" i="62"/>
  <c r="V31" i="61"/>
  <c r="B14" i="61"/>
  <c r="AI13" i="61"/>
  <c r="S32" i="61"/>
  <c r="X9" i="61"/>
  <c r="AD22" i="63"/>
  <c r="Y21" i="62"/>
  <c r="Z18" i="63"/>
  <c r="Y16" i="61"/>
  <c r="AI22" i="61"/>
  <c r="H14" i="64"/>
  <c r="S15" i="63"/>
  <c r="AE22" i="61"/>
  <c r="G12" i="64"/>
  <c r="K32" i="63"/>
  <c r="X22" i="61"/>
  <c r="X33" i="63"/>
  <c r="D27" i="61"/>
  <c r="Z21" i="63"/>
  <c r="L13" i="64"/>
  <c r="B12" i="63"/>
  <c r="AF19" i="63"/>
  <c r="B21" i="61"/>
  <c r="E23" i="63"/>
  <c r="AE28" i="63"/>
  <c r="Z12" i="64"/>
  <c r="B8" i="64"/>
  <c r="M29" i="63"/>
  <c r="R21" i="63"/>
  <c r="AC24" i="63"/>
  <c r="M29" i="61"/>
  <c r="J23" i="61"/>
  <c r="G29" i="61"/>
  <c r="V18" i="63"/>
  <c r="R22" i="64"/>
  <c r="F8" i="61"/>
  <c r="D13" i="62"/>
  <c r="T25" i="62"/>
  <c r="AE9" i="64"/>
  <c r="D15" i="63"/>
  <c r="P11" i="61"/>
  <c r="AC8" i="64"/>
  <c r="X30" i="40"/>
  <c r="E7" i="63"/>
  <c r="U19" i="64"/>
  <c r="K27" i="40"/>
  <c r="J20" i="63"/>
  <c r="V22" i="61"/>
  <c r="AH28" i="40"/>
  <c r="Q24" i="63"/>
  <c r="AF15" i="61"/>
  <c r="AH27" i="40"/>
  <c r="AF13" i="62"/>
  <c r="AE27" i="63"/>
  <c r="L27" i="63"/>
  <c r="N30" i="62"/>
  <c r="AG30" i="40"/>
  <c r="P10" i="63"/>
  <c r="O8" i="61"/>
  <c r="K33" i="62"/>
  <c r="J10" i="63"/>
  <c r="E32" i="61"/>
  <c r="Z16" i="63"/>
  <c r="AC20" i="62"/>
  <c r="D17" i="62"/>
  <c r="Y29" i="40"/>
  <c r="Y24" i="61"/>
  <c r="E16" i="62"/>
  <c r="AF25" i="62"/>
  <c r="J19" i="64"/>
  <c r="N13" i="63"/>
  <c r="AI11" i="62"/>
  <c r="B23" i="61"/>
  <c r="C32" i="61"/>
  <c r="G21" i="62"/>
  <c r="G31" i="61"/>
  <c r="AD14" i="63"/>
  <c r="H10" i="62"/>
  <c r="G33" i="62"/>
  <c r="N16" i="63"/>
  <c r="O18" i="61"/>
  <c r="B10" i="63"/>
  <c r="P29" i="63"/>
  <c r="R11" i="62"/>
  <c r="K14" i="62"/>
  <c r="Y22" i="63"/>
  <c r="I14" i="61"/>
  <c r="I10" i="62"/>
  <c r="R8" i="62"/>
  <c r="V23" i="62"/>
  <c r="P16" i="61"/>
  <c r="Y16" i="64"/>
  <c r="AC27" i="61"/>
  <c r="E21" i="62"/>
  <c r="S19" i="62"/>
  <c r="C22" i="61"/>
  <c r="B18" i="61"/>
  <c r="Y15" i="63"/>
  <c r="AF18" i="62"/>
  <c r="M28" i="61"/>
  <c r="G12" i="62"/>
  <c r="R24" i="61"/>
  <c r="X19" i="63"/>
  <c r="AA30" i="63"/>
  <c r="Z11" i="61"/>
  <c r="AC14" i="62"/>
  <c r="AC20" i="64"/>
  <c r="B11" i="64"/>
  <c r="P10" i="62"/>
  <c r="AG21" i="63"/>
  <c r="C24" i="61"/>
  <c r="B20" i="63"/>
  <c r="N24" i="61"/>
  <c r="R31" i="63"/>
  <c r="B30" i="40"/>
  <c r="C18" i="62"/>
  <c r="D20" i="61"/>
  <c r="H10" i="63"/>
  <c r="Q32" i="63"/>
  <c r="G9" i="62"/>
  <c r="Z30" i="63"/>
  <c r="P7" i="61"/>
  <c r="E27" i="62"/>
  <c r="W9" i="64"/>
  <c r="AI25" i="62"/>
  <c r="P30" i="62"/>
  <c r="AA25" i="64"/>
  <c r="P18" i="63"/>
  <c r="N20" i="62"/>
  <c r="Z18" i="62"/>
  <c r="AF14" i="62"/>
  <c r="AB23" i="64"/>
  <c r="D10" i="64"/>
  <c r="M11" i="63"/>
  <c r="N25" i="62"/>
  <c r="AE17" i="64"/>
  <c r="P25" i="62"/>
  <c r="D25" i="63"/>
  <c r="AG15" i="61"/>
  <c r="AA22" i="63"/>
  <c r="AF22" i="61"/>
  <c r="P30" i="63"/>
  <c r="AB27" i="61"/>
  <c r="F11" i="61"/>
  <c r="F8" i="64"/>
  <c r="P22" i="63"/>
  <c r="R26" i="61"/>
  <c r="T11" i="64"/>
  <c r="AG7" i="61"/>
  <c r="O11" i="63"/>
  <c r="AH30" i="64"/>
  <c r="V23" i="63"/>
  <c r="U9" i="61"/>
  <c r="I11" i="62"/>
  <c r="O23" i="61"/>
  <c r="W28" i="62"/>
  <c r="AE14" i="63"/>
  <c r="X30" i="61"/>
  <c r="G14" i="64"/>
  <c r="V28" i="40"/>
  <c r="S25" i="62"/>
  <c r="AF20" i="64"/>
  <c r="AD12" i="64"/>
  <c r="U18" i="64"/>
  <c r="AC32" i="61"/>
  <c r="G13" i="62"/>
  <c r="AI21" i="63"/>
  <c r="P19" i="64"/>
  <c r="U29" i="64"/>
  <c r="K13" i="61"/>
  <c r="G19" i="61"/>
  <c r="AC23" i="63"/>
  <c r="AI9" i="62"/>
  <c r="U25" i="63"/>
  <c r="H21" i="63"/>
  <c r="C19" i="62"/>
  <c r="T12" i="61"/>
  <c r="G12" i="61"/>
  <c r="Y8" i="61"/>
  <c r="W26" i="64"/>
  <c r="L21" i="63"/>
  <c r="R18" i="62"/>
  <c r="AE10" i="61"/>
  <c r="C26" i="61"/>
  <c r="O16" i="63"/>
  <c r="O11" i="62"/>
  <c r="J13" i="61"/>
  <c r="AC19" i="63"/>
  <c r="U17" i="63"/>
  <c r="K33" i="63"/>
  <c r="M17" i="62"/>
  <c r="O28" i="40"/>
  <c r="B12" i="62"/>
  <c r="AC32" i="62"/>
  <c r="F19" i="62"/>
  <c r="AB32" i="63"/>
  <c r="Z29" i="40"/>
  <c r="Q23" i="62"/>
  <c r="O21" i="63"/>
  <c r="X24" i="63"/>
  <c r="AE28" i="40"/>
  <c r="L18" i="63"/>
  <c r="X19" i="61"/>
  <c r="O30" i="62"/>
  <c r="Y25" i="61"/>
  <c r="F28" i="40"/>
  <c r="B20" i="62"/>
  <c r="AB7" i="61"/>
  <c r="E24" i="62"/>
  <c r="AI14" i="61"/>
  <c r="T16" i="61"/>
  <c r="N26" i="62"/>
  <c r="G29" i="62"/>
  <c r="K30" i="61"/>
  <c r="Q14" i="64"/>
  <c r="K23" i="64"/>
  <c r="AB11" i="61"/>
  <c r="P20" i="61"/>
  <c r="R7" i="61"/>
  <c r="M25" i="62"/>
  <c r="W11" i="61"/>
  <c r="N7" i="63"/>
  <c r="P16" i="62"/>
  <c r="H11" i="63"/>
  <c r="I32" i="63"/>
  <c r="D28" i="62"/>
  <c r="AI11" i="63"/>
  <c r="AG21" i="62"/>
  <c r="AE19" i="61"/>
  <c r="W18" i="61"/>
  <c r="AD8" i="64"/>
  <c r="Y18" i="62"/>
  <c r="AC7" i="64"/>
  <c r="V27" i="61"/>
  <c r="AB19" i="63"/>
  <c r="H29" i="40"/>
  <c r="X30" i="62"/>
  <c r="Q29" i="62"/>
  <c r="AE14" i="62"/>
  <c r="I30" i="62"/>
  <c r="E20" i="64"/>
  <c r="G13" i="64"/>
  <c r="E18" i="64"/>
  <c r="AI7" i="61"/>
  <c r="H21" i="61"/>
  <c r="D9" i="61"/>
  <c r="Y30" i="63"/>
  <c r="R13" i="61"/>
  <c r="AC19" i="61"/>
  <c r="E22" i="63"/>
  <c r="O28" i="63"/>
  <c r="J17" i="63"/>
  <c r="R16" i="61"/>
  <c r="E29" i="63"/>
  <c r="W16" i="62"/>
  <c r="I29" i="62"/>
  <c r="AA16" i="62"/>
  <c r="W7" i="62"/>
  <c r="P14" i="64"/>
  <c r="R31" i="61"/>
  <c r="B25" i="61"/>
  <c r="I33" i="61"/>
  <c r="I8" i="62"/>
  <c r="AC24" i="62"/>
  <c r="C19" i="63"/>
  <c r="E30" i="40"/>
  <c r="AB8" i="63"/>
  <c r="AE31" i="61"/>
  <c r="O7" i="61"/>
  <c r="AD16" i="62"/>
  <c r="AF10" i="63"/>
  <c r="AE15" i="61"/>
  <c r="S7" i="61"/>
  <c r="R12" i="61"/>
  <c r="J10" i="62"/>
  <c r="M17" i="61"/>
  <c r="S16" i="62"/>
  <c r="W27" i="63"/>
  <c r="I30" i="61"/>
  <c r="AB22" i="61"/>
  <c r="C13" i="63"/>
  <c r="E17" i="63"/>
  <c r="H14" i="61"/>
  <c r="AH19" i="62"/>
  <c r="AI13" i="63"/>
  <c r="V29" i="64"/>
  <c r="V26" i="63"/>
  <c r="M7" i="63"/>
  <c r="AC21" i="62"/>
  <c r="AB29" i="63"/>
  <c r="AA8" i="63"/>
  <c r="AF7" i="63"/>
  <c r="H24" i="61"/>
  <c r="R12" i="64"/>
  <c r="W27" i="40"/>
  <c r="T15" i="63"/>
  <c r="L23" i="61"/>
  <c r="Z32" i="62"/>
  <c r="F15" i="63"/>
  <c r="AA11" i="63"/>
  <c r="G21" i="64"/>
  <c r="G16" i="61"/>
  <c r="S20" i="62"/>
  <c r="Y17" i="63"/>
  <c r="S20" i="64"/>
  <c r="J8" i="61"/>
  <c r="AA20" i="61"/>
  <c r="AI18" i="62"/>
  <c r="Q17" i="63"/>
  <c r="P27" i="61"/>
  <c r="Q33" i="62"/>
  <c r="H32" i="62"/>
  <c r="Y24" i="62"/>
  <c r="R15" i="63"/>
  <c r="S12" i="64"/>
  <c r="K14" i="63"/>
  <c r="C28" i="40"/>
  <c r="AA25" i="61"/>
  <c r="X29" i="61"/>
  <c r="H19" i="64"/>
  <c r="D33" i="63"/>
  <c r="M21" i="62"/>
  <c r="Z11" i="64"/>
  <c r="Y27" i="62"/>
  <c r="I10" i="63"/>
  <c r="AB31" i="61"/>
  <c r="C10" i="61"/>
  <c r="AH13" i="63"/>
  <c r="D23" i="63"/>
  <c r="M12" i="62"/>
  <c r="J15" i="62"/>
  <c r="AA15" i="63"/>
  <c r="M26" i="61"/>
  <c r="J12" i="62"/>
  <c r="N31" i="62"/>
  <c r="Y27" i="64"/>
  <c r="P22" i="61"/>
  <c r="G13" i="63"/>
  <c r="T7" i="61"/>
  <c r="AE27" i="62"/>
  <c r="AD27" i="61"/>
  <c r="Z26" i="63"/>
  <c r="O20" i="61"/>
  <c r="P17" i="61"/>
  <c r="X16" i="62"/>
  <c r="N29" i="40"/>
  <c r="O12" i="64"/>
  <c r="S17" i="64"/>
  <c r="H33" i="61"/>
  <c r="D15" i="64"/>
  <c r="B27" i="61"/>
  <c r="W8" i="61"/>
  <c r="B13" i="63"/>
  <c r="L12" i="63"/>
  <c r="Z14" i="62"/>
  <c r="AI27" i="63"/>
  <c r="F26" i="64"/>
  <c r="Q30" i="61"/>
  <c r="V33" i="63"/>
  <c r="AF14" i="63"/>
  <c r="R12" i="62"/>
  <c r="T26" i="64"/>
  <c r="Q18" i="62"/>
  <c r="N30" i="61"/>
  <c r="O13" i="64"/>
  <c r="X22" i="62"/>
  <c r="AI12" i="61"/>
  <c r="E15" i="64"/>
  <c r="Y26" i="63"/>
  <c r="X15" i="63"/>
  <c r="AE8" i="63"/>
  <c r="AA22" i="61"/>
  <c r="Z28" i="62"/>
  <c r="I20" i="63"/>
  <c r="AB21" i="64"/>
  <c r="F10" i="61"/>
  <c r="T8" i="61"/>
  <c r="AI29" i="62"/>
  <c r="I15" i="63"/>
  <c r="B10" i="62"/>
  <c r="D8" i="63"/>
  <c r="D21" i="63"/>
  <c r="R10" i="63"/>
  <c r="F21" i="63"/>
  <c r="AE29" i="63"/>
  <c r="C16" i="61"/>
  <c r="M24" i="62"/>
  <c r="B20" i="61"/>
  <c r="AG10" i="63"/>
  <c r="K19" i="63"/>
  <c r="AC11" i="64"/>
  <c r="X26" i="61"/>
  <c r="K15" i="62"/>
  <c r="AF22" i="63"/>
  <c r="L20" i="61"/>
  <c r="L11" i="63"/>
  <c r="Z10" i="62"/>
  <c r="E28" i="61"/>
  <c r="D18" i="62"/>
  <c r="AH17" i="61"/>
  <c r="W15" i="64"/>
  <c r="AA23" i="62"/>
  <c r="L24" i="62"/>
  <c r="AH15" i="61"/>
  <c r="AB12" i="63"/>
  <c r="AC16" i="61"/>
  <c r="D24" i="63"/>
  <c r="K30" i="40"/>
  <c r="K25" i="61"/>
  <c r="B26" i="62"/>
  <c r="F7" i="62"/>
  <c r="S11" i="63"/>
  <c r="F27" i="40"/>
  <c r="E25" i="62"/>
  <c r="T29" i="62"/>
  <c r="L30" i="40"/>
  <c r="X28" i="61"/>
  <c r="G27" i="61"/>
  <c r="L22" i="62"/>
  <c r="AJ15" i="40"/>
  <c r="AJ23" i="40"/>
  <c r="S34" i="25"/>
  <c r="AH34" i="25"/>
  <c r="AJ7" i="40"/>
  <c r="AJ14" i="40"/>
  <c r="N34" i="25"/>
  <c r="AJ26" i="25"/>
  <c r="Y34" i="25"/>
  <c r="AJ27" i="25"/>
  <c r="AJ19" i="25"/>
  <c r="AJ8" i="40"/>
  <c r="AA34" i="25"/>
  <c r="AJ15" i="25"/>
  <c r="U34" i="25"/>
  <c r="J34" i="25"/>
  <c r="J34" i="66" l="1"/>
  <c r="E34" i="66"/>
  <c r="AJ7" i="66"/>
  <c r="AJ30" i="66"/>
  <c r="AI31" i="40"/>
  <c r="Q31" i="40"/>
  <c r="I34" i="25"/>
  <c r="AF31" i="40"/>
  <c r="M34" i="66"/>
  <c r="AJ19" i="66"/>
  <c r="T31" i="40"/>
  <c r="AJ31" i="25"/>
  <c r="AC31" i="40"/>
  <c r="AJ26" i="66"/>
  <c r="P31" i="40"/>
  <c r="AJ10" i="25"/>
  <c r="W34" i="66"/>
  <c r="X34" i="25"/>
  <c r="N31" i="40"/>
  <c r="AJ22" i="64"/>
  <c r="K34" i="66"/>
  <c r="H34" i="66"/>
  <c r="AB34" i="66"/>
  <c r="L31" i="40"/>
  <c r="N31" i="64"/>
  <c r="F34" i="66"/>
  <c r="L34" i="66"/>
  <c r="I34" i="66"/>
  <c r="W34" i="25"/>
  <c r="W31" i="40"/>
  <c r="AJ31" i="66"/>
  <c r="I31" i="40"/>
  <c r="AJ14" i="66"/>
  <c r="AH34" i="66"/>
  <c r="U31" i="40"/>
  <c r="AD31" i="40"/>
  <c r="G31" i="40"/>
  <c r="AJ10" i="66"/>
  <c r="AJ27" i="66"/>
  <c r="AJ24" i="64"/>
  <c r="F34" i="62"/>
  <c r="AJ28" i="25"/>
  <c r="X31" i="40"/>
  <c r="AJ27" i="64"/>
  <c r="O31" i="40"/>
  <c r="AB31" i="40"/>
  <c r="AJ21" i="66"/>
  <c r="AA34" i="66"/>
  <c r="M31" i="40"/>
  <c r="S34" i="61"/>
  <c r="AH31" i="40"/>
  <c r="AG31" i="40"/>
  <c r="AI34" i="66"/>
  <c r="AJ18" i="66"/>
  <c r="Y31" i="40"/>
  <c r="AJ8" i="64"/>
  <c r="AJ29" i="64"/>
  <c r="AJ15" i="66"/>
  <c r="G31" i="64"/>
  <c r="K31" i="40"/>
  <c r="AJ17" i="64"/>
  <c r="AJ25" i="62"/>
  <c r="F31" i="40"/>
  <c r="N34" i="63"/>
  <c r="AJ13" i="64"/>
  <c r="AJ26" i="64"/>
  <c r="AC34" i="25"/>
  <c r="AJ28" i="61"/>
  <c r="T34" i="61"/>
  <c r="AJ18" i="64"/>
  <c r="AE34" i="66"/>
  <c r="AC34" i="66"/>
  <c r="R31" i="40"/>
  <c r="AJ28" i="66"/>
  <c r="AJ23" i="66"/>
  <c r="AJ20" i="66"/>
  <c r="AJ17" i="63"/>
  <c r="AJ30" i="40"/>
  <c r="W34" i="62"/>
  <c r="AJ32" i="61"/>
  <c r="AA31" i="64"/>
  <c r="AJ32" i="66"/>
  <c r="AJ9" i="40"/>
  <c r="Q34" i="25"/>
  <c r="K31" i="64"/>
  <c r="V34" i="25"/>
  <c r="AJ16" i="66"/>
  <c r="H31" i="40"/>
  <c r="V31" i="40"/>
  <c r="S31" i="40"/>
  <c r="O34" i="66"/>
  <c r="Z31" i="40"/>
  <c r="AE31" i="64"/>
  <c r="AJ13" i="66"/>
  <c r="AF34" i="66"/>
  <c r="AI31" i="64"/>
  <c r="AJ12" i="25"/>
  <c r="AJ11" i="66"/>
  <c r="AJ25" i="66"/>
  <c r="S31" i="64"/>
  <c r="AJ12" i="64"/>
  <c r="AJ9" i="66"/>
  <c r="AG34" i="66"/>
  <c r="AD34" i="66"/>
  <c r="AJ9" i="64"/>
  <c r="AJ12" i="66"/>
  <c r="Y34" i="66"/>
  <c r="P34" i="25"/>
  <c r="R34" i="61"/>
  <c r="AJ27" i="62"/>
  <c r="W34" i="63"/>
  <c r="H34" i="61"/>
  <c r="Q34" i="62"/>
  <c r="AJ33" i="63"/>
  <c r="AJ11" i="63"/>
  <c r="AJ19" i="62"/>
  <c r="AJ8" i="61"/>
  <c r="AJ10" i="61"/>
  <c r="AJ19" i="61"/>
  <c r="AJ20" i="63"/>
  <c r="AJ29" i="61"/>
  <c r="AJ15" i="62"/>
  <c r="K34" i="61"/>
  <c r="Q34" i="61"/>
  <c r="AJ29" i="62"/>
  <c r="I34" i="63"/>
  <c r="AH34" i="62"/>
  <c r="Y34" i="61"/>
  <c r="AJ12" i="62"/>
  <c r="AD31" i="64"/>
  <c r="AJ15" i="63"/>
  <c r="AJ32" i="62"/>
  <c r="AB34" i="62"/>
  <c r="AH34" i="61"/>
  <c r="AC34" i="61"/>
  <c r="AJ24" i="61"/>
  <c r="AJ29" i="40"/>
  <c r="T34" i="63"/>
  <c r="AI34" i="62"/>
  <c r="AJ12" i="63"/>
  <c r="AJ27" i="40"/>
  <c r="U34" i="63"/>
  <c r="AF31" i="64"/>
  <c r="AJ28" i="64"/>
  <c r="K34" i="62"/>
  <c r="AJ30" i="62"/>
  <c r="AE34" i="62"/>
  <c r="AJ20" i="62"/>
  <c r="AJ25" i="63"/>
  <c r="AF34" i="62"/>
  <c r="AJ10" i="62"/>
  <c r="AJ18" i="62"/>
  <c r="AJ26" i="63"/>
  <c r="P34" i="62"/>
  <c r="Z31" i="64"/>
  <c r="AJ18" i="61"/>
  <c r="AJ27" i="61"/>
  <c r="AJ22" i="62"/>
  <c r="AJ16" i="61"/>
  <c r="AJ13" i="25"/>
  <c r="R34" i="25"/>
  <c r="AJ22" i="63"/>
  <c r="P34" i="61"/>
  <c r="AJ21" i="62"/>
  <c r="R31" i="64"/>
  <c r="AJ18" i="63"/>
  <c r="AJ33" i="61"/>
  <c r="V34" i="62"/>
  <c r="AJ13" i="63"/>
  <c r="Q31" i="64"/>
  <c r="N34" i="62"/>
  <c r="G34" i="63"/>
  <c r="F34" i="63"/>
  <c r="L31" i="64"/>
  <c r="AJ12" i="61"/>
  <c r="R34" i="63"/>
  <c r="J31" i="40"/>
  <c r="H34" i="62"/>
  <c r="AJ11" i="62"/>
  <c r="AJ9" i="63"/>
  <c r="AE31" i="40"/>
  <c r="AJ17" i="62"/>
  <c r="G34" i="62"/>
  <c r="AJ24" i="63"/>
  <c r="J34" i="62"/>
  <c r="Z34" i="66"/>
  <c r="U34" i="61"/>
  <c r="U31" i="64"/>
  <c r="G34" i="61"/>
  <c r="AJ21" i="64"/>
  <c r="I34" i="62"/>
  <c r="AD34" i="63"/>
  <c r="E34" i="61"/>
  <c r="AJ7" i="61"/>
  <c r="AD34" i="62"/>
  <c r="O34" i="63"/>
  <c r="J34" i="61"/>
  <c r="AJ20" i="61"/>
  <c r="AC34" i="63"/>
  <c r="AJ14" i="63"/>
  <c r="AJ8" i="62"/>
  <c r="AJ7" i="62"/>
  <c r="E34" i="62"/>
  <c r="AJ16" i="63"/>
  <c r="AG31" i="64"/>
  <c r="T31" i="64"/>
  <c r="S34" i="62"/>
  <c r="L34" i="62"/>
  <c r="L34" i="61"/>
  <c r="Q34" i="66"/>
  <c r="Y34" i="62"/>
  <c r="X34" i="62"/>
  <c r="M31" i="64"/>
  <c r="AJ32" i="63"/>
  <c r="AJ15" i="61"/>
  <c r="AJ26" i="62"/>
  <c r="AC34" i="62"/>
  <c r="AJ9" i="25"/>
  <c r="G34" i="66"/>
  <c r="L34" i="25"/>
  <c r="O34" i="61"/>
  <c r="AJ20" i="64"/>
  <c r="AC31" i="64"/>
  <c r="AJ24" i="62"/>
  <c r="AG34" i="61"/>
  <c r="P34" i="63"/>
  <c r="I31" i="64"/>
  <c r="Z34" i="61"/>
  <c r="R34" i="62"/>
  <c r="F31" i="64"/>
  <c r="T34" i="62"/>
  <c r="P34" i="66"/>
  <c r="K34" i="63"/>
  <c r="Z34" i="63"/>
  <c r="AJ13" i="62"/>
  <c r="AA34" i="62"/>
  <c r="AE34" i="63"/>
  <c r="AJ28" i="40"/>
  <c r="V34" i="63"/>
  <c r="AJ10" i="63"/>
  <c r="AA34" i="63"/>
  <c r="AJ31" i="62"/>
  <c r="AB34" i="63"/>
  <c r="AH31" i="64"/>
  <c r="I34" i="61"/>
  <c r="AJ21" i="63"/>
  <c r="Y34" i="63"/>
  <c r="W34" i="61"/>
  <c r="AJ11" i="61"/>
  <c r="AJ22" i="66"/>
  <c r="S34" i="63"/>
  <c r="AJ17" i="66"/>
  <c r="AJ11" i="64"/>
  <c r="AJ30" i="64"/>
  <c r="J34" i="63"/>
  <c r="AJ17" i="61"/>
  <c r="AG34" i="62"/>
  <c r="Z34" i="62"/>
  <c r="AJ26" i="61"/>
  <c r="AJ25" i="61"/>
  <c r="AJ23" i="64"/>
  <c r="R34" i="66"/>
  <c r="U34" i="66"/>
  <c r="O31" i="64"/>
  <c r="O34" i="62"/>
  <c r="AJ22" i="61"/>
  <c r="AJ30" i="61"/>
  <c r="AJ23" i="62"/>
  <c r="H31" i="64"/>
  <c r="AJ19" i="64"/>
  <c r="AI34" i="63"/>
  <c r="S34" i="66"/>
  <c r="AJ23" i="61"/>
  <c r="AJ20" i="25"/>
  <c r="AA31" i="40"/>
  <c r="AJ19" i="40"/>
  <c r="AJ29" i="63"/>
  <c r="E31" i="40"/>
  <c r="AJ15" i="64"/>
  <c r="AF34" i="63"/>
  <c r="M34" i="63"/>
  <c r="AI34" i="61"/>
  <c r="AB34" i="61"/>
  <c r="AJ16" i="62"/>
  <c r="AJ7" i="63"/>
  <c r="E34" i="63"/>
  <c r="AJ23" i="63"/>
  <c r="AJ14" i="61"/>
  <c r="X34" i="63"/>
  <c r="AH34" i="63"/>
  <c r="AJ10" i="64"/>
  <c r="AJ8" i="63"/>
  <c r="V31" i="64"/>
  <c r="E31" i="64"/>
  <c r="AJ7" i="64"/>
  <c r="U34" i="62"/>
  <c r="AJ31" i="63"/>
  <c r="AJ28" i="62"/>
  <c r="AJ19" i="63"/>
  <c r="AE34" i="61"/>
  <c r="AJ14" i="62"/>
  <c r="J31" i="64"/>
  <c r="AD34" i="61"/>
  <c r="AJ25" i="64"/>
  <c r="AJ13" i="61"/>
  <c r="X34" i="61"/>
  <c r="AJ27" i="63"/>
  <c r="N34" i="61"/>
  <c r="P31" i="64"/>
  <c r="AJ21" i="61"/>
  <c r="H34" i="63"/>
  <c r="AJ9" i="61"/>
  <c r="F34" i="61"/>
  <c r="AB31" i="64"/>
  <c r="AJ31" i="61"/>
  <c r="V34" i="66"/>
  <c r="AJ33" i="66"/>
  <c r="X34" i="66"/>
  <c r="AF34" i="61"/>
  <c r="AG34" i="63"/>
  <c r="M34" i="61"/>
  <c r="AJ30" i="63"/>
  <c r="L34" i="63"/>
  <c r="AA34" i="61"/>
  <c r="AJ16" i="64"/>
  <c r="V34" i="61"/>
  <c r="AJ24" i="66"/>
  <c r="Y31" i="64"/>
  <c r="AJ8" i="66"/>
  <c r="M34" i="62"/>
  <c r="N34" i="66"/>
  <c r="AJ14" i="64"/>
  <c r="Q34" i="63"/>
  <c r="W31" i="64"/>
  <c r="AJ9" i="62"/>
  <c r="X31" i="64"/>
  <c r="AJ33" i="62"/>
  <c r="AJ28" i="63"/>
  <c r="E34" i="25"/>
  <c r="AJ34" i="25" l="1"/>
  <c r="AJ31" i="40"/>
  <c r="AJ34" i="66"/>
  <c r="AJ31" i="64"/>
  <c r="AJ34" i="63"/>
  <c r="AJ34" i="62"/>
  <c r="AJ34" i="61"/>
  <c r="AD15" i="65" l="1"/>
  <c r="Q8" i="65"/>
  <c r="R19" i="65"/>
  <c r="N15" i="38"/>
  <c r="M10" i="65"/>
  <c r="V7" i="38"/>
  <c r="Z19" i="65"/>
  <c r="K7" i="38"/>
  <c r="I12" i="38"/>
  <c r="J14" i="65"/>
  <c r="I21" i="38"/>
  <c r="K10" i="65"/>
  <c r="T8" i="38"/>
  <c r="F13" i="38"/>
  <c r="X15" i="38"/>
  <c r="U24" i="65"/>
  <c r="AH24" i="65"/>
  <c r="AD18" i="65"/>
  <c r="H15" i="38"/>
  <c r="S7" i="38"/>
  <c r="P7" i="65"/>
  <c r="J25" i="38"/>
  <c r="R11" i="38"/>
  <c r="N20" i="38"/>
  <c r="E25" i="65"/>
  <c r="B17" i="38"/>
  <c r="AA24" i="65"/>
  <c r="M8" i="38"/>
  <c r="K13" i="65"/>
  <c r="G9" i="38"/>
  <c r="AI8" i="38"/>
  <c r="B18" i="65"/>
  <c r="P19" i="38"/>
  <c r="T17" i="38"/>
  <c r="AB10" i="65"/>
  <c r="AI13" i="65"/>
  <c r="L12" i="38"/>
  <c r="S19" i="38"/>
  <c r="AF19" i="65"/>
  <c r="L16" i="38"/>
  <c r="P15" i="65"/>
  <c r="AH15" i="38"/>
  <c r="AB8" i="65"/>
  <c r="J9" i="65"/>
  <c r="H11" i="65"/>
  <c r="O24" i="38"/>
  <c r="Q18" i="38"/>
  <c r="O13" i="65"/>
  <c r="Q9" i="38"/>
  <c r="AD17" i="38"/>
  <c r="AF25" i="65"/>
  <c r="Y14" i="38"/>
  <c r="Q16" i="38"/>
  <c r="AI9" i="65"/>
  <c r="H18" i="65"/>
  <c r="P25" i="65"/>
  <c r="AI18" i="38"/>
  <c r="AI18" i="65"/>
  <c r="AG15" i="38"/>
  <c r="AE11" i="65"/>
  <c r="D15" i="65"/>
  <c r="L25" i="38"/>
  <c r="AG9" i="65"/>
  <c r="AB23" i="38"/>
  <c r="D26" i="38"/>
  <c r="S13" i="65"/>
  <c r="X25" i="65"/>
  <c r="L21" i="65"/>
  <c r="Y25" i="65"/>
  <c r="R18" i="38"/>
  <c r="AA12" i="38"/>
  <c r="I7" i="65"/>
  <c r="M17" i="38"/>
  <c r="AA10" i="38"/>
  <c r="O12" i="65"/>
  <c r="I16" i="65"/>
  <c r="AC10" i="65"/>
  <c r="D23" i="65"/>
  <c r="AF14" i="38"/>
  <c r="AI15" i="38"/>
  <c r="AA13" i="65"/>
  <c r="H8" i="65"/>
  <c r="N19" i="65"/>
  <c r="S17" i="65"/>
  <c r="W14" i="38"/>
  <c r="D10" i="38"/>
  <c r="H24" i="38"/>
  <c r="AG21" i="65"/>
  <c r="L20" i="65"/>
  <c r="C22" i="38"/>
  <c r="AE24" i="65"/>
  <c r="Z26" i="38"/>
  <c r="J18" i="65"/>
  <c r="Y17" i="38"/>
  <c r="U19" i="38"/>
  <c r="L19" i="65"/>
  <c r="AF7" i="38"/>
  <c r="I8" i="65"/>
  <c r="AC15" i="65"/>
  <c r="C24" i="65"/>
  <c r="Z11" i="38"/>
  <c r="K21" i="38"/>
  <c r="M8" i="65"/>
  <c r="Y17" i="65"/>
  <c r="D10" i="65"/>
  <c r="M17" i="65"/>
  <c r="H14" i="38"/>
  <c r="R22" i="38"/>
  <c r="H7" i="65"/>
  <c r="AF11" i="65"/>
  <c r="AI25" i="38"/>
  <c r="T9" i="65"/>
  <c r="Z8" i="38"/>
  <c r="Y7" i="65"/>
  <c r="T16" i="38"/>
  <c r="M21" i="65"/>
  <c r="D17" i="65"/>
  <c r="E16" i="38"/>
  <c r="O9" i="65"/>
  <c r="AA19" i="65"/>
  <c r="R16" i="38"/>
  <c r="AF8" i="65"/>
  <c r="AB14" i="65"/>
  <c r="Q13" i="38"/>
  <c r="L22" i="38"/>
  <c r="AI10" i="38"/>
  <c r="L9" i="38"/>
  <c r="Y18" i="65"/>
  <c r="J11" i="65"/>
  <c r="G24" i="65"/>
  <c r="AG18" i="38"/>
  <c r="G22" i="38"/>
  <c r="Z24" i="38"/>
  <c r="AA17" i="38"/>
  <c r="AC25" i="65"/>
  <c r="W15" i="38"/>
  <c r="K26" i="38"/>
  <c r="Y10" i="38"/>
  <c r="E19" i="65"/>
  <c r="T19" i="65"/>
  <c r="E10" i="65"/>
  <c r="AC9" i="38"/>
  <c r="V19" i="65"/>
  <c r="AA22" i="65"/>
  <c r="U18" i="65"/>
  <c r="O23" i="38"/>
  <c r="X22" i="65"/>
  <c r="Z14" i="65"/>
  <c r="O18" i="38"/>
  <c r="K17" i="38"/>
  <c r="AI7" i="38"/>
  <c r="AH24" i="38"/>
  <c r="H15" i="65"/>
  <c r="J25" i="65"/>
  <c r="AH13" i="65"/>
  <c r="X12" i="65"/>
  <c r="R10" i="38"/>
  <c r="S26" i="38"/>
  <c r="J16" i="65"/>
  <c r="V20" i="38"/>
  <c r="F12" i="65"/>
  <c r="K14" i="38"/>
  <c r="O24" i="65"/>
  <c r="AI11" i="38"/>
  <c r="X9" i="65"/>
  <c r="AC21" i="38"/>
  <c r="AB15" i="65"/>
  <c r="AG14" i="65"/>
  <c r="AB11" i="38"/>
  <c r="AG20" i="65"/>
  <c r="M14" i="38"/>
  <c r="N8" i="38"/>
  <c r="L14" i="65"/>
  <c r="Y23" i="38"/>
  <c r="M18" i="38"/>
  <c r="T23" i="38"/>
  <c r="AB19" i="65"/>
  <c r="U10" i="38"/>
  <c r="AB7" i="65"/>
  <c r="V13" i="38"/>
  <c r="K19" i="65"/>
  <c r="S14" i="65"/>
  <c r="U25" i="38"/>
  <c r="AC23" i="38"/>
  <c r="X16" i="38"/>
  <c r="U21" i="38"/>
  <c r="AF24" i="38"/>
  <c r="S25" i="38"/>
  <c r="I20" i="65"/>
  <c r="I13" i="65"/>
  <c r="Y23" i="65"/>
  <c r="C16" i="38"/>
  <c r="R7" i="38"/>
  <c r="N9" i="38"/>
  <c r="AH12" i="65"/>
  <c r="X17" i="65"/>
  <c r="E22" i="38"/>
  <c r="S9" i="38"/>
  <c r="J21" i="65"/>
  <c r="S23" i="38"/>
  <c r="W8" i="65"/>
  <c r="O25" i="38"/>
  <c r="T20" i="65"/>
  <c r="K19" i="38"/>
  <c r="U8" i="38"/>
  <c r="G20" i="65"/>
  <c r="AI16" i="38"/>
  <c r="Y26" i="38"/>
  <c r="F10" i="65"/>
  <c r="N7" i="65"/>
  <c r="E15" i="65"/>
  <c r="X23" i="38"/>
  <c r="AD20" i="65"/>
  <c r="D8" i="65"/>
  <c r="AH22" i="38"/>
  <c r="Y24" i="38"/>
  <c r="L19" i="38"/>
  <c r="K12" i="38"/>
  <c r="D20" i="65"/>
  <c r="O18" i="65"/>
  <c r="Y16" i="38"/>
  <c r="AB18" i="65"/>
  <c r="N11" i="38"/>
  <c r="R18" i="65"/>
  <c r="U17" i="38"/>
  <c r="Z25" i="38"/>
  <c r="O22" i="65"/>
  <c r="S16" i="65"/>
  <c r="G16" i="38"/>
  <c r="AI20" i="38"/>
  <c r="X16" i="65"/>
  <c r="O9" i="38"/>
  <c r="U7" i="38"/>
  <c r="B25" i="38"/>
  <c r="V16" i="38"/>
  <c r="AF22" i="38"/>
  <c r="AI12" i="38"/>
  <c r="C13" i="65"/>
  <c r="Q20" i="65"/>
  <c r="N18" i="65"/>
  <c r="P13" i="38"/>
  <c r="AB21" i="38"/>
  <c r="AG24" i="38"/>
  <c r="Q22" i="38"/>
  <c r="C19" i="65"/>
  <c r="M24" i="38"/>
  <c r="AC9" i="65"/>
  <c r="X18" i="38"/>
  <c r="F22" i="38"/>
  <c r="L21" i="38"/>
  <c r="Z17" i="65"/>
  <c r="F25" i="38"/>
  <c r="Z24" i="65"/>
  <c r="T23" i="65"/>
  <c r="Z9" i="65"/>
  <c r="U15" i="65"/>
  <c r="AA18" i="38"/>
  <c r="R20" i="65"/>
  <c r="X13" i="65"/>
  <c r="T25" i="65"/>
  <c r="E13" i="38"/>
  <c r="I15" i="65"/>
  <c r="B10" i="65"/>
  <c r="M16" i="38"/>
  <c r="AD26" i="38"/>
  <c r="L26" i="38"/>
  <c r="U22" i="65"/>
  <c r="R13" i="38"/>
  <c r="D12" i="65"/>
  <c r="J7" i="65"/>
  <c r="J23" i="65"/>
  <c r="AH15" i="65"/>
  <c r="Z12" i="38"/>
  <c r="I25" i="38"/>
  <c r="AI24" i="65"/>
  <c r="W23" i="65"/>
  <c r="L11" i="38"/>
  <c r="N17" i="65"/>
  <c r="D11" i="38"/>
  <c r="AE23" i="65"/>
  <c r="M22" i="65"/>
  <c r="AA17" i="65"/>
  <c r="F20" i="65"/>
  <c r="F18" i="38"/>
  <c r="R21" i="38"/>
  <c r="J14" i="38"/>
  <c r="AB25" i="65"/>
  <c r="Z16" i="38"/>
  <c r="Z23" i="65"/>
  <c r="C11" i="65"/>
  <c r="B16" i="65"/>
  <c r="E20" i="65"/>
  <c r="K8" i="65"/>
  <c r="J20" i="65"/>
  <c r="K23" i="38"/>
  <c r="L23" i="65"/>
  <c r="H13" i="65"/>
  <c r="S18" i="38"/>
  <c r="B10" i="38"/>
  <c r="N12" i="65"/>
  <c r="D23" i="38"/>
  <c r="AD25" i="38"/>
  <c r="AB12" i="38"/>
  <c r="F17" i="65"/>
  <c r="V15" i="65"/>
  <c r="B17" i="65"/>
  <c r="G21" i="38"/>
  <c r="D24" i="65"/>
  <c r="AC19" i="38"/>
  <c r="X25" i="38"/>
  <c r="AD23" i="65"/>
  <c r="AH9" i="38"/>
  <c r="D12" i="38"/>
  <c r="AD8" i="38"/>
  <c r="AA26" i="38"/>
  <c r="Q17" i="38"/>
  <c r="Z17" i="38"/>
  <c r="Y20" i="38"/>
  <c r="H13" i="38"/>
  <c r="R19" i="38"/>
  <c r="T10" i="38"/>
  <c r="E8" i="65"/>
  <c r="Q12" i="38"/>
  <c r="AE15" i="38"/>
  <c r="I25" i="65"/>
  <c r="U13" i="38"/>
  <c r="V21" i="65"/>
  <c r="G8" i="38"/>
  <c r="H9" i="38"/>
  <c r="C19" i="38"/>
  <c r="AF20" i="38"/>
  <c r="T12" i="38"/>
  <c r="Y19" i="38"/>
  <c r="AG25" i="65"/>
  <c r="F20" i="38"/>
  <c r="AA23" i="65"/>
  <c r="B12" i="65"/>
  <c r="AD19" i="65"/>
  <c r="T8" i="65"/>
  <c r="P18" i="65"/>
  <c r="L7" i="65"/>
  <c r="AF7" i="65"/>
  <c r="N16" i="38"/>
  <c r="AA16" i="38"/>
  <c r="O11" i="38"/>
  <c r="L15" i="38"/>
  <c r="B8" i="38"/>
  <c r="AI19" i="38"/>
  <c r="AD11" i="65"/>
  <c r="AE12" i="65"/>
  <c r="Q21" i="38"/>
  <c r="AI24" i="38"/>
  <c r="AD7" i="38"/>
  <c r="Z20" i="65"/>
  <c r="AF13" i="38"/>
  <c r="AH14" i="65"/>
  <c r="AC7" i="65"/>
  <c r="AA9" i="65"/>
  <c r="I10" i="38"/>
  <c r="B18" i="38"/>
  <c r="W17" i="38"/>
  <c r="H16" i="38"/>
  <c r="AE7" i="38"/>
  <c r="AD11" i="38"/>
  <c r="F22" i="65"/>
  <c r="AF15" i="65"/>
  <c r="T7" i="65"/>
  <c r="AG23" i="38"/>
  <c r="F9" i="65"/>
  <c r="H21" i="38"/>
  <c r="Z22" i="38"/>
  <c r="U20" i="65"/>
  <c r="Q13" i="65"/>
  <c r="AI22" i="38"/>
  <c r="B19" i="65"/>
  <c r="C18" i="65"/>
  <c r="E18" i="65"/>
  <c r="AD15" i="38"/>
  <c r="AD7" i="65"/>
  <c r="AH17" i="38"/>
  <c r="AG25" i="38"/>
  <c r="Y19" i="65"/>
  <c r="L13" i="38"/>
  <c r="I17" i="65"/>
  <c r="AE10" i="65"/>
  <c r="D14" i="38"/>
  <c r="AH8" i="65"/>
  <c r="K22" i="38"/>
  <c r="W12" i="65"/>
  <c r="T10" i="65"/>
  <c r="H21" i="65"/>
  <c r="K25" i="38"/>
  <c r="K11" i="65"/>
  <c r="C9" i="38"/>
  <c r="Q8" i="38"/>
  <c r="F23" i="65"/>
  <c r="I24" i="65"/>
  <c r="E14" i="38"/>
  <c r="F26" i="38"/>
  <c r="W19" i="38"/>
  <c r="AD25" i="65"/>
  <c r="B23" i="38"/>
  <c r="D24" i="38"/>
  <c r="F14" i="38"/>
  <c r="B21" i="38"/>
  <c r="W24" i="65"/>
  <c r="X19" i="65"/>
  <c r="Z25" i="65"/>
  <c r="V24" i="65"/>
  <c r="N20" i="65"/>
  <c r="AE22" i="65"/>
  <c r="K11" i="38"/>
  <c r="H16" i="65"/>
  <c r="AD10" i="65"/>
  <c r="W25" i="65"/>
  <c r="J12" i="38"/>
  <c r="O21" i="38"/>
  <c r="U25" i="65"/>
  <c r="F19" i="65"/>
  <c r="I16" i="38"/>
  <c r="Y24" i="65"/>
  <c r="AH25" i="38"/>
  <c r="S11" i="65"/>
  <c r="AC14" i="38"/>
  <c r="E14" i="65"/>
  <c r="Z15" i="38"/>
  <c r="D21" i="65"/>
  <c r="AC22" i="38"/>
  <c r="N23" i="65"/>
  <c r="H19" i="65"/>
  <c r="Q11" i="38"/>
  <c r="G19" i="65"/>
  <c r="Q10" i="65"/>
  <c r="C23" i="38"/>
  <c r="G23" i="65"/>
  <c r="AI23" i="38"/>
  <c r="X21" i="65"/>
  <c r="AE13" i="65"/>
  <c r="AI17" i="38"/>
  <c r="AB17" i="65"/>
  <c r="T13" i="38"/>
  <c r="B11" i="65"/>
  <c r="B16" i="38"/>
  <c r="K16" i="65"/>
  <c r="S21" i="38"/>
  <c r="G13" i="38"/>
  <c r="N21" i="65"/>
  <c r="T14" i="38"/>
  <c r="U8" i="65"/>
  <c r="AH19" i="65"/>
  <c r="Q18" i="65"/>
  <c r="Y8" i="38"/>
  <c r="AD9" i="38"/>
  <c r="AF26" i="38"/>
  <c r="J13" i="65"/>
  <c r="Q7" i="38"/>
  <c r="AC8" i="38"/>
  <c r="V25" i="65"/>
  <c r="AD24" i="65"/>
  <c r="M13" i="65"/>
  <c r="Z21" i="38"/>
  <c r="G12" i="38"/>
  <c r="J12" i="65"/>
  <c r="Y10" i="65"/>
  <c r="M18" i="65"/>
  <c r="S20" i="65"/>
  <c r="AI17" i="65"/>
  <c r="AI16" i="65"/>
  <c r="K15" i="38"/>
  <c r="AF20" i="65"/>
  <c r="AA8" i="65"/>
  <c r="U23" i="65"/>
  <c r="AB7" i="38"/>
  <c r="C21" i="65"/>
  <c r="AE16" i="38"/>
  <c r="AD14" i="65"/>
  <c r="V11" i="38"/>
  <c r="H24" i="65"/>
  <c r="M9" i="38"/>
  <c r="AI22" i="65"/>
  <c r="V8" i="65"/>
  <c r="Q22" i="65"/>
  <c r="P9" i="65"/>
  <c r="K9" i="38"/>
  <c r="G15" i="65"/>
  <c r="U16" i="38"/>
  <c r="H23" i="65"/>
  <c r="X8" i="38"/>
  <c r="AG10" i="38"/>
  <c r="T19" i="38"/>
  <c r="V17" i="38"/>
  <c r="H12" i="38"/>
  <c r="I14" i="38"/>
  <c r="B14" i="38"/>
  <c r="AH26" i="38"/>
  <c r="D13" i="65"/>
  <c r="Z10" i="65"/>
  <c r="L24" i="65"/>
  <c r="V19" i="38"/>
  <c r="V25" i="38"/>
  <c r="R22" i="65"/>
  <c r="G24" i="38"/>
  <c r="AF24" i="65"/>
  <c r="AE8" i="65"/>
  <c r="AF16" i="65"/>
  <c r="H20" i="38"/>
  <c r="AE11" i="38"/>
  <c r="W14" i="65"/>
  <c r="W22" i="38"/>
  <c r="W16" i="65"/>
  <c r="O25" i="65"/>
  <c r="M21" i="38"/>
  <c r="D7" i="65"/>
  <c r="AA15" i="65"/>
  <c r="P23" i="38"/>
  <c r="AA20" i="65"/>
  <c r="AG13" i="65"/>
  <c r="L12" i="65"/>
  <c r="O19" i="38"/>
  <c r="F24" i="38"/>
  <c r="AB19" i="38"/>
  <c r="S23" i="65"/>
  <c r="T12" i="65"/>
  <c r="R14" i="38"/>
  <c r="V13" i="65"/>
  <c r="U13" i="65"/>
  <c r="F7" i="38"/>
  <c r="AE20" i="38"/>
  <c r="D18" i="65"/>
  <c r="R25" i="38"/>
  <c r="R17" i="65"/>
  <c r="AG24" i="65"/>
  <c r="AF23" i="65"/>
  <c r="P21" i="38"/>
  <c r="AF9" i="38"/>
  <c r="Q19" i="65"/>
  <c r="F14" i="65"/>
  <c r="X14" i="38"/>
  <c r="S17" i="38"/>
  <c r="P7" i="38"/>
  <c r="N15" i="65"/>
  <c r="B13" i="65"/>
  <c r="L18" i="38"/>
  <c r="M19" i="38"/>
  <c r="W17" i="65"/>
  <c r="V22" i="65"/>
  <c r="S12" i="65"/>
  <c r="E21" i="38"/>
  <c r="R9" i="38"/>
  <c r="V11" i="65"/>
  <c r="AA21" i="38"/>
  <c r="AD16" i="38"/>
  <c r="N12" i="38"/>
  <c r="O11" i="65"/>
  <c r="AC20" i="65"/>
  <c r="C26" i="38"/>
  <c r="I24" i="38"/>
  <c r="T21" i="38"/>
  <c r="W10" i="65"/>
  <c r="C22" i="65"/>
  <c r="O17" i="65"/>
  <c r="R10" i="65"/>
  <c r="AG26" i="38"/>
  <c r="AH12" i="38"/>
  <c r="P10" i="65"/>
  <c r="K21" i="65"/>
  <c r="Q15" i="65"/>
  <c r="AE19" i="65"/>
  <c r="C21" i="38"/>
  <c r="H10" i="65"/>
  <c r="M15" i="65"/>
  <c r="W21" i="65"/>
  <c r="F7" i="65"/>
  <c r="V10" i="65"/>
  <c r="AD16" i="65"/>
  <c r="AD18" i="38"/>
  <c r="AB15" i="38"/>
  <c r="F15" i="38"/>
  <c r="AB24" i="65"/>
  <c r="AD12" i="65"/>
  <c r="E12" i="38"/>
  <c r="N14" i="65"/>
  <c r="AI26" i="38"/>
  <c r="M24" i="65"/>
  <c r="G22" i="65"/>
  <c r="AH21" i="65"/>
  <c r="K16" i="38"/>
  <c r="T18" i="65"/>
  <c r="AA25" i="65"/>
  <c r="R25" i="65"/>
  <c r="W26" i="38"/>
  <c r="E18" i="38"/>
  <c r="D7" i="38"/>
  <c r="H20" i="65"/>
  <c r="E20" i="38"/>
  <c r="AH18" i="38"/>
  <c r="I12" i="65"/>
  <c r="X22" i="38"/>
  <c r="U12" i="38"/>
  <c r="K23" i="65"/>
  <c r="X20" i="38"/>
  <c r="C11" i="38"/>
  <c r="AB13" i="65"/>
  <c r="P21" i="65"/>
  <c r="I19" i="65"/>
  <c r="O16" i="38"/>
  <c r="B23" i="65"/>
  <c r="R8" i="65"/>
  <c r="AE19" i="38"/>
  <c r="G19" i="38"/>
  <c r="AF16" i="38"/>
  <c r="U26" i="38"/>
  <c r="AA22" i="38"/>
  <c r="AF18" i="65"/>
  <c r="Z8" i="65"/>
  <c r="B25" i="65"/>
  <c r="E24" i="65"/>
  <c r="AH18" i="65"/>
  <c r="AC13" i="38"/>
  <c r="J17" i="38"/>
  <c r="T9" i="38"/>
  <c r="V9" i="65"/>
  <c r="AH25" i="65"/>
  <c r="I17" i="38"/>
  <c r="P11" i="65"/>
  <c r="G18" i="38"/>
  <c r="F23" i="38"/>
  <c r="P8" i="65"/>
  <c r="F18" i="65"/>
  <c r="C14" i="38"/>
  <c r="AF12" i="38"/>
  <c r="H7" i="38"/>
  <c r="Q24" i="38"/>
  <c r="V26" i="38"/>
  <c r="R24" i="65"/>
  <c r="M14" i="65"/>
  <c r="C17" i="65"/>
  <c r="Q21" i="65"/>
  <c r="S22" i="65"/>
  <c r="AA11" i="65"/>
  <c r="J19" i="65"/>
  <c r="U21" i="65"/>
  <c r="X20" i="65"/>
  <c r="AA14" i="38"/>
  <c r="J10" i="38"/>
  <c r="P17" i="38"/>
  <c r="G18" i="65"/>
  <c r="J8" i="65"/>
  <c r="AB20" i="65"/>
  <c r="AF17" i="65"/>
  <c r="AF11" i="38"/>
  <c r="AG8" i="38"/>
  <c r="AB18" i="38"/>
  <c r="W10" i="38"/>
  <c r="V9" i="38"/>
  <c r="N24" i="65"/>
  <c r="U15" i="38"/>
  <c r="U23" i="38"/>
  <c r="F19" i="38"/>
  <c r="P15" i="38"/>
  <c r="AE9" i="38"/>
  <c r="S24" i="38"/>
  <c r="D19" i="38"/>
  <c r="AA18" i="65"/>
  <c r="Y9" i="38"/>
  <c r="AG22" i="65"/>
  <c r="S15" i="65"/>
  <c r="J8" i="38"/>
  <c r="D25" i="38"/>
  <c r="X21" i="38"/>
  <c r="AE23" i="38"/>
  <c r="I7" i="38"/>
  <c r="G11" i="65"/>
  <c r="P14" i="38"/>
  <c r="AI25" i="65"/>
  <c r="G10" i="38"/>
  <c r="F8" i="65"/>
  <c r="E7" i="65"/>
  <c r="T24" i="65"/>
  <c r="L15" i="65"/>
  <c r="AC15" i="38"/>
  <c r="C14" i="65"/>
  <c r="AB16" i="65"/>
  <c r="S24" i="65"/>
  <c r="AF23" i="38"/>
  <c r="I23" i="65"/>
  <c r="AF8" i="38"/>
  <c r="AI20" i="65"/>
  <c r="AD19" i="38"/>
  <c r="AE9" i="65"/>
  <c r="AG23" i="65"/>
  <c r="E17" i="65"/>
  <c r="K12" i="65"/>
  <c r="X15" i="65"/>
  <c r="L20" i="38"/>
  <c r="Z23" i="38"/>
  <c r="H12" i="65"/>
  <c r="AH19" i="38"/>
  <c r="C17" i="38"/>
  <c r="P10" i="38"/>
  <c r="E22" i="65"/>
  <c r="Q25" i="65"/>
  <c r="V15" i="38"/>
  <c r="X9" i="38"/>
  <c r="AE21" i="38"/>
  <c r="B15" i="65"/>
  <c r="P18" i="38"/>
  <c r="X12" i="38"/>
  <c r="B15" i="38"/>
  <c r="T26" i="38"/>
  <c r="J13" i="38"/>
  <c r="L10" i="38"/>
  <c r="M13" i="38"/>
  <c r="S19" i="65"/>
  <c r="E23" i="65"/>
  <c r="Z14" i="38"/>
  <c r="AH23" i="65"/>
  <c r="AF19" i="38"/>
  <c r="K14" i="65"/>
  <c r="H18" i="38"/>
  <c r="H19" i="38"/>
  <c r="E21" i="65"/>
  <c r="Q15" i="38"/>
  <c r="T22" i="38"/>
  <c r="M12" i="65"/>
  <c r="AI21" i="38"/>
  <c r="B24" i="65"/>
  <c r="X8" i="65"/>
  <c r="AD12" i="38"/>
  <c r="AB11" i="65"/>
  <c r="S8" i="65"/>
  <c r="AE8" i="38"/>
  <c r="D8" i="38"/>
  <c r="W8" i="38"/>
  <c r="AE10" i="38"/>
  <c r="N13" i="65"/>
  <c r="L25" i="65"/>
  <c r="AG13" i="38"/>
  <c r="AG10" i="65"/>
  <c r="W21" i="38"/>
  <c r="Q12" i="65"/>
  <c r="J15" i="65"/>
  <c r="G20" i="38"/>
  <c r="O13" i="38"/>
  <c r="S18" i="65"/>
  <c r="B9" i="38"/>
  <c r="E11" i="38"/>
  <c r="G11" i="38"/>
  <c r="C10" i="65"/>
  <c r="AG12" i="38"/>
  <c r="Q17" i="65"/>
  <c r="AI23" i="65"/>
  <c r="K18" i="38"/>
  <c r="V14" i="38"/>
  <c r="Q14" i="38"/>
  <c r="J18" i="38"/>
  <c r="Z20" i="38"/>
  <c r="Y12" i="65"/>
  <c r="F11" i="38"/>
  <c r="V18" i="65"/>
  <c r="C15" i="38"/>
  <c r="H26" i="38"/>
  <c r="G14" i="65"/>
  <c r="AC13" i="65"/>
  <c r="G17" i="65"/>
  <c r="D25" i="65"/>
  <c r="U10" i="65"/>
  <c r="AD8" i="65"/>
  <c r="R8" i="38"/>
  <c r="Z21" i="65"/>
  <c r="O20" i="65"/>
  <c r="E19" i="38"/>
  <c r="W18" i="65"/>
  <c r="AH22" i="65"/>
  <c r="AA16" i="65"/>
  <c r="U12" i="65"/>
  <c r="P19" i="65"/>
  <c r="C16" i="65"/>
  <c r="Y13" i="65"/>
  <c r="W9" i="38"/>
  <c r="P24" i="65"/>
  <c r="I20" i="38"/>
  <c r="L7" i="38"/>
  <c r="AD14" i="38"/>
  <c r="D11" i="65"/>
  <c r="B22" i="65"/>
  <c r="AG15" i="65"/>
  <c r="AC24" i="65"/>
  <c r="K8" i="38"/>
  <c r="B21" i="65"/>
  <c r="H25" i="38"/>
  <c r="P20" i="65"/>
  <c r="AB9" i="38"/>
  <c r="AC24" i="38"/>
  <c r="Y18" i="38"/>
  <c r="P14" i="65"/>
  <c r="AA13" i="38"/>
  <c r="R7" i="65"/>
  <c r="X11" i="38"/>
  <c r="AG12" i="65"/>
  <c r="O14" i="38"/>
  <c r="R16" i="65"/>
  <c r="T21" i="65"/>
  <c r="K10" i="38"/>
  <c r="AA21" i="65"/>
  <c r="E9" i="38"/>
  <c r="W13" i="65"/>
  <c r="R12" i="38"/>
  <c r="AG7" i="65"/>
  <c r="K24" i="38"/>
  <c r="AC25" i="38"/>
  <c r="AD23" i="38"/>
  <c r="G23" i="38"/>
  <c r="AE14" i="65"/>
  <c r="AC23" i="65"/>
  <c r="AE16" i="65"/>
  <c r="AC17" i="65"/>
  <c r="X11" i="65"/>
  <c r="M16" i="65"/>
  <c r="H11" i="38"/>
  <c r="T18" i="38"/>
  <c r="AI10" i="65"/>
  <c r="AI14" i="65"/>
  <c r="Q14" i="65"/>
  <c r="L13" i="65"/>
  <c r="B22" i="38"/>
  <c r="AF10" i="65"/>
  <c r="U9" i="38"/>
  <c r="AE20" i="65"/>
  <c r="AA9" i="38"/>
  <c r="C25" i="38"/>
  <c r="AC18" i="38"/>
  <c r="P22" i="38"/>
  <c r="I9" i="65"/>
  <c r="O10" i="38"/>
  <c r="AA11" i="38"/>
  <c r="Q20" i="38"/>
  <c r="P11" i="38"/>
  <c r="T7" i="38"/>
  <c r="J9" i="38"/>
  <c r="AH21" i="38"/>
  <c r="J23" i="38"/>
  <c r="AG20" i="38"/>
  <c r="V17" i="65"/>
  <c r="AH9" i="65"/>
  <c r="X24" i="38"/>
  <c r="N7" i="38"/>
  <c r="S16" i="38"/>
  <c r="B11" i="38"/>
  <c r="G14" i="38"/>
  <c r="P12" i="38"/>
  <c r="D16" i="65"/>
  <c r="P25" i="38"/>
  <c r="I11" i="38"/>
  <c r="AF15" i="38"/>
  <c r="E24" i="38"/>
  <c r="AF25" i="38"/>
  <c r="B20" i="65"/>
  <c r="P8" i="38"/>
  <c r="Y22" i="38"/>
  <c r="Y21" i="65"/>
  <c r="Z19" i="38"/>
  <c r="V7" i="65"/>
  <c r="Z7" i="38"/>
  <c r="AI13" i="38"/>
  <c r="B9" i="65"/>
  <c r="W20" i="38"/>
  <c r="R15" i="65"/>
  <c r="B13" i="38"/>
  <c r="M26" i="38"/>
  <c r="X13" i="38"/>
  <c r="I10" i="65"/>
  <c r="J24" i="38"/>
  <c r="AC26" i="38"/>
  <c r="AE24" i="38"/>
  <c r="N11" i="65"/>
  <c r="W7" i="65"/>
  <c r="AG22" i="38"/>
  <c r="K25" i="65"/>
  <c r="P9" i="38"/>
  <c r="AI8" i="65"/>
  <c r="W15" i="65"/>
  <c r="AB14" i="38"/>
  <c r="V23" i="65"/>
  <c r="AG9" i="38"/>
  <c r="L14" i="38"/>
  <c r="O10" i="65"/>
  <c r="W25" i="38"/>
  <c r="I18" i="65"/>
  <c r="O8" i="65"/>
  <c r="Q7" i="65"/>
  <c r="I14" i="65"/>
  <c r="F21" i="38"/>
  <c r="S10" i="38"/>
  <c r="K7" i="65"/>
  <c r="AC17" i="38"/>
  <c r="AE25" i="38"/>
  <c r="V12" i="65"/>
  <c r="N19" i="38"/>
  <c r="W19" i="65"/>
  <c r="E9" i="65"/>
  <c r="G25" i="65"/>
  <c r="AF12" i="65"/>
  <c r="S20" i="38"/>
  <c r="T11" i="38"/>
  <c r="J7" i="38"/>
  <c r="H14" i="65"/>
  <c r="M25" i="65"/>
  <c r="S11" i="38"/>
  <c r="O17" i="38"/>
  <c r="AD13" i="38"/>
  <c r="C8" i="65"/>
  <c r="AI21" i="65"/>
  <c r="R20" i="38"/>
  <c r="Y25" i="38"/>
  <c r="U11" i="65"/>
  <c r="H10" i="38"/>
  <c r="G25" i="38"/>
  <c r="N13" i="38"/>
  <c r="AF9" i="65"/>
  <c r="I13" i="38"/>
  <c r="Q11" i="65"/>
  <c r="Y12" i="38"/>
  <c r="AC22" i="65"/>
  <c r="Z15" i="65"/>
  <c r="AA20" i="38"/>
  <c r="AC10" i="38"/>
  <c r="S9" i="65"/>
  <c r="Z13" i="38"/>
  <c r="U9" i="65"/>
  <c r="H8" i="38"/>
  <c r="R12" i="65"/>
  <c r="R11" i="65"/>
  <c r="C15" i="65"/>
  <c r="I11" i="65"/>
  <c r="AB16" i="38"/>
  <c r="Y15" i="65"/>
  <c r="K9" i="65"/>
  <c r="C8" i="38"/>
  <c r="R23" i="38"/>
  <c r="R21" i="65"/>
  <c r="Q16" i="65"/>
  <c r="I23" i="38"/>
  <c r="M25" i="38"/>
  <c r="AA24" i="38"/>
  <c r="N21" i="38"/>
  <c r="AI14" i="38"/>
  <c r="Q25" i="38"/>
  <c r="O14" i="65"/>
  <c r="U20" i="38"/>
  <c r="B14" i="65"/>
  <c r="L10" i="65"/>
  <c r="V23" i="38"/>
  <c r="X18" i="65"/>
  <c r="G21" i="65"/>
  <c r="AE12" i="38"/>
  <c r="T16" i="65"/>
  <c r="I8" i="38"/>
  <c r="Y22" i="65"/>
  <c r="M15" i="38"/>
  <c r="H17" i="38"/>
  <c r="E8" i="38"/>
  <c r="AH20" i="65"/>
  <c r="I22" i="38"/>
  <c r="Z11" i="65"/>
  <c r="H22" i="38"/>
  <c r="J26" i="38"/>
  <c r="H22" i="65"/>
  <c r="Z7" i="65"/>
  <c r="AB22" i="65"/>
  <c r="AD22" i="38"/>
  <c r="M11" i="38"/>
  <c r="O26" i="38"/>
  <c r="B19" i="38"/>
  <c r="M12" i="38"/>
  <c r="AE14" i="38"/>
  <c r="D14" i="65"/>
  <c r="R26" i="38"/>
  <c r="D13" i="38"/>
  <c r="F21" i="65"/>
  <c r="O20" i="38"/>
  <c r="AA25" i="38"/>
  <c r="C9" i="65"/>
  <c r="AC19" i="65"/>
  <c r="Q9" i="65"/>
  <c r="M10" i="38"/>
  <c r="F16" i="38"/>
  <c r="O16" i="65"/>
  <c r="N14" i="38"/>
  <c r="J19" i="38"/>
  <c r="AB13" i="38"/>
  <c r="N23" i="38"/>
  <c r="P12" i="65"/>
  <c r="O21" i="65"/>
  <c r="Y7" i="38"/>
  <c r="AH16" i="38"/>
  <c r="AD22" i="65"/>
  <c r="I21" i="65"/>
  <c r="AI11" i="65"/>
  <c r="V24" i="38"/>
  <c r="K18" i="65"/>
  <c r="M19" i="65"/>
  <c r="AA7" i="38"/>
  <c r="AE25" i="65"/>
  <c r="AC14" i="65"/>
  <c r="AD17" i="65"/>
  <c r="L17" i="38"/>
  <c r="K22" i="65"/>
  <c r="P26" i="38"/>
  <c r="O8" i="38"/>
  <c r="Y11" i="38"/>
  <c r="D21" i="38"/>
  <c r="J16" i="38"/>
  <c r="E15" i="38"/>
  <c r="K20" i="65"/>
  <c r="AH11" i="65"/>
  <c r="V20" i="65"/>
  <c r="D20" i="38"/>
  <c r="B7" i="65"/>
  <c r="AH14" i="38"/>
  <c r="G7" i="38"/>
  <c r="M11" i="65"/>
  <c r="W12" i="38"/>
  <c r="C20" i="38"/>
  <c r="L23" i="38"/>
  <c r="F11" i="65"/>
  <c r="F8" i="38"/>
  <c r="AB10" i="38"/>
  <c r="AF21" i="65"/>
  <c r="AC20" i="38"/>
  <c r="E23" i="38"/>
  <c r="L9" i="65"/>
  <c r="X17" i="38"/>
  <c r="X10" i="38"/>
  <c r="L8" i="65"/>
  <c r="C7" i="38"/>
  <c r="G10" i="65"/>
  <c r="X26" i="38"/>
  <c r="AC7" i="38"/>
  <c r="V14" i="65"/>
  <c r="Y16" i="65"/>
  <c r="I19" i="38"/>
  <c r="E7" i="38"/>
  <c r="D22" i="38"/>
  <c r="AC11" i="65"/>
  <c r="AC12" i="38"/>
  <c r="W9" i="65"/>
  <c r="AC8" i="65"/>
  <c r="AH23" i="38"/>
  <c r="R17" i="38"/>
  <c r="Q26" i="38"/>
  <c r="AE26" i="38"/>
  <c r="AA23" i="38"/>
  <c r="AI7" i="65"/>
  <c r="I9" i="38"/>
  <c r="X7" i="38"/>
  <c r="Z16" i="65"/>
  <c r="N22" i="65"/>
  <c r="J22" i="65"/>
  <c r="S7" i="65"/>
  <c r="AA15" i="38"/>
  <c r="AB23" i="65"/>
  <c r="AD21" i="65"/>
  <c r="AE17" i="65"/>
  <c r="AF13" i="65"/>
  <c r="R24" i="38"/>
  <c r="S25" i="65"/>
  <c r="AH8" i="38"/>
  <c r="AF14" i="65"/>
  <c r="H25" i="65"/>
  <c r="AC16" i="65"/>
  <c r="AD21" i="38"/>
  <c r="B26" i="38"/>
  <c r="T15" i="65"/>
  <c r="B24" i="38"/>
  <c r="T20" i="38"/>
  <c r="AB25" i="38"/>
  <c r="AH7" i="38"/>
  <c r="T24" i="38"/>
  <c r="P20" i="38"/>
  <c r="AG11" i="38"/>
  <c r="T13" i="65"/>
  <c r="E26" i="38"/>
  <c r="W11" i="65"/>
  <c r="AB26" i="38"/>
  <c r="I15" i="38"/>
  <c r="W13" i="38"/>
  <c r="X10" i="65"/>
  <c r="J21" i="38"/>
  <c r="AB21" i="65"/>
  <c r="AE22" i="38"/>
  <c r="AB22" i="38"/>
  <c r="Z13" i="65"/>
  <c r="L8" i="38"/>
  <c r="B8" i="65"/>
  <c r="AB12" i="65"/>
  <c r="O22" i="38"/>
  <c r="N24" i="38"/>
  <c r="P16" i="38"/>
  <c r="M20" i="65"/>
  <c r="AG17" i="65"/>
  <c r="J24" i="65"/>
  <c r="V10" i="38"/>
  <c r="U7" i="65"/>
  <c r="N8" i="65"/>
  <c r="U11" i="38"/>
  <c r="L18" i="65"/>
  <c r="E16" i="65"/>
  <c r="S22" i="38"/>
  <c r="U14" i="65"/>
  <c r="M23" i="65"/>
  <c r="Q10" i="38"/>
  <c r="F17" i="38"/>
  <c r="W11" i="38"/>
  <c r="T17" i="65"/>
  <c r="V12" i="38"/>
  <c r="N25" i="65"/>
  <c r="V8" i="38"/>
  <c r="F10" i="38"/>
  <c r="T14" i="65"/>
  <c r="E25" i="38"/>
  <c r="AG14" i="38"/>
  <c r="C20" i="65"/>
  <c r="AI15" i="65"/>
  <c r="S13" i="38"/>
  <c r="Z9" i="38"/>
  <c r="U19" i="65"/>
  <c r="F16" i="65"/>
  <c r="AB24" i="38"/>
  <c r="H17" i="65"/>
  <c r="O23" i="65"/>
  <c r="G15" i="38"/>
  <c r="I22" i="65"/>
  <c r="D22" i="65"/>
  <c r="AF21" i="38"/>
  <c r="G12" i="65"/>
  <c r="E13" i="65"/>
  <c r="M7" i="65"/>
  <c r="N9" i="65"/>
  <c r="C23" i="65"/>
  <c r="E12" i="65"/>
  <c r="Y13" i="38"/>
  <c r="AH16" i="65"/>
  <c r="AG16" i="38"/>
  <c r="B7" i="38"/>
  <c r="AH10" i="38"/>
  <c r="W23" i="38"/>
  <c r="Y21" i="38"/>
  <c r="J10" i="65"/>
  <c r="B20" i="38"/>
  <c r="AF17" i="38"/>
  <c r="AA12" i="65"/>
  <c r="G13" i="65"/>
  <c r="Y8" i="65"/>
  <c r="AD9" i="65"/>
  <c r="C24" i="38"/>
  <c r="AA14" i="65"/>
  <c r="Y11" i="65"/>
  <c r="D16" i="38"/>
  <c r="N25" i="38"/>
  <c r="S15" i="38"/>
  <c r="C12" i="65"/>
  <c r="M22" i="38"/>
  <c r="AA8" i="38"/>
  <c r="AA7" i="65"/>
  <c r="AH11" i="38"/>
  <c r="M20" i="38"/>
  <c r="AE18" i="38"/>
  <c r="R13" i="65"/>
  <c r="P24" i="38"/>
  <c r="F25" i="65"/>
  <c r="U22" i="38"/>
  <c r="H9" i="65"/>
  <c r="C25" i="65"/>
  <c r="AI19" i="65"/>
  <c r="AG18" i="65"/>
  <c r="S21" i="65"/>
  <c r="K15" i="65"/>
  <c r="Z10" i="38"/>
  <c r="W18" i="38"/>
  <c r="AG7" i="38"/>
  <c r="M23" i="38"/>
  <c r="L11" i="65"/>
  <c r="W16" i="38"/>
  <c r="AE18" i="65"/>
  <c r="AF18" i="38"/>
  <c r="R9" i="65"/>
  <c r="J11" i="38"/>
  <c r="L24" i="38"/>
  <c r="N26" i="38"/>
  <c r="Y20" i="65"/>
  <c r="W20" i="65"/>
  <c r="R23" i="65"/>
  <c r="AG11" i="65"/>
  <c r="Q23" i="38"/>
  <c r="Q19" i="38"/>
  <c r="P17" i="65"/>
  <c r="F15" i="65"/>
  <c r="B12" i="38"/>
  <c r="AE13" i="38"/>
  <c r="D17" i="38"/>
  <c r="X7" i="65"/>
  <c r="AG16" i="65"/>
  <c r="T25" i="38"/>
  <c r="AD13" i="65"/>
  <c r="L16" i="65"/>
  <c r="AC18" i="65"/>
  <c r="AH17" i="65"/>
  <c r="O15" i="38"/>
  <c r="AE21" i="65"/>
  <c r="X24" i="65"/>
  <c r="G9" i="65"/>
  <c r="E11" i="65"/>
  <c r="M9" i="65"/>
  <c r="AB8" i="38"/>
  <c r="J22" i="38"/>
  <c r="Y14" i="65"/>
  <c r="AC12" i="65"/>
  <c r="P13" i="65"/>
  <c r="Z18" i="65"/>
  <c r="W7" i="38"/>
  <c r="X19" i="38"/>
  <c r="AG8" i="65"/>
  <c r="S10" i="65"/>
  <c r="S8" i="38"/>
  <c r="AI9" i="38"/>
  <c r="R14" i="65"/>
  <c r="W22" i="65"/>
  <c r="H23" i="38"/>
  <c r="AB9" i="65"/>
  <c r="U18" i="38"/>
  <c r="Z22" i="65"/>
  <c r="N18" i="38"/>
  <c r="U14" i="38"/>
  <c r="G16" i="65"/>
  <c r="G26" i="38"/>
  <c r="R15" i="38"/>
  <c r="Y15" i="38"/>
  <c r="Q23" i="65"/>
  <c r="Z12" i="65"/>
  <c r="F12" i="38"/>
  <c r="I18" i="38"/>
  <c r="T22" i="65"/>
  <c r="AA10" i="65"/>
  <c r="N22" i="38"/>
  <c r="K13" i="38"/>
  <c r="D15" i="38"/>
  <c r="AG19" i="65"/>
  <c r="O15" i="65"/>
  <c r="O19" i="65"/>
  <c r="X14" i="65"/>
  <c r="K20" i="38"/>
  <c r="J17" i="65"/>
  <c r="AA19" i="38"/>
  <c r="N10" i="65"/>
  <c r="AC21" i="65"/>
  <c r="AC16" i="38"/>
  <c r="P22" i="65"/>
  <c r="AB17" i="38"/>
  <c r="AG21" i="38"/>
  <c r="AB20" i="38"/>
  <c r="AG19" i="38"/>
  <c r="AH10" i="65"/>
  <c r="U17" i="65"/>
  <c r="AC11" i="38"/>
  <c r="T11" i="65"/>
  <c r="L17" i="65"/>
  <c r="AH13" i="38"/>
  <c r="AH20" i="38"/>
  <c r="C7" i="65"/>
  <c r="Q24" i="65"/>
  <c r="S14" i="38"/>
  <c r="AE17" i="38"/>
  <c r="AF10" i="38"/>
  <c r="I26" i="38"/>
  <c r="G17" i="38"/>
  <c r="Z18" i="38"/>
  <c r="V18" i="38"/>
  <c r="AD20" i="38"/>
  <c r="N16" i="65"/>
  <c r="V22" i="38"/>
  <c r="C12" i="38"/>
  <c r="J15" i="38"/>
  <c r="AE15" i="65"/>
  <c r="W24" i="38"/>
  <c r="N10" i="38"/>
  <c r="G7" i="65"/>
  <c r="Y9" i="65"/>
  <c r="K24" i="65"/>
  <c r="AD24" i="38"/>
  <c r="AI12" i="65"/>
  <c r="V21" i="38"/>
  <c r="L22" i="65"/>
  <c r="D19" i="65"/>
  <c r="D18" i="38"/>
  <c r="AF22" i="65"/>
  <c r="V16" i="65" l="1"/>
  <c r="V26" i="65" s="1"/>
  <c r="AG17" i="38"/>
  <c r="AG27" i="38" s="1"/>
  <c r="J20" i="38"/>
  <c r="AJ20" i="38" s="1"/>
  <c r="C18" i="38"/>
  <c r="X23" i="65"/>
  <c r="X26" i="65" s="1"/>
  <c r="K17" i="65"/>
  <c r="AJ17" i="65" s="1"/>
  <c r="N17" i="38"/>
  <c r="S12" i="38"/>
  <c r="S27" i="38" s="1"/>
  <c r="E17" i="38"/>
  <c r="AD10" i="38"/>
  <c r="AD27" i="38" s="1"/>
  <c r="P23" i="65"/>
  <c r="U24" i="38"/>
  <c r="AJ24" i="38" s="1"/>
  <c r="F13" i="65"/>
  <c r="C10" i="38"/>
  <c r="C13" i="38"/>
  <c r="P16" i="65"/>
  <c r="F24" i="65"/>
  <c r="AJ24" i="65" s="1"/>
  <c r="F9" i="38"/>
  <c r="F27" i="38" s="1"/>
  <c r="AH7" i="65"/>
  <c r="AH26" i="65" s="1"/>
  <c r="G8" i="65"/>
  <c r="AJ8" i="65" s="1"/>
  <c r="U16" i="65"/>
  <c r="D9" i="38"/>
  <c r="D9" i="65"/>
  <c r="T15" i="38"/>
  <c r="AJ15" i="38" s="1"/>
  <c r="O12" i="38"/>
  <c r="O27" i="38" s="1"/>
  <c r="E10" i="38"/>
  <c r="M7" i="38"/>
  <c r="M27" i="38" s="1"/>
  <c r="AE7" i="65"/>
  <c r="AE26" i="65" s="1"/>
  <c r="AI27" i="38"/>
  <c r="H27" i="38"/>
  <c r="Q26" i="65"/>
  <c r="I27" i="38"/>
  <c r="I26" i="65"/>
  <c r="X27" i="38"/>
  <c r="J26" i="65"/>
  <c r="R27" i="38"/>
  <c r="L27" i="38"/>
  <c r="H26" i="65"/>
  <c r="AJ25" i="65"/>
  <c r="AF26" i="65"/>
  <c r="Z26" i="65"/>
  <c r="P27" i="38"/>
  <c r="AF27" i="38"/>
  <c r="AG26" i="65"/>
  <c r="M26" i="65"/>
  <c r="AB26" i="65"/>
  <c r="E26" i="65"/>
  <c r="AJ13" i="38"/>
  <c r="AJ19" i="38"/>
  <c r="W26" i="65"/>
  <c r="AA27" i="38"/>
  <c r="AJ25" i="38"/>
  <c r="Y27" i="38"/>
  <c r="AJ26" i="38"/>
  <c r="AJ12" i="65"/>
  <c r="W27" i="38"/>
  <c r="AE27" i="38"/>
  <c r="AJ11" i="38"/>
  <c r="AJ16" i="38"/>
  <c r="K27" i="38"/>
  <c r="Q27" i="38"/>
  <c r="AJ20" i="65"/>
  <c r="S26" i="65"/>
  <c r="AA26" i="65"/>
  <c r="AJ21" i="65"/>
  <c r="T26" i="65"/>
  <c r="AC26" i="65"/>
  <c r="R26" i="65"/>
  <c r="AJ19" i="65"/>
  <c r="AJ18" i="65"/>
  <c r="AJ8" i="38"/>
  <c r="AJ9" i="65"/>
  <c r="AJ14" i="65"/>
  <c r="AJ11" i="65"/>
  <c r="AD26" i="65"/>
  <c r="AJ23" i="38"/>
  <c r="AJ18" i="38"/>
  <c r="O26" i="65"/>
  <c r="AJ22" i="38"/>
  <c r="AC27" i="38"/>
  <c r="Z27" i="38"/>
  <c r="AB27" i="38"/>
  <c r="AJ10" i="65"/>
  <c r="N26" i="65"/>
  <c r="L26" i="65"/>
  <c r="AH27" i="38"/>
  <c r="G27" i="38"/>
  <c r="AJ14" i="38"/>
  <c r="AJ15" i="65"/>
  <c r="V27" i="38"/>
  <c r="Y26" i="65"/>
  <c r="AJ21" i="38"/>
  <c r="AI26" i="65"/>
  <c r="AJ22" i="65"/>
  <c r="J27" i="38" l="1"/>
  <c r="AJ23" i="65"/>
  <c r="K26" i="65"/>
  <c r="AJ17" i="38"/>
  <c r="N27" i="38"/>
  <c r="E27" i="38"/>
  <c r="AJ9" i="38"/>
  <c r="F26" i="65"/>
  <c r="AJ13" i="65"/>
  <c r="U27" i="38"/>
  <c r="P26" i="65"/>
  <c r="AJ16" i="65"/>
  <c r="U26" i="65"/>
  <c r="G26" i="65"/>
  <c r="T27" i="38"/>
  <c r="AJ12" i="38"/>
  <c r="AJ10" i="38"/>
  <c r="AJ7" i="65"/>
  <c r="AJ7" i="38"/>
  <c r="W119" i="57"/>
  <c r="X119" i="57" s="1"/>
  <c r="S579" i="57"/>
  <c r="T579" i="57" s="1"/>
  <c r="AO68" i="9"/>
  <c r="AO69" i="9"/>
  <c r="S325" i="57"/>
  <c r="S567" i="57"/>
  <c r="T567" i="57" s="1"/>
  <c r="AO56" i="9"/>
  <c r="AO45" i="9"/>
  <c r="AO41" i="9"/>
  <c r="AO88" i="9"/>
  <c r="AO85" i="9"/>
  <c r="AO46" i="9"/>
  <c r="AO92" i="9"/>
  <c r="AO73" i="9"/>
  <c r="AO101" i="9"/>
  <c r="S575" i="57"/>
  <c r="T575" i="57" s="1"/>
  <c r="G138" i="57"/>
  <c r="H138" i="57" s="1"/>
  <c r="S182" i="57"/>
  <c r="Y182" i="57" s="1"/>
  <c r="AC187" i="57" s="1"/>
  <c r="AO20" i="9"/>
  <c r="AO22" i="9"/>
  <c r="AO58" i="9"/>
  <c r="W116" i="57"/>
  <c r="X116" i="57" s="1"/>
  <c r="AO48" i="9"/>
  <c r="AO72" i="9"/>
  <c r="S292" i="57"/>
  <c r="T292" i="57" s="1"/>
  <c r="Z292" i="57" s="1"/>
  <c r="AO100" i="9"/>
  <c r="AO49" i="9"/>
  <c r="G501" i="57"/>
  <c r="AO84" i="9"/>
  <c r="AO28" i="9"/>
  <c r="S545" i="57"/>
  <c r="T545" i="57" s="1"/>
  <c r="S721" i="57"/>
  <c r="Y721" i="57" s="1"/>
  <c r="AC726" i="57" s="1"/>
  <c r="AO96" i="9"/>
  <c r="AO21" i="9"/>
  <c r="K600" i="57"/>
  <c r="AO98" i="9"/>
  <c r="AO40" i="9"/>
  <c r="AO24" i="9"/>
  <c r="AO60" i="9"/>
  <c r="AO74" i="9"/>
  <c r="AO94" i="9"/>
  <c r="AO16" i="9"/>
  <c r="W545" i="57"/>
  <c r="X545" i="57" s="1"/>
  <c r="W325" i="57"/>
  <c r="X325" i="57" s="1"/>
  <c r="AO17" i="9"/>
  <c r="AO39" i="9"/>
  <c r="S237" i="57"/>
  <c r="T237" i="57" s="1"/>
  <c r="S39" i="57"/>
  <c r="T39" i="57" s="1"/>
  <c r="AO23" i="9"/>
  <c r="AO50" i="9"/>
  <c r="S501" i="57"/>
  <c r="T501" i="57" s="1"/>
  <c r="AO70" i="9"/>
  <c r="AC835" i="57" s="1"/>
  <c r="AO43" i="9"/>
  <c r="AO27" i="9"/>
  <c r="S215" i="57"/>
  <c r="T215" i="57" s="1"/>
  <c r="AO26" i="9"/>
  <c r="W630" i="57"/>
  <c r="X630" i="57" s="1"/>
  <c r="AO89" i="9"/>
  <c r="AO59" i="9"/>
  <c r="AO19" i="9"/>
  <c r="AO71" i="9"/>
  <c r="AC824" i="57" s="1"/>
  <c r="W215" i="57"/>
  <c r="X215" i="57" s="1"/>
  <c r="AO95" i="9"/>
  <c r="AO18" i="9"/>
  <c r="AO42" i="9"/>
  <c r="AO47" i="9"/>
  <c r="W707" i="57"/>
  <c r="X707" i="57" s="1"/>
  <c r="W245" i="57"/>
  <c r="X245" i="57" s="1"/>
  <c r="W490" i="57"/>
  <c r="X490" i="57" s="1"/>
  <c r="S710" i="57"/>
  <c r="T710" i="57" s="1"/>
  <c r="AO86" i="9"/>
  <c r="AO93" i="9"/>
  <c r="S204" i="57"/>
  <c r="T204" i="57" s="1"/>
  <c r="Z204" i="57" s="1"/>
  <c r="AO91" i="9"/>
  <c r="S600" i="57"/>
  <c r="T600" i="57" s="1"/>
  <c r="AO97" i="9"/>
  <c r="Y17" i="57"/>
  <c r="S666" i="57"/>
  <c r="Y666" i="57" s="1"/>
  <c r="AC671" i="57" s="1"/>
  <c r="S347" i="57"/>
  <c r="T347" i="57" s="1"/>
  <c r="W548" i="57"/>
  <c r="X548" i="57" s="1"/>
  <c r="S446" i="57"/>
  <c r="Y446" i="57" s="1"/>
  <c r="AC451" i="57" s="1"/>
  <c r="S548" i="57"/>
  <c r="S457" i="57"/>
  <c r="Y457" i="57" s="1"/>
  <c r="AC462" i="57" s="1"/>
  <c r="S138" i="57"/>
  <c r="W237" i="57"/>
  <c r="X237" i="57" s="1"/>
  <c r="G215" i="57"/>
  <c r="H215" i="57" s="1"/>
  <c r="AO15" i="9"/>
  <c r="W498" i="57"/>
  <c r="X498" i="57" s="1"/>
  <c r="S116" i="57"/>
  <c r="S490" i="57"/>
  <c r="T490" i="57" s="1"/>
  <c r="S83" i="57"/>
  <c r="T83" i="57" s="1"/>
  <c r="S513" i="57"/>
  <c r="Y512" i="57" s="1"/>
  <c r="AC517" i="57" s="1"/>
  <c r="S303" i="57"/>
  <c r="T303" i="57" s="1"/>
  <c r="Z303" i="57" s="1"/>
  <c r="W39" i="57"/>
  <c r="X39" i="57" s="1"/>
  <c r="AO99" i="9"/>
  <c r="AO90" i="9"/>
  <c r="AO57" i="9"/>
  <c r="AO44" i="9"/>
  <c r="W702" i="57"/>
  <c r="W710" i="57"/>
  <c r="X710" i="57" s="1"/>
  <c r="S622" i="57"/>
  <c r="S578" i="57"/>
  <c r="AO38" i="9"/>
  <c r="AO67" i="9"/>
  <c r="AO87" i="9"/>
  <c r="AO25" i="9"/>
  <c r="K196" i="57"/>
  <c r="Y193" i="57" s="1"/>
  <c r="AC198" i="57" s="1"/>
  <c r="G710" i="57"/>
  <c r="K350" i="57"/>
  <c r="L350" i="57" s="1"/>
  <c r="S534" i="57"/>
  <c r="T534" i="57" s="1"/>
  <c r="Z534" i="57" s="1"/>
  <c r="S149" i="57"/>
  <c r="Y149" i="57" s="1"/>
  <c r="AC154" i="57" s="1"/>
  <c r="G83" i="57"/>
  <c r="H83" i="57" s="1"/>
  <c r="AC76" i="57" l="1"/>
  <c r="AC395" i="57"/>
  <c r="Y622" i="57"/>
  <c r="AC627" i="57" s="1"/>
  <c r="AC10" i="57"/>
  <c r="Y138" i="57"/>
  <c r="AC143" i="57" s="1"/>
  <c r="AJ27" i="38"/>
  <c r="AC637" i="57"/>
  <c r="AJ26" i="65"/>
  <c r="AC681" i="57"/>
  <c r="AC560" i="57"/>
  <c r="AC802" i="57"/>
  <c r="AC791" i="57"/>
  <c r="AC813" i="57"/>
  <c r="AC692" i="57"/>
  <c r="AC736" i="57"/>
  <c r="Y545" i="57"/>
  <c r="AC550" i="57" s="1"/>
  <c r="AC406" i="57"/>
  <c r="AC439" i="57"/>
  <c r="AC65" i="57"/>
  <c r="AC54" i="57"/>
  <c r="AC230" i="57"/>
  <c r="AC318" i="57"/>
  <c r="AC362" i="57"/>
  <c r="AC373" i="57"/>
  <c r="AC428" i="57"/>
  <c r="AC780" i="57"/>
  <c r="AC252" i="57"/>
  <c r="AC164" i="57"/>
  <c r="AC175" i="57"/>
  <c r="AC747" i="57"/>
  <c r="AC769" i="57"/>
  <c r="AC758" i="57"/>
  <c r="AC659" i="57"/>
  <c r="AC648" i="57"/>
  <c r="AC615" i="57"/>
  <c r="AC593" i="57"/>
  <c r="AC527" i="57"/>
  <c r="AC483" i="57"/>
  <c r="AC472" i="57"/>
  <c r="AC417" i="57"/>
  <c r="AC384" i="57"/>
  <c r="AC285" i="57"/>
  <c r="AC131" i="57"/>
  <c r="AC263" i="57"/>
  <c r="AC274" i="57"/>
  <c r="AC109" i="57"/>
  <c r="AC98" i="57"/>
  <c r="AC208" i="57"/>
  <c r="Y578" i="57"/>
  <c r="AC583" i="57" s="1"/>
  <c r="Z215" i="57"/>
  <c r="AC219" i="57" s="1"/>
  <c r="Y699" i="57"/>
  <c r="AC704" i="57" s="1"/>
  <c r="Y116" i="57"/>
  <c r="AC121" i="57" s="1"/>
  <c r="AC307" i="57"/>
  <c r="AC22" i="57"/>
  <c r="AC538" i="57"/>
  <c r="AC296" i="57"/>
  <c r="AL34" i="61"/>
  <c r="Y710" i="57"/>
  <c r="AC715" i="57" s="1"/>
  <c r="Y83" i="57"/>
  <c r="AC88" i="57" s="1"/>
  <c r="Y347" i="57"/>
  <c r="AC352" i="57" s="1"/>
  <c r="H710" i="57"/>
  <c r="T138" i="57"/>
  <c r="Z138" i="57" s="1"/>
  <c r="AC142" i="57" s="1"/>
  <c r="AV1" i="9"/>
  <c r="X702" i="57"/>
  <c r="Z699" i="57" s="1"/>
  <c r="AC703" i="57" s="1"/>
  <c r="T548" i="57"/>
  <c r="Z545" i="57" s="1"/>
  <c r="AC549" i="57" s="1"/>
  <c r="Y600" i="57"/>
  <c r="AC605" i="57" s="1"/>
  <c r="Z490" i="57"/>
  <c r="AC494" i="57" s="1"/>
  <c r="Z17" i="57"/>
  <c r="Z710" i="57"/>
  <c r="AC714" i="57" s="1"/>
  <c r="Y567" i="57"/>
  <c r="AC572" i="57" s="1"/>
  <c r="T578" i="57"/>
  <c r="Z578" i="57" s="1"/>
  <c r="AC582" i="57" s="1"/>
  <c r="Z347" i="57"/>
  <c r="AC351" i="57" s="1"/>
  <c r="T149" i="57"/>
  <c r="Z149" i="57" s="1"/>
  <c r="AC153" i="57" s="1"/>
  <c r="L196" i="57"/>
  <c r="Z193" i="57" s="1"/>
  <c r="AC197" i="57" s="1"/>
  <c r="T116" i="57"/>
  <c r="Z116" i="57" s="1"/>
  <c r="AC120" i="57" s="1"/>
  <c r="Y501" i="57"/>
  <c r="AC506" i="57" s="1"/>
  <c r="Y325" i="57"/>
  <c r="AC330" i="57" s="1"/>
  <c r="Z237" i="57"/>
  <c r="AC241" i="57" s="1"/>
  <c r="Z83" i="57"/>
  <c r="AC87" i="57" s="1"/>
  <c r="D4" i="68"/>
  <c r="Z567" i="57"/>
  <c r="AC571" i="57" s="1"/>
  <c r="Z39" i="57"/>
  <c r="E6" i="68" s="1"/>
  <c r="Y303" i="57"/>
  <c r="AC308" i="57" s="1"/>
  <c r="Y39" i="57"/>
  <c r="T721" i="57"/>
  <c r="Z721" i="57" s="1"/>
  <c r="AC725" i="57" s="1"/>
  <c r="T182" i="57"/>
  <c r="Z182" i="57" s="1"/>
  <c r="AC186" i="57" s="1"/>
  <c r="T325" i="57"/>
  <c r="Z325" i="57" s="1"/>
  <c r="AC329" i="57" s="1"/>
  <c r="T457" i="57"/>
  <c r="Z457" i="57" s="1"/>
  <c r="AC461" i="57" s="1"/>
  <c r="T446" i="57"/>
  <c r="Z446" i="57" s="1"/>
  <c r="AC450" i="57" s="1"/>
  <c r="Y490" i="57"/>
  <c r="AC495" i="57" s="1"/>
  <c r="T666" i="57"/>
  <c r="Z666" i="57" s="1"/>
  <c r="AC670" i="57" s="1"/>
  <c r="Y204" i="57"/>
  <c r="AC209" i="57" s="1"/>
  <c r="Y292" i="57"/>
  <c r="AC297" i="57" s="1"/>
  <c r="Y534" i="57"/>
  <c r="AC539" i="57" s="1"/>
  <c r="T622" i="57"/>
  <c r="Z622" i="57" s="1"/>
  <c r="AC626" i="57" s="1"/>
  <c r="T513" i="57"/>
  <c r="Z512" i="57" s="1"/>
  <c r="AC516" i="57" s="1"/>
  <c r="Y215" i="57"/>
  <c r="AC220" i="57" s="1"/>
  <c r="Y237" i="57"/>
  <c r="AC242" i="57" s="1"/>
  <c r="L600" i="57"/>
  <c r="Z600" i="57" s="1"/>
  <c r="AC604" i="57" s="1"/>
  <c r="H501" i="57"/>
  <c r="Z501" i="57" s="1"/>
  <c r="AC505" i="57" s="1"/>
  <c r="D6" i="68" l="1"/>
  <c r="AC44" i="57"/>
  <c r="Y897" i="57"/>
  <c r="E4" i="68"/>
  <c r="Z897" i="57"/>
  <c r="AW1" i="9" s="1"/>
  <c r="AW2" i="9" s="1"/>
  <c r="AC43" i="57"/>
  <c r="AC21" i="57"/>
  <c r="AU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<sst xmlns="http://schemas.openxmlformats.org/spreadsheetml/2006/main" count="1131" uniqueCount="406">
  <si>
    <t>Ф. И. О.</t>
  </si>
  <si>
    <t>р/р</t>
  </si>
  <si>
    <t>изд</t>
  </si>
  <si>
    <t>2/4</t>
  </si>
  <si>
    <t>3/16</t>
  </si>
  <si>
    <t>4/8</t>
  </si>
  <si>
    <t>3/4</t>
  </si>
  <si>
    <t>месяц</t>
  </si>
  <si>
    <t>год</t>
  </si>
  <si>
    <t>коэф</t>
  </si>
  <si>
    <t>партия</t>
  </si>
  <si>
    <t>2</t>
  </si>
  <si>
    <t>3</t>
  </si>
  <si>
    <t>6</t>
  </si>
  <si>
    <t>9</t>
  </si>
  <si>
    <t>10</t>
  </si>
  <si>
    <t>13</t>
  </si>
  <si>
    <t>16</t>
  </si>
  <si>
    <t>17</t>
  </si>
  <si>
    <t>20</t>
  </si>
  <si>
    <t>23</t>
  </si>
  <si>
    <t>24</t>
  </si>
  <si>
    <t>27</t>
  </si>
  <si>
    <t>Таб №</t>
  </si>
  <si>
    <t>разряд</t>
  </si>
  <si>
    <t>Разряд работы</t>
  </si>
  <si>
    <t>Стоимость</t>
  </si>
  <si>
    <t>8%</t>
  </si>
  <si>
    <t>12%</t>
  </si>
  <si>
    <t>16%</t>
  </si>
  <si>
    <t>24%</t>
  </si>
  <si>
    <t>3/24</t>
  </si>
  <si>
    <t>4/24</t>
  </si>
  <si>
    <t>ФИО</t>
  </si>
  <si>
    <t>Табельный номер</t>
  </si>
  <si>
    <t>разряд работника</t>
  </si>
  <si>
    <t>итого часы</t>
  </si>
  <si>
    <t xml:space="preserve">итого сумма, руб </t>
  </si>
  <si>
    <t xml:space="preserve">подпись работник </t>
  </si>
  <si>
    <t>тариф</t>
  </si>
  <si>
    <t>коэффициент</t>
  </si>
  <si>
    <t>часы</t>
  </si>
  <si>
    <t>сумма</t>
  </si>
  <si>
    <t>ЗП</t>
  </si>
  <si>
    <t>7</t>
  </si>
  <si>
    <t>8</t>
  </si>
  <si>
    <t>1</t>
  </si>
  <si>
    <t>14</t>
  </si>
  <si>
    <t>15</t>
  </si>
  <si>
    <t>21</t>
  </si>
  <si>
    <t>22</t>
  </si>
  <si>
    <t>28</t>
  </si>
  <si>
    <t>29</t>
  </si>
  <si>
    <t>30</t>
  </si>
  <si>
    <t>4</t>
  </si>
  <si>
    <t>5</t>
  </si>
  <si>
    <t>11</t>
  </si>
  <si>
    <t>12</t>
  </si>
  <si>
    <t>18</t>
  </si>
  <si>
    <t>19</t>
  </si>
  <si>
    <t>25</t>
  </si>
  <si>
    <t>26</t>
  </si>
  <si>
    <t>31</t>
  </si>
  <si>
    <t>ИТОГО</t>
  </si>
  <si>
    <t xml:space="preserve">Мастер участка </t>
  </si>
  <si>
    <t>3-22</t>
  </si>
  <si>
    <t>4-22</t>
  </si>
  <si>
    <t>4/16</t>
  </si>
  <si>
    <t>Изделие №</t>
  </si>
  <si>
    <t xml:space="preserve">Итого </t>
  </si>
  <si>
    <t>Столбец1</t>
  </si>
  <si>
    <t>2/8</t>
  </si>
  <si>
    <t>Исполнитель_______________</t>
  </si>
  <si>
    <t>Бухгалтер _______________________</t>
  </si>
  <si>
    <t>присвоенный
 разряд</t>
  </si>
  <si>
    <t>Технологическая   карта</t>
  </si>
  <si>
    <t>подборы</t>
  </si>
  <si>
    <t xml:space="preserve">чертеж </t>
  </si>
  <si>
    <t>ОТК</t>
  </si>
  <si>
    <t>ВП</t>
  </si>
  <si>
    <t>наст</t>
  </si>
  <si>
    <t>ПИ</t>
  </si>
  <si>
    <t>брак</t>
  </si>
  <si>
    <t>СВЕРХУРОЧНАЯ  РАБОТА</t>
  </si>
  <si>
    <t>Ефремова Т.В.</t>
  </si>
  <si>
    <t>валовые</t>
  </si>
  <si>
    <t>вых</t>
  </si>
  <si>
    <t>разряд 
работника</t>
  </si>
  <si>
    <t>Волокитин В.Ю.</t>
  </si>
  <si>
    <t>Производственный цех №3, мастерская 39</t>
  </si>
  <si>
    <t>Конова Л.М.</t>
  </si>
  <si>
    <t>Бычкова Е.Н.</t>
  </si>
  <si>
    <t>мастер</t>
  </si>
  <si>
    <t>Столбец2</t>
  </si>
  <si>
    <t xml:space="preserve">сумма по наряду </t>
  </si>
  <si>
    <t>ДИШВ.773919.008</t>
  </si>
  <si>
    <t>ДИШВ.773911.501</t>
  </si>
  <si>
    <t>ДИШВ.773924.408</t>
  </si>
  <si>
    <t>ДИШВ.773951.510</t>
  </si>
  <si>
    <t>Производственный цех №3, мастерская 61 Б</t>
  </si>
  <si>
    <t>Производственный цех №3, мастерская 61 Б ДУЗы</t>
  </si>
  <si>
    <t>Производственный цех №3, мастерская 175/9</t>
  </si>
  <si>
    <t>Производственный цех №3, мастерская 15, 48, 61 В</t>
  </si>
  <si>
    <t>мес</t>
  </si>
  <si>
    <t>сумма2</t>
  </si>
  <si>
    <t>19-22</t>
  </si>
  <si>
    <t>21-22</t>
  </si>
  <si>
    <t>22-22</t>
  </si>
  <si>
    <t>Курбацкая Н.В.</t>
  </si>
  <si>
    <t>23-22</t>
  </si>
  <si>
    <t>ДИШВ.773949.002</t>
  </si>
  <si>
    <t>ДИШВ.773949.001</t>
  </si>
  <si>
    <t>ЛД34.391.000</t>
  </si>
  <si>
    <t>ЛД34.418.004</t>
  </si>
  <si>
    <t>ЛД34.400.044</t>
  </si>
  <si>
    <t>ЛД34.420.009</t>
  </si>
  <si>
    <t>ЛД34.402.016</t>
  </si>
  <si>
    <t>ДИШВ.773922.001</t>
  </si>
  <si>
    <t>ЛД34.330.001</t>
  </si>
  <si>
    <t>ЛД34.342.000</t>
  </si>
  <si>
    <t>ЛД34.300.039</t>
  </si>
  <si>
    <t>ЛД34.300.016</t>
  </si>
  <si>
    <t>ЛД34.400.011</t>
  </si>
  <si>
    <t>ЛД34.342.017</t>
  </si>
  <si>
    <t>ЛД34.300.015-01</t>
  </si>
  <si>
    <t>ЛД34.300.015</t>
  </si>
  <si>
    <t>ЛД.34310.002</t>
  </si>
  <si>
    <t>ЛД34.369.000</t>
  </si>
  <si>
    <t>169</t>
  </si>
  <si>
    <t>ЛД34387.022</t>
  </si>
  <si>
    <t>ЛД34.310.007</t>
  </si>
  <si>
    <t>ЛД34.300.012</t>
  </si>
  <si>
    <t>186-02</t>
  </si>
  <si>
    <t xml:space="preserve">ЛД34.320.023-02 </t>
  </si>
  <si>
    <t>186-01</t>
  </si>
  <si>
    <t>ЛД34.320.023-01</t>
  </si>
  <si>
    <t>ЛД34.452.009</t>
  </si>
  <si>
    <t>ЛД34.400.012</t>
  </si>
  <si>
    <t>ЛД34.414.000</t>
  </si>
  <si>
    <t>ЛД34.450.011</t>
  </si>
  <si>
    <t>ЛД34.450.012</t>
  </si>
  <si>
    <t>ЛД34.387.013</t>
  </si>
  <si>
    <t>ЛД34.450.010</t>
  </si>
  <si>
    <t>232-01</t>
  </si>
  <si>
    <t>ЛД34.367.030-01</t>
  </si>
  <si>
    <t>232-03</t>
  </si>
  <si>
    <t>ЛД34.367.030-03</t>
  </si>
  <si>
    <t>ЛД34.328.023</t>
  </si>
  <si>
    <t>ЛД34.328.035</t>
  </si>
  <si>
    <t>ЛД34.402.007</t>
  </si>
  <si>
    <t>249-02</t>
  </si>
  <si>
    <t>ЛД34.410.013-02</t>
  </si>
  <si>
    <t>Заряд ЛД34.476.055</t>
  </si>
  <si>
    <t>ЛД34.334.014</t>
  </si>
  <si>
    <t>257-10</t>
  </si>
  <si>
    <t>ЛД34.334.014-10</t>
  </si>
  <si>
    <t>257-12</t>
  </si>
  <si>
    <t>ЛД34.334.014-12</t>
  </si>
  <si>
    <t>257-09</t>
  </si>
  <si>
    <t>ЛД34.334.014-09</t>
  </si>
  <si>
    <t>257-06</t>
  </si>
  <si>
    <t>ЛД34.334.014-06</t>
  </si>
  <si>
    <t>257-07</t>
  </si>
  <si>
    <t>ЛД34.334.014-07</t>
  </si>
  <si>
    <t>257-13</t>
  </si>
  <si>
    <t>ЛД34.334.014-13</t>
  </si>
  <si>
    <t>266-06</t>
  </si>
  <si>
    <t>ЛД34.440.024-06</t>
  </si>
  <si>
    <t>266-08</t>
  </si>
  <si>
    <t>ЛД34.440.025-08</t>
  </si>
  <si>
    <t>ЛД34.440.024</t>
  </si>
  <si>
    <t>269-01</t>
  </si>
  <si>
    <t>ЛД34.470.039-01</t>
  </si>
  <si>
    <t>ЛД34.340.007</t>
  </si>
  <si>
    <t>ЛД34.340.008</t>
  </si>
  <si>
    <t>ЛД34.342.022-01</t>
  </si>
  <si>
    <t>ДИШВ.716351.000</t>
  </si>
  <si>
    <t>ЛД34.430.003</t>
  </si>
  <si>
    <t>ЛД34.385.001-01</t>
  </si>
  <si>
    <t>ЛД34.367.013</t>
  </si>
  <si>
    <t>ЛД34.470.051-01</t>
  </si>
  <si>
    <t>ЛД34.440.015</t>
  </si>
  <si>
    <t>125-00-0</t>
  </si>
  <si>
    <t>ЛД34.369.002</t>
  </si>
  <si>
    <t>ЛД34.369.006</t>
  </si>
  <si>
    <t>ЛД36.418.000-01</t>
  </si>
  <si>
    <t>ЛД34.440.022</t>
  </si>
  <si>
    <t>М.483.05.001 Сн</t>
  </si>
  <si>
    <t>426-01</t>
  </si>
  <si>
    <t>ЛД34.440.014-01</t>
  </si>
  <si>
    <t>ЛД34.428.009</t>
  </si>
  <si>
    <t>ЛД34.470.022</t>
  </si>
  <si>
    <t>434</t>
  </si>
  <si>
    <t>ЛД34470.070-04</t>
  </si>
  <si>
    <t>ТУ84.601-130-87</t>
  </si>
  <si>
    <t>ДИШВ.773924.004</t>
  </si>
  <si>
    <t>ДИШВ.773924.003</t>
  </si>
  <si>
    <t>ЛД34.367.017-03</t>
  </si>
  <si>
    <t>ЛД34.452.001-01</t>
  </si>
  <si>
    <t>ЛД34.390.003</t>
  </si>
  <si>
    <t>546-02</t>
  </si>
  <si>
    <t>ЛД34.470.047-02</t>
  </si>
  <si>
    <t>ТУ84.601-065-78</t>
  </si>
  <si>
    <t>ЛД34.476.071</t>
  </si>
  <si>
    <t>ДИШВ.773911.004</t>
  </si>
  <si>
    <t>ДИШВ.773911.006</t>
  </si>
  <si>
    <t>ЛД36.476.105-04</t>
  </si>
  <si>
    <t>ДИШВ.773955.501</t>
  </si>
  <si>
    <t>ДИШВ.773955.504</t>
  </si>
  <si>
    <t>ДИШВ.773941.303</t>
  </si>
  <si>
    <t>ДИШВ.773911.504</t>
  </si>
  <si>
    <t>ДИШВ.773911.506</t>
  </si>
  <si>
    <t>ДИШВ.773941.007</t>
  </si>
  <si>
    <t>ДИШВ.773975.009</t>
  </si>
  <si>
    <t>ДИШВ.773911.502</t>
  </si>
  <si>
    <t>ДИШВ.773941.002</t>
  </si>
  <si>
    <t>ДИШВ.773941.304</t>
  </si>
  <si>
    <t>ЯБГИ.773976.001</t>
  </si>
  <si>
    <t>ДИШВ.773924.602</t>
  </si>
  <si>
    <t>ДИШВ.773924.402-02</t>
  </si>
  <si>
    <t>ДИШВ.773941.010</t>
  </si>
  <si>
    <t>ДИШВ.773911.503</t>
  </si>
  <si>
    <t>ДИШВ.773955.506</t>
  </si>
  <si>
    <t>ЛД34.470.082-03</t>
  </si>
  <si>
    <t>728-01</t>
  </si>
  <si>
    <t>ЛД34.418.008-01</t>
  </si>
  <si>
    <t>ДИШВ773975.015</t>
  </si>
  <si>
    <t>ДИШВ773975.016</t>
  </si>
  <si>
    <t>736</t>
  </si>
  <si>
    <t>ДИШВ773975.016-01</t>
  </si>
  <si>
    <t>ДИШВ773975.017</t>
  </si>
  <si>
    <t>738</t>
  </si>
  <si>
    <t>ДИШВ773975.017-01</t>
  </si>
  <si>
    <t>ЛД34.350.012</t>
  </si>
  <si>
    <t>740-01</t>
  </si>
  <si>
    <t>ЛД34.350.012-01</t>
  </si>
  <si>
    <t>ДИШВ.773924.808</t>
  </si>
  <si>
    <t>743</t>
  </si>
  <si>
    <t>ДИШВ.773922.003</t>
  </si>
  <si>
    <t>ДИШВ.773983.045</t>
  </si>
  <si>
    <t>ЛД34.384.000-01</t>
  </si>
  <si>
    <t>ДИШВ.773924.414</t>
  </si>
  <si>
    <t>753-01</t>
  </si>
  <si>
    <t>ЛД34.470.082-01</t>
  </si>
  <si>
    <t>ЛД34.470.082</t>
  </si>
  <si>
    <t>ДИШВ.773912003</t>
  </si>
  <si>
    <t>Начальник цеха 3</t>
  </si>
  <si>
    <t>Итог</t>
  </si>
  <si>
    <t>часов</t>
  </si>
  <si>
    <t>труд</t>
  </si>
  <si>
    <t>Начальник    ______________________ Курбацкая Н.В.</t>
  </si>
  <si>
    <t>Бородицкая Ирина Борисовна</t>
  </si>
  <si>
    <t>Грешнова Ольга Викторовна</t>
  </si>
  <si>
    <t>Груздева Олеся Изидоровна</t>
  </si>
  <si>
    <t>Егоров Дмитрий Геннадьевич</t>
  </si>
  <si>
    <t>Егорова Татьяна Владимировна</t>
  </si>
  <si>
    <t>Ерошина Ирина Павловна</t>
  </si>
  <si>
    <t>Зоидзе Ирина Сергеевна</t>
  </si>
  <si>
    <t>Маркова Ольга Евгеньевна</t>
  </si>
  <si>
    <t>Набойченко Седа Хамидовна</t>
  </si>
  <si>
    <t>Оленева Анна Викторовна</t>
  </si>
  <si>
    <t>Петрова Анна Сергеевна</t>
  </si>
  <si>
    <t>Полушкина Анастасия Юрьевна</t>
  </si>
  <si>
    <t>Потемкина Елена Анатольевна</t>
  </si>
  <si>
    <t>Пригоженкова Ольга Сергеевна</t>
  </si>
  <si>
    <t>Смирнова Елена Евгеньевна</t>
  </si>
  <si>
    <t>Томилова Антонина Викторовна</t>
  </si>
  <si>
    <t>Худякова Ольга Николаевна</t>
  </si>
  <si>
    <t>Овчинников Глеб Эдуардович</t>
  </si>
  <si>
    <t xml:space="preserve">итого, руб </t>
  </si>
  <si>
    <t>Аксенова Диана Владимировна</t>
  </si>
  <si>
    <t>Авдокушина Елена Николаевна</t>
  </si>
  <si>
    <t>Журавлева Мария Валентиновна</t>
  </si>
  <si>
    <t>Минко Елена Анатольевна</t>
  </si>
  <si>
    <t>Бадьялова Елена Сергеевна</t>
  </si>
  <si>
    <t>Бунчук Виктория Ивановна</t>
  </si>
  <si>
    <t>Елькина Татьяна Владимировна</t>
  </si>
  <si>
    <t>Иванченко Ульяна Леонидовна</t>
  </si>
  <si>
    <t>Кабанова Анастасия Евгеньевна</t>
  </si>
  <si>
    <t>Кравченко Светлана Александровна</t>
  </si>
  <si>
    <t>Марченко Ирина Вячеславовна</t>
  </si>
  <si>
    <t>Михно Татьяна Николаевна</t>
  </si>
  <si>
    <t>Аксенов Александр Юрьевич</t>
  </si>
  <si>
    <t>Алиева Диана Арифовна</t>
  </si>
  <si>
    <t>Иванова Оксана Михайловна</t>
  </si>
  <si>
    <t>Шамарина Светлана Владимировна</t>
  </si>
  <si>
    <t>Шишина Наталья Александровна</t>
  </si>
  <si>
    <t>Орленко Людмила Викторовна</t>
  </si>
  <si>
    <t>Кузнецова Анастасия Андреевна</t>
  </si>
  <si>
    <t>Кувшинов А.Г.</t>
  </si>
  <si>
    <t>Александрович Екатерина Сергеевна</t>
  </si>
  <si>
    <t>Сайпулаева Феодосия Андреевна</t>
  </si>
  <si>
    <t>Иванова Екатерина Борисовна</t>
  </si>
  <si>
    <t>Мельникова Анна Юрьевна</t>
  </si>
  <si>
    <t>Николаев П.</t>
  </si>
  <si>
    <t>Глинка Екатерина Юрьевна</t>
  </si>
  <si>
    <t>Киселёва Надежда Игоревна</t>
  </si>
  <si>
    <t>Пириева Виктория Хозеиновна</t>
  </si>
  <si>
    <t>Зинина Екатерина Олеговна</t>
  </si>
  <si>
    <t>Маргиева Фатима Александровна</t>
  </si>
  <si>
    <t>Иванова Ольга Анатольевна</t>
  </si>
  <si>
    <t>Костюченко Александр Валентинович</t>
  </si>
  <si>
    <t>Дорофеева Юлия Николаевна</t>
  </si>
  <si>
    <t>Никифорова Юлия Анатольевна</t>
  </si>
  <si>
    <t>Бекетова Надежда Ильинична</t>
  </si>
  <si>
    <t>Лебига Людмила Тихоновна</t>
  </si>
  <si>
    <t>8-23</t>
  </si>
  <si>
    <t>51-23</t>
  </si>
  <si>
    <t>52-23</t>
  </si>
  <si>
    <t>Попова Ольга Геннадьевна</t>
  </si>
  <si>
    <t>Климонтович Янина Анатольевна</t>
  </si>
  <si>
    <t>9-23</t>
  </si>
  <si>
    <t>10-23</t>
  </si>
  <si>
    <t>60-23</t>
  </si>
  <si>
    <t>61-23</t>
  </si>
  <si>
    <t>62-23</t>
  </si>
  <si>
    <t>64-23</t>
  </si>
  <si>
    <t>65-23</t>
  </si>
  <si>
    <t>66-23</t>
  </si>
  <si>
    <t>67-23</t>
  </si>
  <si>
    <t>Арефьева Инна Владимировна</t>
  </si>
  <si>
    <t>Аристанбекова Юлия Александровна</t>
  </si>
  <si>
    <t>Волошина Светлана Владимировна</t>
  </si>
  <si>
    <t>Ефремова Екатерина Сергеевна</t>
  </si>
  <si>
    <t>Кабакова Алина Дмитриевна</t>
  </si>
  <si>
    <t>Кириллова Надежда Вячеславовна</t>
  </si>
  <si>
    <t>Коричева Юлия Владимировна</t>
  </si>
  <si>
    <t>Кочеткова Мария Андреевна</t>
  </si>
  <si>
    <t>Лапина Елена Сергеевна</t>
  </si>
  <si>
    <t>Рысев Иван Александрович</t>
  </si>
  <si>
    <t>Самойленко Наталья Олеговна</t>
  </si>
  <si>
    <t>Старичкова Полина Анатольевна</t>
  </si>
  <si>
    <t>Степанова Ольга Юрьевна</t>
  </si>
  <si>
    <t>будни</t>
  </si>
  <si>
    <t xml:space="preserve">св </t>
  </si>
  <si>
    <t>итого</t>
  </si>
  <si>
    <t>разница</t>
  </si>
  <si>
    <t>утро</t>
  </si>
  <si>
    <t>НАЧАЛО РАБ ДНЯ</t>
  </si>
  <si>
    <t>ОКОНЧАНИЕ РАБ ДНЯ</t>
  </si>
  <si>
    <t>ОБЕД</t>
  </si>
  <si>
    <t>-  ОБЕД</t>
  </si>
  <si>
    <t>+ ОБЕД</t>
  </si>
  <si>
    <t>вечер</t>
  </si>
  <si>
    <t>Столбец3</t>
  </si>
  <si>
    <t>бригада</t>
  </si>
  <si>
    <t>4/2</t>
  </si>
  <si>
    <t>Аполосова Ольга Николаевна</t>
  </si>
  <si>
    <t>Скрынникова Виктория Геннадьевна</t>
  </si>
  <si>
    <t>Аполосова Юлиана Александровна</t>
  </si>
  <si>
    <t xml:space="preserve"> </t>
  </si>
  <si>
    <t>Терещенко Виктория Евгеньевна</t>
  </si>
  <si>
    <t>Боровик Елена Владимировна</t>
  </si>
  <si>
    <t>60рк</t>
  </si>
  <si>
    <t>Лезина Анастасия Юрьевна</t>
  </si>
  <si>
    <t>Новикова Александра Владимировна</t>
  </si>
  <si>
    <t>Исаева Инна Игоревна</t>
  </si>
  <si>
    <t>6001дл</t>
  </si>
  <si>
    <t>Михалочкина Наталья Ивановна</t>
  </si>
  <si>
    <t>Соболева Наталья Александровна</t>
  </si>
  <si>
    <t>Малышева Анна Евгеньевна</t>
  </si>
  <si>
    <t>Саидова Ольга Владимировна</t>
  </si>
  <si>
    <t>Ескина Ксения Анатольевна</t>
  </si>
  <si>
    <t>Черкасова Дарья Викторовна</t>
  </si>
  <si>
    <t>Матыгулина Наталья Энвировна</t>
  </si>
  <si>
    <t>Нагловская Наталья Анатольевна</t>
  </si>
  <si>
    <t>декабрь</t>
  </si>
  <si>
    <t>26-23</t>
  </si>
  <si>
    <t>27-23</t>
  </si>
  <si>
    <t>28-23</t>
  </si>
  <si>
    <t>29-23</t>
  </si>
  <si>
    <t>116-23</t>
  </si>
  <si>
    <t>117-23</t>
  </si>
  <si>
    <t>23-23</t>
  </si>
  <si>
    <t>22-23</t>
  </si>
  <si>
    <t>24-23</t>
  </si>
  <si>
    <t>119-23</t>
  </si>
  <si>
    <t>126-23</t>
  </si>
  <si>
    <t>1-24</t>
  </si>
  <si>
    <t>2-24</t>
  </si>
  <si>
    <t>3-24</t>
  </si>
  <si>
    <t>4-24</t>
  </si>
  <si>
    <t>12-23</t>
  </si>
  <si>
    <t>13-23</t>
  </si>
  <si>
    <t>130-23</t>
  </si>
  <si>
    <t>5-24</t>
  </si>
  <si>
    <t>6-24</t>
  </si>
  <si>
    <t>декабря</t>
  </si>
  <si>
    <t>757</t>
  </si>
  <si>
    <t>АВДОКУШИНА ЕЛЕНА НИКОЛАЕВНА</t>
  </si>
  <si>
    <t>85</t>
  </si>
  <si>
    <t>1,15</t>
  </si>
  <si>
    <t>1,3</t>
  </si>
  <si>
    <t>БЕКЕТОВА НАДЕЖДА ИЛЬИНИЧНА</t>
  </si>
  <si>
    <t>ГРУЗДЕВА ОЛЕСЯ ИЗИДОРОВНА</t>
  </si>
  <si>
    <t>АКСЕНОВ АЛЕКСАНДР ЮРЬЕВИЧ</t>
  </si>
  <si>
    <t>6001</t>
  </si>
  <si>
    <t>1,5</t>
  </si>
  <si>
    <t>САИДОВА ОЛЬГА ВЛАДИМИРОВНА</t>
  </si>
  <si>
    <t>ПЕТРОВА АННА СЕРГЕЕВНА</t>
  </si>
  <si>
    <t>ДОРОФЕЕВА ЮЛИЯ НИКОЛАЕВНА</t>
  </si>
  <si>
    <t>118-23</t>
  </si>
  <si>
    <t>СОБОЛЕВА НАТАЛЬЯ АЛЕКСАНДРОВНА</t>
  </si>
  <si>
    <t>1,2</t>
  </si>
  <si>
    <t>КОЧЕТКОВА МАРИЯ АНДРЕЕВНА</t>
  </si>
  <si>
    <t>ОВЧИННИКОВ ГЛЕБ ЭДУАРДОВИЧ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</si>
</sst>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yyyy"/>
    <numFmt numFmtId="166" formatCode="General;;"/>
    <numFmt numFmtId="167" formatCode="#,##0.00\ &quot;₽&quot;"/>
    <numFmt numFmtId="168" formatCode="#,##0.00\ _₽"/>
    <numFmt numFmtId="169" formatCode="#,##0.0"/>
    <numFmt numFmtId="170" formatCode="d/m;@"/>
    <numFmt numFmtId="171" formatCode="d"/>
  </numFmts>
  <fonts count="115">
    <font>
      <sz val="11"/>
      <color theme="1"/>
      <name val="Calibri"/>
      <family val="2"/>
      <charset val="204"/>
      <scheme val="minor"/>
    </font>
    <font>
      <i/>
      <sz val="10"/>
      <name val="Arial"/>
      <family val="2"/>
      <charset val="204"/>
    </font>
    <font>
      <sz val="10"/>
      <name val="Arial"/>
      <family val="2"/>
      <charset val="204"/>
    </font>
    <font>
      <sz val="8"/>
      <name val="Calibri"/>
      <family val="2"/>
      <charset val="204"/>
    </font>
    <font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name val="Times New Roman"/>
      <family val="1"/>
      <charset val="204"/>
    </font>
    <font>
      <sz val="11"/>
      <color indexed="8"/>
      <name val="Sans"/>
      <family val="2"/>
      <charset val="204"/>
    </font>
    <font>
      <i/>
      <sz val="14"/>
      <name val="Arial"/>
      <family val="2"/>
      <charset val="204"/>
    </font>
    <font>
      <sz val="14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Liberation Sans"/>
      <family val="2"/>
      <charset val="204"/>
    </font>
    <font>
      <sz val="11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i/>
      <sz val="10"/>
      <color rgb="FF0070C0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i/>
      <sz val="1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4"/>
      <color theme="1"/>
      <name val="Arial"/>
      <family val="2"/>
      <charset val="204"/>
    </font>
    <font>
      <i/>
      <sz val="16"/>
      <color theme="1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i/>
      <sz val="10"/>
      <color theme="1" tint="4.9989318521683403E-2"/>
      <name val="Arial"/>
      <family val="2"/>
      <charset val="204"/>
    </font>
    <font>
      <b/>
      <sz val="10"/>
      <color theme="1" tint="4.9989318521683403E-2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sz val="10"/>
      <color theme="1" tint="4.9989318521683403E-2"/>
      <name val="Arial"/>
      <family val="2"/>
      <charset val="204"/>
    </font>
    <font>
      <b/>
      <i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36"/>
      <color theme="1"/>
      <name val="Calibri"/>
      <family val="2"/>
      <charset val="204"/>
      <scheme val="minor"/>
    </font>
    <font>
      <b/>
      <i/>
      <sz val="16"/>
      <color theme="1"/>
      <name val="Arial"/>
      <family val="2"/>
      <charset val="204"/>
    </font>
    <font>
      <i/>
      <sz val="10"/>
      <name val="Arial"/>
      <family val="2"/>
      <charset val="204"/>
    </font>
    <font>
      <b/>
      <sz val="11"/>
      <color theme="1" tint="4.9989318521683403E-2"/>
      <name val="Arial"/>
      <family val="2"/>
      <charset val="204"/>
    </font>
    <font>
      <i/>
      <sz val="20"/>
      <color theme="1"/>
      <name val="Arial"/>
      <family val="2"/>
      <charset val="204"/>
    </font>
    <font>
      <i/>
      <sz val="22"/>
      <color theme="1"/>
      <name val="Arial"/>
      <family val="2"/>
      <charset val="204"/>
    </font>
    <font>
      <sz val="16"/>
      <color theme="1" tint="4.9989318521683403E-2"/>
      <name val="Arial"/>
      <family val="2"/>
      <charset val="204"/>
    </font>
    <font>
      <i/>
      <sz val="16"/>
      <color theme="1" tint="4.9989318521683403E-2"/>
      <name val="Arial"/>
      <family val="2"/>
      <charset val="204"/>
    </font>
    <font>
      <sz val="14"/>
      <color theme="1" tint="4.9989318521683403E-2"/>
      <name val="Arial"/>
      <family val="2"/>
      <charset val="204"/>
    </font>
    <font>
      <b/>
      <i/>
      <sz val="14"/>
      <color theme="1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i/>
      <sz val="8"/>
      <color theme="1" tint="4.9989318521683403E-2"/>
      <name val="Arial"/>
      <family val="2"/>
      <charset val="204"/>
    </font>
    <font>
      <sz val="8"/>
      <color theme="1"/>
      <name val="Arial"/>
      <family val="2"/>
      <charset val="204"/>
    </font>
    <font>
      <sz val="9"/>
      <color theme="1" tint="4.9989318521683403E-2"/>
      <name val="Arial"/>
      <family val="2"/>
      <charset val="204"/>
    </font>
    <font>
      <sz val="9"/>
      <name val="Arial"/>
      <family val="2"/>
      <charset val="204"/>
    </font>
    <font>
      <sz val="18"/>
      <color theme="1"/>
      <name val="Arial"/>
      <family val="2"/>
      <charset val="204"/>
    </font>
    <font>
      <i/>
      <sz val="18"/>
      <name val="Arial"/>
      <family val="2"/>
      <charset val="204"/>
    </font>
    <font>
      <i/>
      <sz val="18"/>
      <color theme="1"/>
      <name val="Arial"/>
      <family val="2"/>
      <charset val="204"/>
    </font>
    <font>
      <i/>
      <sz val="10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 tint="4.9989318521683403E-2"/>
      <name val="Arial"/>
      <family val="2"/>
      <charset val="204"/>
    </font>
    <font>
      <sz val="24"/>
      <color rgb="FFFF0000"/>
      <name val="Calibri"/>
      <family val="2"/>
      <charset val="204"/>
      <scheme val="minor"/>
    </font>
    <font>
      <b/>
      <sz val="26"/>
      <color rgb="FFFFFF00"/>
      <name val="Calibri"/>
      <family val="2"/>
      <charset val="204"/>
      <scheme val="minor"/>
    </font>
    <font>
      <sz val="28"/>
      <color rgb="FFFFFF00"/>
      <name val="Calibri"/>
      <family val="2"/>
      <charset val="204"/>
      <scheme val="minor"/>
    </font>
    <font>
      <b/>
      <i/>
      <sz val="16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8"/>
      <name val="Arial"/>
      <family val="2"/>
      <charset val="204"/>
    </font>
    <font>
      <sz val="18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b/>
      <sz val="12"/>
      <color rgb="FFFF0000"/>
      <name val="Calibri"/>
      <family val="2"/>
      <charset val="204"/>
      <scheme val="minor"/>
    </font>
    <font>
      <i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name val="Arial"/>
      <family val="2"/>
      <charset val="204"/>
    </font>
    <font>
      <i/>
      <sz val="10"/>
      <color rgb="FF0070C0"/>
      <name val="Arial"/>
      <family val="2"/>
      <charset val="204"/>
    </font>
    <font>
      <i/>
      <sz val="1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1"/>
      <color rgb="FF002060"/>
      <name val="Arial"/>
      <family val="2"/>
      <charset val="204"/>
    </font>
    <font>
      <sz val="8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1"/>
      <color theme="8" tint="-0.499984740745262"/>
      <name val="Arial"/>
      <family val="2"/>
      <charset val="204"/>
    </font>
    <font>
      <b/>
      <i/>
      <sz val="8"/>
      <color theme="8" tint="-0.499984740745262"/>
      <name val="Arial"/>
      <family val="2"/>
      <charset val="204"/>
    </font>
    <font>
      <b/>
      <i/>
      <sz val="10"/>
      <color theme="8" tint="-0.499984740745262"/>
      <name val="Arial"/>
      <family val="2"/>
      <charset val="204"/>
    </font>
    <font>
      <b/>
      <sz val="8"/>
      <color theme="8" tint="-0.499984740745262"/>
      <name val="Arial"/>
      <family val="2"/>
      <charset val="204"/>
    </font>
    <font>
      <b/>
      <sz val="10"/>
      <color theme="8" tint="-0.499984740745262"/>
      <name val="Arial"/>
      <family val="2"/>
      <charset val="204"/>
    </font>
    <font>
      <sz val="11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b/>
      <sz val="11"/>
      <color rgb="FFFF0000"/>
      <name val="Arial"/>
      <family val="2"/>
      <charset val="204"/>
    </font>
    <font>
      <b/>
      <sz val="18"/>
      <color rgb="FFFFFF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/>
      <sz val="12"/>
      <color rgb="FFFFFF00"/>
      <name val="Times New Roman"/>
      <family val="1"/>
      <charset val="204"/>
    </font>
    <font>
      <sz val="10"/>
      <color rgb="FFFF0000"/>
      <name val="Arial"/>
      <family val="2"/>
      <charset val="204"/>
    </font>
    <font>
      <sz val="8"/>
      <color theme="1"/>
      <name val="Arial"/>
      <family val="2"/>
      <charset val="204"/>
    </font>
    <font>
      <sz val="11"/>
      <name val="Arial"/>
      <family val="2"/>
      <charset val="204"/>
    </font>
    <font>
      <i/>
      <sz val="10"/>
      <name val="Arial"/>
    </font>
    <font>
      <sz val="10"/>
      <color theme="1"/>
      <name val="Arial"/>
    </font>
    <font>
      <i/>
      <sz val="10"/>
      <color theme="1"/>
      <name val="Arial"/>
    </font>
    <font>
      <sz val="10"/>
      <name val="Arial"/>
    </font>
    <font>
      <sz val="11"/>
      <color theme="1"/>
      <name val="Times New Roman"/>
    </font>
    <font>
      <i/>
      <sz val="10"/>
      <color rgb="FF0070C0"/>
      <name val="Arial"/>
    </font>
    <font>
      <sz val="11"/>
      <color theme="1"/>
      <name val="Arial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/>
      <diagonal/>
    </border>
    <border>
      <left/>
      <right/>
      <top/>
      <bottom style="dotted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dotted">
        <color indexed="8"/>
      </left>
      <right/>
      <top/>
      <bottom style="thin">
        <color theme="4" tint="0.39997558519241921"/>
      </bottom>
      <diagonal/>
    </border>
    <border>
      <left style="dotted">
        <color indexed="64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 rgb="4472C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tted">
        <color indexed="8"/>
      </left>
      <right style="dotted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 rgb="4472C4"/>
      </top>
      <bottom style="thin">
        <color theme="4" tint="0.5999938962981048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11">
    <xf numFmtId="0" fontId="0" fillId="0" borderId="0"/>
    <xf numFmtId="0" fontId="7" fillId="0" borderId="0" applyBorder="0" applyProtection="0"/>
    <xf numFmtId="0" fontId="12" fillId="0" borderId="0"/>
    <xf numFmtId="0" fontId="2" fillId="0" borderId="0"/>
    <xf numFmtId="0" fontId="10" fillId="0" borderId="0"/>
    <xf numFmtId="0" fontId="10" fillId="0" borderId="0"/>
    <xf numFmtId="0" fontId="13" fillId="0" borderId="0"/>
    <xf numFmtId="0" fontId="2" fillId="0" borderId="0"/>
    <xf numFmtId="0" fontId="10" fillId="0" borderId="0"/>
    <xf numFmtId="0" fontId="10" fillId="0" borderId="0"/>
    <xf numFmtId="0" fontId="12" fillId="0" borderId="0"/>
  </cellStyleXfs>
  <cellXfs count="888">
    <xf numFmtId="0" fontId="0" fillId="0" borderId="0" xfId="0"/>
    <xf numFmtId="0" fontId="14" fillId="0" borderId="0" xfId="0" applyFont="1"/>
    <xf numFmtId="0" fontId="1" fillId="0" borderId="0" xfId="0" applyFont="1"/>
    <xf numFmtId="49" fontId="1" fillId="0" borderId="1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14" fillId="0" borderId="0" xfId="0" applyNumberFormat="1" applyFont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7" fillId="0" borderId="67" xfId="0" applyFont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" fontId="22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left" vertical="center"/>
    </xf>
    <xf numFmtId="2" fontId="22" fillId="0" borderId="0" xfId="0" applyNumberFormat="1" applyFont="1" applyAlignment="1">
      <alignment horizontal="center" vertical="center"/>
    </xf>
    <xf numFmtId="0" fontId="22" fillId="0" borderId="0" xfId="0" applyFont="1"/>
    <xf numFmtId="164" fontId="14" fillId="0" borderId="0" xfId="0" applyNumberFormat="1" applyFont="1"/>
    <xf numFmtId="4" fontId="6" fillId="0" borderId="10" xfId="0" applyNumberFormat="1" applyFont="1" applyBorder="1" applyAlignment="1">
      <alignment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8" xfId="0" applyNumberFormat="1" applyFont="1" applyBorder="1" applyAlignment="1">
      <alignment horizontal="center" vertical="center"/>
    </xf>
    <xf numFmtId="4" fontId="6" fillId="0" borderId="20" xfId="0" applyNumberFormat="1" applyFont="1" applyBorder="1" applyAlignment="1">
      <alignment horizontal="center" vertical="center"/>
    </xf>
    <xf numFmtId="4" fontId="6" fillId="0" borderId="22" xfId="0" applyNumberFormat="1" applyFont="1" applyBorder="1" applyAlignment="1">
      <alignment horizontal="center" vertical="center"/>
    </xf>
    <xf numFmtId="49" fontId="14" fillId="0" borderId="0" xfId="0" applyNumberFormat="1" applyFont="1" applyAlignment="1">
      <alignment horizontal="center"/>
    </xf>
    <xf numFmtId="0" fontId="23" fillId="0" borderId="1" xfId="0" applyFont="1" applyBorder="1" applyAlignment="1">
      <alignment horizontal="left"/>
    </xf>
    <xf numFmtId="166" fontId="0" fillId="0" borderId="1" xfId="0" applyNumberFormat="1" applyBorder="1"/>
    <xf numFmtId="166" fontId="0" fillId="0" borderId="24" xfId="0" applyNumberFormat="1" applyBorder="1"/>
    <xf numFmtId="0" fontId="0" fillId="0" borderId="1" xfId="0" applyBorder="1"/>
    <xf numFmtId="0" fontId="23" fillId="0" borderId="0" xfId="0" applyFont="1" applyAlignment="1">
      <alignment horizontal="left"/>
    </xf>
    <xf numFmtId="4" fontId="6" fillId="0" borderId="30" xfId="0" applyNumberFormat="1" applyFont="1" applyBorder="1" applyAlignment="1">
      <alignment vertical="center"/>
    </xf>
    <xf numFmtId="4" fontId="6" fillId="0" borderId="31" xfId="0" applyNumberFormat="1" applyFont="1" applyBorder="1" applyAlignment="1">
      <alignment vertical="center"/>
    </xf>
    <xf numFmtId="49" fontId="15" fillId="0" borderId="35" xfId="0" applyNumberFormat="1" applyFont="1" applyBorder="1" applyAlignment="1">
      <alignment horizontal="center"/>
    </xf>
    <xf numFmtId="49" fontId="1" fillId="0" borderId="36" xfId="0" applyNumberFormat="1" applyFont="1" applyBorder="1" applyAlignment="1">
      <alignment horizontal="center" vertical="center" wrapText="1"/>
    </xf>
    <xf numFmtId="0" fontId="27" fillId="0" borderId="0" xfId="0" applyFont="1"/>
    <xf numFmtId="0" fontId="28" fillId="0" borderId="0" xfId="0" applyFont="1"/>
    <xf numFmtId="49" fontId="29" fillId="0" borderId="0" xfId="0" applyNumberFormat="1" applyFont="1"/>
    <xf numFmtId="49" fontId="1" fillId="0" borderId="4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 applyProtection="1">
      <alignment horizontal="center" vertical="center" wrapText="1"/>
      <protection locked="0"/>
    </xf>
    <xf numFmtId="164" fontId="1" fillId="0" borderId="28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35" xfId="0" applyBorder="1"/>
    <xf numFmtId="0" fontId="34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4" fontId="6" fillId="0" borderId="40" xfId="0" applyNumberFormat="1" applyFont="1" applyBorder="1" applyAlignment="1">
      <alignment vertical="center"/>
    </xf>
    <xf numFmtId="0" fontId="15" fillId="0" borderId="4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left"/>
    </xf>
    <xf numFmtId="0" fontId="30" fillId="0" borderId="0" xfId="0" applyFont="1"/>
    <xf numFmtId="0" fontId="1" fillId="0" borderId="4" xfId="0" applyFont="1" applyBorder="1" applyAlignment="1">
      <alignment horizontal="center" vertical="center"/>
    </xf>
    <xf numFmtId="4" fontId="6" fillId="0" borderId="42" xfId="0" applyNumberFormat="1" applyFont="1" applyBorder="1" applyAlignment="1">
      <alignment vertical="center"/>
    </xf>
    <xf numFmtId="4" fontId="6" fillId="0" borderId="4" xfId="0" applyNumberFormat="1" applyFont="1" applyBorder="1" applyAlignment="1">
      <alignment vertical="center"/>
    </xf>
    <xf numFmtId="4" fontId="6" fillId="0" borderId="44" xfId="0" applyNumberFormat="1" applyFont="1" applyBorder="1" applyAlignment="1">
      <alignment vertical="center"/>
    </xf>
    <xf numFmtId="0" fontId="36" fillId="0" borderId="0" xfId="0" applyFont="1"/>
    <xf numFmtId="49" fontId="14" fillId="0" borderId="0" xfId="0" applyNumberFormat="1" applyFont="1"/>
    <xf numFmtId="4" fontId="4" fillId="0" borderId="10" xfId="0" applyNumberFormat="1" applyFont="1" applyBorder="1" applyAlignment="1">
      <alignment vertical="center"/>
    </xf>
    <xf numFmtId="4" fontId="4" fillId="0" borderId="19" xfId="0" applyNumberFormat="1" applyFont="1" applyBorder="1" applyAlignment="1">
      <alignment horizontal="center" vertical="center"/>
    </xf>
    <xf numFmtId="4" fontId="4" fillId="0" borderId="30" xfId="0" applyNumberFormat="1" applyFont="1" applyBorder="1" applyAlignment="1">
      <alignment horizontal="center" vertical="center"/>
    </xf>
    <xf numFmtId="4" fontId="4" fillId="0" borderId="2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33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4" fontId="4" fillId="0" borderId="4" xfId="0" applyNumberFormat="1" applyFont="1" applyBorder="1" applyAlignment="1">
      <alignment horizontal="center" vertical="center"/>
    </xf>
    <xf numFmtId="4" fontId="4" fillId="0" borderId="34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44" xfId="0" applyNumberFormat="1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43" xfId="0" applyNumberFormat="1" applyFont="1" applyBorder="1" applyAlignment="1">
      <alignment horizontal="center" vertical="center"/>
    </xf>
    <xf numFmtId="4" fontId="4" fillId="0" borderId="40" xfId="0" applyNumberFormat="1" applyFont="1" applyBorder="1" applyAlignment="1">
      <alignment horizontal="center" vertical="center"/>
    </xf>
    <xf numFmtId="4" fontId="9" fillId="0" borderId="30" xfId="0" applyNumberFormat="1" applyFont="1" applyBorder="1" applyAlignment="1">
      <alignment vertical="center"/>
    </xf>
    <xf numFmtId="4" fontId="9" fillId="0" borderId="18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vertical="center"/>
    </xf>
    <xf numFmtId="4" fontId="9" fillId="0" borderId="14" xfId="0" applyNumberFormat="1" applyFont="1" applyBorder="1" applyAlignment="1">
      <alignment horizontal="center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4" xfId="0" applyNumberFormat="1" applyFont="1" applyBorder="1" applyAlignment="1">
      <alignment vertical="center"/>
    </xf>
    <xf numFmtId="4" fontId="9" fillId="0" borderId="22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30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4" xfId="0" applyNumberFormat="1" applyFont="1" applyBorder="1" applyAlignment="1">
      <alignment horizontal="center" vertical="center"/>
    </xf>
    <xf numFmtId="4" fontId="9" fillId="0" borderId="34" xfId="0" applyNumberFormat="1" applyFont="1" applyBorder="1" applyAlignment="1">
      <alignment horizontal="center" vertical="center"/>
    </xf>
    <xf numFmtId="4" fontId="9" fillId="0" borderId="40" xfId="0" applyNumberFormat="1" applyFont="1" applyBorder="1" applyAlignment="1">
      <alignment horizontal="center" vertical="center"/>
    </xf>
    <xf numFmtId="4" fontId="4" fillId="0" borderId="49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50" xfId="0" applyNumberFormat="1" applyFont="1" applyBorder="1" applyAlignment="1">
      <alignment horizontal="center" vertical="center"/>
    </xf>
    <xf numFmtId="4" fontId="9" fillId="0" borderId="28" xfId="0" applyNumberFormat="1" applyFont="1" applyBorder="1" applyAlignment="1">
      <alignment horizontal="center" vertical="center"/>
    </xf>
    <xf numFmtId="4" fontId="4" fillId="0" borderId="42" xfId="0" applyNumberFormat="1" applyFont="1" applyBorder="1" applyAlignment="1">
      <alignment horizontal="center" vertical="center"/>
    </xf>
    <xf numFmtId="4" fontId="4" fillId="0" borderId="28" xfId="0" applyNumberFormat="1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49" fontId="0" fillId="0" borderId="0" xfId="0" applyNumberFormat="1"/>
    <xf numFmtId="49" fontId="22" fillId="0" borderId="0" xfId="2" applyNumberFormat="1" applyFont="1"/>
    <xf numFmtId="49" fontId="22" fillId="0" borderId="0" xfId="2" applyNumberFormat="1" applyFont="1" applyAlignment="1">
      <alignment horizontal="center"/>
    </xf>
    <xf numFmtId="0" fontId="31" fillId="4" borderId="38" xfId="0" applyFont="1" applyFill="1" applyBorder="1" applyAlignment="1">
      <alignment horizontal="center" vertical="center"/>
    </xf>
    <xf numFmtId="49" fontId="32" fillId="4" borderId="38" xfId="0" applyNumberFormat="1" applyFont="1" applyFill="1" applyBorder="1" applyAlignment="1">
      <alignment horizontal="center" vertical="center"/>
    </xf>
    <xf numFmtId="0" fontId="32" fillId="4" borderId="39" xfId="0" applyFont="1" applyFill="1" applyBorder="1" applyAlignment="1">
      <alignment horizontal="center" vertical="center" wrapText="1"/>
    </xf>
    <xf numFmtId="0" fontId="31" fillId="4" borderId="39" xfId="0" applyFont="1" applyFill="1" applyBorder="1" applyAlignment="1">
      <alignment horizontal="center" vertical="center" wrapText="1"/>
    </xf>
    <xf numFmtId="0" fontId="33" fillId="4" borderId="39" xfId="0" applyFont="1" applyFill="1" applyBorder="1" applyAlignment="1">
      <alignment horizontal="center" vertical="center"/>
    </xf>
    <xf numFmtId="0" fontId="33" fillId="4" borderId="38" xfId="0" applyFont="1" applyFill="1" applyBorder="1" applyAlignment="1">
      <alignment horizontal="center" vertical="center"/>
    </xf>
    <xf numFmtId="0" fontId="45" fillId="4" borderId="38" xfId="0" applyFont="1" applyFill="1" applyBorder="1" applyAlignment="1">
      <alignment horizontal="center" vertical="center" wrapText="1"/>
    </xf>
    <xf numFmtId="164" fontId="24" fillId="4" borderId="28" xfId="0" applyNumberFormat="1" applyFont="1" applyFill="1" applyBorder="1" applyAlignment="1" applyProtection="1">
      <alignment horizontal="center" vertical="center" wrapText="1"/>
      <protection hidden="1"/>
    </xf>
    <xf numFmtId="1" fontId="44" fillId="4" borderId="10" xfId="0" applyNumberFormat="1" applyFont="1" applyFill="1" applyBorder="1" applyAlignment="1" applyProtection="1">
      <alignment horizontal="center" vertical="center" wrapText="1"/>
      <protection hidden="1"/>
    </xf>
    <xf numFmtId="0" fontId="35" fillId="0" borderId="0" xfId="0" applyFont="1" applyAlignment="1">
      <alignment horizontal="left" vertical="center"/>
    </xf>
    <xf numFmtId="0" fontId="35" fillId="0" borderId="26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14" fillId="0" borderId="26" xfId="0" applyFont="1" applyBorder="1"/>
    <xf numFmtId="49" fontId="29" fillId="0" borderId="26" xfId="0" applyNumberFormat="1" applyFont="1" applyBorder="1"/>
    <xf numFmtId="0" fontId="47" fillId="0" borderId="0" xfId="0" applyFont="1" applyAlignment="1">
      <alignment horizontal="center" vertical="center"/>
    </xf>
    <xf numFmtId="0" fontId="25" fillId="0" borderId="69" xfId="0" applyFont="1" applyBorder="1" applyAlignment="1">
      <alignment horizontal="center"/>
    </xf>
    <xf numFmtId="0" fontId="26" fillId="0" borderId="69" xfId="0" applyFont="1" applyBorder="1" applyAlignment="1">
      <alignment horizontal="left"/>
    </xf>
    <xf numFmtId="166" fontId="30" fillId="0" borderId="69" xfId="0" applyNumberFormat="1" applyFont="1" applyBorder="1" applyAlignment="1">
      <alignment horizontal="center" vertical="center"/>
    </xf>
    <xf numFmtId="0" fontId="50" fillId="0" borderId="68" xfId="0" applyFont="1" applyBorder="1" applyAlignment="1">
      <alignment horizontal="center" vertical="center" wrapText="1"/>
    </xf>
    <xf numFmtId="0" fontId="48" fillId="0" borderId="68" xfId="0" applyFont="1" applyBorder="1" applyAlignment="1">
      <alignment horizontal="center" vertical="center" wrapText="1"/>
    </xf>
    <xf numFmtId="0" fontId="49" fillId="0" borderId="68" xfId="0" applyFont="1" applyBorder="1" applyAlignment="1">
      <alignment horizontal="center" vertical="center" wrapText="1"/>
    </xf>
    <xf numFmtId="0" fontId="48" fillId="0" borderId="68" xfId="0" applyFont="1" applyBorder="1" applyAlignment="1">
      <alignment horizontal="center" vertical="center"/>
    </xf>
    <xf numFmtId="0" fontId="28" fillId="0" borderId="1" xfId="0" applyFont="1" applyBorder="1"/>
    <xf numFmtId="0" fontId="28" fillId="0" borderId="0" xfId="0" applyFont="1" applyAlignment="1">
      <alignment vertical="top"/>
    </xf>
    <xf numFmtId="166" fontId="52" fillId="0" borderId="1" xfId="0" applyNumberFormat="1" applyFont="1" applyBorder="1"/>
    <xf numFmtId="166" fontId="52" fillId="0" borderId="24" xfId="0" applyNumberFormat="1" applyFont="1" applyBorder="1"/>
    <xf numFmtId="166" fontId="52" fillId="0" borderId="25" xfId="0" applyNumberFormat="1" applyFont="1" applyBorder="1"/>
    <xf numFmtId="0" fontId="3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2" fontId="14" fillId="0" borderId="0" xfId="0" applyNumberFormat="1" applyFont="1"/>
    <xf numFmtId="166" fontId="11" fillId="0" borderId="1" xfId="0" applyNumberFormat="1" applyFont="1" applyBorder="1"/>
    <xf numFmtId="166" fontId="30" fillId="0" borderId="69" xfId="0" applyNumberFormat="1" applyFont="1" applyBorder="1" applyAlignment="1">
      <alignment horizontal="right"/>
    </xf>
    <xf numFmtId="0" fontId="35" fillId="0" borderId="0" xfId="0" applyFont="1" applyAlignment="1">
      <alignment vertical="center"/>
    </xf>
    <xf numFmtId="0" fontId="0" fillId="0" borderId="0" xfId="0" applyProtection="1">
      <protection locked="0"/>
    </xf>
    <xf numFmtId="0" fontId="23" fillId="0" borderId="0" xfId="0" applyFont="1" applyAlignment="1" applyProtection="1">
      <alignment horizontal="left"/>
      <protection locked="0"/>
    </xf>
    <xf numFmtId="166" fontId="0" fillId="0" borderId="24" xfId="0" applyNumberFormat="1" applyBorder="1" applyProtection="1">
      <protection locked="0"/>
    </xf>
    <xf numFmtId="0" fontId="14" fillId="0" borderId="0" xfId="0" applyFont="1" applyProtection="1">
      <protection locked="0"/>
    </xf>
    <xf numFmtId="0" fontId="35" fillId="0" borderId="0" xfId="0" applyFont="1" applyAlignment="1" applyProtection="1">
      <alignment vertical="center"/>
      <protection locked="0"/>
    </xf>
    <xf numFmtId="0" fontId="2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35" fillId="0" borderId="0" xfId="0" applyFont="1" applyAlignment="1" applyProtection="1">
      <alignment horizontal="center" vertical="center"/>
      <protection locked="0"/>
    </xf>
    <xf numFmtId="49" fontId="29" fillId="0" borderId="0" xfId="0" applyNumberFormat="1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vertical="top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35" fillId="0" borderId="26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4" fontId="20" fillId="0" borderId="0" xfId="0" applyNumberFormat="1" applyFont="1" applyAlignment="1" applyProtection="1">
      <alignment horizontal="center" vertical="center" wrapText="1"/>
      <protection locked="0"/>
    </xf>
    <xf numFmtId="164" fontId="20" fillId="0" borderId="0" xfId="0" applyNumberFormat="1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/>
      <protection locked="0"/>
    </xf>
    <xf numFmtId="164" fontId="19" fillId="0" borderId="0" xfId="0" applyNumberFormat="1" applyFont="1" applyAlignment="1" applyProtection="1">
      <alignment horizontal="center" vertical="center" wrapText="1"/>
      <protection locked="0"/>
    </xf>
    <xf numFmtId="1" fontId="19" fillId="0" borderId="0" xfId="0" applyNumberFormat="1" applyFont="1" applyAlignment="1" applyProtection="1">
      <alignment horizontal="center" vertical="center" wrapText="1"/>
      <protection locked="0"/>
    </xf>
    <xf numFmtId="2" fontId="20" fillId="0" borderId="0" xfId="0" applyNumberFormat="1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18" fillId="0" borderId="9" xfId="0" applyFont="1" applyBorder="1" applyProtection="1">
      <protection locked="0"/>
    </xf>
    <xf numFmtId="0" fontId="20" fillId="0" borderId="9" xfId="0" applyFont="1" applyBorder="1" applyProtection="1">
      <protection locked="0"/>
    </xf>
    <xf numFmtId="0" fontId="20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2" fillId="0" borderId="0" xfId="0" applyFont="1" applyAlignment="1" applyProtection="1">
      <alignment horizontal="left" vertical="center"/>
      <protection locked="0"/>
    </xf>
    <xf numFmtId="49" fontId="22" fillId="0" borderId="0" xfId="0" applyNumberFormat="1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4" fontId="22" fillId="0" borderId="0" xfId="0" applyNumberFormat="1" applyFont="1" applyAlignment="1" applyProtection="1">
      <alignment horizontal="center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2" fontId="22" fillId="0" borderId="0" xfId="0" applyNumberFormat="1" applyFont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37" fillId="0" borderId="0" xfId="0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center" vertical="center"/>
      <protection locked="0"/>
    </xf>
    <xf numFmtId="168" fontId="37" fillId="0" borderId="0" xfId="0" applyNumberFormat="1" applyFont="1" applyAlignment="1" applyProtection="1">
      <alignment horizontal="center" vertical="center"/>
      <protection locked="0"/>
    </xf>
    <xf numFmtId="164" fontId="20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18" fillId="0" borderId="0" xfId="0" applyNumberFormat="1" applyFont="1" applyAlignment="1" applyProtection="1">
      <alignment horizontal="left" vertical="center"/>
      <protection locked="0"/>
    </xf>
    <xf numFmtId="168" fontId="18" fillId="0" borderId="0" xfId="0" applyNumberFormat="1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left" vertical="center"/>
      <protection locked="0"/>
    </xf>
    <xf numFmtId="168" fontId="37" fillId="0" borderId="0" xfId="0" applyNumberFormat="1" applyFont="1" applyAlignment="1" applyProtection="1">
      <alignment horizontal="left" vertical="center"/>
      <protection locked="0"/>
    </xf>
    <xf numFmtId="164" fontId="20" fillId="0" borderId="0" xfId="0" applyNumberFormat="1" applyFont="1" applyAlignment="1" applyProtection="1">
      <alignment horizontal="left" vertical="center"/>
      <protection locked="0"/>
    </xf>
    <xf numFmtId="0" fontId="39" fillId="0" borderId="46" xfId="0" applyFont="1" applyBorder="1" applyAlignment="1" applyProtection="1">
      <alignment vertical="center" wrapText="1"/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49" fontId="14" fillId="0" borderId="4" xfId="0" applyNumberFormat="1" applyFont="1" applyBorder="1" applyAlignment="1" applyProtection="1">
      <alignment horizontal="center" vertical="center"/>
      <protection locked="0"/>
    </xf>
    <xf numFmtId="49" fontId="1" fillId="0" borderId="4" xfId="0" applyNumberFormat="1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31" fillId="4" borderId="37" xfId="0" applyFont="1" applyFill="1" applyBorder="1" applyAlignment="1">
      <alignment horizontal="center" vertical="center"/>
    </xf>
    <xf numFmtId="49" fontId="1" fillId="0" borderId="25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164" fontId="24" fillId="0" borderId="28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49" fontId="14" fillId="0" borderId="28" xfId="0" applyNumberFormat="1" applyFont="1" applyBorder="1" applyAlignment="1" applyProtection="1">
      <alignment horizontal="center" vertical="center"/>
      <protection locked="0"/>
    </xf>
    <xf numFmtId="164" fontId="1" fillId="0" borderId="28" xfId="0" applyNumberFormat="1" applyFont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vertical="center" wrapText="1"/>
      <protection locked="0"/>
    </xf>
    <xf numFmtId="4" fontId="6" fillId="0" borderId="4" xfId="0" applyNumberFormat="1" applyFont="1" applyBorder="1" applyAlignment="1">
      <alignment horizontal="center" vertical="center"/>
    </xf>
    <xf numFmtId="4" fontId="4" fillId="0" borderId="52" xfId="0" applyNumberFormat="1" applyFont="1" applyBorder="1" applyAlignment="1">
      <alignment horizontal="center" vertical="center"/>
    </xf>
    <xf numFmtId="4" fontId="6" fillId="0" borderId="28" xfId="0" applyNumberFormat="1" applyFont="1" applyBorder="1" applyAlignment="1">
      <alignment vertical="center"/>
    </xf>
    <xf numFmtId="4" fontId="6" fillId="0" borderId="50" xfId="0" applyNumberFormat="1" applyFont="1" applyBorder="1" applyAlignment="1">
      <alignment horizontal="center" vertical="center"/>
    </xf>
    <xf numFmtId="4" fontId="4" fillId="0" borderId="1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49" fontId="1" fillId="0" borderId="0" xfId="0" applyNumberFormat="1" applyFont="1" applyAlignment="1">
      <alignment horizontal="center" vertical="center" wrapText="1"/>
    </xf>
    <xf numFmtId="49" fontId="32" fillId="4" borderId="39" xfId="0" applyNumberFormat="1" applyFont="1" applyFill="1" applyBorder="1" applyAlignment="1">
      <alignment horizontal="center" vertical="center" wrapText="1"/>
    </xf>
    <xf numFmtId="49" fontId="14" fillId="0" borderId="0" xfId="0" applyNumberFormat="1" applyFont="1" applyAlignment="1">
      <alignment vertical="center"/>
    </xf>
    <xf numFmtId="0" fontId="33" fillId="4" borderId="39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/>
    </xf>
    <xf numFmtId="0" fontId="55" fillId="4" borderId="38" xfId="0" applyFont="1" applyFill="1" applyBorder="1" applyAlignment="1">
      <alignment horizontal="center" vertical="center"/>
    </xf>
    <xf numFmtId="0" fontId="56" fillId="0" borderId="4" xfId="0" applyFont="1" applyBorder="1" applyAlignment="1">
      <alignment horizontal="center" vertical="center"/>
    </xf>
    <xf numFmtId="165" fontId="56" fillId="0" borderId="0" xfId="0" applyNumberFormat="1" applyFont="1" applyAlignment="1">
      <alignment horizontal="center" vertical="center"/>
    </xf>
    <xf numFmtId="2" fontId="53" fillId="0" borderId="0" xfId="0" applyNumberFormat="1" applyFont="1" applyAlignment="1">
      <alignment vertical="center"/>
    </xf>
    <xf numFmtId="4" fontId="57" fillId="0" borderId="0" xfId="0" applyNumberFormat="1" applyFont="1" applyAlignment="1">
      <alignment horizontal="center" vertical="center"/>
    </xf>
    <xf numFmtId="0" fontId="39" fillId="0" borderId="45" xfId="0" applyFont="1" applyBorder="1" applyAlignment="1" applyProtection="1">
      <alignment vertical="center" wrapText="1"/>
      <protection locked="0"/>
    </xf>
    <xf numFmtId="4" fontId="9" fillId="0" borderId="28" xfId="0" applyNumberFormat="1" applyFont="1" applyBorder="1" applyAlignment="1">
      <alignment vertical="center"/>
    </xf>
    <xf numFmtId="0" fontId="22" fillId="0" borderId="45" xfId="0" applyFont="1" applyBorder="1" applyAlignment="1" applyProtection="1">
      <alignment horizontal="left" vertical="center"/>
      <protection locked="0"/>
    </xf>
    <xf numFmtId="4" fontId="9" fillId="0" borderId="60" xfId="0" applyNumberFormat="1" applyFont="1" applyBorder="1" applyAlignment="1">
      <alignment horizontal="center" vertical="center"/>
    </xf>
    <xf numFmtId="0" fontId="14" fillId="0" borderId="28" xfId="0" applyFont="1" applyBorder="1" applyAlignment="1" applyProtection="1">
      <alignment horizontal="center" vertical="center"/>
      <protection locked="0"/>
    </xf>
    <xf numFmtId="49" fontId="2" fillId="0" borderId="28" xfId="0" applyNumberFormat="1" applyFont="1" applyBorder="1" applyAlignment="1" applyProtection="1">
      <alignment horizontal="center" vertical="center" wrapText="1"/>
      <protection locked="0"/>
    </xf>
    <xf numFmtId="49" fontId="1" fillId="0" borderId="28" xfId="0" applyNumberFormat="1" applyFont="1" applyBorder="1" applyAlignment="1" applyProtection="1">
      <alignment horizontal="center" vertical="center" wrapText="1"/>
      <protection locked="0"/>
    </xf>
    <xf numFmtId="49" fontId="2" fillId="0" borderId="4" xfId="0" applyNumberFormat="1" applyFont="1" applyBorder="1" applyAlignment="1" applyProtection="1">
      <alignment horizontal="center" vertical="center" wrapText="1"/>
      <protection locked="0"/>
    </xf>
    <xf numFmtId="0" fontId="53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9" fontId="18" fillId="0" borderId="0" xfId="0" applyNumberFormat="1" applyFont="1" applyAlignment="1">
      <alignment horizontal="center" vertical="center" wrapText="1"/>
    </xf>
    <xf numFmtId="2" fontId="18" fillId="0" borderId="0" xfId="0" applyNumberFormat="1" applyFont="1" applyAlignment="1">
      <alignment horizontal="center" vertical="center" wrapText="1"/>
    </xf>
    <xf numFmtId="0" fontId="59" fillId="0" borderId="0" xfId="0" applyFont="1" applyAlignment="1" applyProtection="1">
      <alignment vertical="top"/>
      <protection locked="0"/>
    </xf>
    <xf numFmtId="0" fontId="59" fillId="0" borderId="0" xfId="0" applyFont="1" applyProtection="1">
      <protection locked="0"/>
    </xf>
    <xf numFmtId="0" fontId="61" fillId="0" borderId="0" xfId="0" applyFont="1" applyAlignment="1" applyProtection="1">
      <alignment horizontal="center" vertical="center"/>
      <protection locked="0"/>
    </xf>
    <xf numFmtId="49" fontId="61" fillId="0" borderId="0" xfId="0" applyNumberFormat="1" applyFont="1" applyProtection="1">
      <protection locked="0"/>
    </xf>
    <xf numFmtId="0" fontId="61" fillId="0" borderId="26" xfId="0" applyFont="1" applyBorder="1" applyAlignment="1" applyProtection="1">
      <alignment horizontal="center" vertical="center"/>
      <protection locked="0"/>
    </xf>
    <xf numFmtId="0" fontId="59" fillId="0" borderId="26" xfId="0" applyFont="1" applyBorder="1" applyProtection="1">
      <protection locked="0"/>
    </xf>
    <xf numFmtId="49" fontId="61" fillId="0" borderId="26" xfId="0" applyNumberFormat="1" applyFont="1" applyBorder="1" applyProtection="1">
      <protection locked="0"/>
    </xf>
    <xf numFmtId="164" fontId="62" fillId="0" borderId="28" xfId="0" applyNumberFormat="1" applyFont="1" applyBorder="1" applyAlignment="1">
      <alignment horizontal="center" vertical="center" wrapText="1"/>
    </xf>
    <xf numFmtId="0" fontId="26" fillId="0" borderId="26" xfId="0" applyFont="1" applyBorder="1" applyAlignment="1">
      <alignment horizontal="left"/>
    </xf>
    <xf numFmtId="0" fontId="25" fillId="0" borderId="26" xfId="0" applyFont="1" applyBorder="1"/>
    <xf numFmtId="0" fontId="25" fillId="0" borderId="0" xfId="0" applyFont="1" applyProtection="1">
      <protection locked="0"/>
    </xf>
    <xf numFmtId="0" fontId="25" fillId="0" borderId="26" xfId="0" applyFont="1" applyBorder="1" applyProtection="1">
      <protection locked="0"/>
    </xf>
    <xf numFmtId="0" fontId="64" fillId="0" borderId="0" xfId="0" applyFont="1" applyProtection="1">
      <protection locked="0"/>
    </xf>
    <xf numFmtId="0" fontId="60" fillId="0" borderId="0" xfId="0" applyFont="1" applyProtection="1">
      <protection locked="0"/>
    </xf>
    <xf numFmtId="0" fontId="16" fillId="3" borderId="2" xfId="0" applyFont="1" applyFill="1" applyBorder="1" applyAlignment="1">
      <alignment horizontal="left" vertical="center" wrapText="1"/>
    </xf>
    <xf numFmtId="0" fontId="4" fillId="5" borderId="70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69" fontId="4" fillId="0" borderId="30" xfId="0" applyNumberFormat="1" applyFont="1" applyBorder="1" applyAlignment="1">
      <alignment horizontal="center" vertical="center"/>
    </xf>
    <xf numFmtId="169" fontId="4" fillId="0" borderId="10" xfId="0" applyNumberFormat="1" applyFont="1" applyBorder="1" applyAlignment="1">
      <alignment horizontal="center" vertical="center"/>
    </xf>
    <xf numFmtId="169" fontId="4" fillId="0" borderId="4" xfId="0" applyNumberFormat="1" applyFont="1" applyBorder="1" applyAlignment="1">
      <alignment horizontal="center" vertical="center"/>
    </xf>
    <xf numFmtId="169" fontId="4" fillId="0" borderId="40" xfId="0" applyNumberFormat="1" applyFont="1" applyBorder="1" applyAlignment="1">
      <alignment horizontal="center" vertical="center"/>
    </xf>
    <xf numFmtId="169" fontId="4" fillId="0" borderId="11" xfId="0" applyNumberFormat="1" applyFont="1" applyBorder="1" applyAlignment="1">
      <alignment horizontal="center" vertical="center"/>
    </xf>
    <xf numFmtId="169" fontId="4" fillId="0" borderId="28" xfId="0" applyNumberFormat="1" applyFont="1" applyBorder="1" applyAlignment="1">
      <alignment horizontal="center" vertical="center"/>
    </xf>
    <xf numFmtId="169" fontId="4" fillId="0" borderId="34" xfId="0" applyNumberFormat="1" applyFont="1" applyBorder="1" applyAlignment="1">
      <alignment horizontal="center" vertical="center"/>
    </xf>
    <xf numFmtId="169" fontId="6" fillId="0" borderId="30" xfId="0" applyNumberFormat="1" applyFont="1" applyBorder="1" applyAlignment="1">
      <alignment horizontal="center" vertical="center"/>
    </xf>
    <xf numFmtId="169" fontId="6" fillId="0" borderId="10" xfId="0" applyNumberFormat="1" applyFont="1" applyBorder="1" applyAlignment="1">
      <alignment horizontal="center" vertical="center"/>
    </xf>
    <xf numFmtId="169" fontId="6" fillId="0" borderId="4" xfId="0" applyNumberFormat="1" applyFont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4" fontId="6" fillId="0" borderId="72" xfId="0" applyNumberFormat="1" applyFont="1" applyBorder="1" applyAlignment="1">
      <alignment horizontal="center" vertical="center"/>
    </xf>
    <xf numFmtId="4" fontId="6" fillId="0" borderId="73" xfId="0" applyNumberFormat="1" applyFont="1" applyBorder="1" applyAlignment="1">
      <alignment horizontal="center" vertical="center"/>
    </xf>
    <xf numFmtId="4" fontId="6" fillId="0" borderId="48" xfId="0" applyNumberFormat="1" applyFont="1" applyBorder="1" applyAlignment="1">
      <alignment horizontal="center" vertical="center"/>
    </xf>
    <xf numFmtId="4" fontId="18" fillId="0" borderId="47" xfId="0" applyNumberFormat="1" applyFont="1" applyBorder="1" applyAlignment="1">
      <alignment horizontal="center" vertical="center" textRotation="90" wrapText="1"/>
    </xf>
    <xf numFmtId="164" fontId="18" fillId="0" borderId="8" xfId="0" applyNumberFormat="1" applyFont="1" applyBorder="1" applyAlignment="1">
      <alignment horizontal="center" vertical="center" textRotation="90" wrapText="1"/>
    </xf>
    <xf numFmtId="4" fontId="18" fillId="0" borderId="21" xfId="0" applyNumberFormat="1" applyFont="1" applyBorder="1" applyAlignment="1">
      <alignment horizontal="center" vertical="center" textRotation="90" wrapText="1"/>
    </xf>
    <xf numFmtId="4" fontId="18" fillId="0" borderId="51" xfId="0" applyNumberFormat="1" applyFont="1" applyBorder="1" applyAlignment="1">
      <alignment horizontal="center" vertical="center" textRotation="90" wrapText="1"/>
    </xf>
    <xf numFmtId="4" fontId="6" fillId="0" borderId="30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74" xfId="0" applyNumberFormat="1" applyFont="1" applyBorder="1" applyAlignment="1">
      <alignment horizontal="center" vertical="center"/>
    </xf>
    <xf numFmtId="164" fontId="62" fillId="0" borderId="10" xfId="0" applyNumberFormat="1" applyFont="1" applyBorder="1" applyAlignment="1">
      <alignment horizontal="center" vertical="center" wrapText="1"/>
    </xf>
    <xf numFmtId="2" fontId="66" fillId="4" borderId="38" xfId="0" applyNumberFormat="1" applyFont="1" applyFill="1" applyBorder="1" applyAlignment="1">
      <alignment horizontal="center" vertical="center"/>
    </xf>
    <xf numFmtId="2" fontId="62" fillId="0" borderId="10" xfId="0" applyNumberFormat="1" applyFont="1" applyBorder="1" applyAlignment="1">
      <alignment horizontal="center" vertical="center" wrapText="1"/>
    </xf>
    <xf numFmtId="0" fontId="67" fillId="0" borderId="0" xfId="0" applyFont="1"/>
    <xf numFmtId="2" fontId="33" fillId="4" borderId="38" xfId="0" applyNumberFormat="1" applyFont="1" applyFill="1" applyBorder="1" applyAlignment="1">
      <alignment horizontal="center" vertical="center"/>
    </xf>
    <xf numFmtId="0" fontId="26" fillId="0" borderId="0" xfId="0" applyFont="1" applyAlignment="1" applyProtection="1">
      <alignment horizontal="left"/>
      <protection locked="0"/>
    </xf>
    <xf numFmtId="14" fontId="14" fillId="0" borderId="0" xfId="0" applyNumberFormat="1" applyFont="1"/>
    <xf numFmtId="0" fontId="41" fillId="0" borderId="0" xfId="0" applyFont="1" applyAlignment="1" applyProtection="1">
      <alignment vertical="center" wrapText="1"/>
      <protection locked="0"/>
    </xf>
    <xf numFmtId="0" fontId="63" fillId="0" borderId="4" xfId="0" applyFont="1" applyBorder="1" applyAlignment="1">
      <alignment horizontal="center" vertical="center"/>
    </xf>
    <xf numFmtId="164" fontId="62" fillId="0" borderId="4" xfId="0" applyNumberFormat="1" applyFont="1" applyBorder="1" applyAlignment="1" applyProtection="1">
      <alignment horizontal="center" vertical="center" wrapText="1"/>
      <protection locked="0"/>
    </xf>
    <xf numFmtId="171" fontId="33" fillId="9" borderId="4" xfId="0" applyNumberFormat="1" applyFont="1" applyFill="1" applyBorder="1" applyAlignment="1">
      <alignment horizontal="center" vertical="center"/>
    </xf>
    <xf numFmtId="4" fontId="6" fillId="0" borderId="28" xfId="0" applyNumberFormat="1" applyFont="1" applyBorder="1" applyAlignment="1">
      <alignment horizontal="center" vertical="center"/>
    </xf>
    <xf numFmtId="4" fontId="4" fillId="0" borderId="65" xfId="0" applyNumberFormat="1" applyFont="1" applyBorder="1" applyAlignment="1">
      <alignment horizontal="center" vertical="center"/>
    </xf>
    <xf numFmtId="0" fontId="22" fillId="0" borderId="45" xfId="0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 vertical="center"/>
    </xf>
    <xf numFmtId="0" fontId="22" fillId="0" borderId="75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4" fontId="6" fillId="0" borderId="76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4" fillId="0" borderId="31" xfId="0" applyNumberFormat="1" applyFont="1" applyBorder="1" applyAlignment="1">
      <alignment horizontal="center" vertical="center"/>
    </xf>
    <xf numFmtId="4" fontId="9" fillId="0" borderId="73" xfId="0" applyNumberFormat="1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44" xfId="0" applyFont="1" applyBorder="1" applyAlignment="1">
      <alignment horizontal="center" vertical="center"/>
    </xf>
    <xf numFmtId="4" fontId="6" fillId="0" borderId="60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4" fontId="9" fillId="0" borderId="72" xfId="0" applyNumberFormat="1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2" fontId="18" fillId="0" borderId="21" xfId="0" applyNumberFormat="1" applyFont="1" applyBorder="1" applyAlignment="1">
      <alignment horizontal="center" vertical="center" textRotation="90" wrapText="1"/>
    </xf>
    <xf numFmtId="0" fontId="22" fillId="0" borderId="34" xfId="0" applyFont="1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4" fontId="6" fillId="0" borderId="42" xfId="0" applyNumberFormat="1" applyFont="1" applyBorder="1" applyAlignment="1">
      <alignment horizontal="center" vertical="center"/>
    </xf>
    <xf numFmtId="4" fontId="6" fillId="0" borderId="40" xfId="0" applyNumberFormat="1" applyFont="1" applyBorder="1" applyAlignment="1">
      <alignment horizontal="center" vertical="center"/>
    </xf>
    <xf numFmtId="0" fontId="22" fillId="0" borderId="63" xfId="0" applyFont="1" applyBorder="1" applyAlignment="1">
      <alignment horizontal="center" vertical="center"/>
    </xf>
    <xf numFmtId="4" fontId="6" fillId="0" borderId="32" xfId="0" applyNumberFormat="1" applyFont="1" applyBorder="1" applyAlignment="1">
      <alignment horizontal="center" vertical="center"/>
    </xf>
    <xf numFmtId="4" fontId="6" fillId="0" borderId="34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44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13" xfId="0" applyNumberFormat="1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4" fontId="6" fillId="0" borderId="4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0" fontId="22" fillId="0" borderId="78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4" fontId="6" fillId="0" borderId="31" xfId="0" applyNumberFormat="1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79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65" xfId="0" applyNumberFormat="1" applyFont="1" applyBorder="1" applyAlignment="1">
      <alignment horizontal="center" vertical="center"/>
    </xf>
    <xf numFmtId="0" fontId="22" fillId="0" borderId="65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5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46" xfId="0" applyFont="1" applyBorder="1" applyAlignment="1" applyProtection="1">
      <alignment horizontal="left" vertical="center"/>
      <protection locked="0"/>
    </xf>
    <xf numFmtId="2" fontId="71" fillId="0" borderId="44" xfId="0" applyNumberFormat="1" applyFont="1" applyBorder="1" applyAlignment="1">
      <alignment horizontal="center" vertical="center"/>
    </xf>
    <xf numFmtId="2" fontId="71" fillId="0" borderId="81" xfId="0" applyNumberFormat="1" applyFont="1" applyBorder="1" applyAlignment="1">
      <alignment horizontal="center" vertical="center"/>
    </xf>
    <xf numFmtId="0" fontId="71" fillId="0" borderId="4" xfId="0" applyFont="1" applyBorder="1" applyAlignment="1">
      <alignment horizontal="center" vertical="center"/>
    </xf>
    <xf numFmtId="2" fontId="71" fillId="0" borderId="80" xfId="0" applyNumberFormat="1" applyFont="1" applyBorder="1" applyAlignment="1">
      <alignment horizontal="center" vertical="center"/>
    </xf>
    <xf numFmtId="2" fontId="71" fillId="0" borderId="71" xfId="0" applyNumberFormat="1" applyFont="1" applyBorder="1" applyAlignment="1">
      <alignment horizontal="center" vertical="center"/>
    </xf>
    <xf numFmtId="2" fontId="71" fillId="0" borderId="0" xfId="0" applyNumberFormat="1" applyFont="1" applyAlignment="1">
      <alignment horizontal="center" vertical="center"/>
    </xf>
    <xf numFmtId="2" fontId="71" fillId="0" borderId="9" xfId="0" applyNumberFormat="1" applyFont="1" applyBorder="1" applyAlignment="1">
      <alignment horizontal="center" vertical="center"/>
    </xf>
    <xf numFmtId="2" fontId="71" fillId="0" borderId="13" xfId="0" applyNumberFormat="1" applyFont="1" applyBorder="1" applyAlignment="1">
      <alignment horizontal="center" vertical="center"/>
    </xf>
    <xf numFmtId="0" fontId="71" fillId="0" borderId="44" xfId="0" applyFont="1" applyBorder="1" applyAlignment="1">
      <alignment horizontal="center" vertical="center"/>
    </xf>
    <xf numFmtId="0" fontId="71" fillId="0" borderId="65" xfId="0" applyFont="1" applyBorder="1" applyAlignment="1">
      <alignment horizontal="center" vertical="center"/>
    </xf>
    <xf numFmtId="0" fontId="71" fillId="0" borderId="31" xfId="0" applyFont="1" applyBorder="1" applyAlignment="1">
      <alignment horizontal="center" vertical="center"/>
    </xf>
    <xf numFmtId="0" fontId="71" fillId="0" borderId="15" xfId="0" applyFont="1" applyBorder="1" applyAlignment="1">
      <alignment horizontal="center" vertical="center"/>
    </xf>
    <xf numFmtId="0" fontId="71" fillId="0" borderId="19" xfId="0" applyFont="1" applyBorder="1" applyAlignment="1">
      <alignment horizontal="center" vertical="center"/>
    </xf>
    <xf numFmtId="0" fontId="71" fillId="0" borderId="23" xfId="0" applyFont="1" applyBorder="1" applyAlignment="1">
      <alignment horizontal="center" vertical="center"/>
    </xf>
    <xf numFmtId="0" fontId="71" fillId="0" borderId="49" xfId="0" applyFont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1" fillId="0" borderId="52" xfId="0" applyFont="1" applyBorder="1" applyAlignment="1">
      <alignment horizontal="center" vertical="center"/>
    </xf>
    <xf numFmtId="0" fontId="71" fillId="0" borderId="29" xfId="0" applyFont="1" applyBorder="1" applyAlignment="1">
      <alignment horizontal="center" vertical="center"/>
    </xf>
    <xf numFmtId="0" fontId="21" fillId="0" borderId="0" xfId="0" applyFont="1" applyAlignment="1" applyProtection="1">
      <alignment horizontal="center" vertical="center"/>
      <protection locked="0"/>
    </xf>
    <xf numFmtId="4" fontId="18" fillId="0" borderId="51" xfId="0" applyNumberFormat="1" applyFont="1" applyBorder="1" applyAlignment="1" applyProtection="1">
      <alignment horizontal="center" vertical="center" textRotation="90" wrapText="1"/>
      <protection locked="0"/>
    </xf>
    <xf numFmtId="164" fontId="18" fillId="0" borderId="8" xfId="0" applyNumberFormat="1" applyFont="1" applyBorder="1" applyAlignment="1" applyProtection="1">
      <alignment horizontal="center" vertical="center" textRotation="90" wrapText="1"/>
      <protection locked="0"/>
    </xf>
    <xf numFmtId="4" fontId="18" fillId="0" borderId="21" xfId="0" applyNumberFormat="1" applyFont="1" applyBorder="1" applyAlignment="1" applyProtection="1">
      <alignment horizontal="center" vertical="center" textRotation="90" wrapText="1"/>
      <protection locked="0"/>
    </xf>
    <xf numFmtId="4" fontId="18" fillId="0" borderId="47" xfId="0" applyNumberFormat="1" applyFont="1" applyBorder="1" applyAlignment="1" applyProtection="1">
      <alignment horizontal="center" vertical="center" textRotation="90" wrapText="1"/>
      <protection locked="0"/>
    </xf>
    <xf numFmtId="2" fontId="18" fillId="0" borderId="21" xfId="0" applyNumberFormat="1" applyFont="1" applyBorder="1" applyAlignment="1" applyProtection="1">
      <alignment horizontal="center" vertical="center" textRotation="90" wrapText="1"/>
      <protection locked="0"/>
    </xf>
    <xf numFmtId="4" fontId="4" fillId="0" borderId="19" xfId="0" applyNumberFormat="1" applyFont="1" applyBorder="1" applyAlignment="1" applyProtection="1">
      <alignment horizontal="center" vertical="center"/>
      <protection locked="0"/>
    </xf>
    <xf numFmtId="169" fontId="4" fillId="0" borderId="30" xfId="0" applyNumberFormat="1" applyFont="1" applyBorder="1" applyAlignment="1" applyProtection="1">
      <alignment horizontal="center" vertical="center"/>
      <protection locked="0"/>
    </xf>
    <xf numFmtId="4" fontId="9" fillId="0" borderId="30" xfId="0" applyNumberFormat="1" applyFont="1" applyBorder="1" applyAlignment="1" applyProtection="1">
      <alignment vertical="center"/>
      <protection locked="0"/>
    </xf>
    <xf numFmtId="4" fontId="9" fillId="0" borderId="18" xfId="0" applyNumberFormat="1" applyFont="1" applyBorder="1" applyAlignment="1" applyProtection="1">
      <alignment horizontal="center" vertical="center"/>
      <protection locked="0"/>
    </xf>
    <xf numFmtId="4" fontId="4" fillId="0" borderId="31" xfId="0" applyNumberFormat="1" applyFont="1" applyBorder="1" applyAlignment="1" applyProtection="1">
      <alignment horizontal="center" vertical="center"/>
      <protection locked="0"/>
    </xf>
    <xf numFmtId="4" fontId="6" fillId="0" borderId="30" xfId="0" applyNumberFormat="1" applyFont="1" applyBorder="1" applyAlignment="1" applyProtection="1">
      <alignment vertical="center"/>
      <protection locked="0"/>
    </xf>
    <xf numFmtId="4" fontId="6" fillId="0" borderId="18" xfId="0" applyNumberFormat="1" applyFont="1" applyBorder="1" applyAlignment="1" applyProtection="1">
      <alignment horizontal="center" vertical="center"/>
      <protection locked="0"/>
    </xf>
    <xf numFmtId="4" fontId="6" fillId="0" borderId="31" xfId="0" applyNumberFormat="1" applyFont="1" applyBorder="1" applyAlignment="1" applyProtection="1">
      <alignment vertical="center"/>
      <protection locked="0"/>
    </xf>
    <xf numFmtId="4" fontId="6" fillId="0" borderId="72" xfId="0" applyNumberFormat="1" applyFont="1" applyBorder="1" applyAlignment="1" applyProtection="1">
      <alignment horizontal="center" vertical="center"/>
      <protection locked="0"/>
    </xf>
    <xf numFmtId="4" fontId="4" fillId="0" borderId="30" xfId="0" applyNumberFormat="1" applyFont="1" applyBorder="1" applyAlignment="1" applyProtection="1">
      <alignment horizontal="center" vertical="center"/>
      <protection locked="0"/>
    </xf>
    <xf numFmtId="4" fontId="9" fillId="0" borderId="30" xfId="0" applyNumberFormat="1" applyFont="1" applyBorder="1" applyAlignment="1" applyProtection="1">
      <alignment horizontal="center" vertical="center"/>
      <protection locked="0"/>
    </xf>
    <xf numFmtId="2" fontId="4" fillId="0" borderId="31" xfId="0" applyNumberFormat="1" applyFont="1" applyBorder="1" applyAlignment="1" applyProtection="1">
      <alignment horizontal="center" vertical="center"/>
      <protection locked="0"/>
    </xf>
    <xf numFmtId="4" fontId="4" fillId="0" borderId="23" xfId="0" applyNumberFormat="1" applyFont="1" applyBorder="1" applyAlignment="1" applyProtection="1">
      <alignment horizontal="center" vertical="center"/>
      <protection locked="0"/>
    </xf>
    <xf numFmtId="169" fontId="4" fillId="0" borderId="4" xfId="0" applyNumberFormat="1" applyFont="1" applyBorder="1" applyAlignment="1" applyProtection="1">
      <alignment horizontal="center" vertical="center"/>
      <protection locked="0"/>
    </xf>
    <xf numFmtId="4" fontId="9" fillId="0" borderId="4" xfId="0" applyNumberFormat="1" applyFont="1" applyBorder="1" applyAlignment="1" applyProtection="1">
      <alignment vertical="center"/>
      <protection locked="0"/>
    </xf>
    <xf numFmtId="4" fontId="9" fillId="0" borderId="20" xfId="0" applyNumberFormat="1" applyFont="1" applyBorder="1" applyAlignment="1" applyProtection="1">
      <alignment horizontal="center" vertical="center"/>
      <protection locked="0"/>
    </xf>
    <xf numFmtId="4" fontId="4" fillId="0" borderId="44" xfId="0" applyNumberFormat="1" applyFont="1" applyBorder="1" applyAlignment="1" applyProtection="1">
      <alignment horizontal="center" vertical="center"/>
      <protection locked="0"/>
    </xf>
    <xf numFmtId="4" fontId="6" fillId="0" borderId="4" xfId="0" applyNumberFormat="1" applyFont="1" applyBorder="1" applyAlignment="1" applyProtection="1">
      <alignment vertical="center"/>
      <protection locked="0"/>
    </xf>
    <xf numFmtId="4" fontId="6" fillId="0" borderId="20" xfId="0" applyNumberFormat="1" applyFont="1" applyBorder="1" applyAlignment="1" applyProtection="1">
      <alignment horizontal="center" vertical="center"/>
      <protection locked="0"/>
    </xf>
    <xf numFmtId="4" fontId="6" fillId="0" borderId="13" xfId="0" applyNumberFormat="1" applyFont="1" applyBorder="1" applyAlignment="1" applyProtection="1">
      <alignment vertical="center"/>
      <protection locked="0"/>
    </xf>
    <xf numFmtId="4" fontId="6" fillId="0" borderId="10" xfId="0" applyNumberFormat="1" applyFont="1" applyBorder="1" applyAlignment="1" applyProtection="1">
      <alignment vertical="center"/>
      <protection locked="0"/>
    </xf>
    <xf numFmtId="4" fontId="6" fillId="0" borderId="73" xfId="0" applyNumberFormat="1" applyFont="1" applyBorder="1" applyAlignment="1" applyProtection="1">
      <alignment horizontal="center" vertical="center"/>
      <protection locked="0"/>
    </xf>
    <xf numFmtId="4" fontId="4" fillId="0" borderId="4" xfId="0" applyNumberFormat="1" applyFont="1" applyBorder="1" applyAlignment="1" applyProtection="1">
      <alignment horizontal="center" vertical="center"/>
      <protection locked="0"/>
    </xf>
    <xf numFmtId="4" fontId="9" fillId="0" borderId="4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4" fontId="9" fillId="0" borderId="12" xfId="0" applyNumberFormat="1" applyFont="1" applyBorder="1" applyAlignment="1" applyProtection="1">
      <alignment horizontal="center" vertical="center"/>
      <protection locked="0"/>
    </xf>
    <xf numFmtId="169" fontId="4" fillId="0" borderId="28" xfId="0" applyNumberFormat="1" applyFont="1" applyBorder="1" applyAlignment="1" applyProtection="1">
      <alignment horizontal="center" vertical="center"/>
      <protection locked="0"/>
    </xf>
    <xf numFmtId="2" fontId="4" fillId="0" borderId="23" xfId="0" applyNumberFormat="1" applyFont="1" applyBorder="1" applyAlignment="1" applyProtection="1">
      <alignment horizontal="center" vertical="center"/>
      <protection locked="0"/>
    </xf>
    <xf numFmtId="4" fontId="6" fillId="0" borderId="44" xfId="0" applyNumberFormat="1" applyFont="1" applyBorder="1" applyAlignment="1" applyProtection="1">
      <alignment vertical="center"/>
      <protection locked="0"/>
    </xf>
    <xf numFmtId="4" fontId="6" fillId="0" borderId="22" xfId="0" applyNumberFormat="1" applyFont="1" applyBorder="1" applyAlignment="1" applyProtection="1">
      <alignment horizontal="center" vertical="center"/>
      <protection locked="0"/>
    </xf>
    <xf numFmtId="4" fontId="4" fillId="0" borderId="28" xfId="0" applyNumberFormat="1" applyFont="1" applyBorder="1" applyAlignment="1" applyProtection="1">
      <alignment horizontal="center" vertical="center"/>
      <protection locked="0"/>
    </xf>
    <xf numFmtId="4" fontId="9" fillId="0" borderId="28" xfId="0" applyNumberFormat="1" applyFont="1" applyBorder="1" applyAlignment="1" applyProtection="1">
      <alignment horizontal="center" vertical="center"/>
      <protection locked="0"/>
    </xf>
    <xf numFmtId="4" fontId="9" fillId="0" borderId="50" xfId="0" applyNumberFormat="1" applyFont="1" applyBorder="1" applyAlignment="1" applyProtection="1">
      <alignment horizontal="center" vertical="center"/>
      <protection locked="0"/>
    </xf>
    <xf numFmtId="2" fontId="71" fillId="0" borderId="44" xfId="0" applyNumberFormat="1" applyFont="1" applyBorder="1" applyAlignment="1" applyProtection="1">
      <alignment horizontal="center" vertical="center"/>
      <protection locked="0"/>
    </xf>
    <xf numFmtId="0" fontId="71" fillId="0" borderId="4" xfId="0" applyFont="1" applyBorder="1" applyAlignment="1" applyProtection="1">
      <alignment horizontal="center" vertical="center"/>
      <protection locked="0"/>
    </xf>
    <xf numFmtId="0" fontId="22" fillId="0" borderId="4" xfId="0" applyFont="1" applyBorder="1" applyAlignment="1" applyProtection="1">
      <alignment horizontal="center" vertical="center"/>
      <protection locked="0"/>
    </xf>
    <xf numFmtId="4" fontId="6" fillId="0" borderId="42" xfId="0" applyNumberFormat="1" applyFont="1" applyBorder="1" applyAlignment="1" applyProtection="1">
      <alignment vertical="center"/>
      <protection locked="0"/>
    </xf>
    <xf numFmtId="4" fontId="6" fillId="0" borderId="40" xfId="0" applyNumberFormat="1" applyFont="1" applyBorder="1" applyAlignment="1" applyProtection="1">
      <alignment vertical="center"/>
      <protection locked="0"/>
    </xf>
    <xf numFmtId="4" fontId="6" fillId="0" borderId="48" xfId="0" applyNumberFormat="1" applyFont="1" applyBorder="1" applyAlignment="1" applyProtection="1">
      <alignment horizontal="center" vertical="center"/>
      <protection locked="0"/>
    </xf>
    <xf numFmtId="4" fontId="4" fillId="0" borderId="10" xfId="0" applyNumberFormat="1" applyFont="1" applyBorder="1" applyAlignment="1" applyProtection="1">
      <alignment horizontal="center" vertical="center"/>
      <protection locked="0"/>
    </xf>
    <xf numFmtId="169" fontId="4" fillId="0" borderId="10" xfId="0" applyNumberFormat="1" applyFont="1" applyBorder="1" applyAlignment="1" applyProtection="1">
      <alignment horizontal="center" vertical="center"/>
      <protection locked="0"/>
    </xf>
    <xf numFmtId="4" fontId="9" fillId="0" borderId="10" xfId="0" applyNumberFormat="1" applyFont="1" applyBorder="1" applyAlignment="1" applyProtection="1">
      <alignment horizontal="center" vertical="center"/>
      <protection locked="0"/>
    </xf>
    <xf numFmtId="2" fontId="4" fillId="0" borderId="13" xfId="0" applyNumberFormat="1" applyFont="1" applyBorder="1" applyAlignment="1" applyProtection="1">
      <alignment horizontal="center" vertical="center"/>
      <protection locked="0"/>
    </xf>
    <xf numFmtId="4" fontId="4" fillId="0" borderId="52" xfId="0" applyNumberFormat="1" applyFont="1" applyBorder="1" applyAlignment="1" applyProtection="1">
      <alignment horizontal="center" vertical="center"/>
      <protection locked="0"/>
    </xf>
    <xf numFmtId="4" fontId="9" fillId="0" borderId="28" xfId="0" applyNumberFormat="1" applyFont="1" applyBorder="1" applyAlignment="1" applyProtection="1">
      <alignment vertical="center"/>
      <protection locked="0"/>
    </xf>
    <xf numFmtId="4" fontId="4" fillId="0" borderId="65" xfId="0" applyNumberFormat="1" applyFont="1" applyBorder="1" applyAlignment="1" applyProtection="1">
      <alignment horizontal="center" vertical="center"/>
      <protection locked="0"/>
    </xf>
    <xf numFmtId="4" fontId="6" fillId="0" borderId="28" xfId="0" applyNumberFormat="1" applyFont="1" applyBorder="1" applyAlignment="1" applyProtection="1">
      <alignment vertical="center"/>
      <protection locked="0"/>
    </xf>
    <xf numFmtId="4" fontId="6" fillId="0" borderId="50" xfId="0" applyNumberFormat="1" applyFont="1" applyBorder="1" applyAlignment="1" applyProtection="1">
      <alignment horizontal="center" vertical="center"/>
      <protection locked="0"/>
    </xf>
    <xf numFmtId="2" fontId="71" fillId="0" borderId="81" xfId="0" applyNumberFormat="1" applyFont="1" applyBorder="1" applyAlignment="1" applyProtection="1">
      <alignment horizontal="center" vertical="center"/>
      <protection locked="0"/>
    </xf>
    <xf numFmtId="4" fontId="6" fillId="0" borderId="31" xfId="0" applyNumberFormat="1" applyFont="1" applyBorder="1" applyAlignment="1" applyProtection="1">
      <alignment horizontal="center" vertical="center"/>
      <protection locked="0"/>
    </xf>
    <xf numFmtId="169" fontId="6" fillId="0" borderId="30" xfId="0" applyNumberFormat="1" applyFont="1" applyBorder="1" applyAlignment="1" applyProtection="1">
      <alignment horizontal="center" vertical="center"/>
      <protection locked="0"/>
    </xf>
    <xf numFmtId="4" fontId="6" fillId="0" borderId="30" xfId="0" applyNumberFormat="1" applyFont="1" applyBorder="1" applyAlignment="1" applyProtection="1">
      <alignment horizontal="center" vertical="center"/>
      <protection locked="0"/>
    </xf>
    <xf numFmtId="0" fontId="71" fillId="0" borderId="31" xfId="0" applyFont="1" applyBorder="1" applyAlignment="1" applyProtection="1">
      <alignment horizontal="center" vertical="center"/>
      <protection locked="0"/>
    </xf>
    <xf numFmtId="0" fontId="22" fillId="0" borderId="30" xfId="0" applyFont="1" applyBorder="1" applyAlignment="1" applyProtection="1">
      <alignment horizontal="center" vertical="center"/>
      <protection locked="0"/>
    </xf>
    <xf numFmtId="2" fontId="71" fillId="0" borderId="80" xfId="0" applyNumberFormat="1" applyFont="1" applyBorder="1" applyAlignment="1" applyProtection="1">
      <alignment horizontal="center" vertical="center"/>
      <protection locked="0"/>
    </xf>
    <xf numFmtId="4" fontId="6" fillId="0" borderId="44" xfId="0" applyNumberFormat="1" applyFont="1" applyBorder="1" applyAlignment="1" applyProtection="1">
      <alignment horizontal="center" vertical="center"/>
      <protection locked="0"/>
    </xf>
    <xf numFmtId="169" fontId="6" fillId="0" borderId="4" xfId="0" applyNumberFormat="1" applyFont="1" applyBorder="1" applyAlignment="1" applyProtection="1">
      <alignment horizontal="center" vertical="center"/>
      <protection locked="0"/>
    </xf>
    <xf numFmtId="4" fontId="6" fillId="0" borderId="4" xfId="0" applyNumberFormat="1" applyFont="1" applyBorder="1" applyAlignment="1" applyProtection="1">
      <alignment horizontal="center" vertical="center"/>
      <protection locked="0"/>
    </xf>
    <xf numFmtId="0" fontId="71" fillId="0" borderId="44" xfId="0" applyFont="1" applyBorder="1" applyAlignment="1" applyProtection="1">
      <alignment horizontal="center" vertical="center"/>
      <protection locked="0"/>
    </xf>
    <xf numFmtId="2" fontId="71" fillId="0" borderId="71" xfId="0" applyNumberFormat="1" applyFont="1" applyBorder="1" applyAlignment="1" applyProtection="1">
      <alignment horizontal="center" vertical="center"/>
      <protection locked="0"/>
    </xf>
    <xf numFmtId="4" fontId="4" fillId="0" borderId="43" xfId="0" applyNumberFormat="1" applyFont="1" applyBorder="1" applyAlignment="1" applyProtection="1">
      <alignment horizontal="center" vertical="center"/>
      <protection locked="0"/>
    </xf>
    <xf numFmtId="169" fontId="4" fillId="0" borderId="40" xfId="0" applyNumberFormat="1" applyFont="1" applyBorder="1" applyAlignment="1" applyProtection="1">
      <alignment horizontal="center" vertical="center"/>
      <protection locked="0"/>
    </xf>
    <xf numFmtId="4" fontId="9" fillId="0" borderId="40" xfId="0" applyNumberFormat="1" applyFont="1" applyBorder="1" applyAlignment="1" applyProtection="1">
      <alignment horizontal="center" vertical="center"/>
      <protection locked="0"/>
    </xf>
    <xf numFmtId="4" fontId="9" fillId="0" borderId="14" xfId="0" applyNumberFormat="1" applyFont="1" applyBorder="1" applyAlignment="1" applyProtection="1">
      <alignment horizontal="center" vertical="center"/>
      <protection locked="0"/>
    </xf>
    <xf numFmtId="4" fontId="6" fillId="0" borderId="42" xfId="0" applyNumberFormat="1" applyFont="1" applyBorder="1" applyAlignment="1" applyProtection="1">
      <alignment horizontal="center" vertical="center"/>
      <protection locked="0"/>
    </xf>
    <xf numFmtId="4" fontId="6" fillId="0" borderId="40" xfId="0" applyNumberFormat="1" applyFont="1" applyBorder="1" applyAlignment="1" applyProtection="1">
      <alignment horizontal="center" vertical="center"/>
      <protection locked="0"/>
    </xf>
    <xf numFmtId="4" fontId="4" fillId="0" borderId="40" xfId="0" applyNumberFormat="1" applyFont="1" applyBorder="1" applyAlignment="1" applyProtection="1">
      <alignment horizontal="center" vertical="center"/>
      <protection locked="0"/>
    </xf>
    <xf numFmtId="2" fontId="71" fillId="0" borderId="0" xfId="0" applyNumberFormat="1" applyFont="1" applyAlignment="1" applyProtection="1">
      <alignment horizontal="center" vertical="center"/>
      <protection locked="0"/>
    </xf>
    <xf numFmtId="4" fontId="4" fillId="0" borderId="33" xfId="0" applyNumberFormat="1" applyFont="1" applyBorder="1" applyAlignment="1" applyProtection="1">
      <alignment horizontal="center" vertical="center"/>
      <protection locked="0"/>
    </xf>
    <xf numFmtId="169" fontId="4" fillId="0" borderId="34" xfId="0" applyNumberFormat="1" applyFont="1" applyBorder="1" applyAlignment="1" applyProtection="1">
      <alignment horizontal="center" vertical="center"/>
      <protection locked="0"/>
    </xf>
    <xf numFmtId="4" fontId="9" fillId="0" borderId="34" xfId="0" applyNumberFormat="1" applyFont="1" applyBorder="1" applyAlignment="1" applyProtection="1">
      <alignment horizontal="center" vertical="center"/>
      <protection locked="0"/>
    </xf>
    <xf numFmtId="4" fontId="6" fillId="0" borderId="32" xfId="0" applyNumberFormat="1" applyFont="1" applyBorder="1" applyAlignment="1" applyProtection="1">
      <alignment horizontal="center" vertical="center"/>
      <protection locked="0"/>
    </xf>
    <xf numFmtId="4" fontId="6" fillId="0" borderId="34" xfId="0" applyNumberFormat="1" applyFont="1" applyBorder="1" applyAlignment="1" applyProtection="1">
      <alignment horizontal="center" vertical="center"/>
      <protection locked="0"/>
    </xf>
    <xf numFmtId="4" fontId="4" fillId="0" borderId="34" xfId="0" applyNumberFormat="1" applyFont="1" applyBorder="1" applyAlignment="1" applyProtection="1">
      <alignment horizontal="center" vertical="center"/>
      <protection locked="0"/>
    </xf>
    <xf numFmtId="4" fontId="4" fillId="0" borderId="13" xfId="0" applyNumberFormat="1" applyFont="1" applyBorder="1" applyAlignment="1" applyProtection="1">
      <alignment horizontal="center" vertical="center"/>
      <protection locked="0"/>
    </xf>
    <xf numFmtId="4" fontId="6" fillId="0" borderId="13" xfId="0" applyNumberFormat="1" applyFont="1" applyBorder="1" applyAlignment="1" applyProtection="1">
      <alignment horizontal="center" vertical="center"/>
      <protection locked="0"/>
    </xf>
    <xf numFmtId="4" fontId="6" fillId="0" borderId="10" xfId="0" applyNumberFormat="1" applyFont="1" applyBorder="1" applyAlignment="1" applyProtection="1">
      <alignment horizontal="center" vertical="center"/>
      <protection locked="0"/>
    </xf>
    <xf numFmtId="2" fontId="71" fillId="0" borderId="13" xfId="0" applyNumberFormat="1" applyFont="1" applyBorder="1" applyAlignment="1" applyProtection="1">
      <alignment horizontal="center" vertical="center"/>
      <protection locked="0"/>
    </xf>
    <xf numFmtId="0" fontId="22" fillId="0" borderId="10" xfId="0" applyFont="1" applyBorder="1" applyAlignment="1" applyProtection="1">
      <alignment horizontal="center" vertical="center"/>
      <protection locked="0"/>
    </xf>
    <xf numFmtId="169" fontId="6" fillId="0" borderId="11" xfId="0" applyNumberFormat="1" applyFont="1" applyBorder="1" applyAlignment="1" applyProtection="1">
      <alignment horizontal="center" vertical="center"/>
      <protection locked="0"/>
    </xf>
    <xf numFmtId="4" fontId="6" fillId="0" borderId="11" xfId="0" applyNumberFormat="1" applyFont="1" applyBorder="1" applyAlignment="1" applyProtection="1">
      <alignment horizontal="center" vertical="center"/>
      <protection locked="0"/>
    </xf>
    <xf numFmtId="4" fontId="6" fillId="0" borderId="16" xfId="0" applyNumberFormat="1" applyFont="1" applyBorder="1" applyAlignment="1" applyProtection="1">
      <alignment horizontal="center" vertical="center"/>
      <protection locked="0"/>
    </xf>
    <xf numFmtId="4" fontId="6" fillId="0" borderId="65" xfId="0" applyNumberFormat="1" applyFont="1" applyBorder="1" applyAlignment="1" applyProtection="1">
      <alignment horizontal="center" vertical="center"/>
      <protection locked="0"/>
    </xf>
    <xf numFmtId="4" fontId="6" fillId="0" borderId="28" xfId="0" applyNumberFormat="1" applyFont="1" applyBorder="1" applyAlignment="1" applyProtection="1">
      <alignment horizontal="center" vertical="center"/>
      <protection locked="0"/>
    </xf>
    <xf numFmtId="2" fontId="71" fillId="0" borderId="65" xfId="0" applyNumberFormat="1" applyFont="1" applyBorder="1" applyAlignment="1" applyProtection="1">
      <alignment horizontal="center" vertical="center"/>
      <protection locked="0"/>
    </xf>
    <xf numFmtId="2" fontId="71" fillId="0" borderId="31" xfId="0" applyNumberFormat="1" applyFont="1" applyBorder="1" applyAlignment="1" applyProtection="1">
      <alignment horizontal="center" vertical="center"/>
      <protection locked="0"/>
    </xf>
    <xf numFmtId="4" fontId="4" fillId="0" borderId="15" xfId="0" applyNumberFormat="1" applyFont="1" applyBorder="1" applyAlignment="1" applyProtection="1">
      <alignment horizontal="center" vertical="center"/>
      <protection locked="0"/>
    </xf>
    <xf numFmtId="169" fontId="4" fillId="0" borderId="11" xfId="0" applyNumberFormat="1" applyFont="1" applyBorder="1" applyAlignment="1" applyProtection="1">
      <alignment horizontal="center" vertical="center"/>
      <protection locked="0"/>
    </xf>
    <xf numFmtId="4" fontId="9" fillId="0" borderId="11" xfId="0" applyNumberFormat="1" applyFont="1" applyBorder="1" applyAlignment="1" applyProtection="1">
      <alignment horizontal="center" vertical="center"/>
      <protection locked="0"/>
    </xf>
    <xf numFmtId="4" fontId="6" fillId="0" borderId="15" xfId="0" applyNumberFormat="1" applyFont="1" applyBorder="1" applyAlignment="1" applyProtection="1">
      <alignment horizontal="center" vertical="center"/>
      <protection locked="0"/>
    </xf>
    <xf numFmtId="4" fontId="4" fillId="0" borderId="11" xfId="0" applyNumberFormat="1" applyFont="1" applyBorder="1" applyAlignment="1" applyProtection="1">
      <alignment horizontal="center" vertical="center"/>
      <protection locked="0"/>
    </xf>
    <xf numFmtId="4" fontId="9" fillId="0" borderId="16" xfId="0" applyNumberFormat="1" applyFont="1" applyBorder="1" applyAlignment="1" applyProtection="1">
      <alignment horizontal="center" vertical="center"/>
      <protection locked="0"/>
    </xf>
    <xf numFmtId="2" fontId="71" fillId="0" borderId="15" xfId="0" applyNumberFormat="1" applyFont="1" applyBorder="1" applyAlignment="1" applyProtection="1">
      <alignment horizontal="center" vertical="center"/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2" fontId="71" fillId="0" borderId="19" xfId="0" applyNumberFormat="1" applyFont="1" applyBorder="1" applyAlignment="1" applyProtection="1">
      <alignment horizontal="center" vertical="center"/>
      <protection locked="0"/>
    </xf>
    <xf numFmtId="2" fontId="71" fillId="0" borderId="23" xfId="0" applyNumberFormat="1" applyFont="1" applyBorder="1" applyAlignment="1" applyProtection="1">
      <alignment horizontal="center" vertical="center"/>
      <protection locked="0"/>
    </xf>
    <xf numFmtId="4" fontId="4" fillId="0" borderId="49" xfId="0" applyNumberFormat="1" applyFont="1" applyBorder="1" applyAlignment="1" applyProtection="1">
      <alignment horizontal="center" vertical="center"/>
      <protection locked="0"/>
    </xf>
    <xf numFmtId="2" fontId="71" fillId="0" borderId="49" xfId="0" applyNumberFormat="1" applyFont="1" applyBorder="1" applyAlignment="1" applyProtection="1">
      <alignment horizontal="center" vertical="center"/>
      <protection locked="0"/>
    </xf>
    <xf numFmtId="169" fontId="6" fillId="0" borderId="10" xfId="0" applyNumberFormat="1" applyFont="1" applyBorder="1" applyAlignment="1" applyProtection="1">
      <alignment horizontal="center" vertical="center"/>
      <protection locked="0"/>
    </xf>
    <xf numFmtId="4" fontId="6" fillId="0" borderId="60" xfId="0" applyNumberFormat="1" applyFont="1" applyBorder="1" applyAlignment="1" applyProtection="1">
      <alignment horizontal="center" vertical="center"/>
      <protection locked="0"/>
    </xf>
    <xf numFmtId="0" fontId="22" fillId="0" borderId="31" xfId="0" applyFont="1" applyBorder="1" applyAlignment="1" applyProtection="1">
      <alignment horizontal="center" vertical="center"/>
      <protection locked="0"/>
    </xf>
    <xf numFmtId="0" fontId="22" fillId="0" borderId="44" xfId="0" applyFont="1" applyBorder="1" applyAlignment="1" applyProtection="1">
      <alignment horizontal="center" vertical="center"/>
      <protection locked="0"/>
    </xf>
    <xf numFmtId="4" fontId="6" fillId="0" borderId="76" xfId="0" applyNumberFormat="1" applyFont="1" applyBorder="1" applyAlignment="1" applyProtection="1">
      <alignment horizontal="center" vertical="center"/>
      <protection locked="0"/>
    </xf>
    <xf numFmtId="0" fontId="22" fillId="0" borderId="15" xfId="0" applyFont="1" applyBorder="1" applyAlignment="1" applyProtection="1">
      <alignment horizontal="center" vertical="center"/>
      <protection locked="0"/>
    </xf>
    <xf numFmtId="4" fontId="4" fillId="0" borderId="29" xfId="0" applyNumberFormat="1" applyFont="1" applyBorder="1" applyAlignment="1" applyProtection="1">
      <alignment horizontal="center" vertical="center"/>
      <protection locked="0"/>
    </xf>
    <xf numFmtId="2" fontId="71" fillId="0" borderId="52" xfId="0" applyNumberFormat="1" applyFont="1" applyBorder="1" applyAlignment="1" applyProtection="1">
      <alignment horizontal="center" vertical="center"/>
      <protection locked="0"/>
    </xf>
    <xf numFmtId="0" fontId="22" fillId="0" borderId="13" xfId="0" applyFont="1" applyBorder="1" applyAlignment="1" applyProtection="1">
      <alignment horizontal="center" vertical="center"/>
      <protection locked="0"/>
    </xf>
    <xf numFmtId="4" fontId="6" fillId="0" borderId="12" xfId="0" applyNumberFormat="1" applyFont="1" applyBorder="1" applyAlignment="1" applyProtection="1">
      <alignment horizontal="center" vertical="center"/>
      <protection locked="0"/>
    </xf>
    <xf numFmtId="2" fontId="71" fillId="0" borderId="29" xfId="0" applyNumberFormat="1" applyFont="1" applyBorder="1" applyAlignment="1" applyProtection="1">
      <alignment horizontal="center" vertical="center"/>
      <protection locked="0"/>
    </xf>
    <xf numFmtId="4" fontId="9" fillId="0" borderId="10" xfId="0" applyNumberFormat="1" applyFont="1" applyBorder="1" applyAlignment="1" applyProtection="1">
      <alignment vertical="center"/>
      <protection locked="0"/>
    </xf>
    <xf numFmtId="4" fontId="4" fillId="0" borderId="10" xfId="0" applyNumberFormat="1" applyFont="1" applyBorder="1" applyAlignment="1" applyProtection="1">
      <alignment vertical="center"/>
      <protection locked="0"/>
    </xf>
    <xf numFmtId="0" fontId="22" fillId="0" borderId="0" xfId="0" applyFont="1" applyAlignment="1" applyProtection="1">
      <alignment vertical="center"/>
      <protection locked="0"/>
    </xf>
    <xf numFmtId="2" fontId="9" fillId="0" borderId="30" xfId="0" applyNumberFormat="1" applyFont="1" applyBorder="1" applyAlignment="1" applyProtection="1">
      <alignment horizontal="center" vertical="center"/>
      <protection locked="0"/>
    </xf>
    <xf numFmtId="2" fontId="9" fillId="0" borderId="18" xfId="0" applyNumberFormat="1" applyFont="1" applyBorder="1" applyAlignment="1" applyProtection="1">
      <alignment horizontal="center" vertical="center"/>
      <protection locked="0"/>
    </xf>
    <xf numFmtId="2" fontId="9" fillId="0" borderId="4" xfId="0" applyNumberFormat="1" applyFont="1" applyBorder="1" applyAlignment="1" applyProtection="1">
      <alignment horizontal="center" vertical="center"/>
      <protection locked="0"/>
    </xf>
    <xf numFmtId="2" fontId="9" fillId="0" borderId="12" xfId="0" applyNumberFormat="1" applyFont="1" applyBorder="1" applyAlignment="1" applyProtection="1">
      <alignment horizontal="center" vertical="center"/>
      <protection locked="0"/>
    </xf>
    <xf numFmtId="2" fontId="9" fillId="0" borderId="20" xfId="0" applyNumberFormat="1" applyFont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 applyProtection="1">
      <alignment horizontal="center" vertical="center"/>
      <protection locked="0"/>
    </xf>
    <xf numFmtId="2" fontId="9" fillId="0" borderId="10" xfId="0" applyNumberFormat="1" applyFont="1" applyBorder="1" applyAlignment="1" applyProtection="1">
      <alignment horizontal="center" vertical="center"/>
      <protection locked="0"/>
    </xf>
    <xf numFmtId="2" fontId="22" fillId="0" borderId="28" xfId="0" applyNumberFormat="1" applyFont="1" applyBorder="1" applyAlignment="1" applyProtection="1">
      <alignment horizontal="center" vertical="center"/>
      <protection locked="0"/>
    </xf>
    <xf numFmtId="2" fontId="22" fillId="0" borderId="30" xfId="0" applyNumberFormat="1" applyFont="1" applyBorder="1" applyAlignment="1" applyProtection="1">
      <alignment horizontal="center" vertical="center"/>
      <protection locked="0"/>
    </xf>
    <xf numFmtId="2" fontId="22" fillId="0" borderId="40" xfId="0" applyNumberFormat="1" applyFont="1" applyBorder="1" applyAlignment="1" applyProtection="1">
      <alignment horizontal="center" vertical="center"/>
      <protection locked="0"/>
    </xf>
    <xf numFmtId="2" fontId="22" fillId="0" borderId="34" xfId="0" applyNumberFormat="1" applyFont="1" applyBorder="1" applyAlignment="1" applyProtection="1">
      <alignment horizontal="center" vertical="center"/>
      <protection locked="0"/>
    </xf>
    <xf numFmtId="2" fontId="22" fillId="0" borderId="10" xfId="0" applyNumberFormat="1" applyFont="1" applyBorder="1" applyAlignment="1" applyProtection="1">
      <alignment horizontal="center" vertical="center"/>
      <protection locked="0"/>
    </xf>
    <xf numFmtId="2" fontId="22" fillId="0" borderId="11" xfId="0" applyNumberFormat="1" applyFont="1" applyBorder="1" applyAlignment="1" applyProtection="1">
      <alignment horizontal="center" vertical="center"/>
      <protection locked="0"/>
    </xf>
    <xf numFmtId="2" fontId="22" fillId="0" borderId="31" xfId="0" applyNumberFormat="1" applyFont="1" applyBorder="1" applyAlignment="1" applyProtection="1">
      <alignment horizontal="center" vertical="center"/>
      <protection locked="0"/>
    </xf>
    <xf numFmtId="2" fontId="22" fillId="0" borderId="44" xfId="0" applyNumberFormat="1" applyFont="1" applyBorder="1" applyAlignment="1" applyProtection="1">
      <alignment horizontal="center" vertical="center"/>
      <protection locked="0"/>
    </xf>
    <xf numFmtId="2" fontId="22" fillId="0" borderId="15" xfId="0" applyNumberFormat="1" applyFont="1" applyBorder="1" applyAlignment="1" applyProtection="1">
      <alignment horizontal="center" vertical="center"/>
      <protection locked="0"/>
    </xf>
    <xf numFmtId="2" fontId="22" fillId="0" borderId="13" xfId="0" applyNumberFormat="1" applyFont="1" applyBorder="1" applyAlignment="1" applyProtection="1">
      <alignment horizontal="center" vertical="center"/>
      <protection locked="0"/>
    </xf>
    <xf numFmtId="2" fontId="22" fillId="0" borderId="65" xfId="0" applyNumberFormat="1" applyFont="1" applyBorder="1" applyAlignment="1" applyProtection="1">
      <alignment horizontal="center" vertical="center"/>
      <protection locked="0"/>
    </xf>
    <xf numFmtId="2" fontId="9" fillId="0" borderId="28" xfId="0" applyNumberFormat="1" applyFont="1" applyBorder="1" applyAlignment="1" applyProtection="1">
      <alignment horizontal="center" vertical="center"/>
      <protection locked="0"/>
    </xf>
    <xf numFmtId="2" fontId="9" fillId="0" borderId="50" xfId="0" applyNumberFormat="1" applyFont="1" applyBorder="1" applyAlignment="1" applyProtection="1">
      <alignment horizontal="center" vertical="center"/>
      <protection locked="0"/>
    </xf>
    <xf numFmtId="2" fontId="9" fillId="0" borderId="40" xfId="0" applyNumberFormat="1" applyFont="1" applyBorder="1" applyAlignment="1" applyProtection="1">
      <alignment horizontal="center" vertical="center"/>
      <protection locked="0"/>
    </xf>
    <xf numFmtId="2" fontId="9" fillId="0" borderId="14" xfId="0" applyNumberFormat="1" applyFont="1" applyBorder="1" applyAlignment="1" applyProtection="1">
      <alignment horizontal="center" vertical="center"/>
      <protection locked="0"/>
    </xf>
    <xf numFmtId="2" fontId="9" fillId="0" borderId="34" xfId="0" applyNumberFormat="1" applyFont="1" applyBorder="1" applyAlignment="1" applyProtection="1">
      <alignment horizontal="center" vertical="center"/>
      <protection locked="0"/>
    </xf>
    <xf numFmtId="2" fontId="9" fillId="0" borderId="11" xfId="0" applyNumberFormat="1" applyFont="1" applyBorder="1" applyAlignment="1" applyProtection="1">
      <alignment horizontal="center" vertical="center"/>
      <protection locked="0"/>
    </xf>
    <xf numFmtId="2" fontId="9" fillId="0" borderId="16" xfId="0" applyNumberFormat="1" applyFont="1" applyBorder="1" applyAlignment="1" applyProtection="1">
      <alignment horizontal="center" vertical="center"/>
      <protection locked="0"/>
    </xf>
    <xf numFmtId="4" fontId="4" fillId="0" borderId="65" xfId="0" applyNumberFormat="1" applyFont="1" applyBorder="1" applyAlignment="1" applyProtection="1">
      <alignment vertical="center"/>
      <protection locked="0"/>
    </xf>
    <xf numFmtId="4" fontId="4" fillId="0" borderId="42" xfId="0" applyNumberFormat="1" applyFont="1" applyBorder="1" applyAlignment="1" applyProtection="1">
      <alignment horizontal="center" vertical="center"/>
      <protection locked="0"/>
    </xf>
    <xf numFmtId="4" fontId="6" fillId="0" borderId="21" xfId="0" applyNumberFormat="1" applyFont="1" applyBorder="1" applyAlignment="1" applyProtection="1">
      <alignment horizontal="center" vertical="center"/>
      <protection locked="0"/>
    </xf>
    <xf numFmtId="0" fontId="71" fillId="0" borderId="10" xfId="0" applyFont="1" applyBorder="1" applyAlignment="1" applyProtection="1">
      <alignment horizontal="center" vertical="center"/>
      <protection locked="0"/>
    </xf>
    <xf numFmtId="4" fontId="9" fillId="0" borderId="21" xfId="0" applyNumberFormat="1" applyFont="1" applyBorder="1" applyAlignment="1" applyProtection="1">
      <alignment horizontal="center" vertical="center"/>
      <protection locked="0"/>
    </xf>
    <xf numFmtId="2" fontId="71" fillId="0" borderId="42" xfId="0" applyNumberFormat="1" applyFont="1" applyBorder="1" applyAlignment="1" applyProtection="1">
      <alignment horizontal="center" vertical="center"/>
      <protection locked="0"/>
    </xf>
    <xf numFmtId="2" fontId="71" fillId="0" borderId="32" xfId="0" applyNumberFormat="1" applyFont="1" applyBorder="1" applyAlignment="1" applyProtection="1">
      <alignment horizontal="center" vertical="center"/>
      <protection locked="0"/>
    </xf>
    <xf numFmtId="2" fontId="71" fillId="0" borderId="83" xfId="0" applyNumberFormat="1" applyFont="1" applyBorder="1" applyAlignment="1" applyProtection="1">
      <alignment horizontal="center" vertical="center"/>
      <protection locked="0"/>
    </xf>
    <xf numFmtId="4" fontId="6" fillId="0" borderId="18" xfId="0" applyNumberFormat="1" applyFont="1" applyBorder="1" applyAlignment="1" applyProtection="1">
      <alignment vertical="center"/>
      <protection locked="0"/>
    </xf>
    <xf numFmtId="4" fontId="6" fillId="0" borderId="20" xfId="0" applyNumberFormat="1" applyFont="1" applyBorder="1" applyAlignment="1" applyProtection="1">
      <alignment vertical="center"/>
      <protection locked="0"/>
    </xf>
    <xf numFmtId="164" fontId="9" fillId="0" borderId="4" xfId="0" applyNumberFormat="1" applyFont="1" applyBorder="1" applyAlignment="1" applyProtection="1">
      <alignment horizontal="center" vertical="center"/>
      <protection locked="0"/>
    </xf>
    <xf numFmtId="2" fontId="71" fillId="0" borderId="27" xfId="0" applyNumberFormat="1" applyFont="1" applyBorder="1" applyAlignment="1" applyProtection="1">
      <alignment horizontal="center" vertical="center"/>
      <protection locked="0"/>
    </xf>
    <xf numFmtId="0" fontId="22" fillId="0" borderId="28" xfId="0" applyFont="1" applyBorder="1" applyAlignment="1" applyProtection="1">
      <alignment horizontal="center" vertical="center"/>
      <protection locked="0"/>
    </xf>
    <xf numFmtId="0" fontId="22" fillId="0" borderId="79" xfId="0" applyFont="1" applyBorder="1" applyAlignment="1" applyProtection="1">
      <alignment horizontal="center" vertical="center"/>
      <protection locked="0"/>
    </xf>
    <xf numFmtId="0" fontId="22" fillId="0" borderId="75" xfId="0" applyFont="1" applyBorder="1" applyAlignment="1" applyProtection="1">
      <alignment horizontal="center" vertical="center"/>
      <protection locked="0"/>
    </xf>
    <xf numFmtId="0" fontId="22" fillId="0" borderId="82" xfId="0" applyFont="1" applyBorder="1" applyAlignment="1" applyProtection="1">
      <alignment horizontal="center" vertical="center"/>
      <protection locked="0"/>
    </xf>
    <xf numFmtId="4" fontId="9" fillId="0" borderId="75" xfId="0" applyNumberFormat="1" applyFont="1" applyBorder="1" applyAlignment="1" applyProtection="1">
      <alignment horizontal="center" vertical="center"/>
      <protection locked="0"/>
    </xf>
    <xf numFmtId="4" fontId="6" fillId="0" borderId="14" xfId="0" applyNumberFormat="1" applyFont="1" applyBorder="1" applyAlignment="1" applyProtection="1">
      <alignment horizontal="center" vertical="center"/>
      <protection locked="0"/>
    </xf>
    <xf numFmtId="0" fontId="22" fillId="0" borderId="40" xfId="0" applyFont="1" applyBorder="1" applyAlignment="1" applyProtection="1">
      <alignment horizontal="center" vertical="center"/>
      <protection locked="0"/>
    </xf>
    <xf numFmtId="0" fontId="22" fillId="0" borderId="63" xfId="0" applyFont="1" applyBorder="1" applyAlignment="1" applyProtection="1">
      <alignment horizontal="center" vertical="center"/>
      <protection locked="0"/>
    </xf>
    <xf numFmtId="4" fontId="9" fillId="0" borderId="17" xfId="0" applyNumberFormat="1" applyFont="1" applyBorder="1" applyAlignment="1" applyProtection="1">
      <alignment horizontal="center" vertical="center"/>
      <protection locked="0"/>
    </xf>
    <xf numFmtId="4" fontId="4" fillId="0" borderId="32" xfId="0" applyNumberFormat="1" applyFont="1" applyBorder="1" applyAlignment="1" applyProtection="1">
      <alignment horizontal="center" vertical="center"/>
      <protection locked="0"/>
    </xf>
    <xf numFmtId="4" fontId="6" fillId="0" borderId="17" xfId="0" applyNumberFormat="1" applyFont="1" applyBorder="1" applyAlignment="1" applyProtection="1">
      <alignment horizontal="center" vertical="center"/>
      <protection locked="0"/>
    </xf>
    <xf numFmtId="4" fontId="6" fillId="0" borderId="74" xfId="0" applyNumberFormat="1" applyFont="1" applyBorder="1" applyAlignment="1" applyProtection="1">
      <alignment horizontal="center" vertical="center"/>
      <protection locked="0"/>
    </xf>
    <xf numFmtId="2" fontId="71" fillId="0" borderId="9" xfId="0" applyNumberFormat="1" applyFont="1" applyBorder="1" applyAlignment="1" applyProtection="1">
      <alignment horizontal="center" vertical="center"/>
      <protection locked="0"/>
    </xf>
    <xf numFmtId="0" fontId="22" fillId="0" borderId="34" xfId="0" applyFont="1" applyBorder="1" applyAlignment="1" applyProtection="1">
      <alignment horizontal="center" vertical="center"/>
      <protection locked="0"/>
    </xf>
    <xf numFmtId="0" fontId="22" fillId="0" borderId="64" xfId="0" applyFont="1" applyBorder="1" applyAlignment="1" applyProtection="1">
      <alignment horizontal="center" vertical="center"/>
      <protection locked="0"/>
    </xf>
    <xf numFmtId="4" fontId="9" fillId="0" borderId="73" xfId="0" applyNumberFormat="1" applyFont="1" applyBorder="1" applyAlignment="1" applyProtection="1">
      <alignment horizontal="center" vertical="center"/>
      <protection locked="0"/>
    </xf>
    <xf numFmtId="0" fontId="22" fillId="0" borderId="18" xfId="0" applyFont="1" applyBorder="1" applyAlignment="1" applyProtection="1">
      <alignment horizontal="center" vertical="center"/>
      <protection locked="0"/>
    </xf>
    <xf numFmtId="4" fontId="9" fillId="0" borderId="22" xfId="0" applyNumberFormat="1" applyFont="1" applyBorder="1" applyAlignment="1" applyProtection="1">
      <alignment horizontal="center" vertical="center"/>
      <protection locked="0"/>
    </xf>
    <xf numFmtId="0" fontId="22" fillId="0" borderId="20" xfId="0" applyFont="1" applyBorder="1" applyAlignment="1" applyProtection="1">
      <alignment horizontal="center" vertical="center"/>
      <protection locked="0"/>
    </xf>
    <xf numFmtId="4" fontId="9" fillId="0" borderId="76" xfId="0" applyNumberFormat="1" applyFont="1" applyBorder="1" applyAlignment="1" applyProtection="1">
      <alignment horizontal="center" vertical="center"/>
      <protection locked="0"/>
    </xf>
    <xf numFmtId="0" fontId="22" fillId="0" borderId="16" xfId="0" applyFont="1" applyBorder="1" applyAlignment="1" applyProtection="1">
      <alignment horizontal="center" vertical="center"/>
      <protection locked="0"/>
    </xf>
    <xf numFmtId="4" fontId="9" fillId="0" borderId="72" xfId="0" applyNumberFormat="1" applyFont="1" applyBorder="1" applyAlignment="1" applyProtection="1">
      <alignment horizontal="center" vertical="center"/>
      <protection locked="0"/>
    </xf>
    <xf numFmtId="4" fontId="9" fillId="0" borderId="60" xfId="0" applyNumberFormat="1" applyFont="1" applyBorder="1" applyAlignment="1" applyProtection="1">
      <alignment horizontal="center" vertical="center"/>
      <protection locked="0"/>
    </xf>
    <xf numFmtId="0" fontId="22" fillId="0" borderId="50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2" fillId="0" borderId="12" xfId="0" applyFont="1" applyBorder="1" applyAlignment="1" applyProtection="1">
      <alignment horizontal="center" vertical="center"/>
      <protection locked="0"/>
    </xf>
    <xf numFmtId="4" fontId="9" fillId="0" borderId="30" xfId="0" applyNumberFormat="1" applyFont="1" applyBorder="1" applyAlignment="1" applyProtection="1">
      <alignment vertical="center"/>
      <protection hidden="1"/>
    </xf>
    <xf numFmtId="4" fontId="9" fillId="0" borderId="18" xfId="0" applyNumberFormat="1" applyFont="1" applyBorder="1" applyAlignment="1" applyProtection="1">
      <alignment vertical="center"/>
      <protection hidden="1"/>
    </xf>
    <xf numFmtId="4" fontId="9" fillId="0" borderId="4" xfId="0" applyNumberFormat="1" applyFont="1" applyBorder="1" applyAlignment="1" applyProtection="1">
      <alignment vertical="center"/>
      <protection hidden="1"/>
    </xf>
    <xf numFmtId="4" fontId="9" fillId="0" borderId="20" xfId="0" applyNumberFormat="1" applyFont="1" applyBorder="1" applyAlignment="1" applyProtection="1">
      <alignment vertical="center"/>
      <protection hidden="1"/>
    </xf>
    <xf numFmtId="4" fontId="9" fillId="0" borderId="20" xfId="0" applyNumberFormat="1" applyFont="1" applyBorder="1" applyAlignment="1" applyProtection="1">
      <alignment horizontal="center" vertical="center"/>
      <protection hidden="1"/>
    </xf>
    <xf numFmtId="4" fontId="9" fillId="0" borderId="28" xfId="0" applyNumberFormat="1" applyFont="1" applyBorder="1" applyAlignment="1" applyProtection="1">
      <alignment vertical="center"/>
      <protection hidden="1"/>
    </xf>
    <xf numFmtId="4" fontId="9" fillId="0" borderId="50" xfId="0" applyNumberFormat="1" applyFont="1" applyBorder="1" applyAlignment="1" applyProtection="1">
      <alignment horizontal="center" vertical="center"/>
      <protection hidden="1"/>
    </xf>
    <xf numFmtId="0" fontId="1" fillId="2" borderId="4" xfId="0" applyFont="1" applyFill="1" applyBorder="1" applyAlignment="1">
      <alignment horizontal="center" vertical="center"/>
    </xf>
    <xf numFmtId="0" fontId="0" fillId="2" borderId="0" xfId="0" applyFill="1"/>
    <xf numFmtId="0" fontId="73" fillId="10" borderId="0" xfId="0" applyFont="1" applyFill="1"/>
    <xf numFmtId="164" fontId="62" fillId="0" borderId="4" xfId="0" applyNumberFormat="1" applyFont="1" applyBorder="1" applyAlignment="1">
      <alignment horizontal="center" vertical="center" wrapText="1"/>
    </xf>
    <xf numFmtId="2" fontId="1" fillId="4" borderId="4" xfId="0" applyNumberFormat="1" applyFont="1" applyFill="1" applyBorder="1" applyAlignment="1" applyProtection="1">
      <alignment horizontal="center" vertical="center" wrapText="1"/>
      <protection hidden="1"/>
    </xf>
    <xf numFmtId="4" fontId="53" fillId="0" borderId="0" xfId="0" applyNumberFormat="1" applyFont="1" applyAlignment="1">
      <alignment vertical="center"/>
    </xf>
    <xf numFmtId="2" fontId="16" fillId="8" borderId="0" xfId="0" applyNumberFormat="1" applyFont="1" applyFill="1" applyAlignment="1">
      <alignment horizontal="center" vertical="center"/>
    </xf>
    <xf numFmtId="0" fontId="15" fillId="0" borderId="4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74" fillId="0" borderId="26" xfId="0" applyFont="1" applyBorder="1" applyAlignment="1" applyProtection="1">
      <alignment horizontal="center" vertical="center"/>
      <protection locked="0"/>
    </xf>
    <xf numFmtId="0" fontId="60" fillId="0" borderId="26" xfId="0" applyFont="1" applyBorder="1" applyAlignment="1" applyProtection="1">
      <alignment horizontal="center" vertical="center"/>
      <protection locked="0"/>
    </xf>
    <xf numFmtId="0" fontId="75" fillId="0" borderId="26" xfId="0" applyFont="1" applyBorder="1" applyProtection="1">
      <protection locked="0"/>
    </xf>
    <xf numFmtId="49" fontId="60" fillId="0" borderId="26" xfId="0" applyNumberFormat="1" applyFont="1" applyBorder="1" applyProtection="1">
      <protection locked="0"/>
    </xf>
    <xf numFmtId="0" fontId="76" fillId="0" borderId="0" xfId="0" applyFont="1"/>
    <xf numFmtId="0" fontId="18" fillId="0" borderId="0" xfId="0" applyFont="1" applyAlignment="1" applyProtection="1">
      <alignment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76" fillId="0" borderId="0" xfId="0" applyFont="1" applyAlignment="1">
      <alignment horizontal="center"/>
    </xf>
    <xf numFmtId="0" fontId="77" fillId="0" borderId="0" xfId="0" applyFont="1" applyAlignment="1" applyProtection="1">
      <alignment horizontal="center" vertical="center" wrapText="1"/>
      <protection locked="0"/>
    </xf>
    <xf numFmtId="0" fontId="78" fillId="0" borderId="0" xfId="0" applyFont="1" applyAlignment="1">
      <alignment horizontal="center"/>
    </xf>
    <xf numFmtId="4" fontId="0" fillId="0" borderId="0" xfId="0" applyNumberFormat="1"/>
    <xf numFmtId="4" fontId="6" fillId="0" borderId="14" xfId="0" applyNumberFormat="1" applyFont="1" applyBorder="1" applyAlignment="1" applyProtection="1">
      <alignment vertical="center"/>
      <protection locked="0"/>
    </xf>
    <xf numFmtId="4" fontId="6" fillId="0" borderId="50" xfId="0" applyNumberFormat="1" applyFont="1" applyBorder="1" applyAlignment="1" applyProtection="1">
      <alignment vertical="center"/>
      <protection locked="0"/>
    </xf>
    <xf numFmtId="4" fontId="6" fillId="0" borderId="16" xfId="0" applyNumberFormat="1" applyFont="1" applyBorder="1" applyAlignment="1" applyProtection="1">
      <alignment vertical="center"/>
      <protection locked="0"/>
    </xf>
    <xf numFmtId="4" fontId="9" fillId="0" borderId="48" xfId="0" applyNumberFormat="1" applyFont="1" applyBorder="1" applyAlignment="1" applyProtection="1">
      <alignment horizontal="center" vertical="center"/>
      <protection locked="0"/>
    </xf>
    <xf numFmtId="2" fontId="82" fillId="4" borderId="40" xfId="0" applyNumberFormat="1" applyFont="1" applyFill="1" applyBorder="1" applyAlignment="1" applyProtection="1">
      <alignment horizontal="center" vertical="center" wrapText="1"/>
      <protection hidden="1"/>
    </xf>
    <xf numFmtId="49" fontId="80" fillId="0" borderId="4" xfId="0" applyNumberFormat="1" applyFont="1" applyBorder="1" applyAlignment="1" applyProtection="1">
      <alignment horizontal="center" vertical="center"/>
      <protection locked="0"/>
    </xf>
    <xf numFmtId="164" fontId="81" fillId="0" borderId="4" xfId="0" applyNumberFormat="1" applyFont="1" applyBorder="1" applyAlignment="1" applyProtection="1">
      <alignment horizontal="center" vertical="center" wrapText="1"/>
      <protection locked="0"/>
    </xf>
    <xf numFmtId="2" fontId="0" fillId="0" borderId="0" xfId="0" applyNumberFormat="1"/>
    <xf numFmtId="0" fontId="22" fillId="0" borderId="14" xfId="0" applyFont="1" applyBorder="1" applyAlignment="1">
      <alignment horizontal="center" vertical="center"/>
    </xf>
    <xf numFmtId="4" fontId="6" fillId="0" borderId="33" xfId="0" applyNumberFormat="1" applyFont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9" fontId="6" fillId="0" borderId="40" xfId="0" applyNumberFormat="1" applyFont="1" applyBorder="1" applyAlignment="1" applyProtection="1">
      <alignment horizontal="center" vertical="center"/>
      <protection locked="0"/>
    </xf>
    <xf numFmtId="0" fontId="22" fillId="0" borderId="42" xfId="0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4" fontId="4" fillId="0" borderId="51" xfId="0" applyNumberFormat="1" applyFont="1" applyBorder="1" applyAlignment="1" applyProtection="1">
      <alignment horizontal="center" vertical="center"/>
      <protection locked="0"/>
    </xf>
    <xf numFmtId="169" fontId="4" fillId="0" borderId="8" xfId="0" applyNumberFormat="1" applyFont="1" applyBorder="1" applyAlignment="1" applyProtection="1">
      <alignment horizontal="center" vertical="center"/>
      <protection locked="0"/>
    </xf>
    <xf numFmtId="4" fontId="9" fillId="0" borderId="8" xfId="0" applyNumberFormat="1" applyFont="1" applyBorder="1" applyAlignment="1" applyProtection="1">
      <alignment horizontal="center" vertical="center"/>
      <protection locked="0"/>
    </xf>
    <xf numFmtId="4" fontId="6" fillId="0" borderId="47" xfId="0" applyNumberFormat="1" applyFont="1" applyBorder="1" applyAlignment="1" applyProtection="1">
      <alignment horizontal="center" vertical="center"/>
      <protection locked="0"/>
    </xf>
    <xf numFmtId="169" fontId="6" fillId="0" borderId="8" xfId="0" applyNumberFormat="1" applyFont="1" applyBorder="1" applyAlignment="1" applyProtection="1">
      <alignment horizontal="center" vertical="center"/>
      <protection locked="0"/>
    </xf>
    <xf numFmtId="4" fontId="6" fillId="0" borderId="8" xfId="0" applyNumberFormat="1" applyFont="1" applyBorder="1" applyAlignment="1" applyProtection="1">
      <alignment horizontal="center" vertical="center"/>
      <protection locked="0"/>
    </xf>
    <xf numFmtId="4" fontId="6" fillId="0" borderId="85" xfId="0" applyNumberFormat="1" applyFont="1" applyBorder="1" applyAlignment="1" applyProtection="1">
      <alignment horizontal="center" vertical="center"/>
      <protection locked="0"/>
    </xf>
    <xf numFmtId="0" fontId="22" fillId="0" borderId="47" xfId="0" applyFont="1" applyBorder="1" applyAlignment="1" applyProtection="1">
      <alignment horizontal="center" vertical="center"/>
      <protection locked="0"/>
    </xf>
    <xf numFmtId="0" fontId="22" fillId="0" borderId="8" xfId="0" applyFont="1" applyBorder="1" applyAlignment="1" applyProtection="1">
      <alignment horizontal="center" vertical="center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169" fontId="6" fillId="0" borderId="34" xfId="0" applyNumberFormat="1" applyFont="1" applyBorder="1" applyAlignment="1" applyProtection="1">
      <alignment horizontal="center" vertical="center"/>
      <protection locked="0"/>
    </xf>
    <xf numFmtId="0" fontId="22" fillId="0" borderId="32" xfId="0" applyFont="1" applyBorder="1" applyAlignment="1" applyProtection="1">
      <alignment horizontal="center" vertical="center"/>
      <protection locked="0"/>
    </xf>
    <xf numFmtId="0" fontId="22" fillId="0" borderId="17" xfId="0" applyFont="1" applyBorder="1" applyAlignment="1" applyProtection="1">
      <alignment horizontal="center" vertical="center"/>
      <protection locked="0"/>
    </xf>
    <xf numFmtId="0" fontId="22" fillId="0" borderId="41" xfId="0" applyFont="1" applyBorder="1" applyAlignment="1" applyProtection="1">
      <alignment horizontal="left" vertical="center"/>
      <protection locked="0"/>
    </xf>
    <xf numFmtId="4" fontId="4" fillId="0" borderId="13" xfId="0" applyNumberFormat="1" applyFont="1" applyBorder="1" applyAlignment="1">
      <alignment vertical="center"/>
    </xf>
    <xf numFmtId="4" fontId="9" fillId="0" borderId="34" xfId="0" applyNumberFormat="1" applyFont="1" applyBorder="1" applyAlignment="1">
      <alignment vertical="center"/>
    </xf>
    <xf numFmtId="4" fontId="6" fillId="0" borderId="32" xfId="0" applyNumberFormat="1" applyFont="1" applyBorder="1" applyAlignment="1">
      <alignment vertical="center"/>
    </xf>
    <xf numFmtId="4" fontId="6" fillId="0" borderId="34" xfId="0" applyNumberFormat="1" applyFont="1" applyBorder="1" applyAlignment="1">
      <alignment vertical="center"/>
    </xf>
    <xf numFmtId="4" fontId="4" fillId="0" borderId="32" xfId="0" applyNumberFormat="1" applyFont="1" applyBorder="1" applyAlignment="1">
      <alignment vertical="center"/>
    </xf>
    <xf numFmtId="4" fontId="9" fillId="0" borderId="11" xfId="0" applyNumberFormat="1" applyFont="1" applyBorder="1" applyAlignment="1">
      <alignment vertical="center"/>
    </xf>
    <xf numFmtId="4" fontId="6" fillId="0" borderId="15" xfId="0" applyNumberFormat="1" applyFont="1" applyBorder="1" applyAlignment="1">
      <alignment vertical="center"/>
    </xf>
    <xf numFmtId="4" fontId="6" fillId="0" borderId="11" xfId="0" applyNumberFormat="1" applyFont="1" applyBorder="1" applyAlignment="1">
      <alignment vertical="center"/>
    </xf>
    <xf numFmtId="4" fontId="4" fillId="0" borderId="11" xfId="0" applyNumberFormat="1" applyFont="1" applyBorder="1" applyAlignment="1">
      <alignment vertical="center"/>
    </xf>
    <xf numFmtId="4" fontId="9" fillId="0" borderId="40" xfId="0" applyNumberFormat="1" applyFont="1" applyBorder="1" applyAlignment="1">
      <alignment vertical="center"/>
    </xf>
    <xf numFmtId="169" fontId="6" fillId="0" borderId="40" xfId="0" applyNumberFormat="1" applyFont="1" applyBorder="1" applyAlignment="1">
      <alignment horizontal="center" vertical="center"/>
    </xf>
    <xf numFmtId="4" fontId="4" fillId="0" borderId="42" xfId="0" applyNumberFormat="1" applyFont="1" applyBorder="1" applyAlignment="1">
      <alignment vertical="center"/>
    </xf>
    <xf numFmtId="4" fontId="6" fillId="0" borderId="49" xfId="0" applyNumberFormat="1" applyFont="1" applyBorder="1" applyAlignment="1">
      <alignment vertical="center"/>
    </xf>
    <xf numFmtId="4" fontId="4" fillId="0" borderId="51" xfId="0" applyNumberFormat="1" applyFont="1" applyBorder="1" applyAlignment="1">
      <alignment horizontal="center" vertical="center"/>
    </xf>
    <xf numFmtId="169" fontId="4" fillId="0" borderId="8" xfId="0" applyNumberFormat="1" applyFont="1" applyBorder="1" applyAlignment="1">
      <alignment horizontal="center" vertical="center"/>
    </xf>
    <xf numFmtId="4" fontId="9" fillId="0" borderId="8" xfId="0" applyNumberFormat="1" applyFont="1" applyBorder="1" applyAlignment="1">
      <alignment vertical="center"/>
    </xf>
    <xf numFmtId="4" fontId="9" fillId="0" borderId="21" xfId="0" applyNumberFormat="1" applyFont="1" applyBorder="1" applyAlignment="1">
      <alignment horizontal="center" vertical="center"/>
    </xf>
    <xf numFmtId="4" fontId="6" fillId="0" borderId="47" xfId="0" applyNumberFormat="1" applyFont="1" applyBorder="1" applyAlignment="1">
      <alignment vertical="center"/>
    </xf>
    <xf numFmtId="169" fontId="6" fillId="0" borderId="8" xfId="0" applyNumberFormat="1" applyFont="1" applyBorder="1" applyAlignment="1">
      <alignment horizontal="center" vertical="center"/>
    </xf>
    <xf numFmtId="4" fontId="6" fillId="0" borderId="8" xfId="0" applyNumberFormat="1" applyFont="1" applyBorder="1" applyAlignment="1">
      <alignment vertical="center"/>
    </xf>
    <xf numFmtId="4" fontId="6" fillId="0" borderId="8" xfId="0" applyNumberFormat="1" applyFont="1" applyBorder="1" applyAlignment="1">
      <alignment horizontal="center" vertical="center"/>
    </xf>
    <xf numFmtId="4" fontId="6" fillId="0" borderId="85" xfId="0" applyNumberFormat="1" applyFont="1" applyBorder="1" applyAlignment="1">
      <alignment horizontal="center" vertical="center"/>
    </xf>
    <xf numFmtId="4" fontId="4" fillId="0" borderId="47" xfId="0" applyNumberFormat="1" applyFont="1" applyBorder="1" applyAlignment="1">
      <alignment vertical="center"/>
    </xf>
    <xf numFmtId="4" fontId="9" fillId="0" borderId="8" xfId="0" applyNumberFormat="1" applyFont="1" applyBorder="1" applyAlignment="1">
      <alignment horizontal="center" vertical="center"/>
    </xf>
    <xf numFmtId="4" fontId="4" fillId="0" borderId="47" xfId="0" applyNumberFormat="1" applyFont="1" applyBorder="1" applyAlignment="1">
      <alignment horizontal="center" vertical="center"/>
    </xf>
    <xf numFmtId="49" fontId="84" fillId="0" borderId="4" xfId="0" applyNumberFormat="1" applyFont="1" applyBorder="1" applyAlignment="1" applyProtection="1">
      <alignment horizontal="center" vertical="center"/>
      <protection locked="0"/>
    </xf>
    <xf numFmtId="164" fontId="83" fillId="0" borderId="4" xfId="0" applyNumberFormat="1" applyFont="1" applyBorder="1" applyAlignment="1" applyProtection="1">
      <alignment horizontal="center" vertical="center" wrapText="1"/>
      <protection locked="0"/>
    </xf>
    <xf numFmtId="0" fontId="79" fillId="0" borderId="4" xfId="0" applyFont="1" applyBorder="1" applyAlignment="1" applyProtection="1">
      <alignment horizontal="center" vertical="center"/>
      <protection locked="0"/>
    </xf>
    <xf numFmtId="0" fontId="85" fillId="0" borderId="4" xfId="0" applyFont="1" applyBorder="1" applyAlignment="1" applyProtection="1">
      <alignment horizontal="center" vertical="center"/>
      <protection locked="0"/>
    </xf>
    <xf numFmtId="171" fontId="33" fillId="4" borderId="4" xfId="0" applyNumberFormat="1" applyFont="1" applyFill="1" applyBorder="1" applyAlignment="1">
      <alignment horizontal="center" vertical="center"/>
    </xf>
    <xf numFmtId="4" fontId="6" fillId="0" borderId="15" xfId="0" applyNumberFormat="1" applyFont="1" applyBorder="1" applyAlignment="1" applyProtection="1">
      <alignment vertical="center"/>
      <protection locked="0"/>
    </xf>
    <xf numFmtId="4" fontId="6" fillId="0" borderId="11" xfId="0" applyNumberFormat="1" applyFont="1" applyBorder="1" applyAlignment="1" applyProtection="1">
      <alignment vertical="center"/>
      <protection locked="0"/>
    </xf>
    <xf numFmtId="4" fontId="9" fillId="0" borderId="34" xfId="0" applyNumberFormat="1" applyFont="1" applyBorder="1" applyAlignment="1" applyProtection="1">
      <alignment vertical="center"/>
      <protection locked="0"/>
    </xf>
    <xf numFmtId="4" fontId="6" fillId="0" borderId="32" xfId="0" applyNumberFormat="1" applyFont="1" applyBorder="1" applyAlignment="1" applyProtection="1">
      <alignment vertical="center"/>
      <protection locked="0"/>
    </xf>
    <xf numFmtId="4" fontId="6" fillId="0" borderId="34" xfId="0" applyNumberFormat="1" applyFont="1" applyBorder="1" applyAlignment="1" applyProtection="1">
      <alignment vertical="center"/>
      <protection locked="0"/>
    </xf>
    <xf numFmtId="4" fontId="4" fillId="0" borderId="34" xfId="0" applyNumberFormat="1" applyFont="1" applyBorder="1" applyAlignment="1" applyProtection="1">
      <alignment vertical="center"/>
      <protection locked="0"/>
    </xf>
    <xf numFmtId="4" fontId="9" fillId="0" borderId="11" xfId="0" applyNumberFormat="1" applyFont="1" applyBorder="1" applyAlignment="1" applyProtection="1">
      <alignment vertical="center"/>
      <protection locked="0"/>
    </xf>
    <xf numFmtId="4" fontId="4" fillId="0" borderId="11" xfId="0" applyNumberFormat="1" applyFont="1" applyBorder="1" applyAlignment="1" applyProtection="1">
      <alignment vertical="center"/>
      <protection locked="0"/>
    </xf>
    <xf numFmtId="171" fontId="86" fillId="4" borderId="4" xfId="0" applyNumberFormat="1" applyFont="1" applyFill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8" fillId="0" borderId="4" xfId="0" applyFont="1" applyBorder="1" applyAlignment="1">
      <alignment horizontal="center" vertical="center"/>
    </xf>
    <xf numFmtId="171" fontId="33" fillId="9" borderId="26" xfId="0" applyNumberFormat="1" applyFont="1" applyFill="1" applyBorder="1" applyAlignment="1">
      <alignment horizontal="center" vertical="center"/>
    </xf>
    <xf numFmtId="0" fontId="89" fillId="11" borderId="4" xfId="0" applyFont="1" applyFill="1" applyBorder="1" applyAlignment="1">
      <alignment horizontal="center" vertical="center"/>
    </xf>
    <xf numFmtId="170" fontId="90" fillId="0" borderId="4" xfId="0" applyNumberFormat="1" applyFont="1" applyBorder="1" applyAlignment="1">
      <alignment horizontal="center" vertical="center" wrapText="1"/>
    </xf>
    <xf numFmtId="0" fontId="91" fillId="0" borderId="4" xfId="0" applyFont="1" applyBorder="1" applyAlignment="1">
      <alignment horizontal="center" vertical="center"/>
    </xf>
    <xf numFmtId="0" fontId="92" fillId="0" borderId="4" xfId="0" applyFont="1" applyBorder="1" applyAlignment="1">
      <alignment horizontal="center" vertical="center"/>
    </xf>
    <xf numFmtId="49" fontId="93" fillId="0" borderId="4" xfId="0" applyNumberFormat="1" applyFont="1" applyBorder="1" applyAlignment="1">
      <alignment horizontal="center" vertical="center"/>
    </xf>
    <xf numFmtId="49" fontId="93" fillId="0" borderId="4" xfId="0" applyNumberFormat="1" applyFont="1" applyBorder="1" applyAlignment="1">
      <alignment horizontal="center" vertical="center" wrapText="1"/>
    </xf>
    <xf numFmtId="49" fontId="91" fillId="0" borderId="4" xfId="0" applyNumberFormat="1" applyFont="1" applyBorder="1" applyAlignment="1">
      <alignment horizontal="center" vertical="center" wrapText="1"/>
    </xf>
    <xf numFmtId="164" fontId="91" fillId="0" borderId="4" xfId="0" applyNumberFormat="1" applyFont="1" applyBorder="1" applyAlignment="1" applyProtection="1">
      <alignment horizontal="center" vertical="center" wrapText="1"/>
      <protection locked="0"/>
    </xf>
    <xf numFmtId="164" fontId="91" fillId="0" borderId="4" xfId="0" applyNumberFormat="1" applyFont="1" applyBorder="1" applyAlignment="1">
      <alignment horizontal="center" vertical="center" wrapText="1"/>
    </xf>
    <xf numFmtId="2" fontId="91" fillId="0" borderId="4" xfId="0" applyNumberFormat="1" applyFont="1" applyBorder="1" applyAlignment="1">
      <alignment horizontal="center" vertical="center" wrapText="1"/>
    </xf>
    <xf numFmtId="0" fontId="94" fillId="0" borderId="4" xfId="0" applyFont="1" applyBorder="1" applyAlignment="1">
      <alignment horizontal="center" vertical="center"/>
    </xf>
    <xf numFmtId="0" fontId="54" fillId="0" borderId="4" xfId="2" applyFont="1" applyBorder="1" applyAlignment="1" applyProtection="1">
      <alignment horizontal="center" vertical="center"/>
      <protection locked="0"/>
    </xf>
    <xf numFmtId="0" fontId="94" fillId="0" borderId="4" xfId="2" applyFont="1" applyBorder="1" applyAlignment="1">
      <alignment horizontal="center" vertical="center"/>
    </xf>
    <xf numFmtId="0" fontId="54" fillId="0" borderId="0" xfId="0" applyFont="1"/>
    <xf numFmtId="0" fontId="54" fillId="4" borderId="4" xfId="0" applyFont="1" applyFill="1" applyBorder="1" applyAlignment="1">
      <alignment horizontal="center"/>
    </xf>
    <xf numFmtId="0" fontId="54" fillId="4" borderId="4" xfId="0" applyFont="1" applyFill="1" applyBorder="1"/>
    <xf numFmtId="0" fontId="95" fillId="0" borderId="4" xfId="0" applyFont="1" applyBorder="1" applyAlignment="1">
      <alignment horizontal="center" vertical="center"/>
    </xf>
    <xf numFmtId="0" fontId="94" fillId="0" borderId="4" xfId="0" applyFont="1" applyBorder="1" applyAlignment="1">
      <alignment horizontal="center" vertical="center" wrapText="1"/>
    </xf>
    <xf numFmtId="0" fontId="54" fillId="0" borderId="4" xfId="0" applyFont="1" applyBorder="1" applyAlignment="1">
      <alignment horizontal="center" vertical="center"/>
    </xf>
    <xf numFmtId="49" fontId="97" fillId="0" borderId="4" xfId="0" applyNumberFormat="1" applyFont="1" applyBorder="1" applyAlignment="1" applyProtection="1">
      <alignment horizontal="center" vertical="center"/>
      <protection locked="0"/>
    </xf>
    <xf numFmtId="164" fontId="96" fillId="0" borderId="4" xfId="0" applyNumberFormat="1" applyFont="1" applyBorder="1" applyAlignment="1" applyProtection="1">
      <alignment horizontal="center" vertical="center" wrapText="1"/>
      <protection locked="0"/>
    </xf>
    <xf numFmtId="1" fontId="96" fillId="4" borderId="4" xfId="0" applyNumberFormat="1" applyFont="1" applyFill="1" applyBorder="1" applyAlignment="1" applyProtection="1">
      <alignment horizontal="center" vertical="center" wrapText="1"/>
      <protection hidden="1"/>
    </xf>
    <xf numFmtId="0" fontId="98" fillId="0" borderId="4" xfId="2" applyFont="1" applyBorder="1" applyAlignment="1" applyProtection="1">
      <alignment horizontal="center" vertical="center"/>
      <protection locked="0"/>
    </xf>
    <xf numFmtId="4" fontId="4" fillId="0" borderId="34" xfId="0" applyNumberFormat="1" applyFont="1" applyBorder="1" applyAlignment="1">
      <alignment vertical="center"/>
    </xf>
    <xf numFmtId="4" fontId="9" fillId="0" borderId="73" xfId="0" applyNumberFormat="1" applyFont="1" applyBorder="1" applyAlignment="1" applyProtection="1">
      <alignment vertical="center"/>
      <protection locked="0"/>
    </xf>
    <xf numFmtId="4" fontId="4" fillId="0" borderId="40" xfId="0" applyNumberFormat="1" applyFont="1" applyBorder="1" applyAlignment="1" applyProtection="1">
      <alignment vertical="center"/>
      <protection locked="0"/>
    </xf>
    <xf numFmtId="4" fontId="9" fillId="0" borderId="53" xfId="0" applyNumberFormat="1" applyFont="1" applyBorder="1" applyAlignment="1" applyProtection="1">
      <alignment horizontal="center" vertical="center"/>
      <protection locked="0"/>
    </xf>
    <xf numFmtId="4" fontId="9" fillId="0" borderId="86" xfId="0" applyNumberFormat="1" applyFont="1" applyBorder="1" applyAlignment="1" applyProtection="1">
      <alignment horizontal="center" vertical="center"/>
      <protection locked="0"/>
    </xf>
    <xf numFmtId="4" fontId="9" fillId="0" borderId="46" xfId="0" applyNumberFormat="1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center" vertical="center"/>
      <protection locked="0"/>
    </xf>
    <xf numFmtId="4" fontId="9" fillId="0" borderId="40" xfId="0" applyNumberFormat="1" applyFont="1" applyBorder="1" applyAlignment="1" applyProtection="1">
      <alignment vertical="center"/>
      <protection locked="0"/>
    </xf>
    <xf numFmtId="0" fontId="0" fillId="8" borderId="87" xfId="0" applyFill="1" applyBorder="1" applyAlignment="1">
      <alignment horizontal="center"/>
    </xf>
    <xf numFmtId="0" fontId="99" fillId="8" borderId="87" xfId="0" applyFont="1" applyFill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73" fillId="0" borderId="0" xfId="0" applyFont="1"/>
    <xf numFmtId="164" fontId="99" fillId="0" borderId="0" xfId="0" applyNumberFormat="1" applyFont="1"/>
    <xf numFmtId="20" fontId="0" fillId="0" borderId="4" xfId="0" applyNumberFormat="1" applyBorder="1"/>
    <xf numFmtId="21" fontId="0" fillId="0" borderId="4" xfId="0" applyNumberFormat="1" applyBorder="1"/>
    <xf numFmtId="0" fontId="100" fillId="0" borderId="4" xfId="0" applyFont="1" applyBorder="1" applyAlignment="1">
      <alignment horizontal="center" vertical="center" wrapText="1"/>
    </xf>
    <xf numFmtId="9" fontId="100" fillId="0" borderId="4" xfId="0" applyNumberFormat="1" applyFont="1" applyBorder="1" applyAlignment="1">
      <alignment horizontal="center" vertical="center" wrapText="1"/>
    </xf>
    <xf numFmtId="1" fontId="100" fillId="0" borderId="4" xfId="0" applyNumberFormat="1" applyFont="1" applyBorder="1" applyAlignment="1">
      <alignment horizontal="center" vertical="center" wrapText="1"/>
    </xf>
    <xf numFmtId="0" fontId="65" fillId="0" borderId="4" xfId="0" applyFont="1" applyBorder="1" applyAlignment="1">
      <alignment horizontal="center" vertical="center"/>
    </xf>
    <xf numFmtId="2" fontId="100" fillId="0" borderId="4" xfId="0" applyNumberFormat="1" applyFont="1" applyBorder="1" applyAlignment="1">
      <alignment horizontal="center" vertical="center" wrapText="1"/>
    </xf>
    <xf numFmtId="0" fontId="101" fillId="0" borderId="0" xfId="0" applyFont="1" applyAlignment="1">
      <alignment horizontal="center" vertical="center"/>
    </xf>
    <xf numFmtId="0" fontId="94" fillId="0" borderId="84" xfId="0" applyFont="1" applyBorder="1" applyAlignment="1">
      <alignment horizontal="center" vertical="center" wrapText="1"/>
    </xf>
    <xf numFmtId="0" fontId="0" fillId="8" borderId="88" xfId="0" applyFill="1" applyBorder="1" applyAlignment="1">
      <alignment horizontal="center"/>
    </xf>
    <xf numFmtId="0" fontId="94" fillId="9" borderId="4" xfId="0" applyFont="1" applyFill="1" applyBorder="1" applyAlignment="1">
      <alignment horizontal="left" wrapText="1"/>
    </xf>
    <xf numFmtId="0" fontId="2" fillId="9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center"/>
    </xf>
    <xf numFmtId="0" fontId="76" fillId="4" borderId="4" xfId="0" applyFont="1" applyFill="1" applyBorder="1" applyAlignment="1">
      <alignment horizontal="center"/>
    </xf>
    <xf numFmtId="2" fontId="102" fillId="0" borderId="0" xfId="0" applyNumberFormat="1" applyFont="1" applyAlignment="1">
      <alignment horizontal="center"/>
    </xf>
    <xf numFmtId="2" fontId="103" fillId="0" borderId="0" xfId="0" applyNumberFormat="1" applyFont="1"/>
    <xf numFmtId="2" fontId="102" fillId="0" borderId="0" xfId="0" applyNumberFormat="1" applyFont="1" applyAlignment="1">
      <alignment horizontal="center" vertical="center"/>
    </xf>
    <xf numFmtId="2" fontId="103" fillId="0" borderId="0" xfId="0" applyNumberFormat="1" applyFont="1" applyAlignment="1">
      <alignment horizontal="left" vertical="center"/>
    </xf>
    <xf numFmtId="2" fontId="103" fillId="0" borderId="0" xfId="0" applyNumberFormat="1" applyFont="1" applyAlignment="1">
      <alignment vertical="center"/>
    </xf>
    <xf numFmtId="2" fontId="104" fillId="0" borderId="0" xfId="0" applyNumberFormat="1" applyFont="1" applyAlignment="1" applyProtection="1">
      <alignment horizontal="center"/>
      <protection locked="0"/>
    </xf>
    <xf numFmtId="2" fontId="104" fillId="0" borderId="0" xfId="0" applyNumberFormat="1" applyFont="1" applyProtection="1">
      <protection locked="0"/>
    </xf>
    <xf numFmtId="2" fontId="104" fillId="0" borderId="0" xfId="0" applyNumberFormat="1" applyFont="1" applyAlignment="1" applyProtection="1">
      <alignment horizontal="center" vertical="center"/>
      <protection locked="0"/>
    </xf>
    <xf numFmtId="2" fontId="104" fillId="0" borderId="0" xfId="0" applyNumberFormat="1" applyFont="1" applyAlignment="1" applyProtection="1">
      <alignment horizontal="left" vertical="center"/>
      <protection locked="0"/>
    </xf>
    <xf numFmtId="2" fontId="104" fillId="0" borderId="0" xfId="0" applyNumberFormat="1" applyFont="1" applyAlignment="1" applyProtection="1">
      <alignment vertical="center"/>
      <protection locked="0"/>
    </xf>
    <xf numFmtId="2" fontId="1" fillId="0" borderId="4" xfId="0" applyNumberFormat="1" applyFont="1" applyBorder="1" applyAlignment="1">
      <alignment horizontal="center" vertical="center" wrapText="1"/>
    </xf>
    <xf numFmtId="2" fontId="1" fillId="0" borderId="10" xfId="0" applyNumberFormat="1" applyFont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textRotation="90" wrapText="1"/>
    </xf>
    <xf numFmtId="0" fontId="101" fillId="2" borderId="0" xfId="0" applyFont="1" applyFill="1" applyAlignment="1">
      <alignment horizontal="center" vertical="center" textRotation="90"/>
    </xf>
    <xf numFmtId="0" fontId="105" fillId="0" borderId="0" xfId="0" applyFont="1"/>
    <xf numFmtId="49" fontId="16" fillId="8" borderId="0" xfId="0" applyNumberFormat="1" applyFont="1" applyFill="1" applyAlignment="1">
      <alignment horizontal="center" vertical="center"/>
    </xf>
    <xf numFmtId="0" fontId="106" fillId="0" borderId="4" xfId="0" applyFont="1" applyBorder="1" applyAlignment="1">
      <alignment horizontal="center" vertical="center"/>
    </xf>
    <xf numFmtId="0" fontId="107" fillId="0" borderId="4" xfId="0" applyFont="1" applyBorder="1" applyAlignment="1">
      <alignment horizontal="center" vertical="center" wrapText="1"/>
    </xf>
    <xf numFmtId="0" fontId="54" fillId="0" borderId="4" xfId="0" applyFont="1" applyBorder="1" applyAlignment="1">
      <alignment horizontal="center" vertical="center" wrapText="1"/>
    </xf>
    <xf numFmtId="0" fontId="108" fillId="0" borderId="28" xfId="0" applyFont="1" applyBorder="1" applyAlignment="1" applyProtection="1">
      <alignment horizontal="center" vertical="center"/>
      <protection locked="0"/>
    </xf>
    <xf numFmtId="0" fontId="109" fillId="0" borderId="28" xfId="0" applyFont="1" applyBorder="1" applyAlignment="1" applyProtection="1">
      <alignment horizontal="center" vertical="center"/>
      <protection locked="0"/>
    </xf>
    <xf numFmtId="0" fontId="110" fillId="0" borderId="28" xfId="0" applyFont="1" applyBorder="1" applyAlignment="1" applyProtection="1">
      <alignment horizontal="center" vertical="center"/>
      <protection locked="0"/>
    </xf>
    <xf numFmtId="49" fontId="109" fillId="0" borderId="28" xfId="0" applyNumberFormat="1" applyFont="1" applyBorder="1" applyAlignment="1" applyProtection="1">
      <alignment horizontal="center" vertical="center"/>
      <protection locked="0"/>
    </xf>
    <xf numFmtId="49" fontId="111" fillId="0" borderId="28" xfId="0" applyNumberFormat="1" applyFont="1" applyBorder="1" applyAlignment="1" applyProtection="1">
      <alignment horizontal="center" vertical="center" wrapText="1"/>
      <protection locked="0"/>
    </xf>
    <xf numFmtId="0" fontId="112" fillId="0" borderId="28" xfId="0" applyFont="1" applyBorder="1" applyAlignment="1" applyProtection="1">
      <alignment horizontal="center" vertical="center"/>
      <protection locked="0"/>
    </xf>
    <xf numFmtId="164" fontId="108" fillId="0" borderId="28" xfId="0" applyNumberFormat="1" applyFont="1" applyBorder="1" applyAlignment="1" applyProtection="1">
      <alignment horizontal="center" vertical="center" wrapText="1"/>
      <protection locked="0"/>
    </xf>
    <xf numFmtId="164" fontId="113" fillId="4" borderId="28" xfId="0" applyNumberFormat="1" applyFont="1" applyFill="1" applyBorder="1" applyAlignment="1" applyProtection="1">
      <alignment horizontal="center" vertical="center" wrapText="1"/>
      <protection hidden="1"/>
    </xf>
    <xf numFmtId="2" fontId="113" fillId="4" borderId="40" xfId="0" applyNumberFormat="1" applyFont="1" applyFill="1" applyBorder="1" applyAlignment="1" applyProtection="1">
      <alignment horizontal="center" vertical="center" wrapText="1"/>
      <protection hidden="1"/>
    </xf>
    <xf numFmtId="1" fontId="108" fillId="4" borderId="28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>
      <alignment horizontal="center" vertical="center"/>
    </xf>
    <xf numFmtId="0" fontId="94" fillId="0" borderId="4" xfId="0" applyFont="1" applyBorder="1" applyAlignment="1">
      <alignment horizontal="center" wrapText="1"/>
    </xf>
    <xf numFmtId="0" fontId="108" fillId="0" borderId="4" xfId="0" applyFont="1" applyBorder="1" applyAlignment="1" applyProtection="1">
      <alignment horizontal="center" vertical="center"/>
      <protection locked="0"/>
    </xf>
    <xf numFmtId="0" fontId="109" fillId="0" borderId="4" xfId="0" applyFont="1" applyBorder="1" applyAlignment="1" applyProtection="1">
      <alignment horizontal="center" vertical="center"/>
      <protection locked="0"/>
    </xf>
    <xf numFmtId="49" fontId="109" fillId="0" borderId="4" xfId="0" applyNumberFormat="1" applyFont="1" applyBorder="1" applyAlignment="1" applyProtection="1">
      <alignment horizontal="center" vertical="center"/>
      <protection locked="0"/>
    </xf>
    <xf numFmtId="49" fontId="111" fillId="0" borderId="4" xfId="0" applyNumberFormat="1" applyFont="1" applyBorder="1" applyAlignment="1" applyProtection="1">
      <alignment horizontal="center" vertical="center" wrapText="1"/>
      <protection locked="0"/>
    </xf>
    <xf numFmtId="49" fontId="108" fillId="0" borderId="4" xfId="0" applyNumberFormat="1" applyFont="1" applyBorder="1" applyAlignment="1" applyProtection="1">
      <alignment horizontal="center" vertical="center" wrapText="1"/>
      <protection locked="0"/>
    </xf>
    <xf numFmtId="164" fontId="108" fillId="0" borderId="4" xfId="0" applyNumberFormat="1" applyFont="1" applyBorder="1" applyAlignment="1" applyProtection="1">
      <alignment horizontal="center" vertical="center" wrapText="1"/>
      <protection locked="0"/>
    </xf>
    <xf numFmtId="164" fontId="113" fillId="4" borderId="4" xfId="0" applyNumberFormat="1" applyFont="1" applyFill="1" applyBorder="1" applyAlignment="1" applyProtection="1">
      <alignment horizontal="center" vertical="center" wrapText="1"/>
      <protection hidden="1"/>
    </xf>
    <xf numFmtId="1" fontId="108" fillId="4" borderId="4" xfId="0" applyNumberFormat="1" applyFont="1" applyFill="1" applyBorder="1" applyAlignment="1" applyProtection="1">
      <alignment horizontal="center" vertical="center" wrapText="1"/>
      <protection hidden="1"/>
    </xf>
    <xf numFmtId="0" fontId="114" fillId="0" borderId="4" xfId="2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0" fontId="0" fillId="12" borderId="0" xfId="0" applyFill="1"/>
    <xf numFmtId="0" fontId="73" fillId="12" borderId="0" xfId="0" applyFont="1" applyFill="1"/>
    <xf numFmtId="164" fontId="99" fillId="12" borderId="0" xfId="0" applyNumberFormat="1" applyFont="1" applyFill="1"/>
    <xf numFmtId="0" fontId="0" fillId="12" borderId="0" xfId="0" applyFill="1" applyAlignment="1">
      <alignment horizontal="center"/>
    </xf>
    <xf numFmtId="49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164" fontId="99" fillId="10" borderId="0" xfId="0" applyNumberFormat="1" applyFont="1" applyFill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22" fillId="0" borderId="45" xfId="0" applyFont="1" applyBorder="1" applyAlignment="1" applyProtection="1">
      <alignment horizontal="center" vertical="center"/>
      <protection locked="0"/>
    </xf>
    <xf numFmtId="0" fontId="22" fillId="0" borderId="41" xfId="0" applyFont="1" applyBorder="1" applyAlignment="1" applyProtection="1">
      <alignment horizontal="center" vertical="center"/>
      <protection locked="0"/>
    </xf>
    <xf numFmtId="0" fontId="22" fillId="0" borderId="46" xfId="0" applyFont="1" applyBorder="1" applyAlignment="1" applyProtection="1">
      <alignment horizontal="center" vertical="center"/>
      <protection locked="0"/>
    </xf>
    <xf numFmtId="0" fontId="0" fillId="0" borderId="51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64" fontId="40" fillId="0" borderId="63" xfId="0" applyNumberFormat="1" applyFont="1" applyBorder="1" applyAlignment="1" applyProtection="1">
      <alignment horizontal="center" vertical="center"/>
      <protection locked="0"/>
    </xf>
    <xf numFmtId="164" fontId="40" fillId="0" borderId="64" xfId="0" applyNumberFormat="1" applyFont="1" applyBorder="1" applyAlignment="1" applyProtection="1">
      <alignment horizontal="center" vertical="center"/>
      <protection locked="0"/>
    </xf>
    <xf numFmtId="4" fontId="40" fillId="0" borderId="41" xfId="0" applyNumberFormat="1" applyFont="1" applyBorder="1" applyAlignment="1" applyProtection="1">
      <alignment horizontal="center" vertical="center"/>
      <protection locked="0"/>
    </xf>
    <xf numFmtId="4" fontId="40" fillId="0" borderId="46" xfId="0" applyNumberFormat="1" applyFont="1" applyBorder="1" applyAlignment="1" applyProtection="1">
      <alignment horizontal="center" vertical="center"/>
      <protection locked="0"/>
    </xf>
    <xf numFmtId="4" fontId="40" fillId="0" borderId="45" xfId="0" applyNumberFormat="1" applyFont="1" applyBorder="1" applyAlignment="1" applyProtection="1">
      <alignment horizontal="center" vertical="center"/>
      <protection locked="0"/>
    </xf>
    <xf numFmtId="164" fontId="40" fillId="0" borderId="45" xfId="0" applyNumberFormat="1" applyFont="1" applyBorder="1" applyAlignment="1" applyProtection="1">
      <alignment horizontal="center" vertical="center"/>
      <protection locked="0"/>
    </xf>
    <xf numFmtId="164" fontId="40" fillId="0" borderId="41" xfId="0" applyNumberFormat="1" applyFont="1" applyBorder="1" applyAlignment="1" applyProtection="1">
      <alignment horizontal="center" vertical="center"/>
      <protection locked="0"/>
    </xf>
    <xf numFmtId="164" fontId="40" fillId="0" borderId="46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 wrapText="1"/>
      <protection locked="0"/>
    </xf>
    <xf numFmtId="0" fontId="21" fillId="0" borderId="58" xfId="0" applyFont="1" applyBorder="1" applyAlignment="1" applyProtection="1">
      <alignment horizontal="center" vertical="center"/>
      <protection locked="0"/>
    </xf>
    <xf numFmtId="0" fontId="21" fillId="0" borderId="81" xfId="0" applyFont="1" applyBorder="1" applyAlignment="1" applyProtection="1">
      <alignment horizontal="center" vertical="center"/>
      <protection locked="0"/>
    </xf>
    <xf numFmtId="0" fontId="22" fillId="0" borderId="53" xfId="0" applyFont="1" applyBorder="1" applyAlignment="1" applyProtection="1">
      <alignment horizontal="center" vertical="center"/>
      <protection locked="0"/>
    </xf>
    <xf numFmtId="0" fontId="22" fillId="0" borderId="77" xfId="0" applyFont="1" applyBorder="1" applyAlignment="1" applyProtection="1">
      <alignment horizontal="center" vertical="center"/>
      <protection locked="0"/>
    </xf>
    <xf numFmtId="49" fontId="22" fillId="0" borderId="53" xfId="0" applyNumberFormat="1" applyFont="1" applyBorder="1" applyAlignment="1" applyProtection="1">
      <alignment horizontal="center" vertical="center" textRotation="90" wrapText="1"/>
      <protection locked="0"/>
    </xf>
    <xf numFmtId="49" fontId="22" fillId="0" borderId="77" xfId="0" applyNumberFormat="1" applyFont="1" applyBorder="1" applyAlignment="1" applyProtection="1">
      <alignment horizontal="center" vertical="center" textRotation="90" wrapText="1"/>
      <protection locked="0"/>
    </xf>
    <xf numFmtId="0" fontId="22" fillId="0" borderId="59" xfId="0" applyFont="1" applyBorder="1" applyAlignment="1" applyProtection="1">
      <alignment horizontal="center" vertical="center" textRotation="90" wrapText="1"/>
      <protection locked="0"/>
    </xf>
    <xf numFmtId="0" fontId="22" fillId="0" borderId="77" xfId="0" applyFont="1" applyBorder="1" applyAlignment="1" applyProtection="1">
      <alignment horizontal="center" vertical="center" textRotation="90" wrapText="1"/>
      <protection locked="0"/>
    </xf>
    <xf numFmtId="9" fontId="21" fillId="0" borderId="5" xfId="0" applyNumberFormat="1" applyFont="1" applyBorder="1" applyAlignment="1" applyProtection="1">
      <alignment horizontal="center" vertical="center"/>
      <protection locked="0"/>
    </xf>
    <xf numFmtId="9" fontId="21" fillId="0" borderId="6" xfId="0" applyNumberFormat="1" applyFont="1" applyBorder="1" applyAlignment="1" applyProtection="1">
      <alignment horizontal="center" vertical="center"/>
      <protection locked="0"/>
    </xf>
    <xf numFmtId="9" fontId="21" fillId="0" borderId="7" xfId="0" applyNumberFormat="1" applyFont="1" applyBorder="1" applyAlignment="1" applyProtection="1">
      <alignment horizontal="center" vertical="center"/>
      <protection locked="0"/>
    </xf>
    <xf numFmtId="9" fontId="21" fillId="0" borderId="42" xfId="0" applyNumberFormat="1" applyFont="1" applyBorder="1" applyAlignment="1" applyProtection="1">
      <alignment horizontal="center" vertical="center"/>
      <protection locked="0"/>
    </xf>
    <xf numFmtId="9" fontId="21" fillId="0" borderId="40" xfId="0" applyNumberFormat="1" applyFont="1" applyBorder="1" applyAlignment="1" applyProtection="1">
      <alignment horizontal="center" vertical="center"/>
      <protection locked="0"/>
    </xf>
    <xf numFmtId="9" fontId="21" fillId="0" borderId="14" xfId="0" applyNumberFormat="1" applyFont="1" applyBorder="1" applyAlignment="1" applyProtection="1">
      <alignment horizontal="center" vertical="center"/>
      <protection locked="0"/>
    </xf>
    <xf numFmtId="167" fontId="18" fillId="0" borderId="57" xfId="0" applyNumberFormat="1" applyFont="1" applyBorder="1" applyAlignment="1" applyProtection="1">
      <alignment horizontal="center" vertical="center" textRotation="90" wrapText="1"/>
      <protection locked="0"/>
    </xf>
    <xf numFmtId="167" fontId="18" fillId="0" borderId="81" xfId="0" applyNumberFormat="1" applyFont="1" applyBorder="1" applyAlignment="1" applyProtection="1">
      <alignment horizontal="center" vertical="center" textRotation="90" wrapText="1"/>
      <protection locked="0"/>
    </xf>
    <xf numFmtId="4" fontId="22" fillId="0" borderId="53" xfId="0" applyNumberFormat="1" applyFont="1" applyBorder="1" applyAlignment="1" applyProtection="1">
      <alignment horizontal="center" vertical="center" wrapText="1"/>
      <protection locked="0"/>
    </xf>
    <xf numFmtId="4" fontId="22" fillId="0" borderId="77" xfId="0" applyNumberFormat="1" applyFont="1" applyBorder="1" applyAlignment="1" applyProtection="1">
      <alignment horizontal="center" vertical="center" wrapText="1"/>
      <protection locked="0"/>
    </xf>
    <xf numFmtId="0" fontId="22" fillId="0" borderId="53" xfId="0" applyFont="1" applyBorder="1" applyAlignment="1" applyProtection="1">
      <alignment horizontal="center" vertical="center" wrapText="1"/>
      <protection locked="0"/>
    </xf>
    <xf numFmtId="0" fontId="22" fillId="0" borderId="77" xfId="0" applyFont="1" applyBorder="1" applyAlignment="1" applyProtection="1">
      <alignment horizontal="center" vertical="center" wrapText="1"/>
      <protection locked="0"/>
    </xf>
    <xf numFmtId="164" fontId="40" fillId="0" borderId="62" xfId="0" applyNumberFormat="1" applyFont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22" fillId="0" borderId="54" xfId="0" applyFont="1" applyBorder="1" applyAlignment="1" applyProtection="1">
      <alignment horizontal="right" vertical="center"/>
      <protection locked="0"/>
    </xf>
    <xf numFmtId="0" fontId="22" fillId="0" borderId="61" xfId="0" applyFont="1" applyBorder="1" applyAlignment="1" applyProtection="1">
      <alignment horizontal="right" vertical="center"/>
      <protection locked="0"/>
    </xf>
    <xf numFmtId="0" fontId="22" fillId="0" borderId="62" xfId="0" applyFont="1" applyBorder="1" applyAlignment="1" applyProtection="1">
      <alignment horizontal="right" vertical="center"/>
      <protection locked="0"/>
    </xf>
    <xf numFmtId="0" fontId="22" fillId="0" borderId="55" xfId="0" applyFont="1" applyBorder="1" applyAlignment="1" applyProtection="1">
      <alignment horizontal="right" vertical="center"/>
      <protection locked="0"/>
    </xf>
    <xf numFmtId="0" fontId="22" fillId="0" borderId="0" xfId="0" applyFont="1" applyAlignment="1" applyProtection="1">
      <alignment horizontal="right" vertical="center"/>
      <protection locked="0"/>
    </xf>
    <xf numFmtId="0" fontId="22" fillId="0" borderId="63" xfId="0" applyFont="1" applyBorder="1" applyAlignment="1" applyProtection="1">
      <alignment horizontal="right" vertical="center"/>
      <protection locked="0"/>
    </xf>
    <xf numFmtId="0" fontId="22" fillId="0" borderId="56" xfId="0" applyFont="1" applyBorder="1" applyAlignment="1" applyProtection="1">
      <alignment horizontal="right" vertical="center"/>
      <protection locked="0"/>
    </xf>
    <xf numFmtId="0" fontId="22" fillId="0" borderId="9" xfId="0" applyFont="1" applyBorder="1" applyAlignment="1" applyProtection="1">
      <alignment horizontal="right" vertical="center"/>
      <protection locked="0"/>
    </xf>
    <xf numFmtId="0" fontId="22" fillId="0" borderId="64" xfId="0" applyFont="1" applyBorder="1" applyAlignment="1" applyProtection="1">
      <alignment horizontal="right" vertical="center"/>
      <protection locked="0"/>
    </xf>
    <xf numFmtId="164" fontId="22" fillId="0" borderId="45" xfId="0" applyNumberFormat="1" applyFont="1" applyBorder="1" applyAlignment="1" applyProtection="1">
      <alignment horizontal="center" vertical="center"/>
      <protection locked="0"/>
    </xf>
    <xf numFmtId="164" fontId="40" fillId="0" borderId="45" xfId="0" applyNumberFormat="1" applyFont="1" applyBorder="1" applyAlignment="1">
      <alignment horizontal="center" vertical="center"/>
    </xf>
    <xf numFmtId="164" fontId="40" fillId="0" borderId="41" xfId="0" applyNumberFormat="1" applyFont="1" applyBorder="1" applyAlignment="1">
      <alignment horizontal="center" vertical="center"/>
    </xf>
    <xf numFmtId="164" fontId="40" fillId="0" borderId="46" xfId="0" applyNumberFormat="1" applyFont="1" applyBorder="1" applyAlignment="1">
      <alignment horizontal="center" vertical="center"/>
    </xf>
    <xf numFmtId="4" fontId="40" fillId="0" borderId="41" xfId="0" applyNumberFormat="1" applyFont="1" applyBorder="1" applyAlignment="1">
      <alignment horizontal="center" vertical="center"/>
    </xf>
    <xf numFmtId="4" fontId="40" fillId="0" borderId="46" xfId="0" applyNumberFormat="1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4" fontId="40" fillId="0" borderId="63" xfId="0" applyNumberFormat="1" applyFont="1" applyBorder="1" applyAlignment="1">
      <alignment horizontal="center" vertical="center"/>
    </xf>
    <xf numFmtId="164" fontId="40" fillId="0" borderId="64" xfId="0" applyNumberFormat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40" fillId="0" borderId="45" xfId="0" applyNumberFormat="1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2" fillId="0" borderId="54" xfId="0" applyFont="1" applyBorder="1" applyAlignment="1">
      <alignment horizontal="right" vertical="center"/>
    </xf>
    <xf numFmtId="0" fontId="22" fillId="0" borderId="61" xfId="0" applyFont="1" applyBorder="1" applyAlignment="1">
      <alignment horizontal="right" vertical="center"/>
    </xf>
    <xf numFmtId="0" fontId="22" fillId="0" borderId="62" xfId="0" applyFont="1" applyBorder="1" applyAlignment="1">
      <alignment horizontal="right" vertical="center"/>
    </xf>
    <xf numFmtId="0" fontId="22" fillId="0" borderId="55" xfId="0" applyFont="1" applyBorder="1" applyAlignment="1">
      <alignment horizontal="right" vertical="center"/>
    </xf>
    <xf numFmtId="0" fontId="22" fillId="0" borderId="0" xfId="0" applyFont="1" applyAlignment="1">
      <alignment horizontal="right" vertical="center"/>
    </xf>
    <xf numFmtId="0" fontId="22" fillId="0" borderId="63" xfId="0" applyFont="1" applyBorder="1" applyAlignment="1">
      <alignment horizontal="right" vertical="center"/>
    </xf>
    <xf numFmtId="0" fontId="22" fillId="0" borderId="56" xfId="0" applyFont="1" applyBorder="1" applyAlignment="1">
      <alignment horizontal="right" vertical="center"/>
    </xf>
    <xf numFmtId="0" fontId="22" fillId="0" borderId="9" xfId="0" applyFont="1" applyBorder="1" applyAlignment="1">
      <alignment horizontal="right" vertical="center"/>
    </xf>
    <xf numFmtId="0" fontId="22" fillId="0" borderId="64" xfId="0" applyFont="1" applyBorder="1" applyAlignment="1">
      <alignment horizontal="right" vertical="center"/>
    </xf>
    <xf numFmtId="164" fontId="22" fillId="0" borderId="45" xfId="0" applyNumberFormat="1" applyFont="1" applyBorder="1" applyAlignment="1">
      <alignment horizontal="center" vertical="center"/>
    </xf>
    <xf numFmtId="2" fontId="22" fillId="0" borderId="45" xfId="0" applyNumberFormat="1" applyFont="1" applyBorder="1" applyAlignment="1">
      <alignment horizontal="center" vertical="center"/>
    </xf>
    <xf numFmtId="2" fontId="22" fillId="0" borderId="41" xfId="0" applyNumberFormat="1" applyFont="1" applyBorder="1" applyAlignment="1">
      <alignment horizontal="center" vertical="center"/>
    </xf>
    <xf numFmtId="2" fontId="22" fillId="0" borderId="46" xfId="0" applyNumberFormat="1" applyFont="1" applyBorder="1" applyAlignment="1">
      <alignment horizontal="center" vertical="center"/>
    </xf>
    <xf numFmtId="0" fontId="21" fillId="0" borderId="58" xfId="0" applyFont="1" applyBorder="1" applyAlignment="1">
      <alignment horizontal="center" vertical="center"/>
    </xf>
    <xf numFmtId="0" fontId="21" fillId="0" borderId="81" xfId="0" applyFont="1" applyBorder="1" applyAlignment="1">
      <alignment horizontal="center" vertical="center"/>
    </xf>
    <xf numFmtId="0" fontId="22" fillId="0" borderId="53" xfId="0" applyFont="1" applyBorder="1" applyAlignment="1">
      <alignment horizontal="center" vertical="center"/>
    </xf>
    <xf numFmtId="0" fontId="22" fillId="0" borderId="77" xfId="0" applyFont="1" applyBorder="1" applyAlignment="1">
      <alignment horizontal="center" vertical="center"/>
    </xf>
    <xf numFmtId="49" fontId="22" fillId="0" borderId="53" xfId="0" applyNumberFormat="1" applyFont="1" applyBorder="1" applyAlignment="1">
      <alignment horizontal="center" vertical="center" textRotation="90" wrapText="1"/>
    </xf>
    <xf numFmtId="49" fontId="22" fillId="0" borderId="77" xfId="0" applyNumberFormat="1" applyFont="1" applyBorder="1" applyAlignment="1">
      <alignment horizontal="center" vertical="center" textRotation="90" wrapText="1"/>
    </xf>
    <xf numFmtId="0" fontId="22" fillId="0" borderId="59" xfId="0" applyFont="1" applyBorder="1" applyAlignment="1">
      <alignment horizontal="center" vertical="center" textRotation="90" wrapText="1"/>
    </xf>
    <xf numFmtId="0" fontId="22" fillId="0" borderId="77" xfId="0" applyFont="1" applyBorder="1" applyAlignment="1">
      <alignment horizontal="center" vertical="center" textRotation="90" wrapText="1"/>
    </xf>
    <xf numFmtId="9" fontId="21" fillId="0" borderId="5" xfId="0" applyNumberFormat="1" applyFont="1" applyBorder="1" applyAlignment="1">
      <alignment horizontal="center" vertical="center"/>
    </xf>
    <xf numFmtId="9" fontId="21" fillId="0" borderId="6" xfId="0" applyNumberFormat="1" applyFont="1" applyBorder="1" applyAlignment="1">
      <alignment horizontal="center" vertical="center"/>
    </xf>
    <xf numFmtId="9" fontId="21" fillId="0" borderId="7" xfId="0" applyNumberFormat="1" applyFont="1" applyBorder="1" applyAlignment="1">
      <alignment horizontal="center" vertical="center"/>
    </xf>
    <xf numFmtId="167" fontId="18" fillId="0" borderId="57" xfId="0" applyNumberFormat="1" applyFont="1" applyBorder="1" applyAlignment="1">
      <alignment horizontal="center" vertical="center" textRotation="90" wrapText="1"/>
    </xf>
    <xf numFmtId="167" fontId="18" fillId="0" borderId="81" xfId="0" applyNumberFormat="1" applyFont="1" applyBorder="1" applyAlignment="1">
      <alignment horizontal="center" vertical="center" textRotation="90" wrapText="1"/>
    </xf>
    <xf numFmtId="4" fontId="22" fillId="0" borderId="53" xfId="0" applyNumberFormat="1" applyFont="1" applyBorder="1" applyAlignment="1">
      <alignment horizontal="center" vertical="center" wrapText="1"/>
    </xf>
    <xf numFmtId="4" fontId="22" fillId="0" borderId="77" xfId="0" applyNumberFormat="1" applyFont="1" applyBorder="1" applyAlignment="1">
      <alignment horizontal="center" vertical="center" wrapText="1"/>
    </xf>
    <xf numFmtId="0" fontId="22" fillId="0" borderId="53" xfId="0" applyFont="1" applyBorder="1" applyAlignment="1">
      <alignment horizontal="center" vertical="center" wrapText="1"/>
    </xf>
    <xf numFmtId="0" fontId="22" fillId="0" borderId="77" xfId="0" applyFont="1" applyBorder="1" applyAlignment="1">
      <alignment horizontal="center" vertical="center" wrapText="1"/>
    </xf>
    <xf numFmtId="9" fontId="21" fillId="0" borderId="42" xfId="0" applyNumberFormat="1" applyFont="1" applyBorder="1" applyAlignment="1">
      <alignment horizontal="center" vertical="center"/>
    </xf>
    <xf numFmtId="9" fontId="21" fillId="0" borderId="40" xfId="0" applyNumberFormat="1" applyFont="1" applyBorder="1" applyAlignment="1">
      <alignment horizontal="center" vertical="center"/>
    </xf>
    <xf numFmtId="9" fontId="21" fillId="0" borderId="14" xfId="0" applyNumberFormat="1" applyFont="1" applyBorder="1" applyAlignment="1">
      <alignment horizontal="center" vertical="center"/>
    </xf>
    <xf numFmtId="0" fontId="39" fillId="0" borderId="45" xfId="0" applyFont="1" applyBorder="1" applyAlignment="1" applyProtection="1">
      <alignment horizontal="center" vertical="center" wrapText="1"/>
      <protection locked="0"/>
    </xf>
    <xf numFmtId="0" fontId="39" fillId="0" borderId="41" xfId="0" applyFont="1" applyBorder="1" applyAlignment="1" applyProtection="1">
      <alignment horizontal="center" vertical="center" wrapText="1"/>
      <protection locked="0"/>
    </xf>
    <xf numFmtId="0" fontId="39" fillId="0" borderId="46" xfId="0" applyFont="1" applyBorder="1" applyAlignment="1" applyProtection="1">
      <alignment horizontal="center" vertical="center" wrapText="1"/>
      <protection locked="0"/>
    </xf>
    <xf numFmtId="0" fontId="54" fillId="4" borderId="2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44" xfId="0" applyFont="1" applyFill="1" applyBorder="1" applyAlignment="1">
      <alignment horizontal="center" vertical="center"/>
    </xf>
    <xf numFmtId="2" fontId="72" fillId="0" borderId="45" xfId="0" applyNumberFormat="1" applyFont="1" applyBorder="1" applyAlignment="1" applyProtection="1">
      <alignment horizontal="center" vertical="center"/>
      <protection locked="0"/>
    </xf>
    <xf numFmtId="2" fontId="72" fillId="0" borderId="41" xfId="0" applyNumberFormat="1" applyFont="1" applyBorder="1" applyAlignment="1" applyProtection="1">
      <alignment horizontal="center" vertical="center"/>
      <protection locked="0"/>
    </xf>
    <xf numFmtId="2" fontId="72" fillId="0" borderId="46" xfId="0" applyNumberFormat="1" applyFont="1" applyBorder="1" applyAlignment="1" applyProtection="1">
      <alignment horizontal="center" vertical="center"/>
      <protection locked="0"/>
    </xf>
    <xf numFmtId="2" fontId="68" fillId="0" borderId="0" xfId="0" applyNumberFormat="1" applyFont="1" applyAlignment="1">
      <alignment horizontal="center"/>
    </xf>
    <xf numFmtId="0" fontId="67" fillId="0" borderId="0" xfId="0" applyFont="1" applyAlignment="1">
      <alignment horizontal="center"/>
    </xf>
    <xf numFmtId="0" fontId="70" fillId="0" borderId="3" xfId="0" applyFont="1" applyBorder="1" applyAlignment="1">
      <alignment horizontal="center"/>
    </xf>
    <xf numFmtId="0" fontId="42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49" fontId="35" fillId="8" borderId="2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right" vertical="center"/>
    </xf>
    <xf numFmtId="0" fontId="46" fillId="8" borderId="0" xfId="0" applyFont="1" applyFill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5" fillId="0" borderId="26" xfId="0" applyNumberFormat="1" applyFont="1" applyBorder="1" applyAlignment="1">
      <alignment horizontal="center" vertical="center"/>
    </xf>
    <xf numFmtId="0" fontId="42" fillId="0" borderId="0" xfId="0" applyFont="1" applyAlignment="1" applyProtection="1">
      <alignment horizontal="center" vertical="center"/>
      <protection locked="0"/>
    </xf>
    <xf numFmtId="0" fontId="60" fillId="0" borderId="3" xfId="0" applyFont="1" applyBorder="1" applyAlignment="1" applyProtection="1">
      <alignment horizontal="center" vertical="center"/>
      <protection locked="0"/>
    </xf>
    <xf numFmtId="0" fontId="60" fillId="0" borderId="3" xfId="0" applyFont="1" applyBorder="1" applyAlignment="1" applyProtection="1">
      <alignment horizontal="right" vertical="center"/>
      <protection locked="0"/>
    </xf>
    <xf numFmtId="0" fontId="59" fillId="0" borderId="0" xfId="0" applyFont="1" applyAlignment="1" applyProtection="1">
      <alignment horizontal="center" vertical="top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49" fontId="35" fillId="0" borderId="26" xfId="0" applyNumberFormat="1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>
      <alignment horizontal="center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  <xf numFmtId="0" fontId="0" fillId="0" borderId="95" xfId="0" applyBorder="true"/>
  </cellXfs>
  <cellStyles count="11">
    <cellStyle name="Excel Built-in Excel Built-in TableStyleLight1" xfId="1" xr:uid="{00000000-0005-0000-0000-000000000000}"/>
    <cellStyle name="Обычный" xfId="0" builtinId="0"/>
    <cellStyle name="Обычный 2" xfId="2" xr:uid="{00000000-0005-0000-0000-000002000000}"/>
    <cellStyle name="Обычный 2 2" xfId="3" xr:uid="{00000000-0005-0000-0000-000003000000}"/>
    <cellStyle name="Обычный 3" xfId="4" xr:uid="{00000000-0005-0000-0000-000004000000}"/>
    <cellStyle name="Обычный 3 2" xfId="5" xr:uid="{00000000-0005-0000-0000-000005000000}"/>
    <cellStyle name="Обычный 4" xfId="6" xr:uid="{00000000-0005-0000-0000-000006000000}"/>
    <cellStyle name="Обычный 5" xfId="7" xr:uid="{00000000-0005-0000-0000-000007000000}"/>
    <cellStyle name="Обычный 6" xfId="8" xr:uid="{00000000-0005-0000-0000-000008000000}"/>
    <cellStyle name="Обычный 6 2" xfId="9" xr:uid="{00000000-0005-0000-0000-000009000000}"/>
    <cellStyle name="Обычный 7" xfId="10" xr:uid="{00000000-0005-0000-0000-00000A000000}"/>
  </cellStyles>
  <dxfs count="44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dotted">
          <color indexed="64"/>
        </top>
        <bottom/>
        <vertical/>
        <horizontal/>
      </border>
    </dxf>
    <dxf>
      <border outline="0">
        <top style="dotted">
          <color indexed="64"/>
        </top>
      </border>
    </dxf>
    <dxf>
      <border outline="0">
        <top style="dotted">
          <color indexed="8"/>
        </top>
        <bottom style="dotted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top style="dotted">
          <color indexed="64"/>
        </top>
      </border>
    </dxf>
    <dxf>
      <border outline="0">
        <top style="thin">
          <color theme="4" tint="0.39997558519241921"/>
        </top>
        <bottom style="dotted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i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70C0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D3F7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externalLinks/externalLink1.xml" Type="http://schemas.openxmlformats.org/officeDocument/2006/relationships/externalLink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metadata.xml" Type="http://schemas.openxmlformats.org/officeDocument/2006/relationships/sheetMetadata"/><Relationship Id="rId22" Target="calcChain.xml" Type="http://schemas.openxmlformats.org/officeDocument/2006/relationships/calcChain"/><Relationship Id="rId23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71437</xdr:colOff>
      <xdr:row>16</xdr:row>
      <xdr:rowOff>178593</xdr:rowOff>
    </xdr:from>
    <xdr:to>
      <xdr:col>54</xdr:col>
      <xdr:colOff>95250</xdr:colOff>
      <xdr:row>47</xdr:row>
      <xdr:rowOff>40822</xdr:rowOff>
    </xdr:to>
    <xdr:sp macro="[0]!Form_Show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53401" y="3525950"/>
          <a:ext cx="5888492" cy="5794943"/>
        </a:xfrm>
        <a:prstGeom prst="roundRect">
          <a:avLst/>
        </a:prstGeom>
        <a:gradFill flip="none" rotWithShape="1">
          <a:gsLst>
            <a:gs pos="0">
              <a:srgbClr val="E3DE00"/>
            </a:gs>
            <a:gs pos="100000">
              <a:srgbClr val="49DD57"/>
            </a:gs>
            <a:gs pos="94000">
              <a:srgbClr val="866600"/>
            </a:gs>
          </a:gsLst>
          <a:lin ang="5400000" scaled="1"/>
          <a:tileRect/>
        </a:gra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200" b="1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Форма</a:t>
          </a:r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file:///E:/&#1089;&#1077;&#1085;&#1090;&#1103;&#1073;&#1088;&#1100;%2023/&#1085;&#1072;&#1088;&#1103;&#1076;&#1099;%20&#1084;&#1072;&#1089;&#1090;%2039%20&#1089;&#1077;&#1085;&#1090;&#1103;&#1073;&#1088;&#1100;%2023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_Tech"/>
      <sheetName val="сверхур"/>
      <sheetName val="расчет"/>
      <sheetName val="наряд выходн"/>
      <sheetName val="наряд СУ"/>
      <sheetName val="база"/>
      <sheetName val="Лист3"/>
      <sheetName val="св-185"/>
      <sheetName val="757-3"/>
      <sheetName val="наряды маст 39 сентябрь 2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AP837" totalsRowShown="0" headerRowDxfId="422" dataDxfId="420" headerRowBorderDxfId="421">
  <autoFilter ref="A1:AP837" xr:uid="{00000000-0009-0000-0100-000001000000}"/>
  <tableColumns count="42">
    <tableColumn id="1" xr3:uid="{00000000-0010-0000-0000-000001000000}" name="мес" dataDxfId="419" totalsRowDxfId="418"/>
    <tableColumn id="2" xr3:uid="{00000000-0010-0000-0000-000002000000}" name="год" dataDxfId="417" totalsRowDxfId="416"/>
    <tableColumn id="3" xr3:uid="{00000000-0010-0000-0000-000003000000}" name="изд" dataDxfId="415" totalsRowDxfId="414"/>
    <tableColumn id="4" xr3:uid="{00000000-0010-0000-0000-000004000000}" name="партия" dataDxfId="413" totalsRowDxfId="412"/>
    <tableColumn id="5" xr3:uid="{00000000-0010-0000-0000-000005000000}" name="коэф" dataDxfId="411" totalsRowDxfId="410"/>
    <tableColumn id="6" xr3:uid="{00000000-0010-0000-0000-000006000000}" name="Ф. И. О." dataDxfId="409"/>
    <tableColumn id="7" xr3:uid="{00000000-0010-0000-0000-000007000000}" name="р/р" dataDxfId="408" totalsRowDxfId="407"/>
    <tableColumn id="8" xr3:uid="{00000000-0010-0000-0000-000008000000}" name="1" dataDxfId="406"/>
    <tableColumn id="9" xr3:uid="{00000000-0010-0000-0000-000009000000}" name="2" dataDxfId="405"/>
    <tableColumn id="10" xr3:uid="{00000000-0010-0000-0000-00000A000000}" name="3" dataDxfId="404"/>
    <tableColumn id="29" xr3:uid="{00000000-0010-0000-0000-00001D000000}" name="4" dataDxfId="403" totalsRowDxfId="402"/>
    <tableColumn id="32" xr3:uid="{00000000-0010-0000-0000-000020000000}" name="5" dataDxfId="401" totalsRowDxfId="400"/>
    <tableColumn id="11" xr3:uid="{00000000-0010-0000-0000-00000B000000}" name="6" dataDxfId="399"/>
    <tableColumn id="12" xr3:uid="{00000000-0010-0000-0000-00000C000000}" name="7" dataDxfId="398" totalsRowDxfId="397"/>
    <tableColumn id="30" xr3:uid="{00000000-0010-0000-0000-00001E000000}" name="8" dataDxfId="396" totalsRowDxfId="395"/>
    <tableColumn id="31" xr3:uid="{00000000-0010-0000-0000-00001F000000}" name="9" dataDxfId="394" totalsRowDxfId="393"/>
    <tableColumn id="13" xr3:uid="{00000000-0010-0000-0000-00000D000000}" name="10" dataDxfId="392" totalsRowDxfId="391"/>
    <tableColumn id="33" xr3:uid="{00000000-0010-0000-0000-000021000000}" name="11" dataDxfId="390" totalsRowDxfId="389"/>
    <tableColumn id="34" xr3:uid="{00000000-0010-0000-0000-000022000000}" name="12" dataDxfId="388" totalsRowDxfId="387"/>
    <tableColumn id="14" xr3:uid="{00000000-0010-0000-0000-00000E000000}" name="13" dataDxfId="386" totalsRowDxfId="385"/>
    <tableColumn id="15" xr3:uid="{00000000-0010-0000-0000-00000F000000}" name="14" dataDxfId="384" totalsRowDxfId="383"/>
    <tableColumn id="16" xr3:uid="{00000000-0010-0000-0000-000010000000}" name="15" dataDxfId="382" totalsRowDxfId="381"/>
    <tableColumn id="17" xr3:uid="{00000000-0010-0000-0000-000011000000}" name="16" dataDxfId="380" totalsRowDxfId="379"/>
    <tableColumn id="18" xr3:uid="{00000000-0010-0000-0000-000012000000}" name="17" dataDxfId="378" totalsRowDxfId="377"/>
    <tableColumn id="35" xr3:uid="{00000000-0010-0000-0000-000023000000}" name="18" dataDxfId="376" totalsRowDxfId="375"/>
    <tableColumn id="36" xr3:uid="{00000000-0010-0000-0000-000024000000}" name="19" dataDxfId="374" totalsRowDxfId="373"/>
    <tableColumn id="19" xr3:uid="{00000000-0010-0000-0000-000013000000}" name="20" dataDxfId="372" totalsRowDxfId="371"/>
    <tableColumn id="20" xr3:uid="{00000000-0010-0000-0000-000014000000}" name="21" dataDxfId="370" totalsRowDxfId="369"/>
    <tableColumn id="21" xr3:uid="{00000000-0010-0000-0000-000015000000}" name="22" dataDxfId="368" totalsRowDxfId="367"/>
    <tableColumn id="22" xr3:uid="{00000000-0010-0000-0000-000016000000}" name="23" dataDxfId="366" totalsRowDxfId="365"/>
    <tableColumn id="23" xr3:uid="{00000000-0010-0000-0000-000017000000}" name="24" dataDxfId="364" totalsRowDxfId="363"/>
    <tableColumn id="37" xr3:uid="{00000000-0010-0000-0000-000025000000}" name="25" dataDxfId="362" totalsRowDxfId="361"/>
    <tableColumn id="38" xr3:uid="{00000000-0010-0000-0000-000026000000}" name="26" totalsRowDxfId="360"/>
    <tableColumn id="24" xr3:uid="{00000000-0010-0000-0000-000018000000}" name="27" totalsRowDxfId="359"/>
    <tableColumn id="25" xr3:uid="{00000000-0010-0000-0000-000019000000}" name="28" totalsRowDxfId="358"/>
    <tableColumn id="26" xr3:uid="{00000000-0010-0000-0000-00001A000000}" name="29" totalsRowDxfId="357"/>
    <tableColumn id="27" xr3:uid="{00000000-0010-0000-0000-00001B000000}" name="30" dataDxfId="356" totalsRowDxfId="355"/>
    <tableColumn id="43" xr3:uid="{00000000-0010-0000-0000-00002B000000}" name="31" dataDxfId="354"/>
    <tableColumn id="28" xr3:uid="{00000000-0010-0000-0000-00001C000000}" name="сумма" dataDxfId="353" totalsRowDxfId="352">
      <calculatedColumnFormula>SUM(#REF!)-Таблица1[[#This Row],[1]]-Таблица1[[#This Row],[2]]-Таблица1[[#This Row],[3]]-Таблица1[[#This Row],[7]]-Таблица1[[#This Row],[8]]-Таблица1[[#This Row],[9]]-Таблица1[[#This Row],[10]]-Таблица1[[#This Row],[14]]-Таблица1[[#This Row],[21]]-Таблица1[[#This Row],[22]]-Таблица1[[#This Row],[28]]</calculatedColumnFormula>
    </tableColumn>
    <tableColumn id="40" xr3:uid="{00000000-0010-0000-0000-000028000000}" name="Столбец1" dataDxfId="351" totalsRowDxfId="350">
      <calculatedColumnFormula>SUM(Таблица1[[#This Row],[1]]+Таблица1[[#This Row],[2]]+Таблица1[[#This Row],[3]]+Таблица1[[#This Row],[7]]+Таблица1[[#This Row],[8]]+Таблица1[[#This Row],[9]]+Таблица1[[#This Row],[14]]+Таблица1[[#This Row],[21]]+Таблица1[[#This Row],[28]])</calculatedColumnFormula>
    </tableColumn>
    <tableColumn id="41" xr3:uid="{00000000-0010-0000-0000-000029000000}" name="Столбец2" dataDxfId="349" totalsRowDxfId="348">
      <calculatedColumnFormula>IF(AR2&lt;=3,(IF((G2="5/24"),((база!$M$6*Таблица1[[#This Row],[сумма]]*Таблица1[[#This Row],[коэф]])),
IF((G2="4/24"),((база!$M$5*Таблица1[[#This Row],[сумма]]*Таблица1[[#This Row],[коэф]])),
IF((G2="3/24"),((база!$M$4*Таблица1[[#This Row],[сумма]]*Таблица1[[#This Row],[коэф]])),
IF((G2="5/16"),((база!$L$6*Таблица1[[#This Row],[сумма]]*Таблица1[[#This Row],[коэф]])),
IF((G2="4/16"),((база!$L$5*Таблица1[[#This Row],[сумма]]*Таблица1[[#This Row],[коэф]])),
IF((G2="3/16"),((база!$L$4*Таблица1[[#This Row],[сумма]]*Таблица1[[#This Row],[коэф]])),
IF((G2="4/4"),((база!$I$5*Таблица1[[#This Row],[сумма]]*Таблица1[[#This Row],[коэф]])),
IF(OR(G2="2/4",G2="3/4"),((база!$I$4*Таблица1[[#This Row],[сумма]]*Таблица1[[#This Row],[коэф]])),
IF((G2="5/8"),((база!$J$6*Таблица1[[#This Row],[сумма]]*Таблица1[[#This Row],[коэф]])),
IF((G2="4/8"),((база!$J$5*Таблица1[[#This Row],[сумма]]*Таблица1[[#This Row],[коэф]])),
IF(OR(G2="3/8",G2="2/8"),((база!$J$4*Таблица1[[#This Row],[сумма]]*Таблица1[[#This Row],[коэф]])))))))))))))),
(IF((G2="5/24"),((база!$M$6*Таблица1[[#This Row],[сумма]]*Таблица1[[#This Row],[коэф]])),
IF(OR(G2="4/24",G2="3/24"),((база!$M$5*Таблица1[[#This Row],[сумма]]*Таблица1[[#This Row],[коэф]])),
IF((G2="5/16"),((база!$L$6*Таблица1[[#This Row],[сумма]]*Таблица1[[#This Row],[коэф]])),
IF(OR(G2="4/16",G2="3/16"),((база!$L$5*Таблица1[[#This Row],[сумма]]*Таблица1[[#This Row],[коэф]])),
IF(OR(G2="2/4",G2="3/4",G2="4/4"),((база!$I$5*Таблица1[[#This Row],[сумма]]*Таблица1[[#This Row],[коэф]])),
IF((G2="5/8"),((база!$J$6*Таблица1[[#This Row],[сумма]]*Таблица1[[#This Row],[коэф]])),
IF(OR(G2="4/8",G2="3/8",G2="2/8"),((база!$J$5*Таблица1[[#This Row],[сумма]]*Таблица1[[#This Row],[коэф]])))))))))))</calculatedColumnFormula>
    </tableColumn>
    <tableColumn id="39" xr3:uid="{00000000-0010-0000-0000-000027000000}" name="Столбец3" dataDxfId="3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Таблица14" displayName="Таблица14" ref="A1:AO494" totalsRowCount="1" headerRowDxfId="346" dataDxfId="344" headerRowBorderDxfId="345">
  <autoFilter ref="A1:AO493" xr:uid="{00000000-0009-0000-0100-000003000000}"/>
  <tableColumns count="41">
    <tableColumn id="1" xr3:uid="{00000000-0010-0000-0100-000001000000}" name="месяц" totalsRowLabel="Итог" dataDxfId="343" totalsRowDxfId="342"/>
    <tableColumn id="2" xr3:uid="{00000000-0010-0000-0100-000002000000}" name="год" dataDxfId="341" totalsRowDxfId="340"/>
    <tableColumn id="3" xr3:uid="{00000000-0010-0000-0100-000003000000}" name="изд" totalsRowDxfId="339"/>
    <tableColumn id="4" xr3:uid="{00000000-0010-0000-0100-000004000000}" name="партия" dataDxfId="338" totalsRowDxfId="337"/>
    <tableColumn id="5" xr3:uid="{00000000-0010-0000-0100-000005000000}" name="коэф" dataDxfId="336" totalsRowDxfId="335"/>
    <tableColumn id="6" xr3:uid="{00000000-0010-0000-0100-000006000000}" name="Ф. И. О." dataDxfId="334" totalsRowDxfId="333" dataCellStyle="Обычный 2"/>
    <tableColumn id="7" xr3:uid="{00000000-0010-0000-0100-000007000000}" name="р/р" totalsRowFunction="sum" dataDxfId="332" totalsRowDxfId="331"/>
    <tableColumn id="8" xr3:uid="{00000000-0010-0000-0100-000008000000}" name="1" totalsRowFunction="sum" dataDxfId="330" totalsRowDxfId="329"/>
    <tableColumn id="9" xr3:uid="{00000000-0010-0000-0100-000009000000}" name="2" totalsRowFunction="sum" dataDxfId="328" totalsRowDxfId="327"/>
    <tableColumn id="10" xr3:uid="{00000000-0010-0000-0100-00000A000000}" name="3" totalsRowFunction="sum" dataDxfId="326" totalsRowDxfId="325"/>
    <tableColumn id="29" xr3:uid="{00000000-0010-0000-0100-00001D000000}" name="4" totalsRowFunction="sum" dataDxfId="324" totalsRowDxfId="323"/>
    <tableColumn id="32" xr3:uid="{00000000-0010-0000-0100-000020000000}" name="5" totalsRowFunction="sum" dataDxfId="322" totalsRowDxfId="321"/>
    <tableColumn id="11" xr3:uid="{00000000-0010-0000-0100-00000B000000}" name="6" totalsRowFunction="sum" dataDxfId="320" totalsRowDxfId="319"/>
    <tableColumn id="12" xr3:uid="{00000000-0010-0000-0100-00000C000000}" name="7" totalsRowFunction="sum" dataDxfId="318" totalsRowDxfId="317"/>
    <tableColumn id="30" xr3:uid="{00000000-0010-0000-0100-00001E000000}" name="8" totalsRowFunction="sum" dataDxfId="316" totalsRowDxfId="315"/>
    <tableColumn id="31" xr3:uid="{00000000-0010-0000-0100-00001F000000}" name="9" totalsRowFunction="sum" dataDxfId="314" totalsRowDxfId="313"/>
    <tableColumn id="13" xr3:uid="{00000000-0010-0000-0100-00000D000000}" name="10" totalsRowFunction="sum" dataDxfId="312" totalsRowDxfId="311"/>
    <tableColumn id="33" xr3:uid="{00000000-0010-0000-0100-000021000000}" name="11" totalsRowFunction="sum" dataDxfId="310" totalsRowDxfId="309"/>
    <tableColumn id="34" xr3:uid="{00000000-0010-0000-0100-000022000000}" name="12" totalsRowFunction="sum" dataDxfId="308" totalsRowDxfId="307"/>
    <tableColumn id="14" xr3:uid="{00000000-0010-0000-0100-00000E000000}" name="13" totalsRowFunction="sum" dataDxfId="306" totalsRowDxfId="305"/>
    <tableColumn id="15" xr3:uid="{00000000-0010-0000-0100-00000F000000}" name="14" totalsRowFunction="sum" dataDxfId="304" totalsRowDxfId="303"/>
    <tableColumn id="16" xr3:uid="{00000000-0010-0000-0100-000010000000}" name="15" totalsRowFunction="sum" dataDxfId="302" totalsRowDxfId="301"/>
    <tableColumn id="17" xr3:uid="{00000000-0010-0000-0100-000011000000}" name="16" totalsRowFunction="sum" dataDxfId="300" totalsRowDxfId="299"/>
    <tableColumn id="18" xr3:uid="{00000000-0010-0000-0100-000012000000}" name="17" totalsRowFunction="sum" dataDxfId="298" totalsRowDxfId="297"/>
    <tableColumn id="35" xr3:uid="{00000000-0010-0000-0100-000023000000}" name="18" totalsRowFunction="sum" dataDxfId="296" totalsRowDxfId="295"/>
    <tableColumn id="36" xr3:uid="{00000000-0010-0000-0100-000024000000}" name="19" totalsRowFunction="sum" dataDxfId="294" totalsRowDxfId="293"/>
    <tableColumn id="19" xr3:uid="{00000000-0010-0000-0100-000013000000}" name="20" totalsRowFunction="sum" dataDxfId="292" totalsRowDxfId="291"/>
    <tableColumn id="20" xr3:uid="{00000000-0010-0000-0100-000014000000}" name="21" totalsRowFunction="sum" dataDxfId="290" totalsRowDxfId="289"/>
    <tableColumn id="21" xr3:uid="{00000000-0010-0000-0100-000015000000}" name="22" totalsRowFunction="sum" dataDxfId="288" totalsRowDxfId="287"/>
    <tableColumn id="22" xr3:uid="{00000000-0010-0000-0100-000016000000}" name="23" totalsRowFunction="sum" dataDxfId="286" totalsRowDxfId="285"/>
    <tableColumn id="23" xr3:uid="{00000000-0010-0000-0100-000017000000}" name="24" totalsRowFunction="sum" dataDxfId="284" totalsRowDxfId="283"/>
    <tableColumn id="37" xr3:uid="{00000000-0010-0000-0100-000025000000}" name="25" totalsRowFunction="sum" dataDxfId="282" totalsRowDxfId="281"/>
    <tableColumn id="38" xr3:uid="{00000000-0010-0000-0100-000026000000}" name="26" totalsRowFunction="sum" dataDxfId="280" totalsRowDxfId="279"/>
    <tableColumn id="24" xr3:uid="{00000000-0010-0000-0100-000018000000}" name="27" totalsRowFunction="sum" dataDxfId="278" totalsRowDxfId="277"/>
    <tableColumn id="25" xr3:uid="{00000000-0010-0000-0100-000019000000}" name="28" totalsRowFunction="sum" dataDxfId="276" totalsRowDxfId="275"/>
    <tableColumn id="26" xr3:uid="{00000000-0010-0000-0100-00001A000000}" name="29" totalsRowFunction="sum" dataDxfId="274" totalsRowDxfId="273"/>
    <tableColumn id="27" xr3:uid="{00000000-0010-0000-0100-00001B000000}" name="30" dataDxfId="272" totalsRowDxfId="271"/>
    <tableColumn id="39" xr3:uid="{00000000-0010-0000-0100-000027000000}" name="31" totalsRowFunction="sum" dataDxfId="270" totalsRowDxfId="269"/>
    <tableColumn id="28" xr3:uid="{00000000-0010-0000-0100-00001C000000}" name="часы" totalsRowFunction="custom" dataDxfId="268" totalsRowDxfId="267">
      <calculatedColumnFormula>SUM(H2:AL2)</calculatedColumnFormula>
      <totalsRowFormula>SUM(сверхур!$AM$2:$AM$493)</totalsRowFormula>
    </tableColumn>
    <tableColumn id="41" xr3:uid="{00000000-0010-0000-0100-000029000000}" name="Столбец2" totalsRowFunction="custom" dataDxfId="266" totalsRowDxfId="265">
      <calculatedColumnFormula>IF(AO2&lt;=3,(IF(AND(G2="5/24",AM2&gt;2),(AM2*2*база!$M$6*Таблица14[[#This Row],[коэф]]),
IF(AND(G2="4/24",AM2&gt;2),(AM2*2*база!$M$5*Таблица14[[#This Row],[коэф]]),
IF(AND(G2="3/24",AM2&gt;2),(AM2*2*база!$M$4*Таблица14[[#This Row],[коэф]]),
IF(AND(G2="5/16",AM2&gt;2),(AM2*2*база!$L$6*Таблица14[[#This Row],[коэф]]),
IF(AND(G2="4/16",AM2&gt;2),(AM2*2*база!$L$5*Таблица14[[#This Row],[коэф]]),
IF(AND(G2="3/16",AM2&gt;2),(AM2*2*база!$L$4*Таблица14[[#This Row],[коэф]]),
IF(AND(G2="4/4",AM2&gt;2),(AM2*2*база!$I$5*Таблица14[[#This Row],[коэф]]),
IF(AND(G2="3/4",AM2&gt;2),(AM2*2*база!$I$4*Таблица14[[#This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(AM2*2*база!$L$4*Таблица14[[#This Row],[коэф]]))))))))))))),
(IF(AND(G2="5/24",AM2&gt;2),(AM2*2*база!$M$6*Таблица14[[#This Row],[коэф]]),
IF(OR(AND(G2="4/24",AM2&gt;2),AND(G2="3/24",AM2&gt;2)),(AM2*2*база!$M$5*Таблица14[[#This Row],[коэф]]),
IF(AND(G2="5/16",AM2&gt;2),(AM2*2*база!$L$6*Таблица14[[#This Row],[коэф]]),
IF(OR(AND(G2="4/16",AM2&gt;2),AND(G2="3/16",AM2&gt;2)),(AM2*2*база!$L$5*Таблица14[[#This Row],[коэф]]),
IF(OR(AND(G2="4/4",AM2&gt;2),AND(G2="3/4",AM2&gt;2)),(AM2*2*база!$I$5*Таблица14[[#This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(AM2*2*база!$L$5*Таблица14[[#This Row],[коэф]])))))))))))</calculatedColumnFormula>
      <totalsRowFormula>SUM(Таблица14[Столбец2])</totalsRowFormula>
    </tableColumn>
    <tableColumn id="43" xr3:uid="{00000000-0010-0000-0100-00002B000000}" name="присвоенный_x000a_ разряд" dataDxfId="264" totalsRowDxfId="263">
      <calculatedColumnFormula>IFERROR(INDEX(база!$D$2:$D$120, MATCH(Таблица14[[#This Row],[Ф. И. О.]],база!$B$2:$B$100,0)),"")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A15" totalsRowShown="0" headerRowDxfId="97" dataDxfId="95" headerRowBorderDxfId="96" tableBorderDxfId="94" totalsRowBorderDxfId="93">
  <autoFilter ref="A1:A15" xr:uid="{00000000-0009-0000-0100-000002000000}"/>
  <tableColumns count="1">
    <tableColumn id="1" xr3:uid="{00000000-0010-0000-0200-000001000000}" name="партия" dataDxfId="9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C1:C13" totalsRowShown="0" headerRowDxfId="91" dataDxfId="89" headerRowBorderDxfId="90" tableBorderDxfId="88" totalsRowBorderDxfId="87">
  <autoFilter ref="C1:C13" xr:uid="{00000000-0009-0000-0100-000004000000}"/>
  <tableColumns count="1">
    <tableColumn id="1" xr3:uid="{00000000-0010-0000-0300-000001000000}" name="р/р" dataDxfId="8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Таблица5" displayName="Таблица5" ref="D1:D81" totalsRowShown="0" headerRowDxfId="85" dataDxfId="83" headerRowBorderDxfId="84" tableBorderDxfId="82" totalsRowBorderDxfId="81">
  <autoFilter ref="D1:D81" xr:uid="{00000000-0009-0000-0100-000005000000}"/>
  <tableColumns count="1">
    <tableColumn id="1" xr3:uid="{00000000-0010-0000-0400-000001000000}" name="разряд" dataDxfId="80">
      <calculatedColumnFormula>INDEX($Q$1:$BH$100,ROW(B2),MATCH(Data_Tech!$AU$7,$Q$1:$AN$1,)+COLUMN(B2)-1)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Таблица6" displayName="Таблица6" ref="E1:E81" totalsRowShown="0" headerRowDxfId="79" dataDxfId="77" headerRowBorderDxfId="78" tableBorderDxfId="76" totalsRowBorderDxfId="75">
  <autoFilter ref="E1:E81" xr:uid="{00000000-0009-0000-0100-000006000000}"/>
  <tableColumns count="1">
    <tableColumn id="1" xr3:uid="{00000000-0010-0000-0500-000001000000}" name="Таб №" dataDxfId="74">
      <calculatedColumnFormula>INDEX($Q$1:$BH$100,ROW(C2),MATCH(Data_Tech!$AU$7,$Q$1:$AN$1,)+COLUMN(C2)-1)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tables/table1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tables/table2.xml" Type="http://schemas.openxmlformats.org/officeDocument/2006/relationships/table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tables/table3.xml" Type="http://schemas.openxmlformats.org/officeDocument/2006/relationships/table"/><Relationship Id="rId3" Target="../tables/table4.xml" Type="http://schemas.openxmlformats.org/officeDocument/2006/relationships/table"/><Relationship Id="rId4" Target="../tables/table5.xml" Type="http://schemas.openxmlformats.org/officeDocument/2006/relationships/table"/><Relationship Id="rId5" Target="../tables/table6.xml" Type="http://schemas.openxmlformats.org/officeDocument/2006/relationships/table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AX849"/>
  <sheetViews>
    <sheetView showZeros="0" tabSelected="1" zoomScale="80" zoomScaleNormal="80" workbookViewId="0">
      <selection activeCell="AR14" sqref="AR14"/>
    </sheetView>
  </sheetViews>
  <sheetFormatPr defaultRowHeight="14.25"/>
  <cols>
    <col min="1" max="1" customWidth="true" style="4" width="10.5703125"/>
    <col min="2" max="2" customWidth="true" style="216" width="5.5703125"/>
    <col min="3" max="3" customWidth="true" style="4" width="9.85546875"/>
    <col min="4" max="4" customWidth="true" style="29" width="7.85546875"/>
    <col min="5" max="5" customWidth="true" style="211" width="6.42578125"/>
    <col min="6" max="6" customWidth="true" style="213" width="45.28515625"/>
    <col min="7" max="7" customWidth="true" style="1" width="6.5703125"/>
    <col min="8" max="15" customWidth="true" style="1" width="5.42578125"/>
    <col min="16" max="16" customWidth="true" style="19" width="5.42578125"/>
    <col min="17" max="38" customWidth="true" style="1" width="5.42578125"/>
    <col min="39" max="39" customWidth="true" style="1" width="10.0"/>
    <col min="40" max="40" customWidth="true" style="1" width="11.28515625"/>
    <col min="41" max="42" customWidth="true" style="136" width="10.140625"/>
    <col min="43" max="43" customWidth="true" style="699" width="5.0"/>
    <col min="44" max="44" customWidth="true" style="1" width="11.7109375"/>
    <col min="45" max="46" customWidth="true" style="1" width="5.0"/>
    <col min="47" max="47" customWidth="true" style="1" width="12.85546875"/>
    <col min="48" max="49" bestFit="true" customWidth="true" style="1" width="12.42578125"/>
    <col min="50" max="50" bestFit="true" customWidth="true" style="1" width="10.7109375"/>
    <col min="51" max="16384" style="1" width="9.140625"/>
  </cols>
  <sheetData>
    <row r="1" spans="1:50" s="51" customFormat="1" ht="60.75" customHeight="1">
      <c r="A1" s="194" t="s">
        <v>103</v>
      </c>
      <c r="B1" s="214" t="s">
        <v>8</v>
      </c>
      <c r="C1" s="106" t="s">
        <v>2</v>
      </c>
      <c r="D1" s="107" t="s">
        <v>10</v>
      </c>
      <c r="E1" s="210" t="s">
        <v>9</v>
      </c>
      <c r="F1" s="212" t="s">
        <v>0</v>
      </c>
      <c r="G1" s="109" t="s">
        <v>1</v>
      </c>
      <c r="H1" s="279" t="s">
        <v>46</v>
      </c>
      <c r="I1" s="279" t="s">
        <v>11</v>
      </c>
      <c r="J1" s="279" t="s">
        <v>12</v>
      </c>
      <c r="K1" s="630" t="s">
        <v>54</v>
      </c>
      <c r="L1" s="621" t="s">
        <v>55</v>
      </c>
      <c r="M1" s="621" t="s">
        <v>13</v>
      </c>
      <c r="N1" s="279" t="s">
        <v>44</v>
      </c>
      <c r="O1" s="621" t="s">
        <v>45</v>
      </c>
      <c r="P1" s="621" t="s">
        <v>14</v>
      </c>
      <c r="Q1" s="279" t="s">
        <v>15</v>
      </c>
      <c r="R1" s="279" t="s">
        <v>56</v>
      </c>
      <c r="S1" s="279" t="s">
        <v>57</v>
      </c>
      <c r="T1" s="279" t="s">
        <v>16</v>
      </c>
      <c r="U1" s="279" t="s">
        <v>47</v>
      </c>
      <c r="V1" s="279" t="s">
        <v>48</v>
      </c>
      <c r="W1" s="279" t="s">
        <v>17</v>
      </c>
      <c r="X1" s="279" t="s">
        <v>18</v>
      </c>
      <c r="Y1" s="279" t="s">
        <v>58</v>
      </c>
      <c r="Z1" s="279" t="s">
        <v>59</v>
      </c>
      <c r="AA1" s="279" t="s">
        <v>19</v>
      </c>
      <c r="AB1" s="279" t="s">
        <v>49</v>
      </c>
      <c r="AC1" s="279" t="s">
        <v>50</v>
      </c>
      <c r="AD1" s="621" t="s">
        <v>20</v>
      </c>
      <c r="AE1" s="621" t="s">
        <v>21</v>
      </c>
      <c r="AF1" s="279" t="s">
        <v>60</v>
      </c>
      <c r="AG1" s="279" t="s">
        <v>61</v>
      </c>
      <c r="AH1" s="279" t="s">
        <v>22</v>
      </c>
      <c r="AI1" s="279" t="s">
        <v>51</v>
      </c>
      <c r="AJ1" s="279" t="s">
        <v>52</v>
      </c>
      <c r="AK1" s="279" t="s">
        <v>53</v>
      </c>
      <c r="AL1" s="633" t="s">
        <v>62</v>
      </c>
      <c r="AM1" s="111" t="s">
        <v>42</v>
      </c>
      <c r="AN1" s="111" t="s">
        <v>70</v>
      </c>
      <c r="AO1" s="270" t="s">
        <v>93</v>
      </c>
      <c r="AP1" s="273" t="s">
        <v>344</v>
      </c>
      <c r="AQ1" s="698" t="s">
        <v>345</v>
      </c>
      <c r="AR1" s="697" t="s">
        <v>87</v>
      </c>
      <c r="AU1" s="542" t="b">
        <f>AV1=расчет!Z897</f>
        <v>0</v>
      </c>
      <c r="AV1" s="541">
        <f>SUM(AO:AO)</f>
        <v>2718.59328</v>
      </c>
      <c r="AW1" s="218">
        <f>расчет!Z897</f>
        <v>2988.16</v>
      </c>
      <c r="AX1" s="275"/>
    </row>
    <row r="2" spans="1:50" s="51" customFormat="1" ht="27.75" customHeight="1">
      <c r="A2" s="636" t="s">
        <v>7</v>
      </c>
      <c r="B2" s="637" t="s">
        <v>8</v>
      </c>
      <c r="C2" s="636" t="s">
        <v>2</v>
      </c>
      <c r="D2" s="638" t="s">
        <v>10</v>
      </c>
      <c r="E2" s="639" t="s">
        <v>9</v>
      </c>
      <c r="F2" s="634" t="s">
        <v>0</v>
      </c>
      <c r="G2" s="640" t="s">
        <v>1</v>
      </c>
      <c r="H2" s="635">
        <f>--(1&amp;A3&amp;B3)</f>
        <v>45261</v>
      </c>
      <c r="I2" s="635">
        <f t="shared" ref="I2:AL2" si="0">IF(($H$2+COLUMN(A:A))&gt;EOMONTH($H$2,0),0,$H$2+COLUMN(A:A))</f>
        <v>45262</v>
      </c>
      <c r="J2" s="635">
        <f t="shared" si="0"/>
        <v>45263</v>
      </c>
      <c r="K2" s="635">
        <f t="shared" si="0"/>
        <v>45264</v>
      </c>
      <c r="L2" s="635">
        <f t="shared" si="0"/>
        <v>45265</v>
      </c>
      <c r="M2" s="635">
        <f t="shared" si="0"/>
        <v>45266</v>
      </c>
      <c r="N2" s="635">
        <f t="shared" si="0"/>
        <v>45267</v>
      </c>
      <c r="O2" s="635">
        <f t="shared" si="0"/>
        <v>45268</v>
      </c>
      <c r="P2" s="635">
        <f t="shared" si="0"/>
        <v>45269</v>
      </c>
      <c r="Q2" s="635">
        <f t="shared" si="0"/>
        <v>45270</v>
      </c>
      <c r="R2" s="635">
        <f t="shared" si="0"/>
        <v>45271</v>
      </c>
      <c r="S2" s="635">
        <f t="shared" si="0"/>
        <v>45272</v>
      </c>
      <c r="T2" s="635">
        <f t="shared" si="0"/>
        <v>45273</v>
      </c>
      <c r="U2" s="635">
        <f t="shared" si="0"/>
        <v>45274</v>
      </c>
      <c r="V2" s="635">
        <f t="shared" si="0"/>
        <v>45275</v>
      </c>
      <c r="W2" s="635">
        <f t="shared" si="0"/>
        <v>45276</v>
      </c>
      <c r="X2" s="635">
        <f t="shared" si="0"/>
        <v>45277</v>
      </c>
      <c r="Y2" s="635">
        <f t="shared" si="0"/>
        <v>45278</v>
      </c>
      <c r="Z2" s="635">
        <f t="shared" si="0"/>
        <v>45279</v>
      </c>
      <c r="AA2" s="635">
        <f t="shared" si="0"/>
        <v>45280</v>
      </c>
      <c r="AB2" s="635">
        <f t="shared" si="0"/>
        <v>45281</v>
      </c>
      <c r="AC2" s="635">
        <f t="shared" si="0"/>
        <v>45282</v>
      </c>
      <c r="AD2" s="635">
        <f t="shared" si="0"/>
        <v>45283</v>
      </c>
      <c r="AE2" s="635">
        <f t="shared" si="0"/>
        <v>45284</v>
      </c>
      <c r="AF2" s="635">
        <f t="shared" si="0"/>
        <v>45285</v>
      </c>
      <c r="AG2" s="635">
        <f t="shared" si="0"/>
        <v>45286</v>
      </c>
      <c r="AH2" s="635">
        <f t="shared" si="0"/>
        <v>45287</v>
      </c>
      <c r="AI2" s="635">
        <f t="shared" si="0"/>
        <v>45288</v>
      </c>
      <c r="AJ2" s="635">
        <f t="shared" si="0"/>
        <v>45289</v>
      </c>
      <c r="AK2" s="635">
        <f t="shared" si="0"/>
        <v>45290</v>
      </c>
      <c r="AL2" s="635">
        <f t="shared" si="0"/>
        <v>45291</v>
      </c>
      <c r="AM2" s="641" t="s">
        <v>42</v>
      </c>
      <c r="AN2" s="642" t="s">
        <v>104</v>
      </c>
      <c r="AO2" s="643"/>
      <c r="AP2" s="695"/>
      <c r="AQ2" s="678"/>
      <c r="AV2" s="217"/>
      <c r="AW2" s="218">
        <f>AV1-AW1</f>
        <v>-269.5667199999998</v>
      </c>
      <c r="AX2" s="275"/>
    </row>
    <row r="3" spans="1:50" ht="18" customHeight="1">
      <c r="A3" s="536" t="s">
        <v>366</v>
      </c>
      <c r="B3" s="215"/>
      <c r="C3" s="54"/>
      <c r="D3" s="55"/>
      <c r="E3" s="196"/>
      <c r="F3" s="715"/>
      <c r="G3" s="42"/>
      <c r="H3" s="43"/>
      <c r="I3" s="43"/>
      <c r="J3" s="43"/>
      <c r="K3" s="43"/>
      <c r="L3" s="43"/>
      <c r="M3" s="539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5"/>
      <c r="AL3" s="45"/>
      <c r="AM3" s="197">
        <f>IF(AQ3=1,SUM(H3:I3,L3:O3,R3:U3,X3:AA3,AD3:AG3,AI3:AK3),
IF(AQ3=2,SUM(H3:K3,N3:Q3,T3:W3,Z3:AC3,AF3:AI3),
IF(AQ3=3,SUM(J3:M3,P3:S3,V3:Y3,AB3:AE3,AH3:AK3),SUM(Таблица1[[#This Row],[1]:[31]])-Таблица1[[#This Row],[Столбец1]])))</f>
        <v>0</v>
      </c>
      <c r="AN3" s="269">
        <f t="array" ref="AN3">IF(AQ3=1,SUM(J3:K3,P3:Q3,V3:W3,AB3:AC3,AH3:AI3),
IF(AQ3=2,SUM(L3:M3,R3:S3,X3:Y3,AD3:AE3),
IF(AQ3=3,SUM(H3:I3,N3:O3,T3:U3,Z3:AA3,AF3:AG3),
SUM(IFERROR(WEEKDAY($H$2:$AL$2,2)&gt;5,)*H3:AL3))))</f>
        <v>0</v>
      </c>
      <c r="AO3" s="271" t="b">
        <f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696" t="b">
        <f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678" t="str">
        <f>IFERROR(INDEX(база!T:T, MATCH(F3,база!Q:Q,0)),"")</f>
        <v/>
      </c>
      <c r="AR3" s="193">
        <f>IFERROR(INDEX(база!D:D, MATCH(F3,база!B:B,0)),"")</f>
        <v>0</v>
      </c>
      <c r="AS3" s="136"/>
    </row>
    <row r="4" spans="1:50" ht="15">
      <c r="A4" s="738" t="s">
        <v>387</v>
      </c>
      <c r="B4" s="738">
        <v>2023</v>
      </c>
      <c r="C4" s="738" t="s">
        <v>388</v>
      </c>
      <c r="D4" s="738" t="s">
        <v>369</v>
      </c>
      <c r="E4" s="738" t="s">
        <v>46</v>
      </c>
      <c r="F4" s="738" t="s">
        <v>389</v>
      </c>
      <c r="G4" s="738" t="s">
        <v>3</v>
      </c>
      <c r="H4" s="738"/>
      <c r="I4" s="738"/>
      <c r="J4" s="738"/>
      <c r="K4" s="738"/>
      <c r="L4" s="738"/>
      <c r="M4" s="738"/>
      <c r="N4" s="738"/>
      <c r="O4" s="738"/>
      <c r="P4" s="738"/>
      <c r="Q4" s="738"/>
      <c r="R4" s="738"/>
      <c r="S4" s="738"/>
      <c r="T4" s="738"/>
      <c r="U4" s="738"/>
      <c r="V4" s="738"/>
      <c r="W4" s="738"/>
      <c r="X4" s="738"/>
      <c r="Y4" s="738"/>
      <c r="Z4" s="738"/>
      <c r="AA4" s="738"/>
      <c r="AB4" s="738">
        <v>7.2</v>
      </c>
      <c r="AC4" s="1">
        <v>7.2</v>
      </c>
      <c r="AD4" s="43"/>
      <c r="AE4" s="43"/>
      <c r="AF4" s="45"/>
      <c r="AG4" s="45"/>
      <c r="AH4" s="45"/>
      <c r="AI4" s="45"/>
      <c r="AJ4" s="45"/>
      <c r="AK4" s="45"/>
      <c r="AL4" s="45"/>
      <c r="AM4" s="197">
        <f>IF(AQ4=1,SUM(H4:I4,L4:O4,R4:U4,X4:AA4,AD4:AG4,AI4:AK4),
IF(AQ4=2,SUM(H4:K4,N4:Q4,T4:W4,Z4:AC4,AF4:AI4),
IF(AQ4=3,SUM(J4:M4,P4:S4,V4:Y4,AB4:AE4,AH4:AK4),SUM(Таблица1[[#This Row],[1]:[31]])-Таблица1[[#This Row],[Столбец1]])))</f>
        <v>14.4</v>
      </c>
      <c r="AN4" s="269" cm="1">
        <f t="array" ref="AN4">IF(AQ4=1,SUM(J4:K4,P4:Q4,V4:W4,AB4:AC4,AH4:AI4),
IF(AQ4=2,SUM(L4:M4,R4:S4,X4:Y4,AD4:AE4),
IF(AQ4=3,SUM(H4:I4,N4:O4,T4:U4,Z4:AA4,AF4:AG4),
SUM(IFERROR(WEEKDAY($H$2:$AL$2,2)&gt;5,)*H4:AL4))))</f>
        <v>0</v>
      </c>
      <c r="AO4" s="271">
        <f>IF(AR4&lt;=3,(IF((G4="5/24"),((база!$M$6*Таблица1[[#This Row],[сумма]]*Таблица1[[#This Row],[коэф]])),
IF((G4="4/24"),((база!$M$5*Таблица1[[#This Row],[сумма]]*Таблица1[[#This Row],[коэф]])),
IF((G4="3/24"),((база!$M$4*Таблица1[[#This Row],[сумма]]*Таблица1[[#This Row],[коэф]])),
IF((G4="5/16"),((база!$L$6*Таблица1[[#This Row],[сумма]]*Таблица1[[#This Row],[коэф]])),
IF((G4="4/16"),((база!$L$5*Таблица1[[#This Row],[сумма]]*Таблица1[[#This Row],[коэф]])),
IF((G4="3/16"),((база!$L$4*Таблица1[[#This Row],[сумма]]*Таблица1[[#This Row],[коэф]])),
IF((G4="4/4"),((база!$I$5*Таблица1[[#This Row],[сумма]]*Таблица1[[#This Row],[коэф]])),
IF(OR(G4="2/4",G4="3/4"),((база!$I$4*Таблица1[[#This Row],[сумма]]*Таблица1[[#This Row],[коэф]])),
IF((G4="5/8"),((база!$J$6*Таблица1[[#This Row],[сумма]]*Таблица1[[#This Row],[коэф]])),
IF((G4="4/8"),((база!$J$5*Таблица1[[#This Row],[сумма]]*Таблица1[[#This Row],[коэф]])),
IF(OR(G4="3/8",G4="2/8"),((база!$J$4*Таблица1[[#This Row],[сумма]]*Таблица1[[#This Row],[коэф]])))))))))))))),
(IF((G4="5/24"),((база!$M$6*Таблица1[[#This Row],[сумма]]*Таблица1[[#This Row],[коэф]])),
IF(OR(G4="4/24",G4="3/24"),((база!$M$5*Таблица1[[#This Row],[сумма]]*Таблица1[[#This Row],[коэф]])),
IF((G4="5/16"),((база!$L$6*Таблица1[[#This Row],[сумма]]*Таблица1[[#This Row],[коэф]])),
IF(OR(G4="4/16",G4="3/16"),((база!$L$5*Таблица1[[#This Row],[сумма]]*Таблица1[[#This Row],[коэф]])),
IF(OR(G4="2/4",G4="3/4",G4="4/4"),((база!$I$5*Таблица1[[#This Row],[сумма]]*Таблица1[[#This Row],[коэф]])),
IF((G4="5/8"),((база!$J$6*Таблица1[[#This Row],[сумма]]*Таблица1[[#This Row],[коэф]])),
IF(OR(G4="4/8",G4="3/8",G4="2/8"),((база!$J$5*Таблица1[[#This Row],[сумма]]*Таблица1[[#This Row],[коэф]])))))))))))</f>
        <v>2718.59328</v>
      </c>
      <c r="AP4" s="696">
        <f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678" t="str">
        <f>IFERROR(INDEX(база!T:T, MATCH(F4,база!Q:Q,0)),"")</f>
        <v/>
      </c>
      <c r="AR4" s="193">
        <f>IFERROR(INDEX(база!D:D, MATCH(F4,база!B:B,0)),"")</f>
        <v>0</v>
      </c>
      <c r="AS4" s="136"/>
    </row>
    <row r="5" spans="1:50" ht="15">
      <c r="A5" t="s" s="877">
        <v>387</v>
      </c>
      <c r="B5" t="n" s="877">
        <v>2023.0</v>
      </c>
      <c r="C5" t="s" s="877">
        <v>390</v>
      </c>
      <c r="D5" t="s" s="877">
        <v>382</v>
      </c>
      <c r="E5" t="s" s="877">
        <v>391</v>
      </c>
      <c r="F5" t="s" s="877">
        <v>389</v>
      </c>
      <c r="G5" t="s" s="877">
        <v>3</v>
      </c>
      <c r="H5" s="877"/>
      <c r="I5" s="877"/>
      <c r="J5" s="877"/>
      <c r="K5" s="877"/>
      <c r="L5" s="877"/>
      <c r="M5" s="877"/>
      <c r="N5" s="877"/>
      <c r="O5" s="877"/>
      <c r="P5" s="877"/>
      <c r="Q5" s="877"/>
      <c r="R5" s="877"/>
      <c r="S5" s="877"/>
      <c r="T5" s="877"/>
      <c r="U5" s="877"/>
      <c r="V5" s="877"/>
      <c r="W5" s="877"/>
      <c r="X5" s="877"/>
      <c r="Y5" s="877"/>
      <c r="Z5" s="877"/>
      <c r="AA5" s="877"/>
      <c r="AB5" s="877"/>
      <c r="AC5" s="877"/>
      <c r="AD5" t="n" s="877">
        <v>7.2</v>
      </c>
      <c r="AE5" s="43"/>
      <c r="AF5" s="45"/>
      <c r="AG5" s="45"/>
      <c r="AH5" s="45"/>
      <c r="AI5" s="45"/>
      <c r="AJ5" s="45"/>
      <c r="AK5" s="45"/>
      <c r="AL5" s="45"/>
      <c r="AM5" s="197">
        <f>IF(AQ5=1,SUM(H5:I5,L5:O5,R5:U5,X5:AA5,AD5:AG5,AI5:AK5),
IF(AQ5=2,SUM(H5:K5,N5:Q5,T5:W5,Z5:AC5,AF5:AI5),
IF(AQ5=3,SUM(J5:M5,P5:S5,V5:Y5,AB5:AE5,AH5:AK5),SUM(Таблица1[[#This Row],[1]:[31]])-Таблица1[[#This Row],[Столбец1]])))</f>
        <v>0</v>
      </c>
      <c r="AN5" s="269">
        <f t="array" ref="AN5">IF(AQ5=1,SUM(J5:K5,P5:Q5,V5:W5,AB5:AC5,AH5:AI5),
IF(AQ5=2,SUM(L5:M5,R5:S5,X5:Y5,AD5:AE5),
IF(AQ5=3,SUM(H5:I5,N5:O5,T5:U5,Z5:AA5,AF5:AG5),
SUM(IFERROR(WEEKDAY($H$2:$AL$2,2)&gt;5,)*H5:AL5))))</f>
        <v>0</v>
      </c>
      <c r="AO5" s="271" t="b">
        <f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696" t="b">
        <f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678" t="str">
        <f>IFERROR(INDEX(база!T:T, MATCH(F5,база!Q:Q,0)),"")</f>
        <v/>
      </c>
      <c r="AR5" s="193">
        <f>IFERROR(INDEX(база!D:D, MATCH(F5,база!B:B,0)),"")</f>
        <v>0</v>
      </c>
      <c r="AS5" s="136"/>
    </row>
    <row r="6" spans="1:50" ht="15">
      <c r="A6" t="s" s="878">
        <v>387</v>
      </c>
      <c r="B6" t="n" s="878">
        <v>2023.0</v>
      </c>
      <c r="C6" t="s" s="878">
        <v>388</v>
      </c>
      <c r="D6" t="s" s="878">
        <v>369</v>
      </c>
      <c r="E6" t="s" s="878">
        <v>392</v>
      </c>
      <c r="F6" t="s" s="878">
        <v>393</v>
      </c>
      <c r="G6" t="s" s="878">
        <v>71</v>
      </c>
      <c r="H6" s="878"/>
      <c r="I6" s="878"/>
      <c r="J6" s="878"/>
      <c r="K6" s="878"/>
      <c r="L6" s="878"/>
      <c r="M6" s="878"/>
      <c r="N6" s="878"/>
      <c r="O6" s="878"/>
      <c r="P6" s="878"/>
      <c r="Q6" s="878"/>
      <c r="R6" s="878"/>
      <c r="S6" s="878"/>
      <c r="T6" s="878"/>
      <c r="U6" s="878"/>
      <c r="V6" s="878"/>
      <c r="W6" s="878"/>
      <c r="X6" s="878"/>
      <c r="Y6" s="878"/>
      <c r="Z6" s="878"/>
      <c r="AA6" s="878"/>
      <c r="AB6" t="n" s="878">
        <v>7.2</v>
      </c>
      <c r="AC6" s="43"/>
      <c r="AD6" s="43"/>
      <c r="AE6" s="43"/>
      <c r="AF6" s="45"/>
      <c r="AG6" s="45"/>
      <c r="AH6" s="43"/>
      <c r="AI6" s="45"/>
      <c r="AJ6" s="45"/>
      <c r="AK6" s="45"/>
      <c r="AL6" s="45"/>
      <c r="AM6" s="197">
        <f>IF(AQ6=1,SUM(H6:I6,L6:O6,R6:U6,X6:AA6,AD6:AG6,AI6:AK6),
IF(AQ6=2,SUM(H6:K6,N6:Q6,T6:W6,Z6:AC6,AF6:AI6),
IF(AQ6=3,SUM(J6:M6,P6:S6,V6:Y6,AB6:AE6,AH6:AK6),SUM(Таблица1[[#This Row],[1]:[31]])-Таблица1[[#This Row],[Столбец1]])))</f>
        <v>0</v>
      </c>
      <c r="AN6" s="269">
        <f t="array" ref="AN6">IF(AQ6=1,SUM(J6:K6,P6:Q6,V6:W6,AB6:AC6,AH6:AI6),
IF(AQ6=2,SUM(L6:M6,R6:S6,X6:Y6,AD6:AE6),
IF(AQ6=3,SUM(H6:I6,N6:O6,T6:U6,Z6:AA6,AF6:AG6),
SUM(IFERROR(WEEKDAY($H$2:$AL$2,2)&gt;5,)*H6:AL6))))</f>
        <v>0</v>
      </c>
      <c r="AO6" s="271" t="b">
        <f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696" t="b">
        <f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678" t="str">
        <f>IFERROR(INDEX(база!T:T, MATCH(F6,база!Q:Q,0)),"")</f>
        <v/>
      </c>
      <c r="AR6" s="193">
        <f>IFERROR(INDEX(база!D:D, MATCH(F6,база!B:B,0)),"")</f>
        <v>0</v>
      </c>
      <c r="AU6" s="538" t="s">
        <v>92</v>
      </c>
    </row>
    <row r="7" spans="1:50" ht="15">
      <c r="A7" t="s" s="880">
        <v>387</v>
      </c>
      <c r="B7" t="n" s="880">
        <v>2023.0</v>
      </c>
      <c r="C7" t="s" s="880">
        <v>388</v>
      </c>
      <c r="D7" t="s" s="880">
        <v>370</v>
      </c>
      <c r="E7" t="s" s="880">
        <v>46</v>
      </c>
      <c r="F7" t="s" s="880">
        <v>395</v>
      </c>
      <c r="G7" t="s" s="880">
        <v>3</v>
      </c>
      <c r="H7" s="880"/>
      <c r="I7" s="880"/>
      <c r="J7" s="880"/>
      <c r="K7" s="880"/>
      <c r="L7" s="880"/>
      <c r="M7" s="880"/>
      <c r="N7" s="880"/>
      <c r="O7" s="880"/>
      <c r="P7" s="880"/>
      <c r="Q7" s="880"/>
      <c r="R7" s="880"/>
      <c r="S7" s="880"/>
      <c r="T7" s="880"/>
      <c r="U7" s="880"/>
      <c r="V7" s="880"/>
      <c r="W7" s="880"/>
      <c r="X7" s="880"/>
      <c r="Y7" s="880"/>
      <c r="Z7" s="880"/>
      <c r="AA7" s="880"/>
      <c r="AB7" t="n" s="880">
        <v>7.2</v>
      </c>
      <c r="AC7" s="43"/>
      <c r="AD7" s="43"/>
      <c r="AE7" s="43"/>
      <c r="AF7" s="43"/>
      <c r="AG7" s="43"/>
      <c r="AH7" s="43"/>
      <c r="AI7" s="43"/>
      <c r="AJ7" s="43"/>
      <c r="AK7" s="43"/>
      <c r="AL7" s="45"/>
      <c r="AM7" s="197">
        <f>IF(AQ7=1,SUM(H7:I7,L7:O7,R7:U7,X7:AA7,AD7:AG7,AI7:AK7),
IF(AQ7=2,SUM(H7:K7,N7:Q7,T7:W7,Z7:AC7,AF7:AI7),
IF(AQ7=3,SUM(J7:M7,P7:S7,V7:Y7,AB7:AE7,AH7:AK7),SUM(Таблица1[[#This Row],[1]:[31]])-Таблица1[[#This Row],[Столбец1]])))</f>
        <v>0</v>
      </c>
      <c r="AN7" s="269">
        <f t="array" ref="AN7">IF(AQ7=1,SUM(J7:K7,P7:Q7,V7:W7,AB7:AC7,AH7:AI7),
IF(AQ7=2,SUM(L7:M7,R7:S7,X7:Y7,AD7:AE7),
IF(AQ7=3,SUM(H7:I7,N7:O7,T7:U7,Z7:AA7,AF7:AG7),
SUM(IFERROR(WEEKDAY($H$2:$AL$2,2)&gt;5,)*H7:AL7))))</f>
        <v>0</v>
      </c>
      <c r="AO7" s="271" t="b">
        <f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696" t="b">
        <f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678" t="str">
        <f>IFERROR(INDEX(база!T:T, MATCH(F7,база!Q:Q,0)),"")</f>
        <v/>
      </c>
      <c r="AR7" s="193">
        <f>IFERROR(INDEX(база!D:D, MATCH(F7,база!B:B,0)),"")</f>
        <v>0</v>
      </c>
      <c r="AU7" s="537" t="s">
        <v>289</v>
      </c>
    </row>
    <row r="8" spans="1:50" ht="15">
      <c r="A8" t="s" s="881">
        <v>387</v>
      </c>
      <c r="B8" t="n" s="881">
        <v>2023.0</v>
      </c>
      <c r="C8" t="s" s="881">
        <v>396</v>
      </c>
      <c r="D8" t="s" s="881">
        <v>385</v>
      </c>
      <c r="E8" t="s" s="881">
        <v>397</v>
      </c>
      <c r="F8" t="s" s="881">
        <v>398</v>
      </c>
      <c r="G8" t="s" s="881">
        <v>5</v>
      </c>
      <c r="H8" s="881"/>
      <c r="I8" s="881"/>
      <c r="J8" s="881"/>
      <c r="K8" s="881"/>
      <c r="L8" s="881"/>
      <c r="M8" s="881"/>
      <c r="N8" s="881"/>
      <c r="O8" s="881"/>
      <c r="P8" s="881"/>
      <c r="Q8" s="881"/>
      <c r="R8" s="881"/>
      <c r="S8" s="881"/>
      <c r="T8" s="881"/>
      <c r="U8" s="881"/>
      <c r="V8" s="881"/>
      <c r="W8" s="881"/>
      <c r="X8" s="881"/>
      <c r="Y8" s="881"/>
      <c r="Z8" s="881"/>
      <c r="AA8" s="881"/>
      <c r="AB8" t="n" s="881">
        <v>7.2</v>
      </c>
      <c r="AC8" s="43"/>
      <c r="AD8" s="43"/>
      <c r="AE8" s="43"/>
      <c r="AF8" s="43"/>
      <c r="AG8" s="43"/>
      <c r="AH8" s="43"/>
      <c r="AI8" s="43"/>
      <c r="AJ8" s="43"/>
      <c r="AK8" s="43"/>
      <c r="AL8" s="45"/>
      <c r="AM8" s="197">
        <f>IF(AQ8=1,SUM(H8:I8,L8:O8,R8:U8,X8:AA8,AD8:AG8,AI8:AK8),
IF(AQ8=2,SUM(H8:K8,N8:Q8,T8:W8,Z8:AC8,AF8:AI8),
IF(AQ8=3,SUM(J8:M8,P8:S8,V8:Y8,AB8:AE8,AH8:AK8),SUM(Таблица1[[#This Row],[1]:[31]])-Таблица1[[#This Row],[Столбец1]])))</f>
        <v>0</v>
      </c>
      <c r="AN8" s="269">
        <f t="array" ref="AN8">IF(AQ8=1,SUM(J8:K8,P8:Q8,V8:W8,AB8:AC8,AH8:AI8),
IF(AQ8=2,SUM(L8:M8,R8:S8,X8:Y8,AD8:AE8),
IF(AQ8=3,SUM(H8:I8,N8:O8,T8:U8,Z8:AA8,AF8:AG8),
SUM(IFERROR(WEEKDAY($H$2:$AL$2,2)&gt;5,)*H8:AL8))))</f>
        <v>0</v>
      </c>
      <c r="AO8" s="271" t="b">
        <f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696" t="b">
        <f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678" t="str">
        <f>IFERROR(INDEX(база!T:T, MATCH(F8,база!Q:Q,0)),"")</f>
        <v/>
      </c>
      <c r="AR8" s="193">
        <f>IFERROR(INDEX(база!D:D, MATCH(F8,база!B:B,0)),"")</f>
        <v>0</v>
      </c>
    </row>
    <row r="9" spans="1:50" ht="15">
      <c r="A9" t="s" s="882">
        <v>387</v>
      </c>
      <c r="B9" t="n" s="882">
        <v>2023.0</v>
      </c>
      <c r="C9" t="s" s="882">
        <v>390</v>
      </c>
      <c r="D9" t="s" s="882">
        <v>367</v>
      </c>
      <c r="E9" t="s" s="882">
        <v>397</v>
      </c>
      <c r="F9" t="s" s="882">
        <v>399</v>
      </c>
      <c r="G9" t="s" s="882">
        <v>6</v>
      </c>
      <c r="H9" s="882"/>
      <c r="I9" s="882"/>
      <c r="J9" s="882"/>
      <c r="K9" s="882"/>
      <c r="L9" s="882"/>
      <c r="M9" s="882"/>
      <c r="N9" s="882"/>
      <c r="O9" s="882"/>
      <c r="P9" s="882"/>
      <c r="Q9" s="882"/>
      <c r="R9" s="882"/>
      <c r="S9" s="882"/>
      <c r="T9" s="882"/>
      <c r="U9" s="882"/>
      <c r="V9" s="882"/>
      <c r="W9" s="882"/>
      <c r="X9" s="882"/>
      <c r="Y9" s="882"/>
      <c r="Z9" s="882"/>
      <c r="AA9" s="882"/>
      <c r="AB9" s="882"/>
      <c r="AC9" s="882"/>
      <c r="AD9" t="n" s="882">
        <v>7.2</v>
      </c>
      <c r="AE9" s="43"/>
      <c r="AF9" s="43"/>
      <c r="AG9" s="43"/>
      <c r="AH9" s="43"/>
      <c r="AI9" s="43"/>
      <c r="AJ9" s="43"/>
      <c r="AK9" s="43"/>
      <c r="AL9" s="45"/>
      <c r="AM9" s="197">
        <f>IF(AQ9=1,SUM(H9:I9,L9:O9,R9:U9,X9:AA9,AD9:AG9,AI9:AK9),
IF(AQ9=2,SUM(H9:K9,N9:Q9,T9:W9,Z9:AC9,AF9:AI9),
IF(AQ9=3,SUM(J9:M9,P9:S9,V9:Y9,AB9:AE9,AH9:AK9),SUM(Таблица1[[#This Row],[1]:[31]])-Таблица1[[#This Row],[Столбец1]])))</f>
        <v>0</v>
      </c>
      <c r="AN9" s="269">
        <f t="array" ref="AN9">IF(AQ9=1,SUM(J9:K9,P9:Q9,V9:W9,AB9:AC9,AH9:AI9),
IF(AQ9=2,SUM(L9:M9,R9:S9,X9:Y9,AD9:AE9),
IF(AQ9=3,SUM(H9:I9,N9:O9,T9:U9,Z9:AA9,AF9:AG9),
SUM(IFERROR(WEEKDAY($H$2:$AL$2,2)&gt;5,)*H9:AL9))))</f>
        <v>0</v>
      </c>
      <c r="AO9" s="271" t="b">
        <f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696" t="b">
        <f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678" t="str">
        <f>IFERROR(INDEX(база!T:T, MATCH(F9,база!Q:Q,0)),"")</f>
        <v/>
      </c>
      <c r="AR9" s="193">
        <f>IFERROR(INDEX(база!D:D, MATCH(F9,база!B:B,0)),"")</f>
        <v>0</v>
      </c>
    </row>
    <row r="10" spans="1:50" ht="15">
      <c r="A10" t="s" s="883">
        <v>387</v>
      </c>
      <c r="B10" t="n" s="883">
        <v>2023.0</v>
      </c>
      <c r="C10" t="s" s="883">
        <v>390</v>
      </c>
      <c r="D10" t="s" s="883">
        <v>370</v>
      </c>
      <c r="E10" t="s" s="883">
        <v>392</v>
      </c>
      <c r="F10" t="s" s="883">
        <v>400</v>
      </c>
      <c r="G10" t="s" s="883">
        <v>4</v>
      </c>
      <c r="H10" s="883"/>
      <c r="I10" s="883"/>
      <c r="J10" s="883"/>
      <c r="K10" s="883"/>
      <c r="L10" s="883"/>
      <c r="M10" s="883"/>
      <c r="N10" s="883"/>
      <c r="O10" s="883"/>
      <c r="P10" s="883"/>
      <c r="Q10" s="883"/>
      <c r="R10" s="883"/>
      <c r="S10" s="883"/>
      <c r="T10" s="883"/>
      <c r="U10" s="883"/>
      <c r="V10" s="883"/>
      <c r="W10" s="883"/>
      <c r="X10" s="883"/>
      <c r="Y10" s="883"/>
      <c r="Z10" s="883"/>
      <c r="AA10" s="883"/>
      <c r="AB10" t="n" s="883">
        <v>7.2</v>
      </c>
      <c r="AC10" s="43"/>
      <c r="AD10" s="43"/>
      <c r="AE10" s="43"/>
      <c r="AF10" s="43"/>
      <c r="AG10" s="43"/>
      <c r="AH10" s="43"/>
      <c r="AI10" s="43"/>
      <c r="AJ10" s="43"/>
      <c r="AK10" s="43"/>
      <c r="AL10" s="45"/>
      <c r="AM10" s="197">
        <f>IF(AQ10=1,SUM(H10:I10,L10:O10,R10:U10,X10:AA10,AD10:AG10,AI10:AK10),
IF(AQ10=2,SUM(H10:K10,N10:Q10,T10:W10,Z10:AC10,AF10:AI10),
IF(AQ10=3,SUM(J10:M10,P10:S10,V10:Y10,AB10:AE10,AH10:AK10),SUM(Таблица1[[#This Row],[1]:[31]])-Таблица1[[#This Row],[Столбец1]])))</f>
        <v>0</v>
      </c>
      <c r="AN10" s="269">
        <f t="array" ref="AN10">IF(AQ10=1,SUM(J10:K10,P10:Q10,V10:W10,AB10:AC10,AH10:AI10),
IF(AQ10=2,SUM(L10:M10,R10:S10,X10:Y10,AD10:AE10),
IF(AQ10=3,SUM(H10:I10,N10:O10,T10:U10,Z10:AA10,AF10:AG10),
SUM(IFERROR(WEEKDAY($H$2:$AL$2,2)&gt;5,)*H10:AL10))))</f>
        <v>0</v>
      </c>
      <c r="AO10" s="271" t="b">
        <f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696" t="b">
        <f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678" t="str">
        <f>IFERROR(INDEX(база!T:T, MATCH(F10,база!Q:Q,0)),"")</f>
        <v/>
      </c>
      <c r="AR10" s="193">
        <f>IFERROR(INDEX(база!D:D, MATCH(F10,база!B:B,0)),"")</f>
        <v>0</v>
      </c>
    </row>
    <row r="11" spans="1:50" ht="15">
      <c r="A11" t="s" s="884">
        <v>387</v>
      </c>
      <c r="B11" t="n" s="884">
        <v>2023.0</v>
      </c>
      <c r="C11" t="s" s="884">
        <v>396</v>
      </c>
      <c r="D11" t="s" s="884">
        <v>401</v>
      </c>
      <c r="E11" t="s" s="884">
        <v>46</v>
      </c>
      <c r="F11" t="s" s="884">
        <v>402</v>
      </c>
      <c r="G11" t="s" s="884">
        <v>31</v>
      </c>
      <c r="H11" s="884"/>
      <c r="I11" s="884"/>
      <c r="J11" s="884"/>
      <c r="K11" s="884"/>
      <c r="L11" s="884"/>
      <c r="M11" s="884"/>
      <c r="N11" s="884"/>
      <c r="O11" s="884"/>
      <c r="P11" s="884"/>
      <c r="Q11" s="884"/>
      <c r="R11" s="884"/>
      <c r="S11" s="884"/>
      <c r="T11" s="884"/>
      <c r="U11" s="884"/>
      <c r="V11" s="884"/>
      <c r="W11" s="884"/>
      <c r="X11" s="884"/>
      <c r="Y11" s="884"/>
      <c r="Z11" s="884"/>
      <c r="AA11" s="884"/>
      <c r="AB11" t="n" s="884">
        <v>7.2</v>
      </c>
      <c r="AC11" s="43"/>
      <c r="AD11" s="43"/>
      <c r="AE11" s="43"/>
      <c r="AF11" s="43"/>
      <c r="AG11" s="43"/>
      <c r="AH11" s="43"/>
      <c r="AI11" s="43"/>
      <c r="AJ11" s="43"/>
      <c r="AK11" s="43"/>
      <c r="AL11" s="45"/>
      <c r="AM11" s="197">
        <f>IF(AQ11=1,SUM(H11:I11,L11:O11,R11:U11,X11:AA11,AD11:AG11,AI11:AK11),
IF(AQ11=2,SUM(H11:K11,N11:Q11,T11:W11,Z11:AC11,AF11:AI11),
IF(AQ11=3,SUM(J11:M11,P11:S11,V11:Y11,AB11:AE11,AH11:AK11),SUM(Таблица1[[#This Row],[1]:[31]])-Таблица1[[#This Row],[Столбец1]])))</f>
        <v>0</v>
      </c>
      <c r="AN11" s="269">
        <f t="array" ref="AN11">IF(AQ11=1,SUM(J11:K11,P11:Q11,V11:W11,AB11:AC11,AH11:AI11),
IF(AQ11=2,SUM(L11:M11,R11:S11,X11:Y11,AD11:AE11),
IF(AQ11=3,SUM(H11:I11,N11:O11,T11:U11,Z11:AA11,AF11:AG11),
SUM(IFERROR(WEEKDAY($H$2:$AL$2,2)&gt;5,)*H11:AL11))))</f>
        <v>0</v>
      </c>
      <c r="AO11" s="271" t="b">
        <f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696" t="b">
        <f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678" t="str">
        <f>IFERROR(INDEX(база!T:T, MATCH(F11,база!Q:Q,0)),"")</f>
        <v/>
      </c>
      <c r="AR11" s="193">
        <f>IFERROR(INDEX(база!D:D, MATCH(F11,база!B:B,0)),"")</f>
        <v>0</v>
      </c>
    </row>
    <row r="12" spans="1:50" ht="15">
      <c r="A12" t="s" s="885">
        <v>387</v>
      </c>
      <c r="B12" t="n" s="885">
        <v>2023.0</v>
      </c>
      <c r="C12" t="s" s="885">
        <v>390</v>
      </c>
      <c r="D12" t="s" s="885">
        <v>383</v>
      </c>
      <c r="E12" t="s" s="885">
        <v>392</v>
      </c>
      <c r="F12" t="s" s="885">
        <v>398</v>
      </c>
      <c r="G12" t="s" s="885">
        <v>31</v>
      </c>
      <c r="H12" s="885"/>
      <c r="I12" s="885"/>
      <c r="J12" s="885"/>
      <c r="K12" s="885"/>
      <c r="L12" s="885"/>
      <c r="M12" s="885"/>
      <c r="N12" s="885"/>
      <c r="O12" s="885"/>
      <c r="P12" s="885"/>
      <c r="Q12" s="885"/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t="n" s="885">
        <v>7.2</v>
      </c>
      <c r="AC12" s="43"/>
      <c r="AD12" s="43"/>
      <c r="AE12" s="43"/>
      <c r="AF12" s="43"/>
      <c r="AG12" s="43"/>
      <c r="AH12" s="43"/>
      <c r="AI12" s="43"/>
      <c r="AJ12" s="43"/>
      <c r="AK12" s="43"/>
      <c r="AL12" s="45"/>
      <c r="AM12" s="197">
        <f>IF(AQ12=1,SUM(H12:I12,L12:O12,R12:U12,X12:AA12,AD12:AG12,AI12:AK12),
IF(AQ12=2,SUM(H12:K12,N12:Q12,T12:W12,Z12:AC12,AF12:AI12),
IF(AQ12=3,SUM(J12:M12,P12:S12,V12:Y12,AB12:AE12,AH12:AK12),SUM(Таблица1[[#This Row],[1]:[31]])-Таблица1[[#This Row],[Столбец1]])))</f>
        <v>0</v>
      </c>
      <c r="AN12" s="269">
        <f t="array" ref="AN12">IF(AQ12=1,SUM(J12:K12,P12:Q12,V12:W12,AB12:AC12,AH12:AI12),
IF(AQ12=2,SUM(L12:M12,R12:S12,X12:Y12,AD12:AE12),
IF(AQ12=3,SUM(H12:I12,N12:O12,T12:U12,Z12:AA12,AF12:AG12),
SUM(IFERROR(WEEKDAY($H$2:$AL$2,2)&gt;5,)*H12:AL12))))</f>
        <v>0</v>
      </c>
      <c r="AO12" s="271" t="b">
        <f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696" t="b">
        <f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678" t="str">
        <f>IFERROR(INDEX(база!T:T, MATCH(F12,база!Q:Q,0)),"")</f>
        <v/>
      </c>
      <c r="AR12" s="193">
        <f>IFERROR(INDEX(база!D:D, MATCH(F12,база!B:B,0)),"")</f>
        <v>0</v>
      </c>
    </row>
    <row r="13" spans="1:50" ht="15">
      <c r="A13" t="s" s="886">
        <v>387</v>
      </c>
      <c r="B13" t="n" s="886">
        <v>2023.0</v>
      </c>
      <c r="C13" t="s" s="886">
        <v>388</v>
      </c>
      <c r="D13" t="s" s="886">
        <v>369</v>
      </c>
      <c r="E13" t="s" s="886">
        <v>403</v>
      </c>
      <c r="F13" t="s" s="886">
        <v>404</v>
      </c>
      <c r="G13" t="s" s="886">
        <v>3</v>
      </c>
      <c r="H13" s="886"/>
      <c r="I13" s="886"/>
      <c r="J13" s="886"/>
      <c r="K13" s="886"/>
      <c r="L13" s="886"/>
      <c r="M13" s="886"/>
      <c r="N13" s="886"/>
      <c r="O13" s="886"/>
      <c r="P13" s="886"/>
      <c r="Q13" s="886"/>
      <c r="R13" s="886"/>
      <c r="S13" s="886"/>
      <c r="T13" s="886"/>
      <c r="U13" s="886"/>
      <c r="V13" s="886"/>
      <c r="W13" s="886"/>
      <c r="X13" s="886"/>
      <c r="Y13" s="886"/>
      <c r="Z13" s="886"/>
      <c r="AA13" s="886"/>
      <c r="AB13" t="n" s="886">
        <v>7.2</v>
      </c>
      <c r="AC13" s="43"/>
      <c r="AD13" s="43"/>
      <c r="AE13" s="43"/>
      <c r="AF13" s="43"/>
      <c r="AG13" s="43"/>
      <c r="AH13" s="43"/>
      <c r="AI13" s="43"/>
      <c r="AJ13" s="43"/>
      <c r="AK13" s="43"/>
      <c r="AL13" s="45"/>
      <c r="AM13" s="197">
        <f>IF(AQ13=1,SUM(H13:I13,L13:O13,R13:U13,X13:AA13,AD13:AG13,AI13:AK13),
IF(AQ13=2,SUM(H13:K13,N13:Q13,T13:W13,Z13:AC13,AF13:AI13),
IF(AQ13=3,SUM(J13:M13,P13:S13,V13:Y13,AB13:AE13,AH13:AK13),SUM(Таблица1[[#This Row],[1]:[31]])-Таблица1[[#This Row],[Столбец1]])))</f>
        <v>0</v>
      </c>
      <c r="AN13" s="269">
        <f t="array" ref="AN13">IF(AQ13=1,SUM(J13:K13,P13:Q13,V13:W13,AB13:AC13,AH13:AI13),
IF(AQ13=2,SUM(L13:M13,R13:S13,X13:Y13,AD13:AE13),
IF(AQ13=3,SUM(H13:I13,N13:O13,T13:U13,Z13:AA13,AF13:AG13),
SUM(IFERROR(WEEKDAY($H$2:$AL$2,2)&gt;5,)*H13:AL13))))</f>
        <v>0</v>
      </c>
      <c r="AO13" s="271" t="b">
        <f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696" t="b">
        <f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678" t="str">
        <f>IFERROR(INDEX(база!T:T, MATCH(F13,база!Q:Q,0)),"")</f>
        <v/>
      </c>
      <c r="AR13" s="193">
        <f>IFERROR(INDEX(база!D:D, MATCH(F13,база!B:B,0)),"")</f>
        <v>0</v>
      </c>
    </row>
    <row r="14" spans="1:50" ht="15">
      <c r="A14" s="59"/>
      <c r="B14" s="215"/>
      <c r="C14" s="54"/>
      <c r="D14" s="55"/>
      <c r="E14" s="196"/>
      <c r="F14" s="651"/>
      <c r="G14" s="42"/>
      <c r="H14" s="43"/>
      <c r="I14" s="43"/>
      <c r="J14" s="43"/>
      <c r="K14" s="44"/>
      <c r="L14" s="44"/>
      <c r="M14" s="44"/>
      <c r="N14" s="44"/>
      <c r="O14" s="43"/>
      <c r="P14" s="44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5"/>
      <c r="AM14" s="197">
        <f>IF(AQ14=1,SUM(H14:I14,L14:O14,R14:U14,X14:AA14,AD14:AG14,AI14:AK14),
IF(AQ14=2,SUM(H14:K14,N14:Q14,T14:W14,Z14:AC14,AF14:AI14),
IF(AQ14=3,SUM(J14:M14,P14:S14,V14:Y14,AB14:AE14,AH14:AK14),SUM(Таблица1[[#This Row],[1]:[31]])-Таблица1[[#This Row],[Столбец1]])))</f>
        <v>0</v>
      </c>
      <c r="AN14" s="269">
        <f t="array" ref="AN14">IF(AQ14=1,SUM(J14:K14,P14:Q14,V14:W14,AB14:AC14,AH14:AI14),
IF(AQ14=2,SUM(L14:M14,R14:S14,X14:Y14,AD14:AE14),
IF(AQ14=3,SUM(H14:I14,N14:O14,T14:U14,Z14:AA14,AF14:AG14),
SUM(IFERROR(WEEKDAY($H$2:$AL$2,2)&gt;5,)*H14:AL14))))</f>
        <v>0</v>
      </c>
      <c r="AO14" s="271" t="b">
        <f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696" t="b">
        <f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678" t="str">
        <f>IFERROR(INDEX(база!T:T, MATCH(F14,база!Q:Q,0)),"")</f>
        <v/>
      </c>
      <c r="AR14" s="193">
        <f>IFERROR(INDEX(база!D:D, MATCH(F14,база!B:B,0)),"")</f>
        <v>0</v>
      </c>
    </row>
    <row r="15" spans="1:50" ht="15">
      <c r="A15" s="59"/>
      <c r="B15" s="215"/>
      <c r="C15" s="54"/>
      <c r="D15" s="55"/>
      <c r="E15" s="196"/>
      <c r="F15" s="651"/>
      <c r="G15" s="42"/>
      <c r="H15" s="198"/>
      <c r="I15" s="43"/>
      <c r="J15" s="43"/>
      <c r="K15" s="44"/>
      <c r="L15" s="44"/>
      <c r="M15" s="44"/>
      <c r="N15" s="44"/>
      <c r="O15" s="44"/>
      <c r="P15" s="44"/>
      <c r="Q15" s="44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5"/>
      <c r="AM15" s="197">
        <f>IF(AQ15=1,SUM(H15:I15,L15:O15,R15:U15,X15:AA15,AD15:AG15,AI15:AK15),
IF(AQ15=2,SUM(H15:K15,N15:Q15,T15:W15,Z15:AC15,AF15:AI15),
IF(AQ15=3,SUM(J15:M15,P15:S15,V15:Y15,AB15:AE15,AH15:AK15),SUM(Таблица1[[#This Row],[1]:[31]])-Таблица1[[#This Row],[Столбец1]])))</f>
        <v>0</v>
      </c>
      <c r="AN15" s="269">
        <f t="array" ref="AN15">IF(AQ15=1,SUM(J15:K15,P15:Q15,V15:W15,AB15:AC15,AH15:AI15),
IF(AQ15=2,SUM(L15:M15,R15:S15,X15:Y15,AD15:AE15),
IF(AQ15=3,SUM(H15:I15,N15:O15,T15:U15,Z15:AA15,AF15:AG15),
SUM(IFERROR(WEEKDAY($H$2:$AL$2,2)&gt;5,)*H15:AL15))))</f>
        <v>0</v>
      </c>
      <c r="AO15" s="271" t="b">
        <f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696" t="b">
        <f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678" t="str">
        <f>IFERROR(INDEX(база!T:T, MATCH(F15,база!Q:Q,0)),"")</f>
        <v/>
      </c>
      <c r="AR15" s="193">
        <f>IFERROR(INDEX(база!D:D, MATCH(F15,база!B:B,0)),"")</f>
        <v>0</v>
      </c>
    </row>
    <row r="16" spans="1:50" ht="15">
      <c r="A16" s="59"/>
      <c r="B16" s="215"/>
      <c r="C16" s="54"/>
      <c r="D16" s="55"/>
      <c r="E16" s="196"/>
      <c r="F16" s="651"/>
      <c r="G16" s="42"/>
      <c r="H16" s="198"/>
      <c r="I16" s="43"/>
      <c r="J16" s="43"/>
      <c r="K16" s="44"/>
      <c r="L16" s="44"/>
      <c r="M16" s="44"/>
      <c r="N16" s="44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197">
        <f>IF(AQ16=1,SUM(H16:I16,L16:O16,R16:U16,X16:AA16,AD16:AG16,AI16:AK16),
IF(AQ16=2,SUM(H16:K16,N16:Q16,T16:W16,Z16:AC16,AF16:AI16),
IF(AQ16=3,SUM(J16:M16,P16:S16,V16:Y16,AB16:AE16,AH16:AK16),SUM(Таблица1[[#This Row],[1]:[31]])-Таблица1[[#This Row],[Столбец1]])))</f>
        <v>0</v>
      </c>
      <c r="AN16" s="269">
        <f t="array" ref="AN16">IF(AQ16=1,SUM(J16:K16,P16:Q16,V16:W16,AB16:AC16,AH16:AI16),
IF(AQ16=2,SUM(L16:M16,R16:S16,X16:Y16,AD16:AE16),
IF(AQ16=3,SUM(H16:I16,N16:O16,T16:U16,Z16:AA16,AF16:AG16),
SUM(IFERROR(WEEKDAY($H$2:$AL$2,2)&gt;5,)*H16:AL16))))</f>
        <v>0</v>
      </c>
      <c r="AO16" s="271" t="b">
        <f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696" t="b">
        <f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678" t="str">
        <f>IFERROR(INDEX(база!T:T, MATCH(F16,база!Q:Q,0)),"")</f>
        <v/>
      </c>
      <c r="AR16" s="193">
        <f>IFERROR(INDEX(база!D:D, MATCH(F16,база!B:B,0)),"")</f>
        <v>0</v>
      </c>
    </row>
    <row r="17" spans="1:47" ht="15">
      <c r="A17" s="59"/>
      <c r="B17" s="215"/>
      <c r="C17" s="54"/>
      <c r="D17" s="55"/>
      <c r="E17" s="196"/>
      <c r="F17" s="651"/>
      <c r="G17" s="42"/>
      <c r="H17" s="198"/>
      <c r="I17" s="198"/>
      <c r="J17" s="19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5"/>
      <c r="AM17" s="197">
        <f>IF(AQ17=1,SUM(H17:I17,L17:O17,R17:U17,X17:AA17,AD17:AG17,AI17:AK17),
IF(AQ17=2,SUM(H17:K17,N17:Q17,T17:W17,Z17:AC17,AF17:AI17),
IF(AQ17=3,SUM(J17:M17,P17:S17,V17:Y17,AB17:AE17,AH17:AK17),SUM(Таблица1[[#This Row],[1]:[31]])-Таблица1[[#This Row],[Столбец1]])))</f>
        <v>0</v>
      </c>
      <c r="AN17" s="269">
        <f t="array" ref="AN17">IF(AQ17=1,SUM(J17:K17,P17:Q17,V17:W17,AB17:AC17,AH17:AI17),
IF(AQ17=2,SUM(L17:M17,R17:S17,X17:Y17,AD17:AE17),
IF(AQ17=3,SUM(H17:I17,N17:O17,T17:U17,Z17:AA17,AF17:AG17),
SUM(IFERROR(WEEKDAY($H$2:$AL$2,2)&gt;5,)*H17:AL17))))</f>
        <v>0</v>
      </c>
      <c r="AO17" s="271" t="b">
        <f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696" t="b">
        <f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678" t="str">
        <f>IFERROR(INDEX(база!T:T, MATCH(F17,база!Q:Q,0)),"")</f>
        <v/>
      </c>
      <c r="AR17" s="193">
        <f>IFERROR(INDEX(база!D:D, MATCH(F17,база!B:B,0)),"")</f>
        <v>0</v>
      </c>
    </row>
    <row r="18" spans="1:47" ht="15">
      <c r="A18" s="59"/>
      <c r="B18" s="215"/>
      <c r="C18" s="54"/>
      <c r="D18" s="55"/>
      <c r="E18" s="196"/>
      <c r="F18" s="644"/>
      <c r="G18" s="42"/>
      <c r="H18" s="198"/>
      <c r="I18" s="43"/>
      <c r="J18" s="43"/>
      <c r="K18" s="44"/>
      <c r="L18" s="44"/>
      <c r="M18" s="44"/>
      <c r="N18" s="44"/>
      <c r="O18" s="44"/>
      <c r="P18" s="44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5"/>
      <c r="AM18" s="197">
        <f>IF(AQ18=1,SUM(H18:I18,L18:O18,R18:U18,X18:AA18,AD18:AG18,AI18:AK18),
IF(AQ18=2,SUM(H18:K18,N18:Q18,T18:W18,Z18:AC18,AF18:AI18),
IF(AQ18=3,SUM(J18:M18,P18:S18,V18:Y18,AB18:AE18,AH18:AK18),SUM(Таблица1[[#This Row],[1]:[31]])-Таблица1[[#This Row],[Столбец1]])))</f>
        <v>0</v>
      </c>
      <c r="AN18" s="269">
        <f t="array" ref="AN18">IF(AQ18=1,SUM(J18:K18,P18:Q18,V18:W18,AB18:AC18,AH18:AI18),
IF(AQ18=2,SUM(L18:M18,R18:S18,X18:Y18,AD18:AE18),
IF(AQ18=3,SUM(H18:I18,N18:O18,T18:U18,Z18:AA18,AF18:AG18),
SUM(IFERROR(WEEKDAY($H$2:$AL$2,2)&gt;5,)*H18:AL18))))</f>
        <v>0</v>
      </c>
      <c r="AO18" s="271" t="b">
        <f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696" t="b">
        <f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678" t="str">
        <f>IFERROR(INDEX(база!T:T, MATCH(F18,база!Q:Q,0)),"")</f>
        <v/>
      </c>
      <c r="AR18" s="193">
        <f>IFERROR(INDEX(база!D:D, MATCH(F18,база!B:B,0)),"")</f>
        <v>0</v>
      </c>
    </row>
    <row r="19" spans="1:47" ht="15">
      <c r="A19" s="59"/>
      <c r="B19" s="215"/>
      <c r="C19" s="54"/>
      <c r="D19" s="55"/>
      <c r="E19" s="196"/>
      <c r="F19" s="644"/>
      <c r="G19" s="42"/>
      <c r="H19" s="198"/>
      <c r="I19" s="43"/>
      <c r="J19" s="43"/>
      <c r="K19" s="43"/>
      <c r="L19" s="43"/>
      <c r="M19" s="43"/>
      <c r="N19" s="4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5"/>
      <c r="AM19" s="197">
        <f>IF(AQ19=1,SUM(H19:I19,L19:O19,R19:U19,X19:AA19,AD19:AG19,AI19:AK19),
IF(AQ19=2,SUM(H19:K19,N19:Q19,T19:W19,Z19:AC19,AF19:AI19),
IF(AQ19=3,SUM(J19:M19,P19:S19,V19:Y19,AB19:AE19,AH19:AK19),SUM(Таблица1[[#This Row],[1]:[31]])-Таблица1[[#This Row],[Столбец1]])))</f>
        <v>0</v>
      </c>
      <c r="AN19" s="269">
        <f t="array" ref="AN19">IF(AQ19=1,SUM(J19:K19,P19:Q19,V19:W19,AB19:AC19,AH19:AI19),
IF(AQ19=2,SUM(L19:M19,R19:S19,X19:Y19,AD19:AE19),
IF(AQ19=3,SUM(H19:I19,N19:O19,T19:U19,Z19:AA19,AF19:AG19),
SUM(IFERROR(WEEKDAY($H$2:$AL$2,2)&gt;5,)*H19:AL19))))</f>
        <v>0</v>
      </c>
      <c r="AO19" s="271" t="b">
        <f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696" t="b">
        <f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678" t="str">
        <f>IFERROR(INDEX(база!T:T, MATCH(F21,база!Q:Q,0)),"")</f>
        <v/>
      </c>
      <c r="AR19" s="193">
        <f>IFERROR(INDEX(база!D:D, MATCH(F19,база!B:B,0)),"")</f>
        <v>0</v>
      </c>
    </row>
    <row r="20" spans="1:47" ht="15">
      <c r="A20" s="59"/>
      <c r="B20" s="215"/>
      <c r="C20" s="54"/>
      <c r="D20" s="55"/>
      <c r="E20" s="196"/>
      <c r="F20" s="644"/>
      <c r="G20" s="42"/>
      <c r="H20" s="198"/>
      <c r="I20" s="43"/>
      <c r="J20" s="43"/>
      <c r="K20" s="43"/>
      <c r="L20" s="43"/>
      <c r="M20" s="43"/>
      <c r="N20" s="44"/>
      <c r="O20" s="44"/>
      <c r="P20" s="44"/>
      <c r="Q20" s="44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5"/>
      <c r="AG20" s="43"/>
      <c r="AH20" s="43"/>
      <c r="AI20" s="45"/>
      <c r="AJ20" s="45"/>
      <c r="AK20" s="45"/>
      <c r="AL20" s="45"/>
      <c r="AM20" s="197">
        <f>IF(AQ20=1,SUM(H20:I20,L20:O20,R20:U20,X20:AA20,AD20:AG20,AI20:AK20),
IF(AQ20=2,SUM(H20:K20,N20:Q20,T20:W20,Z20:AC20,AF20:AI20),
IF(AQ20=3,SUM(J20:M20,P20:S20,V20:Y20,AB20:AE20,AH20:AK20),SUM(Таблица1[[#This Row],[1]:[31]])-Таблица1[[#This Row],[Столбец1]])))</f>
        <v>0</v>
      </c>
      <c r="AN20" s="269">
        <f t="array" ref="AN20">IF(AQ20=1,SUM(J20:K20,P20:Q20,V20:W20,AB20:AC20,AH20:AI20),
IF(AQ20=2,SUM(L20:M20,R20:S20,X20:Y20,AD20:AE20),
IF(AQ20=3,SUM(H20:I20,N20:O20,T20:U20,Z20:AA20,AF20:AG20),
SUM(IFERROR(WEEKDAY($H$2:$AL$2,2)&gt;5,)*H20:AL20))))</f>
        <v>0</v>
      </c>
      <c r="AO20" s="271" t="b">
        <f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696" t="b">
        <f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678" t="str">
        <f>IFERROR(INDEX(база!T:T, MATCH(F20,база!Q:Q,0)),"")</f>
        <v/>
      </c>
      <c r="AR20" s="193">
        <f>IFERROR(INDEX(база!D:D, MATCH(F20,база!B:B,0)),"")</f>
        <v>0</v>
      </c>
    </row>
    <row r="21" spans="1:47" ht="15">
      <c r="A21" s="59"/>
      <c r="B21" s="215"/>
      <c r="C21" s="54"/>
      <c r="D21" s="55"/>
      <c r="E21" s="196"/>
      <c r="F21" s="644"/>
      <c r="G21" s="42"/>
      <c r="H21" s="198"/>
      <c r="I21" s="198"/>
      <c r="J21" s="198"/>
      <c r="K21" s="43"/>
      <c r="L21" s="43"/>
      <c r="M21" s="43"/>
      <c r="N21" s="4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5"/>
      <c r="AG21" s="45"/>
      <c r="AH21" s="45"/>
      <c r="AI21" s="45"/>
      <c r="AJ21" s="45"/>
      <c r="AK21" s="45"/>
      <c r="AL21" s="45"/>
      <c r="AM21" s="197">
        <f>IF(AQ21=1,SUM(H21:I21,L21:O21,R21:U21,X21:AA21,AD21:AG21,AI21:AK21),
IF(AQ21=2,SUM(H21:K21,N21:Q21,T21:W21,Z21:AC21,AF21:AI21),
IF(AQ21=3,SUM(J21:M21,P21:S21,V21:Y21,AB21:AE21,AH21:AK21),SUM(Таблица1[[#This Row],[1]:[31]])-Таблица1[[#This Row],[Столбец1]])))</f>
        <v>0</v>
      </c>
      <c r="AN21" s="269">
        <f t="array" ref="AN21">IF(AQ21=1,SUM(J21:K21,P21:Q21,V21:W21,AB21:AC21,AH21:AI21),
IF(AQ21=2,SUM(L21:M21,R21:S21,X21:Y21,AD21:AE21),
IF(AQ21=3,SUM(H21:I21,N21:O21,T21:U21,Z21:AA21,AF21:AG21),
SUM(IFERROR(WEEKDAY($H$2:$AL$2,2)&gt;5,)*H21:AL21))))</f>
        <v>0</v>
      </c>
      <c r="AO21" s="271" t="b">
        <f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696" t="b">
        <f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678" t="str">
        <f>IFERROR(INDEX(база!T:T, MATCH(#REF!,база!Q:Q,0)),"")</f>
        <v/>
      </c>
      <c r="AR21" s="193">
        <f>IFERROR(INDEX(база!D:D, MATCH(F21,база!B:B,0)),"")</f>
        <v>0</v>
      </c>
    </row>
    <row r="22" spans="1:47" ht="15.75" customHeight="1">
      <c r="A22" s="59"/>
      <c r="B22" s="215"/>
      <c r="C22" s="54"/>
      <c r="D22" s="55"/>
      <c r="E22" s="196"/>
      <c r="F22" s="644"/>
      <c r="G22" s="42"/>
      <c r="H22" s="198"/>
      <c r="I22" s="198"/>
      <c r="J22" s="198"/>
      <c r="K22" s="43"/>
      <c r="L22" s="43"/>
      <c r="M22" s="43"/>
      <c r="N22" s="44"/>
      <c r="O22" s="44"/>
      <c r="P22" s="44"/>
      <c r="Q22" s="44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5"/>
      <c r="AG22" s="45"/>
      <c r="AH22" s="45"/>
      <c r="AI22" s="45"/>
      <c r="AJ22" s="45"/>
      <c r="AK22" s="45"/>
      <c r="AL22" s="45"/>
      <c r="AM22" s="197">
        <f>IF(AQ22=1,SUM(H22:I22,L22:O22,R22:U22,X22:AA22,AD22:AG22,AI22:AK22),
IF(AQ22=2,SUM(H22:K22,N22:Q22,T22:W22,Z22:AC22,AF22:AI22),
IF(AQ22=3,SUM(J22:M22,P22:S22,V22:Y22,AB22:AE22,AH22:AK22),SUM(Таблица1[[#This Row],[1]:[31]])-Таблица1[[#This Row],[Столбец1]])))</f>
        <v>0</v>
      </c>
      <c r="AN22" s="269">
        <f t="array" ref="AN22">IF(AQ22=1,SUM(J22:K22,P22:Q22,V22:W22,AB22:AC22,AH22:AI22),
IF(AQ22=2,SUM(L22:M22,R22:S22,X22:Y22,AD22:AE22),
IF(AQ22=3,SUM(H22:I22,N22:O22,T22:U22,Z22:AA22,AF22:AG22),
SUM(IFERROR(WEEKDAY($H$2:$AL$2,2)&gt;5,)*H22:AL22))))</f>
        <v>0</v>
      </c>
      <c r="AO22" s="271" t="b">
        <f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696" t="b">
        <f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678" t="str">
        <f>IFERROR(INDEX(база!T:T, MATCH(F22,база!Q:Q,0)),"")</f>
        <v/>
      </c>
      <c r="AR22" s="193">
        <f>IFERROR(INDEX(база!D:D, MATCH(F22,база!B:B,0)),"")</f>
        <v>0</v>
      </c>
    </row>
    <row r="23" spans="1:47" ht="15">
      <c r="A23" s="59"/>
      <c r="B23" s="215"/>
      <c r="C23" s="54"/>
      <c r="D23" s="55"/>
      <c r="E23" s="196"/>
      <c r="F23" s="644"/>
      <c r="G23" s="42"/>
      <c r="H23" s="198"/>
      <c r="I23" s="43"/>
      <c r="J23" s="43"/>
      <c r="K23" s="43"/>
      <c r="L23" s="43"/>
      <c r="M23" s="43"/>
      <c r="N23" s="4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5"/>
      <c r="AM23" s="197">
        <f>IF(AQ23=1,SUM(H23:I23,L23:O23,R23:U23,X23:AA23,AD23:AG23,AI23:AK23),
IF(AQ23=2,SUM(H23:K23,N23:Q23,T23:W23,Z23:AC23,AF23:AI23),
IF(AQ23=3,SUM(J23:M23,P23:S23,V23:Y23,AB23:AE23,AH23:AK23),SUM(Таблица1[[#This Row],[1]:[31]])-Таблица1[[#This Row],[Столбец1]])))</f>
        <v>0</v>
      </c>
      <c r="AN23" s="269">
        <f t="array" ref="AN23">IF(AQ23=1,SUM(J23:K23,P23:Q23,V23:W23,AB23:AC23,AH23:AI23),
IF(AQ23=2,SUM(L23:M23,R23:S23,X23:Y23,AD23:AE23),
IF(AQ23=3,SUM(H23:I23,N23:O23,T23:U23,Z23:AA23,AF23:AG23),
SUM(IFERROR(WEEKDAY($H$2:$AL$2,2)&gt;5,)*H23:AL23))))</f>
        <v>0</v>
      </c>
      <c r="AO23" s="271" t="b">
        <f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696" t="b">
        <f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678" t="str">
        <f>IFERROR(INDEX(база!T:T, MATCH(F23,база!Q:Q,0)),"")</f>
        <v/>
      </c>
      <c r="AR23" s="193">
        <f>IFERROR(INDEX(база!D:D, MATCH(F23,база!B:B,0)),"")</f>
        <v>0</v>
      </c>
    </row>
    <row r="24" spans="1:47" ht="15">
      <c r="A24" s="59"/>
      <c r="B24" s="215"/>
      <c r="C24" s="54"/>
      <c r="D24" s="55"/>
      <c r="E24" s="196"/>
      <c r="F24" s="644"/>
      <c r="G24" s="42"/>
      <c r="H24" s="198"/>
      <c r="I24" s="43"/>
      <c r="J24" s="43"/>
      <c r="K24" s="43"/>
      <c r="L24" s="43"/>
      <c r="M24" s="43"/>
      <c r="N24" s="4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5"/>
      <c r="AM24" s="197">
        <f>IF(AQ24=1,SUM(H24:I24,L24:O24,R24:U24,X24:AA24,AD24:AG24,AI24:AK24),
IF(AQ24=2,SUM(H24:K24,N24:Q24,T24:W24,Z24:AC24,AF24:AI24),
IF(AQ24=3,SUM(J24:M24,P24:S24,V24:Y24,AB24:AE24,AH24:AK24),SUM(Таблица1[[#This Row],[1]:[31]])-Таблица1[[#This Row],[Столбец1]])))</f>
        <v>0</v>
      </c>
      <c r="AN24" s="269">
        <f t="array" ref="AN24">IF(AQ24=1,SUM(J24:K24,P24:Q24,V24:W24,AB24:AC24,AH24:AI24),
IF(AQ24=2,SUM(L24:M24,R24:S24,X24:Y24,AD24:AE24),
IF(AQ24=3,SUM(H24:I24,N24:O24,T24:U24,Z24:AA24,AF24:AG24),
SUM(IFERROR(WEEKDAY($H$2:$AL$2,2)&gt;5,)*H24:AL24))))</f>
        <v>0</v>
      </c>
      <c r="AO24" s="271" t="b">
        <f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696" t="b">
        <f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678" t="str">
        <f>IFERROR(INDEX(база!T:T, MATCH(F24,база!Q:Q,0)),"")</f>
        <v/>
      </c>
      <c r="AR24" s="193">
        <f>IFERROR(INDEX(база!D:D, MATCH(F24,база!B:B,0)),"")</f>
        <v>0</v>
      </c>
    </row>
    <row r="25" spans="1:47" ht="15">
      <c r="A25" s="59"/>
      <c r="B25" s="215"/>
      <c r="C25" s="54"/>
      <c r="D25" s="55"/>
      <c r="E25" s="196"/>
      <c r="F25" s="644"/>
      <c r="G25" s="42"/>
      <c r="H25" s="198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5"/>
      <c r="AM25" s="197">
        <f>IF(AQ25=1,SUM(H25:I25,L25:O25,R25:U25,X25:AA25,AD25:AG25,AI25:AK25),
IF(AQ25=2,SUM(H25:K25,N25:Q25,T25:W25,Z25:AC25,AF25:AI25),
IF(AQ25=3,SUM(J25:M25,P25:S25,V25:Y25,AB25:AE25,AH25:AK25),SUM(Таблица1[[#This Row],[1]:[31]])-Таблица1[[#This Row],[Столбец1]])))</f>
        <v>0</v>
      </c>
      <c r="AN25" s="269">
        <f t="array" ref="AN25">IF(AQ25=1,SUM(J25:K25,P25:Q25,V25:W25,AB25:AC25,AH25:AI25),
IF(AQ25=2,SUM(L25:M25,R25:S25,X25:Y25,AD25:AE25),
IF(AQ25=3,SUM(H25:I25,N25:O25,T25:U25,Z25:AA25,AF25:AG25),
SUM(IFERROR(WEEKDAY($H$2:$AL$2,2)&gt;5,)*H25:AL25))))</f>
        <v>0</v>
      </c>
      <c r="AO25" s="271" t="b">
        <f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696" t="b">
        <f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678" t="str">
        <f>IFERROR(INDEX(база!T:T, MATCH(F25,база!Q:Q,0)),"")</f>
        <v/>
      </c>
      <c r="AR25" s="193">
        <f>IFERROR(INDEX(база!D:D, MATCH(F25,база!B:B,0)),"")</f>
        <v>0</v>
      </c>
    </row>
    <row r="26" spans="1:47" ht="15">
      <c r="A26" s="59"/>
      <c r="B26" s="215"/>
      <c r="C26" s="54"/>
      <c r="D26" s="55"/>
      <c r="E26" s="196"/>
      <c r="F26" s="644"/>
      <c r="G26" s="42"/>
      <c r="H26" s="198"/>
      <c r="I26" s="43"/>
      <c r="J26" s="43"/>
      <c r="K26" s="43"/>
      <c r="L26" s="43"/>
      <c r="M26" s="43"/>
      <c r="N26" s="4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5"/>
      <c r="AM26" s="197">
        <f>IF(AQ26=1,SUM(H26:I26,L26:O26,R26:U26,X26:AA26,AD26:AG26,AI26:AK26),
IF(AQ26=2,SUM(H26:K26,N26:Q26,T26:W26,Z26:AC26,AF26:AI26),
IF(AQ26=3,SUM(J26:M26,P26:S26,V26:Y26,AB26:AE26,AH26:AK26),SUM(Таблица1[[#This Row],[1]:[31]])-Таблица1[[#This Row],[Столбец1]])))</f>
        <v>0</v>
      </c>
      <c r="AN26" s="269">
        <f t="array" ref="AN26">IF(AQ26=1,SUM(J26:K26,P26:Q26,V26:W26,AB26:AC26,AH26:AI26),
IF(AQ26=2,SUM(L26:M26,R26:S26,X26:Y26,AD26:AE26),
IF(AQ26=3,SUM(H26:I26,N26:O26,T26:U26,Z26:AA26,AF26:AG26),
SUM(IFERROR(WEEKDAY($H$2:$AL$2,2)&gt;5,)*H26:AL26))))</f>
        <v>0</v>
      </c>
      <c r="AO26" s="271" t="b">
        <f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696" t="b">
        <f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678" t="str">
        <f>IFERROR(INDEX(база!T:T, MATCH(F26,база!Q:Q,0)),"")</f>
        <v/>
      </c>
      <c r="AR26" s="193">
        <f>IFERROR(INDEX(база!D:D, MATCH(F26,база!B:B,0)),"")</f>
        <v>0</v>
      </c>
    </row>
    <row r="27" spans="1:47" ht="15">
      <c r="A27" s="59"/>
      <c r="B27" s="215"/>
      <c r="C27" s="54"/>
      <c r="D27" s="55"/>
      <c r="E27" s="196"/>
      <c r="F27" s="644"/>
      <c r="G27" s="42"/>
      <c r="H27" s="198"/>
      <c r="I27" s="43"/>
      <c r="J27" s="43"/>
      <c r="K27" s="43"/>
      <c r="L27" s="43"/>
      <c r="M27" s="43"/>
      <c r="N27" s="4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5"/>
      <c r="AM27" s="197">
        <f>IF(AQ27=1,SUM(H27:I27,L27:O27,R27:U27,X27:AA27,AD27:AG27,AI27:AK27),
IF(AQ27=2,SUM(H27:K27,N27:Q27,T27:W27,Z27:AC27,AF27:AI27),
IF(AQ27=3,SUM(J27:M27,P27:S27,V27:Y27,AB27:AE27,AH27:AK27),SUM(Таблица1[[#This Row],[1]:[31]])-Таблица1[[#This Row],[Столбец1]])))</f>
        <v>0</v>
      </c>
      <c r="AN27" s="269">
        <f t="array" ref="AN27">IF(AQ27=1,SUM(J27:K27,P27:Q27,V27:W27,AB27:AC27,AH27:AI27),
IF(AQ27=2,SUM(L27:M27,R27:S27,X27:Y27,AD27:AE27),
IF(AQ27=3,SUM(H27:I27,N27:O27,T27:U27,Z27:AA27,AF27:AG27),
SUM(IFERROR(WEEKDAY($H$2:$AL$2,2)&gt;5,)*H27:AL27))))</f>
        <v>0</v>
      </c>
      <c r="AO27" s="271" t="b">
        <f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696" t="b">
        <f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678" t="str">
        <f>IFERROR(INDEX(база!T:T, MATCH(F27,база!Q:Q,0)),"")</f>
        <v/>
      </c>
      <c r="AR27" s="193">
        <f>IFERROR(INDEX(база!D:D, MATCH(F27,база!B:B,0)),"")</f>
        <v>0</v>
      </c>
    </row>
    <row r="28" spans="1:47" ht="15">
      <c r="A28" s="59"/>
      <c r="B28" s="215"/>
      <c r="C28" s="54"/>
      <c r="D28" s="55"/>
      <c r="E28" s="196"/>
      <c r="F28" s="644"/>
      <c r="G28" s="42"/>
      <c r="H28" s="198"/>
      <c r="I28" s="43"/>
      <c r="J28" s="43"/>
      <c r="K28" s="43"/>
      <c r="L28" s="43"/>
      <c r="M28" s="43"/>
      <c r="N28" s="4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5"/>
      <c r="AM28" s="197">
        <f>IF(AQ28=1,SUM(H28:I28,L28:O28,R28:U28,X28:AA28,AD28:AG28,AI28:AK28),
IF(AQ28=2,SUM(H28:K28,N28:Q28,T28:W28,Z28:AC28,AF28:AI28),
IF(AQ28=3,SUM(J28:M28,P28:S28,V28:Y28,AB28:AE28,AH28:AK28),SUM(Таблица1[[#This Row],[1]:[31]])-Таблица1[[#This Row],[Столбец1]])))</f>
        <v>0</v>
      </c>
      <c r="AN28" s="269">
        <f t="array" ref="AN28">IF(AQ28=1,SUM(J28:K28,P28:Q28,V28:W28,AB28:AC28,AH28:AI28),
IF(AQ28=2,SUM(L28:M28,R28:S28,X28:Y28,AD28:AE28),
IF(AQ28=3,SUM(H28:I28,N28:O28,T28:U28,Z28:AA28,AF28:AG28),
SUM(IFERROR(WEEKDAY($H$2:$AL$2,2)&gt;5,)*H28:AL28))))</f>
        <v>0</v>
      </c>
      <c r="AO28" s="271" t="b">
        <f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696" t="b">
        <f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678" t="str">
        <f>IFERROR(INDEX(база!T:T, MATCH(F28,база!Q:Q,0)),"")</f>
        <v/>
      </c>
      <c r="AR28" s="193">
        <f>IFERROR(INDEX(база!D:D, MATCH(F28,база!B:B,0)),"")</f>
        <v>0</v>
      </c>
    </row>
    <row r="29" spans="1:47" ht="16.5" customHeight="1">
      <c r="A29" s="59"/>
      <c r="B29" s="215"/>
      <c r="C29" s="54"/>
      <c r="D29" s="55"/>
      <c r="E29" s="196"/>
      <c r="F29" s="644"/>
      <c r="G29" s="42"/>
      <c r="H29" s="198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197">
        <f>IF(AQ29=1,SUM(H29:I29,L29:O29,R29:U29,X29:AA29,AD29:AG29,AI29:AK29),
IF(AQ29=2,SUM(H29:K29,N29:Q29,T29:W29,Z29:AC29,AF29:AI29),
IF(AQ29=3,SUM(J29:M29,P29:S29,V29:Y29,AB29:AE29,AH29:AK29),SUM(Таблица1[[#This Row],[1]:[31]])-Таблица1[[#This Row],[Столбец1]])))</f>
        <v>0</v>
      </c>
      <c r="AN29" s="269">
        <f t="array" ref="AN29">IF(AQ29=1,SUM(J29:K29,P29:Q29,V29:W29,AB29:AC29,AH29:AI29),
IF(AQ29=2,SUM(L29:M29,R29:S29,X29:Y29,AD29:AE29),
IF(AQ29=3,SUM(H29:I29,N29:O29,T29:U29,Z29:AA29,AF29:AG29),
SUM(IFERROR(WEEKDAY($H$2:$AL$2,2)&gt;5,)*H29:AL29))))</f>
        <v>0</v>
      </c>
      <c r="AO29" s="271" t="b">
        <f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696" t="b">
        <f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678" t="str">
        <f>IFERROR(INDEX(база!T:T, MATCH(F29,база!Q:Q,0)),"")</f>
        <v/>
      </c>
      <c r="AR29" s="193">
        <f>IFERROR(INDEX(база!D:D, MATCH(F29,база!B:B,0)),"")</f>
        <v>0</v>
      </c>
      <c r="AU29" s="275"/>
    </row>
    <row r="30" spans="1:47" ht="15.75" customHeight="1">
      <c r="A30" s="59"/>
      <c r="B30" s="215"/>
      <c r="C30" s="54"/>
      <c r="D30" s="55"/>
      <c r="E30" s="196"/>
      <c r="F30" s="644"/>
      <c r="G30" s="42"/>
      <c r="H30" s="198"/>
      <c r="I30" s="43"/>
      <c r="J30" s="43"/>
      <c r="K30" s="43"/>
      <c r="L30" s="43"/>
      <c r="M30" s="43"/>
      <c r="N30" s="4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5"/>
      <c r="AM30" s="197">
        <f>IF(AQ30=1,SUM(H30:I30,L30:O30,R30:U30,X30:AA30,AD30:AG30,AI30:AK30),
IF(AQ30=2,SUM(H30:K30,N30:Q30,T30:W30,Z30:AC30,AF30:AI30),
IF(AQ30=3,SUM(J30:M30,P30:S30,V30:Y30,AB30:AE30,AH30:AK30),SUM(Таблица1[[#This Row],[1]:[31]])-Таблица1[[#This Row],[Столбец1]])))</f>
        <v>0</v>
      </c>
      <c r="AN30" s="269">
        <f t="array" ref="AN30">IF(AQ30=1,SUM(J30:K30,P30:Q30,V30:W30,AB30:AC30,AH30:AI30),
IF(AQ30=2,SUM(L30:M30,R30:S30,X30:Y30,AD30:AE30),
IF(AQ30=3,SUM(H30:I30,N30:O30,T30:U30,Z30:AA30,AF30:AG30),
SUM(IFERROR(WEEKDAY($H$2:$AL$2,2)&gt;5,)*H30:AL30))))</f>
        <v>0</v>
      </c>
      <c r="AO30" s="271" t="b">
        <f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696" t="b">
        <f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678" t="str">
        <f>IFERROR(INDEX(база!T:T, MATCH(F30,база!Q:Q,0)),"")</f>
        <v/>
      </c>
      <c r="AR30" s="193">
        <f>IFERROR(INDEX(база!D:D, MATCH(F30,база!B:B,0)),"")</f>
        <v>0</v>
      </c>
    </row>
    <row r="31" spans="1:47" ht="15">
      <c r="A31" s="59"/>
      <c r="B31" s="215"/>
      <c r="C31" s="54"/>
      <c r="D31" s="55"/>
      <c r="E31" s="196"/>
      <c r="F31" s="651"/>
      <c r="G31" s="42"/>
      <c r="H31" s="198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5"/>
      <c r="AM31" s="197">
        <f>IF(AQ31=1,SUM(H31:I31,L31:O31,R31:U31,X31:AA31,AD31:AG31,AI31:AK31),
IF(AQ31=2,SUM(H31:K31,N31:Q31,T31:W31,Z31:AC31,AF31:AI31),
IF(AQ31=3,SUM(J31:M31,P31:S31,V31:Y31,AB31:AE31,AH31:AK31),SUM(Таблица1[[#This Row],[1]:[31]])-Таблица1[[#This Row],[Столбец1]])))</f>
        <v>0</v>
      </c>
      <c r="AN31" s="269">
        <f t="array" ref="AN31">IF(AQ31=1,SUM(J31:K31,P31:Q31,V31:W31,AB31:AC31,AH31:AI31),
IF(AQ31=2,SUM(L31:M31,R31:S31,X31:Y31,AD31:AE31),
IF(AQ31=3,SUM(H31:I31,N31:O31,T31:U31,Z31:AA31,AF31:AG31),
SUM(IFERROR(WEEKDAY($H$2:$AL$2,2)&gt;5,)*H31:AL31))))</f>
        <v>0</v>
      </c>
      <c r="AO31" s="271" t="b">
        <f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696" t="b">
        <f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678" t="str">
        <f>IFERROR(INDEX(база!T:T, MATCH(F31,база!Q:Q,0)),"")</f>
        <v/>
      </c>
      <c r="AR31" s="193">
        <f>IFERROR(INDEX(база!D:D, MATCH(F31,база!B:B,0)),"")</f>
        <v>0</v>
      </c>
    </row>
    <row r="32" spans="1:47" ht="15">
      <c r="A32" s="59"/>
      <c r="B32" s="215"/>
      <c r="C32" s="54"/>
      <c r="D32" s="55"/>
      <c r="E32" s="196"/>
      <c r="F32" s="651"/>
      <c r="G32" s="42"/>
      <c r="H32" s="198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5"/>
      <c r="AM32" s="197">
        <f>IF(AQ32=1,SUM(H32:I32,L32:O32,R32:U32,X32:AA32,AD32:AG32,AI32:AK32),
IF(AQ32=2,SUM(H32:K32,N32:Q32,T32:W32,Z32:AC32,AF32:AI32),
IF(AQ32=3,SUM(J32:M32,P32:S32,V32:Y32,AB32:AE32,AH32:AK32),SUM(Таблица1[[#This Row],[1]:[31]])-Таблица1[[#This Row],[Столбец1]])))</f>
        <v>0</v>
      </c>
      <c r="AN32" s="269">
        <f t="array" ref="AN32">IF(AQ32=1,SUM(J32:K32,P32:Q32,V32:W32,AB32:AC32,AH32:AI32),
IF(AQ32=2,SUM(L32:M32,R32:S32,X32:Y32,AD32:AE32),
IF(AQ32=3,SUM(H32:I32,N32:O32,T32:U32,Z32:AA32,AF32:AG32),
SUM(IFERROR(WEEKDAY($H$2:$AL$2,2)&gt;5,)*H32:AL32))))</f>
        <v>0</v>
      </c>
      <c r="AO32" s="271" t="b">
        <f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696" t="b">
        <f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678" t="str">
        <f>IFERROR(INDEX(база!T:T, MATCH(F32,база!Q:Q,0)),"")</f>
        <v/>
      </c>
      <c r="AR32" s="193">
        <f>IFERROR(INDEX(база!D:D, MATCH(F32,база!B:B,0)),"")</f>
        <v>0</v>
      </c>
    </row>
    <row r="33" spans="1:44" ht="15">
      <c r="A33" s="59"/>
      <c r="B33" s="215"/>
      <c r="C33" s="54"/>
      <c r="D33" s="55"/>
      <c r="E33" s="196"/>
      <c r="F33" s="651"/>
      <c r="G33" s="42"/>
      <c r="H33" s="198"/>
      <c r="I33" s="43"/>
      <c r="J33" s="43"/>
      <c r="K33" s="43"/>
      <c r="L33" s="43"/>
      <c r="M33" s="43"/>
      <c r="N33" s="4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5"/>
      <c r="AM33" s="197">
        <f>IF(AQ33=1,SUM(H33:I33,L33:O33,R33:U33,X33:AA33,AD33:AG33,AI33:AK33),
IF(AQ33=2,SUM(H33:K33,N33:Q33,T33:W33,Z33:AC33,AF33:AI33),
IF(AQ33=3,SUM(J33:M33,P33:S33,V33:Y33,AB33:AE33,AH33:AK33),SUM(Таблица1[[#This Row],[1]:[31]])-Таблица1[[#This Row],[Столбец1]])))</f>
        <v>0</v>
      </c>
      <c r="AN33" s="269">
        <f t="array" ref="AN33">IF(AQ33=1,SUM(J33:K33,P33:Q33,V33:W33,AB33:AC33,AH33:AI33),
IF(AQ33=2,SUM(L33:M33,R33:S33,X33:Y33,AD33:AE33),
IF(AQ33=3,SUM(H33:I33,N33:O33,T33:U33,Z33:AA33,AF33:AG33),
SUM(IFERROR(WEEKDAY($H$2:$AL$2,2)&gt;5,)*H33:AL33))))</f>
        <v>0</v>
      </c>
      <c r="AO33" s="271" t="b">
        <f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696" t="b">
        <f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678" t="str">
        <f>IFERROR(INDEX(база!T:T, MATCH(F33,база!Q:Q,0)),"")</f>
        <v/>
      </c>
      <c r="AR33" s="193">
        <f>IFERROR(INDEX(база!D:D, MATCH(F33,база!B:B,0)),"")</f>
        <v>0</v>
      </c>
    </row>
    <row r="34" spans="1:44" ht="15">
      <c r="A34" s="59"/>
      <c r="B34" s="215"/>
      <c r="C34" s="54"/>
      <c r="D34" s="55"/>
      <c r="E34" s="196"/>
      <c r="F34" s="651"/>
      <c r="G34" s="42"/>
      <c r="H34" s="198"/>
      <c r="I34" s="43"/>
      <c r="J34" s="43"/>
      <c r="K34" s="43"/>
      <c r="L34" s="43"/>
      <c r="M34" s="43"/>
      <c r="N34" s="4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5"/>
      <c r="AM34" s="197">
        <f>IF(AQ34=1,SUM(H34:I34,L34:O34,R34:U34,X34:AA34,AD34:AG34,AI34:AK34),
IF(AQ34=2,SUM(H34:K34,N34:Q34,T34:W34,Z34:AC34,AF34:AI34),
IF(AQ34=3,SUM(J34:M34,P34:S34,V34:Y34,AB34:AE34,AH34:AK34),SUM(Таблица1[[#This Row],[1]:[31]])-Таблица1[[#This Row],[Столбец1]])))</f>
        <v>0</v>
      </c>
      <c r="AN34" s="269">
        <f t="array" ref="AN34">IF(AQ34=1,SUM(J34:K34,P34:Q34,V34:W34,AB34:AC34,AH34:AI34),
IF(AQ34=2,SUM(L34:M34,R34:S34,X34:Y34,AD34:AE34),
IF(AQ34=3,SUM(H34:I34,N34:O34,T34:U34,Z34:AA34,AF34:AG34),
SUM(IFERROR(WEEKDAY($H$2:$AL$2,2)&gt;5,)*H34:AL34))))</f>
        <v>0</v>
      </c>
      <c r="AO34" s="271" t="b">
        <f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696" t="b">
        <f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678" t="str">
        <f>IFERROR(INDEX(база!T:T, MATCH(F34,база!Q:Q,0)),"")</f>
        <v/>
      </c>
      <c r="AR34" s="193">
        <f>IFERROR(INDEX(база!D:D, MATCH(F34,база!B:B,0)),"")</f>
        <v>0</v>
      </c>
    </row>
    <row r="35" spans="1:44" ht="15">
      <c r="A35" s="59"/>
      <c r="B35" s="215"/>
      <c r="C35" s="54"/>
      <c r="D35" s="55"/>
      <c r="E35" s="196"/>
      <c r="F35" s="651"/>
      <c r="G35" s="42"/>
      <c r="H35" s="43"/>
      <c r="I35" s="43"/>
      <c r="J35" s="43"/>
      <c r="K35" s="43"/>
      <c r="L35" s="43"/>
      <c r="M35" s="43"/>
      <c r="N35" s="44"/>
      <c r="O35" s="43"/>
      <c r="P35" s="44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5"/>
      <c r="AM35" s="197">
        <f>IF(AQ35=1,SUM(H35:I35,L35:O35,R35:U35,X35:AA35,AD35:AG35,AI35:AK35),
IF(AQ35=2,SUM(H35:K35,N35:Q35,T35:W35,Z35:AC35,AF35:AI35),
IF(AQ35=3,SUM(J35:M35,P35:S35,V35:Y35,AB35:AE35,AH35:AK35),SUM(Таблица1[[#This Row],[1]:[31]])-Таблица1[[#This Row],[Столбец1]])))</f>
        <v>0</v>
      </c>
      <c r="AN35" s="269">
        <f t="array" ref="AN35">IF(AQ35=1,SUM(J35:K35,P35:Q35,V35:W35,AB35:AC35,AH35:AI35),
IF(AQ35=2,SUM(L35:M35,R35:S35,X35:Y35,AD35:AE35),
IF(AQ35=3,SUM(H35:I35,N35:O35,T35:U35,Z35:AA35,AF35:AG35),
SUM(IFERROR(WEEKDAY($H$2:$AL$2,2)&gt;5,)*H35:AL35))))</f>
        <v>0</v>
      </c>
      <c r="AO35" s="271" t="b">
        <f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696" t="b">
        <f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678" t="str">
        <f>IFERROR(INDEX(база!T:T, MATCH(F35,база!Q:Q,0)),"")</f>
        <v/>
      </c>
      <c r="AR35" s="193">
        <f>IFERROR(INDEX(база!D:D, MATCH(F35,база!B:B,0)),"")</f>
        <v>0</v>
      </c>
    </row>
    <row r="36" spans="1:44" ht="15">
      <c r="A36" s="59"/>
      <c r="B36" s="215"/>
      <c r="C36" s="54"/>
      <c r="D36" s="55"/>
      <c r="E36" s="196"/>
      <c r="F36" s="651"/>
      <c r="G36" s="42"/>
      <c r="H36" s="198"/>
      <c r="I36" s="43"/>
      <c r="J36" s="43"/>
      <c r="K36" s="43"/>
      <c r="L36" s="43"/>
      <c r="M36" s="43"/>
      <c r="N36" s="4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5"/>
      <c r="AM36" s="197">
        <f>IF(AQ36=1,SUM(H36:I36,L36:O36,R36:U36,X36:AA36,AD36:AG36,AI36:AK36),
IF(AQ36=2,SUM(H36:K36,N36:Q36,T36:W36,Z36:AC36,AF36:AI36),
IF(AQ36=3,SUM(J36:M36,P36:S36,V36:Y36,AB36:AE36,AH36:AK36),SUM(Таблица1[[#This Row],[1]:[31]])-Таблица1[[#This Row],[Столбец1]])))</f>
        <v>0</v>
      </c>
      <c r="AN36" s="269">
        <f t="array" ref="AN36">IF(AQ36=1,SUM(J36:K36,P36:Q36,V36:W36,AB36:AC36,AH36:AI36),
IF(AQ36=2,SUM(L36:M36,R36:S36,X36:Y36,AD36:AE36),
IF(AQ36=3,SUM(H36:I36,N36:O36,T36:U36,Z36:AA36,AF36:AG36),
SUM(IFERROR(WEEKDAY($H$2:$AL$2,2)&gt;5,)*H36:AL36))))</f>
        <v>0</v>
      </c>
      <c r="AO36" s="271" t="b">
        <f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696" t="b">
        <f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678" t="str">
        <f>IFERROR(INDEX(база!T:T, MATCH(F36,база!Q:Q,0)),"")</f>
        <v/>
      </c>
      <c r="AR36" s="193">
        <f>IFERROR(INDEX(база!D:D, MATCH(F36,база!B:B,0)),"")</f>
        <v>0</v>
      </c>
    </row>
    <row r="37" spans="1:44" ht="15">
      <c r="A37" s="59"/>
      <c r="B37" s="215"/>
      <c r="C37" s="54"/>
      <c r="D37" s="55"/>
      <c r="E37" s="196"/>
      <c r="F37" s="651"/>
      <c r="G37" s="42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5"/>
      <c r="AM37" s="197">
        <f>IF(AQ37=1,SUM(H37:I37,L37:O37,R37:U37,X37:AA37,AD37:AG37,AI37:AK37),
IF(AQ37=2,SUM(H37:K37,N37:Q37,T37:W37,Z37:AC37,AF37:AI37),
IF(AQ37=3,SUM(J37:M37,P37:S37,V37:Y37,AB37:AE37,AH37:AK37),SUM(Таблица1[[#This Row],[1]:[31]])-Таблица1[[#This Row],[Столбец1]])))</f>
        <v>0</v>
      </c>
      <c r="AN37" s="269">
        <f t="array" ref="AN37">IF(AQ37=1,SUM(J37:K37,P37:Q37,V37:W37,AB37:AC37,AH37:AI37),
IF(AQ37=2,SUM(L37:M37,R37:S37,X37:Y37,AD37:AE37),
IF(AQ37=3,SUM(H37:I37,N37:O37,T37:U37,Z37:AA37,AF37:AG37),
SUM(IFERROR(WEEKDAY($H$2:$AL$2,2)&gt;5,)*H37:AL37))))</f>
        <v>0</v>
      </c>
      <c r="AO37" s="271" t="b">
        <f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696" t="b">
        <f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678" t="str">
        <f>IFERROR(INDEX(база!T:T, MATCH(F37,база!Q:Q,0)),"")</f>
        <v/>
      </c>
      <c r="AR37" s="193">
        <f>IFERROR(INDEX(база!D:D, MATCH(F37,база!B:B,0)),"")</f>
        <v>0</v>
      </c>
    </row>
    <row r="38" spans="1:44" ht="15">
      <c r="A38" s="59"/>
      <c r="B38" s="215"/>
      <c r="C38" s="54"/>
      <c r="D38" s="55"/>
      <c r="E38" s="196"/>
      <c r="F38" s="651"/>
      <c r="G38" s="42"/>
      <c r="H38" s="43"/>
      <c r="I38" s="43"/>
      <c r="J38" s="43"/>
      <c r="K38" s="43"/>
      <c r="L38" s="43"/>
      <c r="M38" s="43"/>
      <c r="N38" s="4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5"/>
      <c r="AM38" s="197">
        <f>IF(AQ38=1,SUM(H38:I38,L38:O38,R38:U38,X38:AA38,AD38:AG38,AI38:AK38),
IF(AQ38=2,SUM(H38:K38,N38:Q38,T38:W38,Z38:AC38,AF38:AI38),
IF(AQ38=3,SUM(J38:M38,P38:S38,V38:Y38,AB38:AE38,AH38:AK38),SUM(Таблица1[[#This Row],[1]:[31]])-Таблица1[[#This Row],[Столбец1]])))</f>
        <v>0</v>
      </c>
      <c r="AN38" s="269">
        <f t="array" ref="AN38">IF(AQ38=1,SUM(J38:K38,P38:Q38,V38:W38,AB38:AC38,AH38:AI38),
IF(AQ38=2,SUM(L38:M38,R38:S38,X38:Y38,AD38:AE38),
IF(AQ38=3,SUM(H38:I38,N38:O38,T38:U38,Z38:AA38,AF38:AG38),
SUM(IFERROR(WEEKDAY($H$2:$AL$2,2)&gt;5,)*H38:AL38))))</f>
        <v>0</v>
      </c>
      <c r="AO38" s="271" t="b">
        <f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696" t="b">
        <f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678" t="str">
        <f>IFERROR(INDEX(база!T:T, MATCH(F38,база!Q:Q,0)),"")</f>
        <v/>
      </c>
      <c r="AR38" s="193">
        <f>IFERROR(INDEX(база!D:D, MATCH(F38,база!B:B,0)),"")</f>
        <v>0</v>
      </c>
    </row>
    <row r="39" spans="1:44" ht="15">
      <c r="A39" s="59"/>
      <c r="B39" s="215"/>
      <c r="C39" s="54"/>
      <c r="D39" s="55"/>
      <c r="E39" s="196"/>
      <c r="F39" s="651"/>
      <c r="G39" s="42"/>
      <c r="H39" s="198"/>
      <c r="I39" s="43"/>
      <c r="J39" s="43"/>
      <c r="K39" s="43"/>
      <c r="L39" s="43"/>
      <c r="M39" s="43"/>
      <c r="N39" s="4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5"/>
      <c r="AM39" s="197">
        <f>IF(AQ39=1,SUM(H39:I39,L39:O39,R39:U39,X39:AA39,AD39:AG39,AI39:AK39),
IF(AQ39=2,SUM(H39:K39,N39:Q39,T39:W39,Z39:AC39,AF39:AI39),
IF(AQ39=3,SUM(J39:M39,P39:S39,V39:Y39,AB39:AE39,AH39:AK39),SUM(Таблица1[[#This Row],[1]:[31]])-Таблица1[[#This Row],[Столбец1]])))</f>
        <v>0</v>
      </c>
      <c r="AN39" s="269">
        <f t="array" ref="AN39">IF(AQ39=1,SUM(J39:K39,P39:Q39,V39:W39,AB39:AC39,AH39:AI39),
IF(AQ39=2,SUM(L39:M39,R39:S39,X39:Y39,AD39:AE39),
IF(AQ39=3,SUM(H39:I39,N39:O39,T39:U39,Z39:AA39,AF39:AG39),
SUM(IFERROR(WEEKDAY($H$2:$AL$2,2)&gt;5,)*H39:AL39))))</f>
        <v>0</v>
      </c>
      <c r="AO39" s="271" t="b">
        <f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696" t="b">
        <f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678" t="str">
        <f>IFERROR(INDEX(база!T:T, MATCH(F39,база!Q:Q,0)),"")</f>
        <v/>
      </c>
      <c r="AR39" s="193">
        <f>IFERROR(INDEX(база!D:D, MATCH(F39,база!B:B,0)),"")</f>
        <v>0</v>
      </c>
    </row>
    <row r="40" spans="1:44" ht="15">
      <c r="A40" s="59"/>
      <c r="B40" s="215"/>
      <c r="C40" s="54"/>
      <c r="D40" s="55"/>
      <c r="E40" s="196"/>
      <c r="F40" s="651"/>
      <c r="G40" s="42"/>
      <c r="H40" s="198"/>
      <c r="I40" s="43"/>
      <c r="J40" s="43"/>
      <c r="K40" s="43"/>
      <c r="L40" s="43"/>
      <c r="M40" s="43"/>
      <c r="N40" s="44"/>
      <c r="O40" s="43"/>
      <c r="P40" s="44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5"/>
      <c r="AM40" s="197">
        <f>IF(AQ40=1,SUM(H40:I40,L40:O40,R40:U40,X40:AA40,AD40:AG40,AI40:AK40),
IF(AQ40=2,SUM(H40:K40,N40:Q40,T40:W40,Z40:AC40,AF40:AI40),
IF(AQ40=3,SUM(J40:M40,P40:S40,V40:Y40,AB40:AE40,AH40:AK40),SUM(Таблица1[[#This Row],[1]:[31]])-Таблица1[[#This Row],[Столбец1]])))</f>
        <v>0</v>
      </c>
      <c r="AN40" s="269">
        <f t="array" ref="AN40">IF(AQ40=1,SUM(J40:K40,P40:Q40,V40:W40,AB40:AC40,AH40:AI40),
IF(AQ40=2,SUM(L40:M40,R40:S40,X40:Y40,AD40:AE40),
IF(AQ40=3,SUM(H40:I40,N40:O40,T40:U40,Z40:AA40,AF40:AG40),
SUM(IFERROR(WEEKDAY($H$2:$AL$2,2)&gt;5,)*H40:AL40))))</f>
        <v>0</v>
      </c>
      <c r="AO40" s="271" t="b">
        <f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696" t="b">
        <f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678" t="str">
        <f>IFERROR(INDEX(база!T:T, MATCH(F40,база!Q:Q,0)),"")</f>
        <v/>
      </c>
      <c r="AR40" s="193">
        <f>IFERROR(INDEX(база!D:D, MATCH(F40,база!B:B,0)),"")</f>
        <v>0</v>
      </c>
    </row>
    <row r="41" spans="1:44" ht="15">
      <c r="A41" s="59"/>
      <c r="B41" s="215"/>
      <c r="C41" s="54"/>
      <c r="D41" s="55"/>
      <c r="E41" s="196"/>
      <c r="F41" s="651"/>
      <c r="G41" s="42"/>
      <c r="H41" s="198"/>
      <c r="I41" s="198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197">
        <f>IF(AQ41=1,SUM(H41:I41,L41:O41,R41:U41,X41:AA41,AD41:AG41,AI41:AK41),
IF(AQ41=2,SUM(H41:K41,N41:Q41,T41:W41,Z41:AC41,AF41:AI41),
IF(AQ41=3,SUM(J41:M41,P41:S41,V41:Y41,AB41:AE41,AH41:AK41),SUM(Таблица1[[#This Row],[1]:[31]])-Таблица1[[#This Row],[Столбец1]])))</f>
        <v>0</v>
      </c>
      <c r="AN41" s="269">
        <f t="array" ref="AN41">IF(AQ41=1,SUM(J41:K41,P41:Q41,V41:W41,AB41:AC41,AH41:AI41),
IF(AQ41=2,SUM(L41:M41,R41:S41,X41:Y41,AD41:AE41),
IF(AQ41=3,SUM(H41:I41,N41:O41,T41:U41,Z41:AA41,AF41:AG41),
SUM(IFERROR(WEEKDAY($H$2:$AL$2,2)&gt;5,)*H41:AL41))))</f>
        <v>0</v>
      </c>
      <c r="AO41" s="271" t="b">
        <f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696" t="b">
        <f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678" t="str">
        <f>IFERROR(INDEX(база!T:T, MATCH(F41,база!Q:Q,0)),"")</f>
        <v/>
      </c>
      <c r="AR41" s="193">
        <f>IFERROR(INDEX(база!D:D, MATCH(F41,база!B:B,0)),"")</f>
        <v>0</v>
      </c>
    </row>
    <row r="42" spans="1:44" ht="15">
      <c r="A42" s="59"/>
      <c r="B42" s="215"/>
      <c r="C42" s="54"/>
      <c r="D42" s="55"/>
      <c r="E42" s="196"/>
      <c r="F42" s="651"/>
      <c r="G42" s="42"/>
      <c r="H42" s="198"/>
      <c r="I42" s="43"/>
      <c r="J42" s="43"/>
      <c r="K42" s="43"/>
      <c r="L42" s="43"/>
      <c r="M42" s="43"/>
      <c r="N42" s="44"/>
      <c r="O42" s="44"/>
      <c r="P42" s="44"/>
      <c r="Q42" s="44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5"/>
      <c r="AM42" s="197">
        <f>IF(AQ42=1,SUM(H42:I42,L42:O42,R42:U42,X42:AA42,AD42:AG42,AI42:AK42),
IF(AQ42=2,SUM(H42:K42,N42:Q42,T42:W42,Z42:AC42,AF42:AI42),
IF(AQ42=3,SUM(J42:M42,P42:S42,V42:Y42,AB42:AE42,AH42:AK42),SUM(Таблица1[[#This Row],[1]:[31]])-Таблица1[[#This Row],[Столбец1]])))</f>
        <v>0</v>
      </c>
      <c r="AN42" s="269">
        <f t="array" ref="AN42">IF(AQ42=1,SUM(J42:K42,P42:Q42,V42:W42,AB42:AC42,AH42:AI42),
IF(AQ42=2,SUM(L42:M42,R42:S42,X42:Y42,AD42:AE42),
IF(AQ42=3,SUM(H42:I42,N42:O42,T42:U42,Z42:AA42,AF42:AG42),
SUM(IFERROR(WEEKDAY($H$2:$AL$2,2)&gt;5,)*H42:AL42))))</f>
        <v>0</v>
      </c>
      <c r="AO42" s="271" t="b">
        <f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696" t="b">
        <f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678" t="str">
        <f>IFERROR(INDEX(база!T:T, MATCH(F42,база!Q:Q,0)),"")</f>
        <v/>
      </c>
      <c r="AR42" s="193">
        <f>IFERROR(INDEX(база!D:D, MATCH(F42,база!B:B,0)),"")</f>
        <v>0</v>
      </c>
    </row>
    <row r="43" spans="1:44" ht="15">
      <c r="A43" s="59"/>
      <c r="B43" s="215"/>
      <c r="C43" s="54"/>
      <c r="D43" s="55"/>
      <c r="E43" s="196"/>
      <c r="F43" s="651"/>
      <c r="G43" s="42"/>
      <c r="H43" s="198"/>
      <c r="I43" s="43"/>
      <c r="J43" s="43"/>
      <c r="K43" s="43"/>
      <c r="L43" s="43"/>
      <c r="M43" s="43"/>
      <c r="N43" s="4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5"/>
      <c r="AM43" s="197">
        <f>IF(AQ43=1,SUM(H43:I43,L43:O43,R43:U43,X43:AA43,AD43:AG43,AI43:AK43),
IF(AQ43=2,SUM(H43:K43,N43:Q43,T43:W43,Z43:AC43,AF43:AI43),
IF(AQ43=3,SUM(J43:M43,P43:S43,V43:Y43,AB43:AE43,AH43:AK43),SUM(Таблица1[[#This Row],[1]:[31]])-Таблица1[[#This Row],[Столбец1]])))</f>
        <v>0</v>
      </c>
      <c r="AN43" s="269">
        <f t="array" ref="AN43">IF(AQ43=1,SUM(J43:K43,P43:Q43,V43:W43,AB43:AC43,AH43:AI43),
IF(AQ43=2,SUM(L43:M43,R43:S43,X43:Y43,AD43:AE43),
IF(AQ43=3,SUM(H43:I43,N43:O43,T43:U43,Z43:AA43,AF43:AG43),
SUM(IFERROR(WEEKDAY($H$2:$AL$2,2)&gt;5,)*H43:AL43))))</f>
        <v>0</v>
      </c>
      <c r="AO43" s="271" t="b">
        <f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696" t="b">
        <f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678" t="str">
        <f>IFERROR(INDEX(база!T:T, MATCH(F43,база!Q:Q,0)),"")</f>
        <v/>
      </c>
      <c r="AR43" s="193">
        <f>IFERROR(INDEX(база!D:D, MATCH(F43,база!B:B,0)),"")</f>
        <v>0</v>
      </c>
    </row>
    <row r="44" spans="1:44" ht="15">
      <c r="A44" s="59"/>
      <c r="B44" s="215"/>
      <c r="C44" s="54"/>
      <c r="D44" s="55"/>
      <c r="E44" s="196"/>
      <c r="F44" s="651"/>
      <c r="G44" s="42"/>
      <c r="H44" s="198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5"/>
      <c r="AM44" s="197">
        <f>IF(AQ44=1,SUM(H44:I44,L44:O44,R44:U44,X44:AA44,AD44:AG44,AI44:AK44),
IF(AQ44=2,SUM(H44:K44,N44:Q44,T44:W44,Z44:AC44,AF44:AI44),
IF(AQ44=3,SUM(J44:M44,P44:S44,V44:Y44,AB44:AE44,AH44:AK44),SUM(Таблица1[[#This Row],[1]:[31]])-Таблица1[[#This Row],[Столбец1]])))</f>
        <v>0</v>
      </c>
      <c r="AN44" s="269">
        <f t="array" ref="AN44">IF(AQ44=1,SUM(J44:K44,P44:Q44,V44:W44,AB44:AC44,AH44:AI44),
IF(AQ44=2,SUM(L44:M44,R44:S44,X44:Y44,AD44:AE44),
IF(AQ44=3,SUM(H44:I44,N44:O44,T44:U44,Z44:AA44,AF44:AG44),
SUM(IFERROR(WEEKDAY($H$2:$AL$2,2)&gt;5,)*H44:AL44))))</f>
        <v>0</v>
      </c>
      <c r="AO44" s="271" t="b">
        <f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696" t="b">
        <f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678" t="str">
        <f>IFERROR(INDEX(база!T:T, MATCH(F44,база!Q:Q,0)),"")</f>
        <v/>
      </c>
      <c r="AR44" s="193">
        <f>IFERROR(INDEX(база!D:D, MATCH(F44,база!B:B,0)),"")</f>
        <v>0</v>
      </c>
    </row>
    <row r="45" spans="1:44" ht="15">
      <c r="A45" s="59"/>
      <c r="B45" s="215"/>
      <c r="C45" s="54"/>
      <c r="D45" s="55"/>
      <c r="E45" s="196"/>
      <c r="F45" s="651"/>
      <c r="G45" s="42"/>
      <c r="H45" s="198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5"/>
      <c r="AM45" s="197">
        <f>IF(AQ45=1,SUM(H45:I45,L45:O45,R45:U45,X45:AA45,AD45:AG45,AI45:AK45),
IF(AQ45=2,SUM(H45:K45,N45:Q45,T45:W45,Z45:AC45,AF45:AI45),
IF(AQ45=3,SUM(J45:M45,P45:S45,V45:Y45,AB45:AE45,AH45:AK45),SUM(Таблица1[[#This Row],[1]:[31]])-Таблица1[[#This Row],[Столбец1]])))</f>
        <v>0</v>
      </c>
      <c r="AN45" s="269">
        <f t="array" ref="AN45">IF(AQ45=1,SUM(J45:K45,P45:Q45,V45:W45,AB45:AC45,AH45:AI45),
IF(AQ45=2,SUM(L45:M45,R45:S45,X45:Y45,AD45:AE45),
IF(AQ45=3,SUM(H45:I45,N45:O45,T45:U45,Z45:AA45,AF45:AG45),
SUM(IFERROR(WEEKDAY($H$2:$AL$2,2)&gt;5,)*H45:AL45))))</f>
        <v>0</v>
      </c>
      <c r="AO45" s="271" t="b">
        <f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696" t="b">
        <f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678" t="str">
        <f>IFERROR(INDEX(база!T:T, MATCH(F45,база!Q:Q,0)),"")</f>
        <v/>
      </c>
      <c r="AR45" s="193">
        <f>IFERROR(INDEX(база!D:D, MATCH(F45,база!B:B,0)),"")</f>
        <v>0</v>
      </c>
    </row>
    <row r="46" spans="1:44" ht="15">
      <c r="A46" s="59"/>
      <c r="B46" s="215"/>
      <c r="C46" s="54"/>
      <c r="D46" s="55"/>
      <c r="E46" s="196"/>
      <c r="F46" s="651"/>
      <c r="G46" s="42"/>
      <c r="H46" s="198"/>
      <c r="I46" s="43"/>
      <c r="J46" s="43"/>
      <c r="K46" s="43"/>
      <c r="L46" s="43"/>
      <c r="M46" s="43"/>
      <c r="N46" s="4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5"/>
      <c r="AM46" s="197">
        <f>IF(AQ46=1,SUM(H46:I46,L46:O46,R46:U46,X46:AA46,AD46:AG46,AI46:AK46),
IF(AQ46=2,SUM(H46:K46,N46:Q46,T46:W46,Z46:AC46,AF46:AI46),
IF(AQ46=3,SUM(J46:M46,P46:S46,V46:Y46,AB46:AE46,AH46:AK46),SUM(Таблица1[[#This Row],[1]:[31]])-Таблица1[[#This Row],[Столбец1]])))</f>
        <v>0</v>
      </c>
      <c r="AN46" s="269">
        <f t="array" ref="AN46">IF(AQ46=1,SUM(J46:K46,P46:Q46,V46:W46,AB46:AC46,AH46:AI46),
IF(AQ46=2,SUM(L46:M46,R46:S46,X46:Y46,AD46:AE46),
IF(AQ46=3,SUM(H46:I46,N46:O46,T46:U46,Z46:AA46,AF46:AG46),
SUM(IFERROR(WEEKDAY($H$2:$AL$2,2)&gt;5,)*H46:AL46))))</f>
        <v>0</v>
      </c>
      <c r="AO46" s="271" t="b">
        <f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696" t="b">
        <f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678" t="str">
        <f>IFERROR(INDEX(база!T:T, MATCH(F46,база!Q:Q,0)),"")</f>
        <v/>
      </c>
      <c r="AR46" s="193">
        <f>IFERROR(INDEX(база!D:D, MATCH(F46,база!B:B,0)),"")</f>
        <v>0</v>
      </c>
    </row>
    <row r="47" spans="1:44" ht="15">
      <c r="A47" s="59"/>
      <c r="B47" s="215"/>
      <c r="C47" s="54"/>
      <c r="D47" s="55"/>
      <c r="E47" s="196"/>
      <c r="F47" s="651"/>
      <c r="G47" s="42"/>
      <c r="H47" s="198"/>
      <c r="I47" s="43"/>
      <c r="J47" s="43"/>
      <c r="K47" s="43"/>
      <c r="L47" s="43"/>
      <c r="M47" s="43"/>
      <c r="N47" s="4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5"/>
      <c r="AM47" s="197">
        <f>IF(AQ47=1,SUM(H47:I47,L47:O47,R47:U47,X47:AA47,AD47:AG47,AI47:AK47),
IF(AQ47=2,SUM(H47:K47,N47:Q47,T47:W47,Z47:AC47,AF47:AI47),
IF(AQ47=3,SUM(J47:M47,P47:S47,V47:Y47,AB47:AE47,AH47:AK47),SUM(Таблица1[[#This Row],[1]:[31]])-Таблица1[[#This Row],[Столбец1]])))</f>
        <v>0</v>
      </c>
      <c r="AN47" s="269">
        <f t="array" ref="AN47">IF(AQ47=1,SUM(J47:K47,P47:Q47,V47:W47,AB47:AC47,AH47:AI47),
IF(AQ47=2,SUM(L47:M47,R47:S47,X47:Y47,AD47:AE47),
IF(AQ47=3,SUM(H47:I47,N47:O47,T47:U47,Z47:AA47,AF47:AG47),
SUM(IFERROR(WEEKDAY($H$2:$AL$2,2)&gt;5,)*H47:AL47))))</f>
        <v>0</v>
      </c>
      <c r="AO47" s="271" t="b">
        <f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696" t="b">
        <f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678" t="str">
        <f>IFERROR(INDEX(база!T:T, MATCH(F47,база!Q:Q,0)),"")</f>
        <v/>
      </c>
      <c r="AR47" s="193">
        <f>IFERROR(INDEX(база!D:D, MATCH(F47,база!B:B,0)),"")</f>
        <v>0</v>
      </c>
    </row>
    <row r="48" spans="1:44" ht="15">
      <c r="A48" s="59"/>
      <c r="B48" s="215"/>
      <c r="C48" s="54"/>
      <c r="D48" s="55"/>
      <c r="E48" s="196"/>
      <c r="F48" s="651"/>
      <c r="G48" s="42"/>
      <c r="H48" s="198"/>
      <c r="I48" s="43"/>
      <c r="J48" s="43"/>
      <c r="K48" s="43"/>
      <c r="L48" s="43"/>
      <c r="M48" s="43"/>
      <c r="N48" s="4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5"/>
      <c r="AM48" s="197">
        <f>IF(AQ48=1,SUM(H48:I48,L48:O48,R48:U48,X48:AA48,AD48:AG48,AI48:AK48),
IF(AQ48=2,SUM(H48:K48,N48:Q48,T48:W48,Z48:AC48,AF48:AI48),
IF(AQ48=3,SUM(J48:M48,P48:S48,V48:Y48,AB48:AE48,AH48:AK48),SUM(Таблица1[[#This Row],[1]:[31]])-Таблица1[[#This Row],[Столбец1]])))</f>
        <v>0</v>
      </c>
      <c r="AN48" s="269">
        <f t="array" ref="AN48">IF(AQ48=1,SUM(J48:K48,P48:Q48,V48:W48,AB48:AC48,AH48:AI48),
IF(AQ48=2,SUM(L48:M48,R48:S48,X48:Y48,AD48:AE48),
IF(AQ48=3,SUM(H48:I48,N48:O48,T48:U48,Z48:AA48,AF48:AG48),
SUM(IFERROR(WEEKDAY($H$2:$AL$2,2)&gt;5,)*H48:AL48))))</f>
        <v>0</v>
      </c>
      <c r="AO48" s="271" t="b">
        <f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696" t="b">
        <f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678" t="str">
        <f>IFERROR(INDEX(база!T:T, MATCH(F48,база!Q:Q,0)),"")</f>
        <v/>
      </c>
      <c r="AR48" s="193">
        <f>IFERROR(INDEX(база!D:D, MATCH(F48,база!B:B,0)),"")</f>
        <v>0</v>
      </c>
    </row>
    <row r="49" spans="1:44" ht="15">
      <c r="A49" s="59"/>
      <c r="B49" s="215"/>
      <c r="C49" s="54"/>
      <c r="D49" s="55"/>
      <c r="E49" s="196"/>
      <c r="F49" s="651"/>
      <c r="G49" s="42"/>
      <c r="H49" s="198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5"/>
      <c r="AM49" s="197">
        <f>IF(AQ49=1,SUM(H49:I49,L49:O49,R49:U49,X49:AA49,AD49:AG49,AI49:AK49),
IF(AQ49=2,SUM(H49:K49,N49:Q49,T49:W49,Z49:AC49,AF49:AI49),
IF(AQ49=3,SUM(J49:M49,P49:S49,V49:Y49,AB49:AE49,AH49:AK49),SUM(Таблица1[[#This Row],[1]:[31]])-Таблица1[[#This Row],[Столбец1]])))</f>
        <v>0</v>
      </c>
      <c r="AN49" s="269">
        <f t="array" ref="AN49">IF(AQ49=1,SUM(J49:K49,P49:Q49,V49:W49,AB49:AC49,AH49:AI49),
IF(AQ49=2,SUM(L49:M49,R49:S49,X49:Y49,AD49:AE49),
IF(AQ49=3,SUM(H49:I49,N49:O49,T49:U49,Z49:AA49,AF49:AG49),
SUM(IFERROR(WEEKDAY($H$2:$AL$2,2)&gt;5,)*H49:AL49))))</f>
        <v>0</v>
      </c>
      <c r="AO49" s="271" t="b">
        <f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696" t="b">
        <f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678" t="str">
        <f>IFERROR(INDEX(база!T:T, MATCH(F49,база!Q:Q,0)),"")</f>
        <v/>
      </c>
      <c r="AR49" s="193">
        <f>IFERROR(INDEX(база!D:D, MATCH(F49,база!B:B,0)),"")</f>
        <v>0</v>
      </c>
    </row>
    <row r="50" spans="1:44" ht="15">
      <c r="A50" s="59"/>
      <c r="B50" s="215"/>
      <c r="C50" s="54"/>
      <c r="D50" s="55"/>
      <c r="E50" s="196"/>
      <c r="F50" s="651"/>
      <c r="G50" s="42"/>
      <c r="H50" s="198"/>
      <c r="I50" s="43"/>
      <c r="J50" s="43"/>
      <c r="K50" s="43"/>
      <c r="L50" s="43"/>
      <c r="M50" s="43"/>
      <c r="N50" s="4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5"/>
      <c r="AM50" s="197">
        <f>IF(AQ50=1,SUM(H50:I50,L50:O50,R50:U50,X50:AA50,AD50:AG50,AI50:AK50),
IF(AQ50=2,SUM(H50:K50,N50:Q50,T50:W50,Z50:AC50,AF50:AI50),
IF(AQ50=3,SUM(J50:M50,P50:S50,V50:Y50,AB50:AE50,AH50:AK50),SUM(Таблица1[[#This Row],[1]:[31]])-Таблица1[[#This Row],[Столбец1]])))</f>
        <v>0</v>
      </c>
      <c r="AN50" s="269">
        <f t="array" ref="AN50">IF(AQ50=1,SUM(J50:K50,P50:Q50,V50:W50,AB50:AC50,AH50:AI50),
IF(AQ50=2,SUM(L50:M50,R50:S50,X50:Y50,AD50:AE50),
IF(AQ50=3,SUM(H50:I50,N50:O50,T50:U50,Z50:AA50,AF50:AG50),
SUM(IFERROR(WEEKDAY($H$2:$AL$2,2)&gt;5,)*H50:AL50))))</f>
        <v>0</v>
      </c>
      <c r="AO50" s="271" t="b">
        <f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696" t="b">
        <f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678" t="str">
        <f>IFERROR(INDEX(база!T:T, MATCH(F50,база!Q:Q,0)),"")</f>
        <v/>
      </c>
      <c r="AR50" s="193">
        <f>IFERROR(INDEX(база!D:D, MATCH(F50,база!B:B,0)),"")</f>
        <v>0</v>
      </c>
    </row>
    <row r="51" spans="1:44" ht="15">
      <c r="A51" s="59"/>
      <c r="B51" s="215"/>
      <c r="C51" s="54"/>
      <c r="D51" s="55"/>
      <c r="E51" s="196"/>
      <c r="F51" s="651"/>
      <c r="G51" s="42"/>
      <c r="H51" s="198"/>
      <c r="I51" s="43"/>
      <c r="J51" s="43"/>
      <c r="K51" s="43"/>
      <c r="L51" s="43"/>
      <c r="M51" s="43"/>
      <c r="N51" s="4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5"/>
      <c r="AM51" s="197">
        <f>IF(AQ51=1,SUM(H51:I51,L51:O51,R51:U51,X51:AA51,AD51:AG51,AI51:AK51),
IF(AQ51=2,SUM(H51:K51,N51:Q51,T51:W51,Z51:AC51,AF51:AI51),
IF(AQ51=3,SUM(J51:M51,P51:S51,V51:Y51,AB51:AE51,AH51:AK51),SUM(Таблица1[[#This Row],[1]:[31]])-Таблица1[[#This Row],[Столбец1]])))</f>
        <v>0</v>
      </c>
      <c r="AN51" s="269">
        <f t="array" ref="AN51">IF(AQ51=1,SUM(J51:K51,P51:Q51,V51:W51,AB51:AC51,AH51:AI51),
IF(AQ51=2,SUM(L51:M51,R51:S51,X51:Y51,AD51:AE51),
IF(AQ51=3,SUM(H51:I51,N51:O51,T51:U51,Z51:AA51,AF51:AG51),
SUM(IFERROR(WEEKDAY($H$2:$AL$2,2)&gt;5,)*H51:AL51))))</f>
        <v>0</v>
      </c>
      <c r="AO51" s="271" t="b">
        <f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696" t="b">
        <f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678" t="str">
        <f>IFERROR(INDEX(база!T:T, MATCH(F51,база!Q:Q,0)),"")</f>
        <v/>
      </c>
      <c r="AR51" s="193">
        <f>IFERROR(INDEX(база!D:D, MATCH(F51,база!B:B,0)),"")</f>
        <v>0</v>
      </c>
    </row>
    <row r="52" spans="1:44" ht="15">
      <c r="A52" s="59"/>
      <c r="B52" s="215"/>
      <c r="C52" s="54"/>
      <c r="D52" s="55"/>
      <c r="E52" s="196"/>
      <c r="F52" s="651"/>
      <c r="G52" s="42"/>
      <c r="H52" s="198"/>
      <c r="I52" s="198"/>
      <c r="J52" s="198"/>
      <c r="K52" s="43"/>
      <c r="L52" s="43"/>
      <c r="M52" s="43"/>
      <c r="N52" s="4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5"/>
      <c r="AM52" s="197">
        <f>IF(AQ52=1,SUM(H52:I52,L52:O52,R52:U52,X52:AA52,AD52:AG52,AI52:AK52),
IF(AQ52=2,SUM(H52:K52,N52:Q52,T52:W52,Z52:AC52,AF52:AI52),
IF(AQ52=3,SUM(J52:M52,P52:S52,V52:Y52,AB52:AE52,AH52:AK52),SUM(Таблица1[[#This Row],[1]:[31]])-Таблица1[[#This Row],[Столбец1]])))</f>
        <v>0</v>
      </c>
      <c r="AN52" s="269">
        <f t="array" ref="AN52">IF(AQ52=1,SUM(J52:K52,P52:Q52,V52:W52,AB52:AC52,AH52:AI52),
IF(AQ52=2,SUM(L52:M52,R52:S52,X52:Y52,AD52:AE52),
IF(AQ52=3,SUM(H52:I52,N52:O52,T52:U52,Z52:AA52,AF52:AG52),
SUM(IFERROR(WEEKDAY($H$2:$AL$2,2)&gt;5,)*H52:AL52))))</f>
        <v>0</v>
      </c>
      <c r="AO52" s="271" t="b">
        <f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696" t="b">
        <f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678" t="str">
        <f>IFERROR(INDEX(база!T:T, MATCH(F52,база!Q:Q,0)),"")</f>
        <v/>
      </c>
      <c r="AR52" s="193">
        <f>IFERROR(INDEX(база!D:D, MATCH(F52,база!B:B,0)),"")</f>
        <v>0</v>
      </c>
    </row>
    <row r="53" spans="1:44" ht="15">
      <c r="A53" s="59"/>
      <c r="B53" s="215"/>
      <c r="C53" s="54"/>
      <c r="D53" s="55"/>
      <c r="E53" s="196"/>
      <c r="F53" s="651"/>
      <c r="G53" s="42"/>
      <c r="H53" s="198"/>
      <c r="I53" s="43"/>
      <c r="J53" s="43"/>
      <c r="K53" s="43"/>
      <c r="L53" s="43"/>
      <c r="M53" s="43"/>
      <c r="N53" s="4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5"/>
      <c r="AM53" s="197">
        <f>IF(AQ53=1,SUM(H53:I53,L53:O53,R53:U53,X53:AA53,AD53:AG53,AI53:AK53),
IF(AQ53=2,SUM(H53:K53,N53:Q53,T53:W53,Z53:AC53,AF53:AI53),
IF(AQ53=3,SUM(J53:M53,P53:S53,V53:Y53,AB53:AE53,AH53:AK53),SUM(Таблица1[[#This Row],[1]:[31]])-Таблица1[[#This Row],[Столбец1]])))</f>
        <v>0</v>
      </c>
      <c r="AN53" s="269">
        <f t="array" ref="AN53">IF(AQ53=1,SUM(J53:K53,P53:Q53,V53:W53,AB53:AC53,AH53:AI53),
IF(AQ53=2,SUM(L53:M53,R53:S53,X53:Y53,AD53:AE53),
IF(AQ53=3,SUM(H53:I53,N53:O53,T53:U53,Z53:AA53,AF53:AG53),
SUM(IFERROR(WEEKDAY($H$2:$AL$2,2)&gt;5,)*H53:AL53))))</f>
        <v>0</v>
      </c>
      <c r="AO53" s="271" t="b">
        <f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696" t="b">
        <f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678" t="str">
        <f>IFERROR(INDEX(база!T:T, MATCH(F53,база!Q:Q,0)),"")</f>
        <v/>
      </c>
      <c r="AR53" s="193">
        <f>IFERROR(INDEX(база!D:D, MATCH(F53,база!B:B,0)),"")</f>
        <v>0</v>
      </c>
    </row>
    <row r="54" spans="1:44" ht="15">
      <c r="A54" s="59"/>
      <c r="B54" s="215"/>
      <c r="C54" s="54"/>
      <c r="D54" s="55"/>
      <c r="E54" s="196"/>
      <c r="F54" s="651"/>
      <c r="G54" s="42"/>
      <c r="H54" s="198"/>
      <c r="I54" s="43"/>
      <c r="J54" s="43"/>
      <c r="K54" s="43"/>
      <c r="L54" s="43"/>
      <c r="M54" s="43"/>
      <c r="N54" s="4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5"/>
      <c r="AM54" s="197">
        <f>IF(AQ54=1,SUM(H54:I54,L54:O54,R54:U54,X54:AA54,AD54:AG54,AI54:AK54),
IF(AQ54=2,SUM(H54:K54,N54:Q54,T54:W54,Z54:AC54,AF54:AI54),
IF(AQ54=3,SUM(J54:M54,P54:S54,V54:Y54,AB54:AE54,AH54:AK54),SUM(Таблица1[[#This Row],[1]:[31]])-Таблица1[[#This Row],[Столбец1]])))</f>
        <v>0</v>
      </c>
      <c r="AN54" s="269">
        <f t="array" ref="AN54">IF(AQ54=1,SUM(J54:K54,P54:Q54,V54:W54,AB54:AC54,AH54:AI54),
IF(AQ54=2,SUM(L54:M54,R54:S54,X54:Y54,AD54:AE54),
IF(AQ54=3,SUM(H54:I54,N54:O54,T54:U54,Z54:AA54,AF54:AG54),
SUM(IFERROR(WEEKDAY($H$2:$AL$2,2)&gt;5,)*H54:AL54))))</f>
        <v>0</v>
      </c>
      <c r="AO54" s="271" t="b">
        <f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696" t="b">
        <f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678" t="str">
        <f>IFERROR(INDEX(база!T:T, MATCH(F54,база!Q:Q,0)),"")</f>
        <v/>
      </c>
      <c r="AR54" s="193">
        <f>IFERROR(INDEX(база!D:D, MATCH(F54,база!B:B,0)),"")</f>
        <v>0</v>
      </c>
    </row>
    <row r="55" spans="1:44" ht="15">
      <c r="A55" s="59"/>
      <c r="B55" s="215"/>
      <c r="C55" s="54"/>
      <c r="D55" s="55"/>
      <c r="E55" s="196"/>
      <c r="F55" s="651"/>
      <c r="G55" s="42"/>
      <c r="H55" s="198"/>
      <c r="I55" s="198"/>
      <c r="J55" s="198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5"/>
      <c r="AM55" s="197">
        <f>IF(AQ55=1,SUM(H55:I55,L55:O55,R55:U55,X55:AA55,AD55:AG55,AI55:AK55),
IF(AQ55=2,SUM(H55:K55,N55:Q55,T55:W55,Z55:AC55,AF55:AI55),
IF(AQ55=3,SUM(J55:M55,P55:S55,V55:Y55,AB55:AE55,AH55:AK55),SUM(Таблица1[[#This Row],[1]:[31]])-Таблица1[[#This Row],[Столбец1]])))</f>
        <v>0</v>
      </c>
      <c r="AN55" s="269">
        <f t="array" ref="AN55">IF(AQ55=1,SUM(J55:K55,P55:Q55,V55:W55,AB55:AC55,AH55:AI55),
IF(AQ55=2,SUM(L55:M55,R55:S55,X55:Y55,AD55:AE55),
IF(AQ55=3,SUM(H55:I55,N55:O55,T55:U55,Z55:AA55,AF55:AG55),
SUM(IFERROR(WEEKDAY($H$2:$AL$2,2)&gt;5,)*H55:AL55))))</f>
        <v>0</v>
      </c>
      <c r="AO55" s="271" t="b">
        <f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696" t="b">
        <f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678" t="str">
        <f>IFERROR(INDEX(база!T:T, MATCH(F55,база!Q:Q,0)),"")</f>
        <v/>
      </c>
      <c r="AR55" s="193">
        <f>IFERROR(INDEX(база!D:D, MATCH(F55,база!B:B,0)),"")</f>
        <v>0</v>
      </c>
    </row>
    <row r="56" spans="1:44" ht="15">
      <c r="A56" s="59"/>
      <c r="B56" s="215"/>
      <c r="C56" s="54"/>
      <c r="D56" s="55"/>
      <c r="E56" s="196"/>
      <c r="F56" s="651"/>
      <c r="G56" s="42"/>
      <c r="H56" s="198"/>
      <c r="I56" s="198"/>
      <c r="J56" s="198"/>
      <c r="K56" s="43"/>
      <c r="L56" s="43"/>
      <c r="M56" s="43"/>
      <c r="N56" s="44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5"/>
      <c r="AM56" s="197">
        <f>IF(AQ56=1,SUM(H56:I56,L56:O56,R56:U56,X56:AA56,AD56:AG56,AI56:AK56),
IF(AQ56=2,SUM(H56:K56,N56:Q56,T56:W56,Z56:AC56,AF56:AI56),
IF(AQ56=3,SUM(J56:M56,P56:S56,V56:Y56,AB56:AE56,AH56:AK56),SUM(Таблица1[[#This Row],[1]:[31]])-Таблица1[[#This Row],[Столбец1]])))</f>
        <v>0</v>
      </c>
      <c r="AN56" s="269">
        <f t="array" ref="AN56">IF(AQ56=1,SUM(J56:K56,P56:Q56,V56:W56,AB56:AC56,AH56:AI56),
IF(AQ56=2,SUM(L56:M56,R56:S56,X56:Y56,AD56:AE56),
IF(AQ56=3,SUM(H56:I56,N56:O56,T56:U56,Z56:AA56,AF56:AG56),
SUM(IFERROR(WEEKDAY($H$2:$AL$2,2)&gt;5,)*H56:AL56))))</f>
        <v>0</v>
      </c>
      <c r="AO56" s="271" t="b">
        <f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696" t="b">
        <f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678" t="str">
        <f>IFERROR(INDEX(база!T:T, MATCH(F56,база!Q:Q,0)),"")</f>
        <v/>
      </c>
      <c r="AR56" s="193">
        <f>IFERROR(INDEX(база!D:D, MATCH(F56,база!B:B,0)),"")</f>
        <v>0</v>
      </c>
    </row>
    <row r="57" spans="1:44" ht="15">
      <c r="A57" s="59"/>
      <c r="B57" s="215"/>
      <c r="C57" s="54"/>
      <c r="D57" s="55"/>
      <c r="E57" s="196"/>
      <c r="F57" s="651"/>
      <c r="G57" s="42"/>
      <c r="H57" s="198"/>
      <c r="I57" s="43"/>
      <c r="J57" s="43"/>
      <c r="K57" s="43"/>
      <c r="L57" s="43"/>
      <c r="M57" s="43"/>
      <c r="N57" s="44"/>
      <c r="O57" s="44"/>
      <c r="P57" s="44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5"/>
      <c r="AM57" s="197">
        <f>IF(AQ57=1,SUM(H57:I57,L57:O57,R57:U57,X57:AA57,AD57:AG57,AI57:AK57),
IF(AQ57=2,SUM(H57:K57,N57:Q57,T57:W57,Z57:AC57,AF57:AI57),
IF(AQ57=3,SUM(J57:M57,P57:S57,V57:Y57,AB57:AE57,AH57:AK57),SUM(Таблица1[[#This Row],[1]:[31]])-Таблица1[[#This Row],[Столбец1]])))</f>
        <v>0</v>
      </c>
      <c r="AN57" s="269">
        <f t="array" ref="AN57">IF(AQ57=1,SUM(J57:K57,P57:Q57,V57:W57,AB57:AC57,AH57:AI57),
IF(AQ57=2,SUM(L57:M57,R57:S57,X57:Y57,AD57:AE57),
IF(AQ57=3,SUM(H57:I57,N57:O57,T57:U57,Z57:AA57,AF57:AG57),
SUM(IFERROR(WEEKDAY($H$2:$AL$2,2)&gt;5,)*H57:AL57))))</f>
        <v>0</v>
      </c>
      <c r="AO57" s="271" t="b">
        <f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696" t="b">
        <f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678" t="str">
        <f>IFERROR(INDEX(база!T:T, MATCH(F57,база!Q:Q,0)),"")</f>
        <v/>
      </c>
      <c r="AR57" s="193">
        <f>IFERROR(INDEX(база!D:D, MATCH(F57,база!B:B,0)),"")</f>
        <v>0</v>
      </c>
    </row>
    <row r="58" spans="1:44" ht="15">
      <c r="A58" s="59"/>
      <c r="B58" s="215"/>
      <c r="C58" s="54"/>
      <c r="D58" s="55"/>
      <c r="E58" s="196"/>
      <c r="F58" s="651"/>
      <c r="G58" s="42"/>
      <c r="H58" s="198"/>
      <c r="I58" s="43"/>
      <c r="J58" s="43"/>
      <c r="K58" s="43"/>
      <c r="L58" s="43"/>
      <c r="M58" s="43"/>
      <c r="N58" s="44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5"/>
      <c r="AM58" s="197">
        <f>IF(AQ58=1,SUM(H58:I58,L58:O58,R58:U58,X58:AA58,AD58:AG58,AI58:AK58),
IF(AQ58=2,SUM(H58:K58,N58:Q58,T58:W58,Z58:AC58,AF58:AI58),
IF(AQ58=3,SUM(J58:M58,P58:S58,V58:Y58,AB58:AE58,AH58:AK58),SUM(Таблица1[[#This Row],[1]:[31]])-Таблица1[[#This Row],[Столбец1]])))</f>
        <v>0</v>
      </c>
      <c r="AN58" s="269">
        <f t="array" ref="AN58">IF(AQ58=1,SUM(J58:K58,P58:Q58,V58:W58,AB58:AC58,AH58:AI58),
IF(AQ58=2,SUM(L58:M58,R58:S58,X58:Y58,AD58:AE58),
IF(AQ58=3,SUM(H58:I58,N58:O58,T58:U58,Z58:AA58,AF58:AG58),
SUM(IFERROR(WEEKDAY($H$2:$AL$2,2)&gt;5,)*H58:AL58))))</f>
        <v>0</v>
      </c>
      <c r="AO58" s="271" t="b">
        <f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696" t="b">
        <f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678" t="str">
        <f>IFERROR(INDEX(база!T:T, MATCH(F58,база!Q:Q,0)),"")</f>
        <v/>
      </c>
      <c r="AR58" s="193">
        <f>IFERROR(INDEX(база!D:D, MATCH(F58,база!B:B,0)),"")</f>
        <v>0</v>
      </c>
    </row>
    <row r="59" spans="1:44" ht="15">
      <c r="A59" s="59"/>
      <c r="B59" s="215"/>
      <c r="C59" s="54"/>
      <c r="D59" s="55"/>
      <c r="E59" s="196"/>
      <c r="F59" s="651"/>
      <c r="G59" s="42"/>
      <c r="H59" s="198"/>
      <c r="I59" s="43"/>
      <c r="J59" s="43"/>
      <c r="K59" s="43"/>
      <c r="L59" s="43"/>
      <c r="M59" s="43"/>
      <c r="N59" s="44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5"/>
      <c r="AM59" s="197">
        <f>IF(AQ59=1,SUM(H59:I59,L59:O59,R59:U59,X59:AA59,AD59:AG59,AI59:AK59),
IF(AQ59=2,SUM(H59:K59,N59:Q59,T59:W59,Z59:AC59,AF59:AI59),
IF(AQ59=3,SUM(J59:M59,P59:S59,V59:Y59,AB59:AE59,AH59:AK59),SUM(Таблица1[[#This Row],[1]:[31]])-Таблица1[[#This Row],[Столбец1]])))</f>
        <v>0</v>
      </c>
      <c r="AN59" s="269">
        <f t="array" ref="AN59">IF(AQ59=1,SUM(J59:K59,P59:Q59,V59:W59,AB59:AC59,AH59:AI59),
IF(AQ59=2,SUM(L59:M59,R59:S59,X59:Y59,AD59:AE59),
IF(AQ59=3,SUM(H59:I59,N59:O59,T59:U59,Z59:AA59,AF59:AG59),
SUM(IFERROR(WEEKDAY($H$2:$AL$2,2)&gt;5,)*H59:AL59))))</f>
        <v>0</v>
      </c>
      <c r="AO59" s="271" t="b">
        <f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696" t="b">
        <f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678" t="str">
        <f>IFERROR(INDEX(база!T:T, MATCH(F59,база!Q:Q,0)),"")</f>
        <v/>
      </c>
      <c r="AR59" s="193">
        <f>IFERROR(INDEX(база!D:D, MATCH(F59,база!B:B,0)),"")</f>
        <v>0</v>
      </c>
    </row>
    <row r="60" spans="1:44" ht="15">
      <c r="A60" s="59"/>
      <c r="B60" s="215"/>
      <c r="C60" s="54"/>
      <c r="D60" s="55"/>
      <c r="E60" s="196"/>
      <c r="F60" s="651"/>
      <c r="G60" s="42"/>
      <c r="H60" s="198"/>
      <c r="I60" s="198"/>
      <c r="J60" s="198"/>
      <c r="K60" s="43"/>
      <c r="L60" s="43"/>
      <c r="M60" s="43"/>
      <c r="N60" s="4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5"/>
      <c r="AM60" s="197">
        <f>IF(AQ60=1,SUM(H60:I60,L60:O60,R60:U60,X60:AA60,AD60:AG60,AI60:AK60),
IF(AQ60=2,SUM(H60:K60,N60:Q60,T60:W60,Z60:AC60,AF60:AI60),
IF(AQ60=3,SUM(J60:M60,P60:S60,V60:Y60,AB60:AE60,AH60:AK60),SUM(Таблица1[[#This Row],[1]:[31]])-Таблица1[[#This Row],[Столбец1]])))</f>
        <v>0</v>
      </c>
      <c r="AN60" s="269">
        <f t="array" ref="AN60">IF(AQ60=1,SUM(J60:K60,P60:Q60,V60:W60,AB60:AC60,AH60:AI60),
IF(AQ60=2,SUM(L60:M60,R60:S60,X60:Y60,AD60:AE60),
IF(AQ60=3,SUM(H60:I60,N60:O60,T60:U60,Z60:AA60,AF60:AG60),
SUM(IFERROR(WEEKDAY($H$2:$AL$2,2)&gt;5,)*H60:AL60))))</f>
        <v>0</v>
      </c>
      <c r="AO60" s="271" t="b">
        <f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696" t="b">
        <f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678" t="str">
        <f>IFERROR(INDEX(база!T:T, MATCH(F60,база!Q:Q,0)),"")</f>
        <v/>
      </c>
      <c r="AR60" s="193">
        <f>IFERROR(INDEX(база!D:D, MATCH(F60,база!B:B,0)),"")</f>
        <v>0</v>
      </c>
    </row>
    <row r="61" spans="1:44" ht="15">
      <c r="A61" s="59"/>
      <c r="B61" s="215"/>
      <c r="C61" s="54"/>
      <c r="D61" s="55"/>
      <c r="E61" s="196"/>
      <c r="F61" s="651"/>
      <c r="G61" s="42"/>
      <c r="H61" s="198"/>
      <c r="I61" s="43"/>
      <c r="J61" s="43"/>
      <c r="K61" s="43"/>
      <c r="L61" s="43"/>
      <c r="M61" s="43"/>
      <c r="N61" s="44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5"/>
      <c r="AM61" s="197">
        <f>IF(AQ61=1,SUM(H61:I61,L61:O61,R61:U61,X61:AA61,AD61:AG61,AI61:AK61),
IF(AQ61=2,SUM(H61:K61,N61:Q61,T61:W61,Z61:AC61,AF61:AI61),
IF(AQ61=3,SUM(J61:M61,P61:S61,V61:Y61,AB61:AE61,AH61:AK61),SUM(Таблица1[[#This Row],[1]:[31]])-Таблица1[[#This Row],[Столбец1]])))</f>
        <v>0</v>
      </c>
      <c r="AN61" s="269">
        <f t="array" ref="AN61">IF(AQ61=1,SUM(J61:K61,P61:Q61,V61:W61,AB61:AC61,AH61:AI61),
IF(AQ61=2,SUM(L61:M61,R61:S61,X61:Y61,AD61:AE61),
IF(AQ61=3,SUM(H61:I61,N61:O61,T61:U61,Z61:AA61,AF61:AG61),
SUM(IFERROR(WEEKDAY($H$2:$AL$2,2)&gt;5,)*H61:AL61))))</f>
        <v>0</v>
      </c>
      <c r="AO61" s="271" t="b">
        <f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696" t="b">
        <f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678" t="str">
        <f>IFERROR(INDEX(база!T:T, MATCH(F61,база!Q:Q,0)),"")</f>
        <v/>
      </c>
      <c r="AR61" s="193">
        <f>IFERROR(INDEX(база!D:D, MATCH(F61,база!B:B,0)),"")</f>
        <v>0</v>
      </c>
    </row>
    <row r="62" spans="1:44" ht="15">
      <c r="A62" s="59"/>
      <c r="B62" s="215"/>
      <c r="C62" s="54"/>
      <c r="D62" s="55"/>
      <c r="E62" s="196"/>
      <c r="F62" s="651"/>
      <c r="G62" s="42"/>
      <c r="H62" s="198"/>
      <c r="I62" s="43"/>
      <c r="J62" s="43"/>
      <c r="K62" s="43"/>
      <c r="L62" s="43"/>
      <c r="M62" s="43"/>
      <c r="N62" s="44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5"/>
      <c r="AM62" s="197">
        <f>IF(AQ62=1,SUM(H62:I62,L62:O62,R62:U62,X62:AA62,AD62:AG62,AI62:AK62),
IF(AQ62=2,SUM(H62:K62,N62:Q62,T62:W62,Z62:AC62,AF62:AI62),
IF(AQ62=3,SUM(J62:M62,P62:S62,V62:Y62,AB62:AE62,AH62:AK62),SUM(Таблица1[[#This Row],[1]:[31]])-Таблица1[[#This Row],[Столбец1]])))</f>
        <v>0</v>
      </c>
      <c r="AN62" s="269">
        <f t="array" ref="AN62">IF(AQ62=1,SUM(J62:K62,P62:Q62,V62:W62,AB62:AC62,AH62:AI62),
IF(AQ62=2,SUM(L62:M62,R62:S62,X62:Y62,AD62:AE62),
IF(AQ62=3,SUM(H62:I62,N62:O62,T62:U62,Z62:AA62,AF62:AG62),
SUM(IFERROR(WEEKDAY($H$2:$AL$2,2)&gt;5,)*H62:AL62))))</f>
        <v>0</v>
      </c>
      <c r="AO62" s="271" t="b">
        <f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696" t="b">
        <f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678" t="str">
        <f>IFERROR(INDEX(база!T:T, MATCH(F62,база!Q:Q,0)),"")</f>
        <v/>
      </c>
      <c r="AR62" s="193">
        <f>IFERROR(INDEX(база!D:D, MATCH(F62,база!B:B,0)),"")</f>
        <v>0</v>
      </c>
    </row>
    <row r="63" spans="1:44" ht="15">
      <c r="A63" s="59"/>
      <c r="B63" s="215"/>
      <c r="C63" s="54"/>
      <c r="D63" s="55"/>
      <c r="E63" s="196"/>
      <c r="F63" s="651"/>
      <c r="G63" s="42"/>
      <c r="H63" s="198"/>
      <c r="I63" s="43"/>
      <c r="J63" s="43"/>
      <c r="K63" s="43"/>
      <c r="L63" s="43"/>
      <c r="M63" s="43"/>
      <c r="N63" s="44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5"/>
      <c r="AM63" s="197">
        <f>IF(AQ63=1,SUM(H63:I63,L63:O63,R63:U63,X63:AA63,AD63:AG63,AI63:AK63),
IF(AQ63=2,SUM(H63:K63,N63:Q63,T63:W63,Z63:AC63,AF63:AI63),
IF(AQ63=3,SUM(J63:M63,P63:S63,V63:Y63,AB63:AE63,AH63:AK63),SUM(Таблица1[[#This Row],[1]:[31]])-Таблица1[[#This Row],[Столбец1]])))</f>
        <v>0</v>
      </c>
      <c r="AN63" s="269">
        <f t="array" ref="AN63">IF(AQ63=1,SUM(J63:K63,P63:Q63,V63:W63,AB63:AC63,AH63:AI63),
IF(AQ63=2,SUM(L63:M63,R63:S63,X63:Y63,AD63:AE63),
IF(AQ63=3,SUM(H63:I63,N63:O63,T63:U63,Z63:AA63,AF63:AG63),
SUM(IFERROR(WEEKDAY($H$2:$AL$2,2)&gt;5,)*H63:AL63))))</f>
        <v>0</v>
      </c>
      <c r="AO63" s="271" t="b">
        <f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696" t="b">
        <f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678" t="str">
        <f>IFERROR(INDEX(база!T:T, MATCH(F63,база!Q:Q,0)),"")</f>
        <v/>
      </c>
      <c r="AR63" s="193">
        <f>IFERROR(INDEX(база!D:D, MATCH(F63,база!B:B,0)),"")</f>
        <v>0</v>
      </c>
    </row>
    <row r="64" spans="1:44" ht="15">
      <c r="A64" s="59"/>
      <c r="B64" s="215"/>
      <c r="C64" s="54"/>
      <c r="D64" s="55"/>
      <c r="E64" s="196"/>
      <c r="F64" s="651"/>
      <c r="G64" s="42"/>
      <c r="H64" s="198"/>
      <c r="I64" s="198"/>
      <c r="J64" s="198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5"/>
      <c r="AM64" s="197">
        <f>IF(AQ64=1,SUM(H64:I64,L64:O64,R64:U64,X64:AA64,AD64:AG64,AI64:AK64),
IF(AQ64=2,SUM(H64:K64,N64:Q64,T64:W64,Z64:AC64,AF64:AI64),
IF(AQ64=3,SUM(J64:M64,P64:S64,V64:Y64,AB64:AE64,AH64:AK64),SUM(Таблица1[[#This Row],[1]:[31]])-Таблица1[[#This Row],[Столбец1]])))</f>
        <v>0</v>
      </c>
      <c r="AN64" s="269">
        <f t="array" ref="AN64">IF(AQ64=1,SUM(J64:K64,P64:Q64,V64:W64,AB64:AC64,AH64:AI64),
IF(AQ64=2,SUM(L64:M64,R64:S64,X64:Y64,AD64:AE64),
IF(AQ64=3,SUM(H64:I64,N64:O64,T64:U64,Z64:AA64,AF64:AG64),
SUM(IFERROR(WEEKDAY($H$2:$AL$2,2)&gt;5,)*H64:AL64))))</f>
        <v>0</v>
      </c>
      <c r="AO64" s="271" t="b">
        <f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696" t="b">
        <f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678" t="str">
        <f>IFERROR(INDEX(база!T:T, MATCH(F64,база!Q:Q,0)),"")</f>
        <v/>
      </c>
      <c r="AR64" s="193">
        <f>IFERROR(INDEX(база!D:D, MATCH(F64,база!B:B,0)),"")</f>
        <v>0</v>
      </c>
    </row>
    <row r="65" spans="1:44" ht="15">
      <c r="A65" s="59"/>
      <c r="B65" s="215"/>
      <c r="C65" s="54"/>
      <c r="D65" s="55"/>
      <c r="E65" s="196"/>
      <c r="F65" s="651"/>
      <c r="G65" s="42"/>
      <c r="H65" s="198"/>
      <c r="I65" s="43"/>
      <c r="J65" s="43"/>
      <c r="K65" s="43"/>
      <c r="L65" s="43"/>
      <c r="M65" s="43"/>
      <c r="N65" s="44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5"/>
      <c r="AM65" s="197">
        <f>IF(AQ65=1,SUM(H65:I65,L65:O65,R65:U65,X65:AA65,AD65:AG65,AI65:AK65),
IF(AQ65=2,SUM(H65:K65,N65:Q65,T65:W65,Z65:AC65,AF65:AI65),
IF(AQ65=3,SUM(J65:M65,P65:S65,V65:Y65,AB65:AE65,AH65:AK65),SUM(Таблица1[[#This Row],[1]:[31]])-Таблица1[[#This Row],[Столбец1]])))</f>
        <v>0</v>
      </c>
      <c r="AN65" s="269">
        <f t="array" ref="AN65">IF(AQ65=1,SUM(J65:K65,P65:Q65,V65:W65,AB65:AC65,AH65:AI65),
IF(AQ65=2,SUM(L65:M65,R65:S65,X65:Y65,AD65:AE65),
IF(AQ65=3,SUM(H65:I65,N65:O65,T65:U65,Z65:AA65,AF65:AG65),
SUM(IFERROR(WEEKDAY($H$2:$AL$2,2)&gt;5,)*H65:AL65))))</f>
        <v>0</v>
      </c>
      <c r="AO65" s="271" t="b">
        <f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696" t="b">
        <f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678" t="str">
        <f>IFERROR(INDEX(база!T:T, MATCH(F65,база!Q:Q,0)),"")</f>
        <v/>
      </c>
      <c r="AR65" s="193">
        <f>IFERROR(INDEX(база!D:D, MATCH(F65,база!B:B,0)),"")</f>
        <v>0</v>
      </c>
    </row>
    <row r="66" spans="1:44" ht="15">
      <c r="A66" s="59"/>
      <c r="B66" s="215"/>
      <c r="C66" s="54"/>
      <c r="D66" s="55"/>
      <c r="E66" s="196"/>
      <c r="F66" s="651"/>
      <c r="G66" s="42"/>
      <c r="H66" s="198"/>
      <c r="I66" s="43"/>
      <c r="J66" s="43"/>
      <c r="K66" s="43"/>
      <c r="L66" s="43"/>
      <c r="M66" s="43"/>
      <c r="N66" s="44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5"/>
      <c r="AM66" s="197">
        <f>IF(AQ66=1,SUM(H66:I66,L66:O66,R66:U66,X66:AA66,AD66:AG66,AI66:AK66),
IF(AQ66=2,SUM(H66:K66,N66:Q66,T66:W66,Z66:AC66,AF66:AI66),
IF(AQ66=3,SUM(J66:M66,P66:S66,V66:Y66,AB66:AE66,AH66:AK66),SUM(Таблица1[[#This Row],[1]:[31]])-Таблица1[[#This Row],[Столбец1]])))</f>
        <v>0</v>
      </c>
      <c r="AN66" s="269">
        <f t="array" ref="AN66">IF(AQ66=1,SUM(J66:K66,P66:Q66,V66:W66,AB66:AC66,AH66:AI66),
IF(AQ66=2,SUM(L66:M66,R66:S66,X66:Y66,AD66:AE66),
IF(AQ66=3,SUM(H66:I66,N66:O66,T66:U66,Z66:AA66,AF66:AG66),
SUM(IFERROR(WEEKDAY($H$2:$AL$2,2)&gt;5,)*H66:AL66))))</f>
        <v>0</v>
      </c>
      <c r="AO66" s="271" t="b">
        <f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696" t="b">
        <f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678" t="str">
        <f>IFERROR(INDEX(база!T:T, MATCH(F66,база!Q:Q,0)),"")</f>
        <v/>
      </c>
      <c r="AR66" s="193">
        <f>IFERROR(INDEX(база!D:D, MATCH(F66,база!B:B,0)),"")</f>
        <v>0</v>
      </c>
    </row>
    <row r="67" spans="1:44" ht="15">
      <c r="A67" s="59"/>
      <c r="B67" s="215"/>
      <c r="C67" s="54"/>
      <c r="D67" s="55"/>
      <c r="E67" s="196"/>
      <c r="F67" s="651"/>
      <c r="G67" s="42"/>
      <c r="H67" s="198"/>
      <c r="I67" s="43"/>
      <c r="J67" s="43"/>
      <c r="K67" s="43"/>
      <c r="L67" s="43"/>
      <c r="M67" s="43"/>
      <c r="N67" s="44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5"/>
      <c r="AM67" s="197">
        <f>IF(AQ67=1,SUM(H67:I67,L67:O67,R67:U67,X67:AA67,AD67:AG67,AI67:AK67),
IF(AQ67=2,SUM(H67:K67,N67:Q67,T67:W67,Z67:AC67,AF67:AI67),
IF(AQ67=3,SUM(J67:M67,P67:S67,V67:Y67,AB67:AE67,AH67:AK67),SUM(Таблица1[[#This Row],[1]:[31]])-Таблица1[[#This Row],[Столбец1]])))</f>
        <v>0</v>
      </c>
      <c r="AN67" s="269">
        <f t="array" ref="AN67">IF(AQ67=1,SUM(J67:K67,P67:Q67,V67:W67,AB67:AC67,AH67:AI67),
IF(AQ67=2,SUM(L67:M67,R67:S67,X67:Y67,AD67:AE67),
IF(AQ67=3,SUM(H67:I67,N67:O67,T67:U67,Z67:AA67,AF67:AG67),
SUM(IFERROR(WEEKDAY($H$2:$AL$2,2)&gt;5,)*H67:AL67))))</f>
        <v>0</v>
      </c>
      <c r="AO67" s="271" t="b">
        <f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696" t="b">
        <f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678" t="str">
        <f>IFERROR(INDEX(база!T:T, MATCH(F67,база!Q:Q,0)),"")</f>
        <v/>
      </c>
      <c r="AR67" s="193">
        <f>IFERROR(INDEX(база!D:D, MATCH(F67,база!B:B,0)),"")</f>
        <v>0</v>
      </c>
    </row>
    <row r="68" spans="1:44" ht="15">
      <c r="A68" s="59"/>
      <c r="B68" s="215"/>
      <c r="C68" s="54"/>
      <c r="D68" s="55"/>
      <c r="E68" s="196"/>
      <c r="F68" s="651"/>
      <c r="G68" s="42"/>
      <c r="H68" s="198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5"/>
      <c r="AM68" s="197">
        <f>IF(AQ68=1,SUM(H68:I68,L68:O68,R68:U68,X68:AA68,AD68:AG68,AI68:AK68),
IF(AQ68=2,SUM(H68:K68,N68:Q68,T68:W68,Z68:AC68,AF68:AI68),
IF(AQ68=3,SUM(J68:M68,P68:S68,V68:Y68,AB68:AE68,AH68:AK68),SUM(Таблица1[[#This Row],[1]:[31]])-Таблица1[[#This Row],[Столбец1]])))</f>
        <v>0</v>
      </c>
      <c r="AN68" s="269">
        <f t="array" ref="AN68">IF(AQ68=1,SUM(J68:K68,P68:Q68,V68:W68,AB68:AC68,AH68:AI68),
IF(AQ68=2,SUM(L68:M68,R68:S68,X68:Y68,AD68:AE68),
IF(AQ68=3,SUM(H68:I68,N68:O68,T68:U68,Z68:AA68,AF68:AG68),
SUM(IFERROR(WEEKDAY($H$2:$AL$2,2)&gt;5,)*H68:AL68))))</f>
        <v>0</v>
      </c>
      <c r="AO68" s="271" t="b">
        <f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696" t="b">
        <f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678" t="str">
        <f>IFERROR(INDEX(база!T:T, MATCH(F68,база!Q:Q,0)),"")</f>
        <v/>
      </c>
      <c r="AR68" s="193">
        <f>IFERROR(INDEX(база!D:D, MATCH(F68,база!B:B,0)),"")</f>
        <v>0</v>
      </c>
    </row>
    <row r="69" spans="1:44" ht="15">
      <c r="A69" s="59"/>
      <c r="B69" s="215"/>
      <c r="C69" s="54"/>
      <c r="D69" s="55"/>
      <c r="E69" s="196"/>
      <c r="F69" s="651"/>
      <c r="G69" s="42"/>
      <c r="H69" s="198"/>
      <c r="I69" s="43"/>
      <c r="J69" s="43"/>
      <c r="K69" s="43"/>
      <c r="L69" s="43"/>
      <c r="M69" s="43"/>
      <c r="N69" s="44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5"/>
      <c r="AM69" s="197">
        <f>IF(AQ69=1,SUM(H69:I69,L69:O69,R69:U69,X69:AA69,AD69:AG69,AI69:AK69),
IF(AQ69=2,SUM(H69:K69,N69:Q69,T69:W69,Z69:AC69,AF69:AI69),
IF(AQ69=3,SUM(J69:M69,P69:S69,V69:Y69,AB69:AE69,AH69:AK69),SUM(Таблица1[[#This Row],[1]:[31]])-Таблица1[[#This Row],[Столбец1]])))</f>
        <v>0</v>
      </c>
      <c r="AN69" s="269">
        <f t="array" ref="AN69">IF(AQ69=1,SUM(J69:K69,P69:Q69,V69:W69,AB69:AC69,AH69:AI69),
IF(AQ69=2,SUM(L69:M69,R69:S69,X69:Y69,AD69:AE69),
IF(AQ69=3,SUM(H69:I69,N69:O69,T69:U69,Z69:AA69,AF69:AG69),
SUM(IFERROR(WEEKDAY($H$2:$AL$2,2)&gt;5,)*H69:AL69))))</f>
        <v>0</v>
      </c>
      <c r="AO69" s="271" t="b">
        <f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696" t="b">
        <f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678" t="str">
        <f>IFERROR(INDEX(база!T:T, MATCH(F69,база!Q:Q,0)),"")</f>
        <v/>
      </c>
      <c r="AR69" s="193">
        <f>IFERROR(INDEX(база!D:D, MATCH(F69,база!B:B,0)),"")</f>
        <v>0</v>
      </c>
    </row>
    <row r="70" spans="1:44" ht="15">
      <c r="A70" s="59"/>
      <c r="B70" s="215"/>
      <c r="C70" s="54"/>
      <c r="D70" s="55"/>
      <c r="E70" s="196"/>
      <c r="F70" s="651"/>
      <c r="G70" s="42"/>
      <c r="H70" s="198"/>
      <c r="I70" s="43"/>
      <c r="J70" s="43"/>
      <c r="K70" s="43"/>
      <c r="L70" s="43"/>
      <c r="M70" s="43"/>
      <c r="N70" s="44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5"/>
      <c r="AM70" s="197">
        <f>IF(AQ70=1,SUM(H70:I70,L70:O70,R70:U70,X70:AA70,AD70:AG70,AI70:AK70),
IF(AQ70=2,SUM(H70:K70,N70:Q70,T70:W70,Z70:AC70,AF70:AI70),
IF(AQ70=3,SUM(J70:M70,P70:S70,V70:Y70,AB70:AE70,AH70:AK70),SUM(Таблица1[[#This Row],[1]:[31]])-Таблица1[[#This Row],[Столбец1]])))</f>
        <v>0</v>
      </c>
      <c r="AN70" s="269">
        <f t="array" ref="AN70">IF(AQ70=1,SUM(J70:K70,P70:Q70,V70:W70,AB70:AC70,AH70:AI70),
IF(AQ70=2,SUM(L70:M70,R70:S70,X70:Y70,AD70:AE70),
IF(AQ70=3,SUM(H70:I70,N70:O70,T70:U70,Z70:AA70,AF70:AG70),
SUM(IFERROR(WEEKDAY($H$2:$AL$2,2)&gt;5,)*H70:AL70))))</f>
        <v>0</v>
      </c>
      <c r="AO70" s="271" t="b">
        <f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696" t="b">
        <f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678" t="str">
        <f>IFERROR(INDEX(база!T:T, MATCH(F70,база!Q:Q,0)),"")</f>
        <v/>
      </c>
      <c r="AR70" s="193">
        <f>IFERROR(INDEX(база!D:D, MATCH(F70,база!B:B,0)),"")</f>
        <v>0</v>
      </c>
    </row>
    <row r="71" spans="1:44" ht="15">
      <c r="A71" s="59"/>
      <c r="B71" s="215"/>
      <c r="C71" s="54"/>
      <c r="D71" s="55"/>
      <c r="E71" s="196"/>
      <c r="F71" s="651"/>
      <c r="G71" s="42"/>
      <c r="H71" s="198"/>
      <c r="I71" s="43"/>
      <c r="J71" s="43"/>
      <c r="K71" s="43"/>
      <c r="L71" s="43"/>
      <c r="M71" s="43"/>
      <c r="N71" s="44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5"/>
      <c r="AM71" s="197">
        <f>IF(AQ71=1,SUM(H71:I71,L71:O71,R71:U71,X71:AA71,AD71:AG71,AI71:AK71),
IF(AQ71=2,SUM(H71:K71,N71:Q71,T71:W71,Z71:AC71,AF71:AI71),
IF(AQ71=3,SUM(J71:M71,P71:S71,V71:Y71,AB71:AE71,AH71:AK71),SUM(Таблица1[[#This Row],[1]:[31]])-Таблица1[[#This Row],[Столбец1]])))</f>
        <v>0</v>
      </c>
      <c r="AN71" s="269">
        <f t="array" ref="AN71">IF(AQ71=1,SUM(J71:K71,P71:Q71,V71:W71,AB71:AC71,AH71:AI71),
IF(AQ71=2,SUM(L71:M71,R71:S71,X71:Y71,AD71:AE71),
IF(AQ71=3,SUM(H71:I71,N71:O71,T71:U71,Z71:AA71,AF71:AG71),
SUM(IFERROR(WEEKDAY($H$2:$AL$2,2)&gt;5,)*H71:AL71))))</f>
        <v>0</v>
      </c>
      <c r="AO71" s="271" t="b">
        <f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696" t="b">
        <f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678" t="str">
        <f>IFERROR(INDEX(база!T:T, MATCH(F71,база!Q:Q,0)),"")</f>
        <v/>
      </c>
      <c r="AR71" s="193">
        <f>IFERROR(INDEX(база!D:D, MATCH(F71,база!B:B,0)),"")</f>
        <v>0</v>
      </c>
    </row>
    <row r="72" spans="1:44" ht="15">
      <c r="A72" s="59"/>
      <c r="B72" s="215"/>
      <c r="C72" s="54"/>
      <c r="D72" s="55"/>
      <c r="E72" s="196"/>
      <c r="F72" s="651"/>
      <c r="G72" s="42"/>
      <c r="H72" s="198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5"/>
      <c r="AM72" s="197">
        <f>IF(AQ72=1,SUM(H72:I72,L72:O72,R72:U72,X72:AA72,AD72:AG72,AI72:AK72),
IF(AQ72=2,SUM(H72:K72,N72:Q72,T72:W72,Z72:AC72,AF72:AI72),
IF(AQ72=3,SUM(J72:M72,P72:S72,V72:Y72,AB72:AE72,AH72:AK72),SUM(Таблица1[[#This Row],[1]:[31]])-Таблица1[[#This Row],[Столбец1]])))</f>
        <v>0</v>
      </c>
      <c r="AN72" s="269">
        <f t="array" ref="AN72">IF(AQ72=1,SUM(J72:K72,P72:Q72,V72:W72,AB72:AC72,AH72:AI72),
IF(AQ72=2,SUM(L72:M72,R72:S72,X72:Y72,AD72:AE72),
IF(AQ72=3,SUM(H72:I72,N72:O72,T72:U72,Z72:AA72,AF72:AG72),
SUM(IFERROR(WEEKDAY($H$2:$AL$2,2)&gt;5,)*H72:AL72))))</f>
        <v>0</v>
      </c>
      <c r="AO72" s="271" t="b">
        <f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696" t="b">
        <f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678" t="str">
        <f>IFERROR(INDEX(база!T:T, MATCH(F72,база!Q:Q,0)),"")</f>
        <v/>
      </c>
      <c r="AR72" s="193">
        <f>IFERROR(INDEX(база!D:D, MATCH(F72,база!B:B,0)),"")</f>
        <v>0</v>
      </c>
    </row>
    <row r="73" spans="1:44" ht="15">
      <c r="A73" s="59"/>
      <c r="B73" s="215"/>
      <c r="C73" s="54"/>
      <c r="D73" s="55"/>
      <c r="E73" s="196"/>
      <c r="F73" s="651"/>
      <c r="G73" s="42"/>
      <c r="H73" s="198"/>
      <c r="I73" s="198"/>
      <c r="J73" s="198"/>
      <c r="K73" s="43"/>
      <c r="L73" s="43"/>
      <c r="M73" s="43"/>
      <c r="N73" s="44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5"/>
      <c r="AM73" s="197">
        <f>IF(AQ73=1,SUM(H73:I73,L73:O73,R73:U73,X73:AA73,AD73:AG73,AI73:AK73),
IF(AQ73=2,SUM(H73:K73,N73:Q73,T73:W73,Z73:AC73,AF73:AI73),
IF(AQ73=3,SUM(J73:M73,P73:S73,V73:Y73,AB73:AE73,AH73:AK73),SUM(Таблица1[[#This Row],[1]:[31]])-Таблица1[[#This Row],[Столбец1]])))</f>
        <v>0</v>
      </c>
      <c r="AN73" s="269">
        <f t="array" ref="AN73">IF(AQ73=1,SUM(J73:K73,P73:Q73,V73:W73,AB73:AC73,AH73:AI73),
IF(AQ73=2,SUM(L73:M73,R73:S73,X73:Y73,AD73:AE73),
IF(AQ73=3,SUM(H73:I73,N73:O73,T73:U73,Z73:AA73,AF73:AG73),
SUM(IFERROR(WEEKDAY($H$2:$AL$2,2)&gt;5,)*H73:AL73))))</f>
        <v>0</v>
      </c>
      <c r="AO73" s="271" t="b">
        <f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696" t="b">
        <f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678" t="str">
        <f>IFERROR(INDEX(база!T:T, MATCH(F73,база!Q:Q,0)),"")</f>
        <v/>
      </c>
      <c r="AR73" s="193">
        <f>IFERROR(INDEX(база!D:D, MATCH(F73,база!B:B,0)),"")</f>
        <v>0</v>
      </c>
    </row>
    <row r="74" spans="1:44" ht="15">
      <c r="A74" s="59"/>
      <c r="B74" s="215"/>
      <c r="C74" s="54"/>
      <c r="D74" s="55"/>
      <c r="E74" s="196"/>
      <c r="F74" s="651"/>
      <c r="G74" s="42"/>
      <c r="H74" s="198"/>
      <c r="I74" s="43"/>
      <c r="J74" s="43"/>
      <c r="K74" s="43"/>
      <c r="L74" s="43"/>
      <c r="M74" s="43"/>
      <c r="N74" s="44"/>
      <c r="O74" s="44"/>
      <c r="P74" s="44"/>
      <c r="Q74" s="44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5"/>
      <c r="AG74" s="45"/>
      <c r="AH74" s="45"/>
      <c r="AI74" s="45"/>
      <c r="AJ74" s="45"/>
      <c r="AK74" s="45"/>
      <c r="AL74" s="45"/>
      <c r="AM74" s="197">
        <f>IF(AQ74=1,SUM(H74:I74,L74:O74,R74:U74,X74:AA74,AD74:AG74,AI74:AK74),
IF(AQ74=2,SUM(H74:K74,N74:Q74,T74:W74,Z74:AC74,AF74:AI74),
IF(AQ74=3,SUM(J74:M74,P74:S74,V74:Y74,AB74:AE74,AH74:AK74),SUM(Таблица1[[#This Row],[1]:[31]])-Таблица1[[#This Row],[Столбец1]])))</f>
        <v>0</v>
      </c>
      <c r="AN74" s="269">
        <f t="array" ref="AN74">IF(AQ74=1,SUM(J74:K74,P74:Q74,V74:W74,AB74:AC74,AH74:AI74),
IF(AQ74=2,SUM(L74:M74,R74:S74,X74:Y74,AD74:AE74),
IF(AQ74=3,SUM(H74:I74,N74:O74,T74:U74,Z74:AA74,AF74:AG74),
SUM(IFERROR(WEEKDAY($H$2:$AL$2,2)&gt;5,)*H74:AL74))))</f>
        <v>0</v>
      </c>
      <c r="AO74" s="271" t="b">
        <f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696" t="b">
        <f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678" t="str">
        <f>IFERROR(INDEX(база!T:T, MATCH(F74,база!Q:Q,0)),"")</f>
        <v/>
      </c>
      <c r="AR74" s="193">
        <f>IFERROR(INDEX(база!D:D, MATCH(F74,база!B:B,0)),"")</f>
        <v>0</v>
      </c>
    </row>
    <row r="75" spans="1:44" ht="15">
      <c r="A75" s="59"/>
      <c r="B75" s="215"/>
      <c r="C75" s="54"/>
      <c r="D75" s="55"/>
      <c r="E75" s="196"/>
      <c r="F75" s="651"/>
      <c r="G75" s="42"/>
      <c r="H75" s="198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5"/>
      <c r="AG75" s="45"/>
      <c r="AH75" s="45"/>
      <c r="AI75" s="45"/>
      <c r="AJ75" s="45"/>
      <c r="AK75" s="45"/>
      <c r="AL75" s="45"/>
      <c r="AM75" s="197">
        <f>IF(AQ75=1,SUM(H75:I75,L75:O75,R75:U75,X75:AA75,AD75:AG75,AI75:AK75),
IF(AQ75=2,SUM(H75:K75,N75:Q75,T75:W75,Z75:AC75,AF75:AI75),
IF(AQ75=3,SUM(J75:M75,P75:S75,V75:Y75,AB75:AE75,AH75:AK75),SUM(Таблица1[[#This Row],[1]:[31]])-Таблица1[[#This Row],[Столбец1]])))</f>
        <v>0</v>
      </c>
      <c r="AN75" s="269">
        <f t="array" ref="AN75">IF(AQ75=1,SUM(J75:K75,P75:Q75,V75:W75,AB75:AC75,AH75:AI75),
IF(AQ75=2,SUM(L75:M75,R75:S75,X75:Y75,AD75:AE75),
IF(AQ75=3,SUM(H75:I75,N75:O75,T75:U75,Z75:AA75,AF75:AG75),
SUM(IFERROR(WEEKDAY($H$2:$AL$2,2)&gt;5,)*H75:AL75))))</f>
        <v>0</v>
      </c>
      <c r="AO75" s="271" t="b">
        <f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696" t="b">
        <f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678" t="str">
        <f>IFERROR(INDEX(база!T:T, MATCH(F75,база!Q:Q,0)),"")</f>
        <v/>
      </c>
      <c r="AR75" s="193">
        <f>IFERROR(INDEX(база!D:D, MATCH(F75,база!B:B,0)),"")</f>
        <v>0</v>
      </c>
    </row>
    <row r="76" spans="1:44" ht="15">
      <c r="A76" s="59"/>
      <c r="B76" s="215"/>
      <c r="C76" s="54"/>
      <c r="D76" s="55"/>
      <c r="E76" s="196"/>
      <c r="F76" s="651"/>
      <c r="G76" s="42"/>
      <c r="H76" s="198"/>
      <c r="I76" s="43"/>
      <c r="J76" s="43"/>
      <c r="K76" s="43"/>
      <c r="L76" s="43"/>
      <c r="M76" s="43"/>
      <c r="N76" s="44"/>
      <c r="O76" s="44"/>
      <c r="P76" s="44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5"/>
      <c r="AG76" s="45"/>
      <c r="AH76" s="43"/>
      <c r="AI76" s="43"/>
      <c r="AJ76" s="43"/>
      <c r="AK76" s="43"/>
      <c r="AL76" s="45"/>
      <c r="AM76" s="197">
        <f>IF(AQ76=1,SUM(H76:I76,L76:O76,R76:U76,X76:AA76,AD76:AG76,AI76:AK76),
IF(AQ76=2,SUM(H76:K76,N76:Q76,T76:W76,Z76:AC76,AF76:AI76),
IF(AQ76=3,SUM(J76:M76,P76:S76,V76:Y76,AB76:AE76,AH76:AK76),SUM(Таблица1[[#This Row],[1]:[31]])-Таблица1[[#This Row],[Столбец1]])))</f>
        <v>0</v>
      </c>
      <c r="AN76" s="269">
        <f t="array" ref="AN76">IF(AQ76=1,SUM(J76:K76,P76:Q76,V76:W76,AB76:AC76,AH76:AI76),
IF(AQ76=2,SUM(L76:M76,R76:S76,X76:Y76,AD76:AE76),
IF(AQ76=3,SUM(H76:I76,N76:O76,T76:U76,Z76:AA76,AF76:AG76),
SUM(IFERROR(WEEKDAY($H$2:$AL$2,2)&gt;5,)*H76:AL76))))</f>
        <v>0</v>
      </c>
      <c r="AO76" s="271" t="b">
        <f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696" t="b">
        <f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678" t="str">
        <f>IFERROR(INDEX(база!T:T, MATCH(F76,база!Q:Q,0)),"")</f>
        <v/>
      </c>
      <c r="AR76" s="193">
        <f>IFERROR(INDEX(база!D:D, MATCH(F76,база!B:B,0)),"")</f>
        <v>0</v>
      </c>
    </row>
    <row r="77" spans="1:44" ht="15">
      <c r="A77" s="59"/>
      <c r="B77" s="215"/>
      <c r="C77" s="54"/>
      <c r="D77" s="55"/>
      <c r="E77" s="196"/>
      <c r="F77" s="651"/>
      <c r="G77" s="42"/>
      <c r="H77" s="198"/>
      <c r="I77" s="43"/>
      <c r="J77" s="43"/>
      <c r="K77" s="43"/>
      <c r="L77" s="43"/>
      <c r="M77" s="43"/>
      <c r="N77" s="44"/>
      <c r="O77" s="44"/>
      <c r="P77" s="44"/>
      <c r="Q77" s="44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5"/>
      <c r="AG77" s="45"/>
      <c r="AH77" s="43"/>
      <c r="AI77" s="43"/>
      <c r="AJ77" s="43"/>
      <c r="AK77" s="43"/>
      <c r="AL77" s="45"/>
      <c r="AM77" s="197">
        <f>IF(AQ77=1,SUM(H77:I77,L77:O77,R77:U77,X77:AA77,AD77:AG77,AI77:AK77),
IF(AQ77=2,SUM(H77:K77,N77:Q77,T77:W77,Z77:AC77,AF77:AI77),
IF(AQ77=3,SUM(J77:M77,P77:S77,V77:Y77,AB77:AE77,AH77:AK77),SUM(Таблица1[[#This Row],[1]:[31]])-Таблица1[[#This Row],[Столбец1]])))</f>
        <v>0</v>
      </c>
      <c r="AN77" s="269">
        <f t="array" ref="AN77">IF(AQ77=1,SUM(J77:K77,P77:Q77,V77:W77,AB77:AC77,AH77:AI77),
IF(AQ77=2,SUM(L77:M77,R77:S77,X77:Y77,AD77:AE77),
IF(AQ77=3,SUM(H77:I77,N77:O77,T77:U77,Z77:AA77,AF77:AG77),
SUM(IFERROR(WEEKDAY($H$2:$AL$2,2)&gt;5,)*H77:AL77))))</f>
        <v>0</v>
      </c>
      <c r="AO77" s="271" t="b">
        <f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696" t="b">
        <f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678" t="str">
        <f>IFERROR(INDEX(база!T:T, MATCH(F77,база!Q:Q,0)),"")</f>
        <v/>
      </c>
      <c r="AR77" s="193">
        <f>IFERROR(INDEX(база!D:D, MATCH(F77,база!B:B,0)),"")</f>
        <v>0</v>
      </c>
    </row>
    <row r="78" spans="1:44" ht="15">
      <c r="A78" s="59"/>
      <c r="B78" s="215"/>
      <c r="C78" s="54"/>
      <c r="D78" s="55"/>
      <c r="E78" s="196"/>
      <c r="F78" s="651"/>
      <c r="G78" s="42"/>
      <c r="H78" s="198"/>
      <c r="I78" s="43"/>
      <c r="J78" s="43"/>
      <c r="K78" s="43"/>
      <c r="L78" s="43"/>
      <c r="M78" s="43"/>
      <c r="N78" s="44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5"/>
      <c r="AG78" s="45"/>
      <c r="AH78" s="43"/>
      <c r="AI78" s="43"/>
      <c r="AJ78" s="43"/>
      <c r="AK78" s="43"/>
      <c r="AL78" s="45"/>
      <c r="AM78" s="197">
        <f>IF(AQ78=1,SUM(H78:I78,L78:O78,R78:U78,X78:AA78,AD78:AG78,AI78:AK78),
IF(AQ78=2,SUM(H78:K78,N78:Q78,T78:W78,Z78:AC78,AF78:AI78),
IF(AQ78=3,SUM(J78:M78,P78:S78,V78:Y78,AB78:AE78,AH78:AK78),SUM(Таблица1[[#This Row],[1]:[31]])-Таблица1[[#This Row],[Столбец1]])))</f>
        <v>0</v>
      </c>
      <c r="AN78" s="269">
        <f t="array" ref="AN78">IF(AQ78=1,SUM(J78:K78,P78:Q78,V78:W78,AB78:AC78,AH78:AI78),
IF(AQ78=2,SUM(L78:M78,R78:S78,X78:Y78,AD78:AE78),
IF(AQ78=3,SUM(H78:I78,N78:O78,T78:U78,Z78:AA78,AF78:AG78),
SUM(IFERROR(WEEKDAY($H$2:$AL$2,2)&gt;5,)*H78:AL78))))</f>
        <v>0</v>
      </c>
      <c r="AO78" s="271" t="b">
        <f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696" t="b">
        <f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678" t="str">
        <f>IFERROR(INDEX(база!T:T, MATCH(F78,база!Q:Q,0)),"")</f>
        <v/>
      </c>
      <c r="AR78" s="193">
        <f>IFERROR(INDEX(база!D:D, MATCH(F78,база!B:B,0)),"")</f>
        <v>0</v>
      </c>
    </row>
    <row r="79" spans="1:44" ht="15">
      <c r="A79" s="59"/>
      <c r="B79" s="215"/>
      <c r="C79" s="54"/>
      <c r="D79" s="55"/>
      <c r="E79" s="196"/>
      <c r="F79" s="651"/>
      <c r="G79" s="42"/>
      <c r="H79" s="198"/>
      <c r="I79" s="43"/>
      <c r="J79" s="43"/>
      <c r="K79" s="43"/>
      <c r="L79" s="43"/>
      <c r="M79" s="43"/>
      <c r="N79" s="44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5"/>
      <c r="AL79" s="45"/>
      <c r="AM79" s="197">
        <f>IF(AQ79=1,SUM(H79:I79,L79:O79,R79:U79,X79:AA79,AD79:AG79,AI79:AK79),
IF(AQ79=2,SUM(H79:K79,N79:Q79,T79:W79,Z79:AC79,AF79:AI79),
IF(AQ79=3,SUM(J79:M79,P79:S79,V79:Y79,AB79:AE79,AH79:AK79),SUM(Таблица1[[#This Row],[1]:[31]])-Таблица1[[#This Row],[Столбец1]])))</f>
        <v>0</v>
      </c>
      <c r="AN79" s="269">
        <f t="array" ref="AN79">IF(AQ79=1,SUM(J79:K79,P79:Q79,V79:W79,AB79:AC79,AH79:AI79),
IF(AQ79=2,SUM(L79:M79,R79:S79,X79:Y79,AD79:AE79),
IF(AQ79=3,SUM(H79:I79,N79:O79,T79:U79,Z79:AA79,AF79:AG79),
SUM(IFERROR(WEEKDAY($H$2:$AL$2,2)&gt;5,)*H79:AL79))))</f>
        <v>0</v>
      </c>
      <c r="AO79" s="271" t="b">
        <f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696" t="b">
        <f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678" t="str">
        <f>IFERROR(INDEX(база!T:T, MATCH(F79,база!Q:Q,0)),"")</f>
        <v/>
      </c>
      <c r="AR79" s="193">
        <f>IFERROR(INDEX(база!D:D, MATCH(F79,база!B:B,0)),"")</f>
        <v>0</v>
      </c>
    </row>
    <row r="80" spans="1:44" ht="15">
      <c r="A80" s="59"/>
      <c r="B80" s="215"/>
      <c r="C80" s="54"/>
      <c r="D80" s="55"/>
      <c r="E80" s="196"/>
      <c r="F80" s="651"/>
      <c r="G80" s="42"/>
      <c r="H80" s="198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5"/>
      <c r="AK80" s="45"/>
      <c r="AL80" s="45"/>
      <c r="AM80" s="197">
        <f>IF(AQ80=1,SUM(H80:I80,L80:O80,R80:U80,X80:AA80,AD80:AG80,AI80:AK80),
IF(AQ80=2,SUM(H80:K80,N80:Q80,T80:W80,Z80:AC80,AF80:AI80),
IF(AQ80=3,SUM(J80:M80,P80:S80,V80:Y80,AB80:AE80,AH80:AK80),SUM(Таблица1[[#This Row],[1]:[31]])-Таблица1[[#This Row],[Столбец1]])))</f>
        <v>0</v>
      </c>
      <c r="AN80" s="269">
        <f t="array" ref="AN80">IF(AQ80=1,SUM(J80:K80,P80:Q80,V80:W80,AB80:AC80,AH80:AI80),
IF(AQ80=2,SUM(L80:M80,R80:S80,X80:Y80,AD80:AE80),
IF(AQ80=3,SUM(H80:I80,N80:O80,T80:U80,Z80:AA80,AF80:AG80),
SUM(IFERROR(WEEKDAY($H$2:$AL$2,2)&gt;5,)*H80:AL80))))</f>
        <v>0</v>
      </c>
      <c r="AO80" s="271" t="b">
        <f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696" t="b">
        <f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678" t="str">
        <f>IFERROR(INDEX(база!T:T, MATCH(F80,база!Q:Q,0)),"")</f>
        <v/>
      </c>
      <c r="AR80" s="193">
        <f>IFERROR(INDEX(база!D:D, MATCH(F80,база!B:B,0)),"")</f>
        <v>0</v>
      </c>
    </row>
    <row r="81" spans="1:44" ht="15">
      <c r="A81" s="59"/>
      <c r="B81" s="215"/>
      <c r="C81" s="54"/>
      <c r="D81" s="55"/>
      <c r="E81" s="196"/>
      <c r="F81" s="651"/>
      <c r="G81" s="42"/>
      <c r="H81" s="198"/>
      <c r="I81" s="43"/>
      <c r="J81" s="43"/>
      <c r="K81" s="43"/>
      <c r="L81" s="43"/>
      <c r="M81" s="43"/>
      <c r="N81" s="44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5"/>
      <c r="AK81" s="45"/>
      <c r="AL81" s="45"/>
      <c r="AM81" s="197">
        <f>IF(AQ81=1,SUM(H81:I81,L81:O81,R81:U81,X81:AA81,AD81:AG81,AI81:AK81),
IF(AQ81=2,SUM(H81:K81,N81:Q81,T81:W81,Z81:AC81,AF81:AI81),
IF(AQ81=3,SUM(J81:M81,P81:S81,V81:Y81,AB81:AE81,AH81:AK81),SUM(Таблица1[[#This Row],[1]:[31]])-Таблица1[[#This Row],[Столбец1]])))</f>
        <v>0</v>
      </c>
      <c r="AN81" s="269">
        <f t="array" ref="AN81">IF(AQ81=1,SUM(J81:K81,P81:Q81,V81:W81,AB81:AC81,AH81:AI81),
IF(AQ81=2,SUM(L81:M81,R81:S81,X81:Y81,AD81:AE81),
IF(AQ81=3,SUM(H81:I81,N81:O81,T81:U81,Z81:AA81,AF81:AG81),
SUM(IFERROR(WEEKDAY($H$2:$AL$2,2)&gt;5,)*H81:AL81))))</f>
        <v>0</v>
      </c>
      <c r="AO81" s="271" t="b">
        <f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696" t="b">
        <f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678" t="str">
        <f>IFERROR(INDEX(база!T:T, MATCH(F81,база!Q:Q,0)),"")</f>
        <v/>
      </c>
      <c r="AR81" s="193">
        <f>IFERROR(INDEX(база!D:D, MATCH(F81,база!B:B,0)),"")</f>
        <v>0</v>
      </c>
    </row>
    <row r="82" spans="1:44" ht="15">
      <c r="A82" s="59"/>
      <c r="B82" s="215"/>
      <c r="C82" s="54"/>
      <c r="D82" s="55"/>
      <c r="E82" s="196"/>
      <c r="F82" s="651"/>
      <c r="G82" s="42"/>
      <c r="H82" s="198"/>
      <c r="I82" s="43"/>
      <c r="J82" s="43"/>
      <c r="K82" s="44"/>
      <c r="L82" s="43"/>
      <c r="M82" s="43"/>
      <c r="N82" s="44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5"/>
      <c r="AK82" s="45"/>
      <c r="AL82" s="45"/>
      <c r="AM82" s="197">
        <f>IF(AQ82=1,SUM(H82:I82,L82:O82,R82:U82,X82:AA82,AD82:AG82,AI82:AK82),
IF(AQ82=2,SUM(H82:K82,N82:Q82,T82:W82,Z82:AC82,AF82:AI82),
IF(AQ82=3,SUM(J82:M82,P82:S82,V82:Y82,AB82:AE82,AH82:AK82),SUM(Таблица1[[#This Row],[1]:[31]])-Таблица1[[#This Row],[Столбец1]])))</f>
        <v>0</v>
      </c>
      <c r="AN82" s="269">
        <f t="array" ref="AN82">IF(AQ82=1,SUM(J82:K82,P82:Q82,V82:W82,AB82:AC82,AH82:AI82),
IF(AQ82=2,SUM(L82:M82,R82:S82,X82:Y82,AD82:AE82),
IF(AQ82=3,SUM(H82:I82,N82:O82,T82:U82,Z82:AA82,AF82:AG82),
SUM(IFERROR(WEEKDAY($H$2:$AL$2,2)&gt;5,)*H82:AL82))))</f>
        <v>0</v>
      </c>
      <c r="AO82" s="271" t="b">
        <f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696" t="b">
        <f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678" t="str">
        <f>IFERROR(INDEX(база!T:T, MATCH(F82,база!Q:Q,0)),"")</f>
        <v/>
      </c>
      <c r="AR82" s="193">
        <f>IFERROR(INDEX(база!D:D, MATCH(F82,база!B:B,0)),"")</f>
        <v>0</v>
      </c>
    </row>
    <row r="83" spans="1:44" ht="15">
      <c r="A83" s="59"/>
      <c r="B83" s="215"/>
      <c r="C83" s="54"/>
      <c r="D83" s="55"/>
      <c r="E83" s="196"/>
      <c r="F83" s="651"/>
      <c r="G83" s="42"/>
      <c r="H83" s="198"/>
      <c r="I83" s="43"/>
      <c r="J83" s="43"/>
      <c r="K83" s="43"/>
      <c r="L83" s="43"/>
      <c r="M83" s="43"/>
      <c r="N83" s="44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5"/>
      <c r="AG83" s="45"/>
      <c r="AH83" s="45"/>
      <c r="AI83" s="45"/>
      <c r="AJ83" s="45"/>
      <c r="AK83" s="43"/>
      <c r="AL83" s="45"/>
      <c r="AM83" s="197">
        <f>IF(AQ83=1,SUM(H83:I83,L83:O83,R83:U83,X83:AA83,AD83:AG83,AI83:AK83),
IF(AQ83=2,SUM(H83:K83,N83:Q83,T83:W83,Z83:AC83,AF83:AI83),
IF(AQ83=3,SUM(J83:M83,P83:S83,V83:Y83,AB83:AE83,AH83:AK83),SUM(Таблица1[[#This Row],[1]:[31]])-Таблица1[[#This Row],[Столбец1]])))</f>
        <v>0</v>
      </c>
      <c r="AN83" s="269">
        <f t="array" ref="AN83">IF(AQ83=1,SUM(J83:K83,P83:Q83,V83:W83,AB83:AC83,AH83:AI83),
IF(AQ83=2,SUM(L83:M83,R83:S83,X83:Y83,AD83:AE83),
IF(AQ83=3,SUM(H83:I83,N83:O83,T83:U83,Z83:AA83,AF83:AG83),
SUM(IFERROR(WEEKDAY($H$2:$AL$2,2)&gt;5,)*H83:AL83))))</f>
        <v>0</v>
      </c>
      <c r="AO83" s="271" t="b">
        <f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696" t="b">
        <f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678" t="str">
        <f>IFERROR(INDEX(база!T:T, MATCH(F83,база!Q:Q,0)),"")</f>
        <v/>
      </c>
      <c r="AR83" s="193">
        <f>IFERROR(INDEX(база!D:D, MATCH(F83,база!B:B,0)),"")</f>
        <v>0</v>
      </c>
    </row>
    <row r="84" spans="1:44" ht="15">
      <c r="A84" s="59"/>
      <c r="B84" s="215"/>
      <c r="C84" s="54"/>
      <c r="D84" s="55"/>
      <c r="E84" s="196"/>
      <c r="F84" s="651"/>
      <c r="G84" s="42"/>
      <c r="H84" s="198"/>
      <c r="I84" s="43"/>
      <c r="J84" s="43"/>
      <c r="K84" s="43"/>
      <c r="L84" s="43"/>
      <c r="M84" s="43"/>
      <c r="N84" s="44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5"/>
      <c r="AG84" s="45"/>
      <c r="AH84" s="45"/>
      <c r="AI84" s="45"/>
      <c r="AJ84" s="45"/>
      <c r="AK84" s="45"/>
      <c r="AL84" s="45"/>
      <c r="AM84" s="197">
        <f>IF(AQ84=1,SUM(H84:I84,L84:O84,R84:U84,X84:AA84,AD84:AG84,AI84:AK84),
IF(AQ84=2,SUM(H84:K84,N84:Q84,T84:W84,Z84:AC84,AF84:AI84),
IF(AQ84=3,SUM(J84:M84,P84:S84,V84:Y84,AB84:AE84,AH84:AK84),SUM(Таблица1[[#This Row],[1]:[31]])-Таблица1[[#This Row],[Столбец1]])))</f>
        <v>0</v>
      </c>
      <c r="AN84" s="269">
        <f t="array" ref="AN84">IF(AQ84=1,SUM(J84:K84,P84:Q84,V84:W84,AB84:AC84,AH84:AI84),
IF(AQ84=2,SUM(L84:M84,R84:S84,X84:Y84,AD84:AE84),
IF(AQ84=3,SUM(H84:I84,N84:O84,T84:U84,Z84:AA84,AF84:AG84),
SUM(IFERROR(WEEKDAY($H$2:$AL$2,2)&gt;5,)*H84:AL84))))</f>
        <v>0</v>
      </c>
      <c r="AO84" s="271" t="b">
        <f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696" t="b">
        <f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678" t="str">
        <f>IFERROR(INDEX(база!T:T, MATCH(F84,база!Q:Q,0)),"")</f>
        <v/>
      </c>
      <c r="AR84" s="193">
        <f>IFERROR(INDEX(база!D:D, MATCH(F84,база!B:B,0)),"")</f>
        <v>0</v>
      </c>
    </row>
    <row r="85" spans="1:44" ht="15">
      <c r="A85" s="59"/>
      <c r="B85" s="215"/>
      <c r="C85" s="54"/>
      <c r="D85" s="55"/>
      <c r="E85" s="196"/>
      <c r="F85" s="651"/>
      <c r="G85" s="42"/>
      <c r="H85" s="198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5"/>
      <c r="AL85" s="45"/>
      <c r="AM85" s="197">
        <f>IF(AQ85=1,SUM(H85:I85,L85:O85,R85:U85,X85:AA85,AD85:AG85,AI85:AK85),
IF(AQ85=2,SUM(H85:K85,N85:Q85,T85:W85,Z85:AC85,AF85:AI85),
IF(AQ85=3,SUM(J85:M85,P85:S85,V85:Y85,AB85:AE85,AH85:AK85),SUM(Таблица1[[#This Row],[1]:[31]])-Таблица1[[#This Row],[Столбец1]])))</f>
        <v>0</v>
      </c>
      <c r="AN85" s="269">
        <f t="array" ref="AN85">IF(AQ85=1,SUM(J85:K85,P85:Q85,V85:W85,AB85:AC85,AH85:AI85),
IF(AQ85=2,SUM(L85:M85,R85:S85,X85:Y85,AD85:AE85),
IF(AQ85=3,SUM(H85:I85,N85:O85,T85:U85,Z85:AA85,AF85:AG85),
SUM(IFERROR(WEEKDAY($H$2:$AL$2,2)&gt;5,)*H85:AL85))))</f>
        <v>0</v>
      </c>
      <c r="AO85" s="271" t="b">
        <f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696" t="b">
        <f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678" t="str">
        <f>IFERROR(INDEX(база!T:T, MATCH(F85,база!Q:Q,0)),"")</f>
        <v/>
      </c>
      <c r="AR85" s="193">
        <f>IFERROR(INDEX(база!D:D, MATCH(F85,база!B:B,0)),"")</f>
        <v>0</v>
      </c>
    </row>
    <row r="86" spans="1:44" ht="15">
      <c r="A86" s="59"/>
      <c r="B86" s="215"/>
      <c r="C86" s="54"/>
      <c r="D86" s="55"/>
      <c r="E86" s="196"/>
      <c r="F86" s="651"/>
      <c r="G86" s="42"/>
      <c r="H86" s="198"/>
      <c r="I86" s="198"/>
      <c r="J86" s="198"/>
      <c r="K86" s="43"/>
      <c r="L86" s="43"/>
      <c r="M86" s="43"/>
      <c r="N86" s="44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5"/>
      <c r="AG86" s="45"/>
      <c r="AH86" s="45"/>
      <c r="AI86" s="45"/>
      <c r="AJ86" s="45"/>
      <c r="AK86" s="45"/>
      <c r="AL86" s="45"/>
      <c r="AM86" s="197">
        <f>IF(AQ86=1,SUM(H86:I86,L86:O86,R86:U86,X86:AA86,AD86:AG86,AI86:AK86),
IF(AQ86=2,SUM(H86:K86,N86:Q86,T86:W86,Z86:AC86,AF86:AI86),
IF(AQ86=3,SUM(J86:M86,P86:S86,V86:Y86,AB86:AE86,AH86:AK86),SUM(Таблица1[[#This Row],[1]:[31]])-Таблица1[[#This Row],[Столбец1]])))</f>
        <v>0</v>
      </c>
      <c r="AN86" s="269">
        <f t="array" ref="AN86">IF(AQ86=1,SUM(J86:K86,P86:Q86,V86:W86,AB86:AC86,AH86:AI86),
IF(AQ86=2,SUM(L86:M86,R86:S86,X86:Y86,AD86:AE86),
IF(AQ86=3,SUM(H86:I86,N86:O86,T86:U86,Z86:AA86,AF86:AG86),
SUM(IFERROR(WEEKDAY($H$2:$AL$2,2)&gt;5,)*H86:AL86))))</f>
        <v>0</v>
      </c>
      <c r="AO86" s="271" t="b">
        <f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696" t="b">
        <f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678" t="str">
        <f>IFERROR(INDEX(база!T:T, MATCH(F86,база!Q:Q,0)),"")</f>
        <v/>
      </c>
      <c r="AR86" s="193">
        <f>IFERROR(INDEX(база!D:D, MATCH(F86,база!B:B,0)),"")</f>
        <v>0</v>
      </c>
    </row>
    <row r="87" spans="1:44" ht="15">
      <c r="A87" s="59"/>
      <c r="B87" s="215"/>
      <c r="C87" s="54"/>
      <c r="D87" s="55"/>
      <c r="E87" s="196"/>
      <c r="F87" s="651"/>
      <c r="G87" s="42"/>
      <c r="H87" s="198"/>
      <c r="I87" s="43"/>
      <c r="J87" s="43"/>
      <c r="K87" s="43"/>
      <c r="L87" s="43"/>
      <c r="M87" s="43"/>
      <c r="N87" s="44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5"/>
      <c r="AG87" s="45"/>
      <c r="AH87" s="45"/>
      <c r="AI87" s="45"/>
      <c r="AJ87" s="45"/>
      <c r="AK87" s="45"/>
      <c r="AL87" s="45"/>
      <c r="AM87" s="197">
        <f>IF(AQ87=1,SUM(H87:I87,L87:O87,R87:U87,X87:AA87,AD87:AG87,AI87:AK87),
IF(AQ87=2,SUM(H87:K87,N87:Q87,T87:W87,Z87:AC87,AF87:AI87),
IF(AQ87=3,SUM(J87:M87,P87:S87,V87:Y87,AB87:AE87,AH87:AK87),SUM(Таблица1[[#This Row],[1]:[31]])-Таблица1[[#This Row],[Столбец1]])))</f>
        <v>0</v>
      </c>
      <c r="AN87" s="269">
        <f t="array" ref="AN87">IF(AQ87=1,SUM(J87:K87,P87:Q87,V87:W87,AB87:AC87,AH87:AI87),
IF(AQ87=2,SUM(L87:M87,R87:S87,X87:Y87,AD87:AE87),
IF(AQ87=3,SUM(H87:I87,N87:O87,T87:U87,Z87:AA87,AF87:AG87),
SUM(IFERROR(WEEKDAY($H$2:$AL$2,2)&gt;5,)*H87:AL87))))</f>
        <v>0</v>
      </c>
      <c r="AO87" s="271" t="b">
        <f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696" t="b">
        <f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678" t="str">
        <f>IFERROR(INDEX(база!T:T, MATCH(F87,база!Q:Q,0)),"")</f>
        <v/>
      </c>
      <c r="AR87" s="193">
        <f>IFERROR(INDEX(база!D:D, MATCH(F87,база!B:B,0)),"")</f>
        <v>0</v>
      </c>
    </row>
    <row r="88" spans="1:44" ht="15">
      <c r="A88" s="59"/>
      <c r="B88" s="215"/>
      <c r="C88" s="54"/>
      <c r="D88" s="55"/>
      <c r="E88" s="196"/>
      <c r="F88" s="651"/>
      <c r="G88" s="42"/>
      <c r="H88" s="198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5"/>
      <c r="AG88" s="45"/>
      <c r="AH88" s="45"/>
      <c r="AI88" s="45"/>
      <c r="AJ88" s="45"/>
      <c r="AK88" s="45"/>
      <c r="AL88" s="45"/>
      <c r="AM88" s="197">
        <f>IF(AQ88=1,SUM(H88:I88,L88:O88,R88:U88,X88:AA88,AD88:AG88,AI88:AK88),
IF(AQ88=2,SUM(H88:K88,N88:Q88,T88:W88,Z88:AC88,AF88:AI88),
IF(AQ88=3,SUM(J88:M88,P88:S88,V88:Y88,AB88:AE88,AH88:AK88),SUM(Таблица1[[#This Row],[1]:[31]])-Таблица1[[#This Row],[Столбец1]])))</f>
        <v>0</v>
      </c>
      <c r="AN88" s="269">
        <f t="array" ref="AN88">IF(AQ88=1,SUM(J88:K88,P88:Q88,V88:W88,AB88:AC88,AH88:AI88),
IF(AQ88=2,SUM(L88:M88,R88:S88,X88:Y88,AD88:AE88),
IF(AQ88=3,SUM(H88:I88,N88:O88,T88:U88,Z88:AA88,AF88:AG88),
SUM(IFERROR(WEEKDAY($H$2:$AL$2,2)&gt;5,)*H88:AL88))))</f>
        <v>0</v>
      </c>
      <c r="AO88" s="271" t="b">
        <f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696" t="b">
        <f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678" t="str">
        <f>IFERROR(INDEX(база!T:T, MATCH(F88,база!Q:Q,0)),"")</f>
        <v/>
      </c>
      <c r="AR88" s="193">
        <f>IFERROR(INDEX(база!D:D, MATCH(F88,база!B:B,0)),"")</f>
        <v>0</v>
      </c>
    </row>
    <row r="89" spans="1:44" ht="15">
      <c r="A89" s="59"/>
      <c r="B89" s="215"/>
      <c r="C89" s="54"/>
      <c r="D89" s="55"/>
      <c r="E89" s="196"/>
      <c r="F89" s="651"/>
      <c r="G89" s="42"/>
      <c r="H89" s="198"/>
      <c r="I89" s="43"/>
      <c r="J89" s="43"/>
      <c r="K89" s="43"/>
      <c r="L89" s="43"/>
      <c r="M89" s="43"/>
      <c r="N89" s="44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5"/>
      <c r="AM89" s="197">
        <f>IF(AQ89=1,SUM(H89:I89,L89:O89,R89:U89,X89:AA89,AD89:AG89,AI89:AK89),
IF(AQ89=2,SUM(H89:K89,N89:Q89,T89:W89,Z89:AC89,AF89:AI89),
IF(AQ89=3,SUM(J89:M89,P89:S89,V89:Y89,AB89:AE89,AH89:AK89),SUM(Таблица1[[#This Row],[1]:[31]])-Таблица1[[#This Row],[Столбец1]])))</f>
        <v>0</v>
      </c>
      <c r="AN89" s="269">
        <f t="array" ref="AN89">IF(AQ89=1,SUM(J89:K89,P89:Q89,V89:W89,AB89:AC89,AH89:AI89),
IF(AQ89=2,SUM(L89:M89,R89:S89,X89:Y89,AD89:AE89),
IF(AQ89=3,SUM(H89:I89,N89:O89,T89:U89,Z89:AA89,AF89:AG89),
SUM(IFERROR(WEEKDAY($H$2:$AL$2,2)&gt;5,)*H89:AL89))))</f>
        <v>0</v>
      </c>
      <c r="AO89" s="271" t="b">
        <f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696" t="b">
        <f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678" t="str">
        <f>IFERROR(INDEX(база!T:T, MATCH(F89,база!Q:Q,0)),"")</f>
        <v/>
      </c>
      <c r="AR89" s="193">
        <f>IFERROR(INDEX(база!D:D, MATCH(F89,база!B:B,0)),"")</f>
        <v>0</v>
      </c>
    </row>
    <row r="90" spans="1:44" ht="15">
      <c r="A90" s="59"/>
      <c r="B90" s="215"/>
      <c r="C90" s="54"/>
      <c r="D90" s="55"/>
      <c r="E90" s="196"/>
      <c r="F90" s="651"/>
      <c r="G90" s="42"/>
      <c r="H90" s="198"/>
      <c r="I90" s="43"/>
      <c r="J90" s="43"/>
      <c r="K90" s="43"/>
      <c r="L90" s="43"/>
      <c r="M90" s="43"/>
      <c r="N90" s="44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5"/>
      <c r="AM90" s="197">
        <f>IF(AQ90=1,SUM(H90:I90,L90:O90,R90:U90,X90:AA90,AD90:AG90,AI90:AK90),
IF(AQ90=2,SUM(H90:K90,N90:Q90,T90:W90,Z90:AC90,AF90:AI90),
IF(AQ90=3,SUM(J90:M90,P90:S90,V90:Y90,AB90:AE90,AH90:AK90),SUM(Таблица1[[#This Row],[1]:[31]])-Таблица1[[#This Row],[Столбец1]])))</f>
        <v>0</v>
      </c>
      <c r="AN90" s="269">
        <f t="array" ref="AN90">IF(AQ90=1,SUM(J90:K90,P90:Q90,V90:W90,AB90:AC90,AH90:AI90),
IF(AQ90=2,SUM(L90:M90,R90:S90,X90:Y90,AD90:AE90),
IF(AQ90=3,SUM(H90:I90,N90:O90,T90:U90,Z90:AA90,AF90:AG90),
SUM(IFERROR(WEEKDAY($H$2:$AL$2,2)&gt;5,)*H90:AL90))))</f>
        <v>0</v>
      </c>
      <c r="AO90" s="271" t="b">
        <f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696" t="b">
        <f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678" t="str">
        <f>IFERROR(INDEX(база!T:T, MATCH(F90,база!Q:Q,0)),"")</f>
        <v/>
      </c>
      <c r="AR90" s="193">
        <f>IFERROR(INDEX(база!D:D, MATCH(F90,база!B:B,0)),"")</f>
        <v>0</v>
      </c>
    </row>
    <row r="91" spans="1:44" ht="15">
      <c r="A91" s="59"/>
      <c r="B91" s="215"/>
      <c r="C91" s="54"/>
      <c r="D91" s="55"/>
      <c r="E91" s="196"/>
      <c r="F91" s="651"/>
      <c r="G91" s="42"/>
      <c r="H91" s="198"/>
      <c r="I91" s="43"/>
      <c r="J91" s="43"/>
      <c r="K91" s="43"/>
      <c r="L91" s="43"/>
      <c r="M91" s="43"/>
      <c r="N91" s="44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5"/>
      <c r="AM91" s="197">
        <f>IF(AQ91=1,SUM(H91:I91,L91:O91,R91:U91,X91:AA91,AD91:AG91,AI91:AK91),
IF(AQ91=2,SUM(H91:K91,N91:Q91,T91:W91,Z91:AC91,AF91:AI91),
IF(AQ91=3,SUM(J91:M91,P91:S91,V91:Y91,AB91:AE91,AH91:AK91),SUM(Таблица1[[#This Row],[1]:[31]])-Таблица1[[#This Row],[Столбец1]])))</f>
        <v>0</v>
      </c>
      <c r="AN91" s="269">
        <f t="array" ref="AN91">IF(AQ91=1,SUM(J91:K91,P91:Q91,V91:W91,AB91:AC91,AH91:AI91),
IF(AQ91=2,SUM(L91:M91,R91:S91,X91:Y91,AD91:AE91),
IF(AQ91=3,SUM(H91:I91,N91:O91,T91:U91,Z91:AA91,AF91:AG91),
SUM(IFERROR(WEEKDAY($H$2:$AL$2,2)&gt;5,)*H91:AL91))))</f>
        <v>0</v>
      </c>
      <c r="AO91" s="271" t="b">
        <f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696" t="b">
        <f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678" t="str">
        <f>IFERROR(INDEX(база!T:T, MATCH(F91,база!Q:Q,0)),"")</f>
        <v/>
      </c>
      <c r="AR91" s="193">
        <f>IFERROR(INDEX(база!D:D, MATCH(F91,база!B:B,0)),"")</f>
        <v>0</v>
      </c>
    </row>
    <row r="92" spans="1:44" ht="15.75" customHeight="1">
      <c r="A92" s="59"/>
      <c r="B92" s="215"/>
      <c r="C92" s="54"/>
      <c r="D92" s="55"/>
      <c r="E92" s="196"/>
      <c r="F92" s="651"/>
      <c r="G92" s="42"/>
      <c r="H92" s="198"/>
      <c r="I92" s="43"/>
      <c r="J92" s="43"/>
      <c r="K92" s="43"/>
      <c r="L92" s="43"/>
      <c r="M92" s="43"/>
      <c r="N92" s="44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5"/>
      <c r="AM92" s="197">
        <f>IF(AQ92=1,SUM(H92:I92,L92:O92,R92:U92,X92:AA92,AD92:AG92,AI92:AK92),
IF(AQ92=2,SUM(H92:K92,N92:Q92,T92:W92,Z92:AC92,AF92:AI92),
IF(AQ92=3,SUM(J92:M92,P92:S92,V92:Y92,AB92:AE92,AH92:AK92),SUM(Таблица1[[#This Row],[1]:[31]])-Таблица1[[#This Row],[Столбец1]])))</f>
        <v>0</v>
      </c>
      <c r="AN92" s="269">
        <f t="array" ref="AN92">IF(AQ92=1,SUM(J92:K92,P92:Q92,V92:W92,AB92:AC92,AH92:AI92),
IF(AQ92=2,SUM(L92:M92,R92:S92,X92:Y92,AD92:AE92),
IF(AQ92=3,SUM(H92:I92,N92:O92,T92:U92,Z92:AA92,AF92:AG92),
SUM(IFERROR(WEEKDAY($H$2:$AL$2,2)&gt;5,)*H92:AL92))))</f>
        <v>0</v>
      </c>
      <c r="AO92" s="271" t="b">
        <f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696" t="b">
        <f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678" t="str">
        <f>IFERROR(INDEX(база!T:T, MATCH(F92,база!Q:Q,0)),"")</f>
        <v/>
      </c>
      <c r="AR92" s="193">
        <f>IFERROR(INDEX(база!D:D, MATCH(F92,база!B:B,0)),"")</f>
        <v>0</v>
      </c>
    </row>
    <row r="93" spans="1:44" ht="15.75" customHeight="1">
      <c r="A93" s="59"/>
      <c r="B93" s="215"/>
      <c r="C93" s="54"/>
      <c r="D93" s="55"/>
      <c r="E93" s="196"/>
      <c r="F93" s="651"/>
      <c r="G93" s="42"/>
      <c r="H93" s="539"/>
      <c r="I93" s="539"/>
      <c r="J93" s="539"/>
      <c r="K93" s="43"/>
      <c r="L93" s="43"/>
      <c r="M93" s="539"/>
      <c r="N93" s="539"/>
      <c r="O93" s="539"/>
      <c r="P93" s="278"/>
      <c r="Q93" s="539"/>
      <c r="R93" s="539"/>
      <c r="S93" s="539"/>
      <c r="T93" s="539"/>
      <c r="U93" s="539"/>
      <c r="V93" s="539"/>
      <c r="W93" s="539"/>
      <c r="X93" s="539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5"/>
      <c r="AM93" s="197">
        <f>IF(AQ93=1,SUM(H93:I93,L93:O93,R93:U93,X93:AA93,AD93:AG93,AI93:AK93),
IF(AQ93=2,SUM(H93:K93,N93:Q93,T93:W93,Z93:AC93,AF93:AI93),
IF(AQ93=3,SUM(J93:M93,P93:S93,V93:Y93,AB93:AE93,AH93:AK93),SUM(Таблица1[[#This Row],[1]:[31]])-Таблица1[[#This Row],[Столбец1]])))</f>
        <v>0</v>
      </c>
      <c r="AN93" s="269">
        <f t="array" ref="AN93">IF(AQ93=1,SUM(J93:K93,P93:Q93,V93:W93,AB93:AC93,AH93:AI93),
IF(AQ93=2,SUM(L93:M93,R93:S93,X93:Y93,AD93:AE93),
IF(AQ93=3,SUM(H93:I93,N93:O93,T93:U93,Z93:AA93,AF93:AG93),
SUM(IFERROR(WEEKDAY($H$2:$AL$2,2)&gt;5,)*H93:AL93))))</f>
        <v>0</v>
      </c>
      <c r="AO93" s="271" t="b">
        <f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696" t="b">
        <f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678" t="str">
        <f>IFERROR(INDEX(база!T:T, MATCH(F93,база!Q:Q,0)),"")</f>
        <v/>
      </c>
      <c r="AR93" s="193">
        <f>IFERROR(INDEX(база!D:D, MATCH(F93,база!B:B,0)),"")</f>
        <v>0</v>
      </c>
    </row>
    <row r="94" spans="1:44" ht="15.75" customHeight="1">
      <c r="A94" s="59"/>
      <c r="B94" s="215"/>
      <c r="C94" s="277"/>
      <c r="D94" s="55"/>
      <c r="E94" s="196"/>
      <c r="F94" s="651"/>
      <c r="G94" s="42"/>
      <c r="H94" s="539"/>
      <c r="I94" s="539"/>
      <c r="J94" s="43"/>
      <c r="K94" s="43"/>
      <c r="L94" s="43"/>
      <c r="M94" s="43"/>
      <c r="N94" s="44"/>
      <c r="O94" s="43"/>
      <c r="P94" s="43"/>
      <c r="Q94" s="43"/>
      <c r="R94" s="43"/>
      <c r="S94" s="43"/>
      <c r="T94" s="539"/>
      <c r="U94" s="539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5"/>
      <c r="AG94" s="45"/>
      <c r="AH94" s="45"/>
      <c r="AI94" s="45"/>
      <c r="AJ94" s="45"/>
      <c r="AK94" s="45"/>
      <c r="AL94" s="45"/>
      <c r="AM94" s="197">
        <f>IF(AQ94=1,SUM(H94:I94,L94:O94,R94:U94,X94:AA94,AD94:AG94,AI94:AK94),
IF(AQ94=2,SUM(H94:K94,N94:Q94,T94:W94,Z94:AC94,AF94:AI94),
IF(AQ94=3,SUM(J94:M94,P94:S94,V94:Y94,AB94:AE94,AH94:AK94),SUM(Таблица1[[#This Row],[1]:[31]])-Таблица1[[#This Row],[Столбец1]])))</f>
        <v>0</v>
      </c>
      <c r="AN94" s="269">
        <f t="array" ref="AN94">IF(AQ94=1,SUM(J94:K94,P94:Q94,V94:W94,AB94:AC94,AH94:AI94),
IF(AQ94=2,SUM(L94:M94,R94:S94,X94:Y94,AD94:AE94),
IF(AQ94=3,SUM(H94:I94,N94:O94,T94:U94,Z94:AA94,AF94:AG94),
SUM(IFERROR(WEEKDAY($H$2:$AL$2,2)&gt;5,)*H94:AL94))))</f>
        <v>0</v>
      </c>
      <c r="AO94" s="271" t="b">
        <f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696" t="b">
        <f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678" t="str">
        <f>IFERROR(INDEX(база!T:T, MATCH(F94,база!Q:Q,0)),"")</f>
        <v/>
      </c>
      <c r="AR94" s="193">
        <f>IFERROR(INDEX(база!D:D, MATCH(F94,база!B:B,0)),"")</f>
        <v>0</v>
      </c>
    </row>
    <row r="95" spans="1:44" ht="15.75" customHeight="1">
      <c r="A95" s="59"/>
      <c r="B95" s="215"/>
      <c r="C95" s="54"/>
      <c r="D95" s="55"/>
      <c r="E95" s="196"/>
      <c r="F95" s="651"/>
      <c r="G95" s="42"/>
      <c r="H95" s="539"/>
      <c r="I95" s="539"/>
      <c r="J95" s="43"/>
      <c r="K95" s="43"/>
      <c r="L95" s="43"/>
      <c r="M95" s="43"/>
      <c r="N95" s="44"/>
      <c r="O95" s="43"/>
      <c r="P95" s="43"/>
      <c r="Q95" s="43"/>
      <c r="R95" s="539"/>
      <c r="S95" s="539"/>
      <c r="T95" s="539"/>
      <c r="U95" s="539"/>
      <c r="V95" s="539"/>
      <c r="W95" s="539"/>
      <c r="X95" s="539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5"/>
      <c r="AK95" s="45"/>
      <c r="AL95" s="45"/>
      <c r="AM95" s="197">
        <f>IF(AQ95=1,SUM(H95:I95,L95:O95,R95:U95,X95:AA95,AD95:AG95,AI95:AK95),
IF(AQ95=2,SUM(H95:K95,N95:Q95,T95:W95,Z95:AC95,AF95:AI95),
IF(AQ95=3,SUM(J95:M95,P95:S95,V95:Y95,AB95:AE95,AH95:AK95),SUM(Таблица1[[#This Row],[1]:[31]])-Таблица1[[#This Row],[Столбец1]])))</f>
        <v>0</v>
      </c>
      <c r="AN95" s="269">
        <f t="array" ref="AN95">IF(AQ95=1,SUM(J95:K95,P95:Q95,V95:W95,AB95:AC95,AH95:AI95),
IF(AQ95=2,SUM(L95:M95,R95:S95,X95:Y95,AD95:AE95),
IF(AQ95=3,SUM(H95:I95,N95:O95,T95:U95,Z95:AA95,AF95:AG95),
SUM(IFERROR(WEEKDAY($H$2:$AL$2,2)&gt;5,)*H95:AL95))))</f>
        <v>0</v>
      </c>
      <c r="AO95" s="271" t="b">
        <f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696" t="b">
        <f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678" t="str">
        <f>IFERROR(INDEX(база!T:T, MATCH(F95,база!Q:Q,0)),"")</f>
        <v/>
      </c>
      <c r="AR95" s="193">
        <f>IFERROR(INDEX(база!D:D, MATCH(F95,база!B:B,0)),"")</f>
        <v>0</v>
      </c>
    </row>
    <row r="96" spans="1:44" ht="15" customHeight="1">
      <c r="A96" s="59"/>
      <c r="B96" s="215"/>
      <c r="C96" s="277"/>
      <c r="D96" s="55"/>
      <c r="E96" s="196"/>
      <c r="F96" s="651"/>
      <c r="G96" s="42"/>
      <c r="H96" s="539"/>
      <c r="I96" s="539"/>
      <c r="J96" s="539"/>
      <c r="K96" s="539"/>
      <c r="L96" s="539"/>
      <c r="M96" s="539"/>
      <c r="N96" s="539"/>
      <c r="O96" s="539"/>
      <c r="P96" s="278"/>
      <c r="Q96" s="539"/>
      <c r="R96" s="539"/>
      <c r="S96" s="539"/>
      <c r="T96" s="539"/>
      <c r="U96" s="539"/>
      <c r="V96" s="539"/>
      <c r="W96" s="539"/>
      <c r="X96" s="539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5"/>
      <c r="AL96" s="45"/>
      <c r="AM96" s="197">
        <f>IF(AQ96=1,SUM(H96:I96,L96:O96,R96:U96,X96:AA96,AD96:AG96,AI96:AK96),
IF(AQ96=2,SUM(H96:K96,N96:Q96,T96:W96,Z96:AC96,AF96:AI96),
IF(AQ96=3,SUM(J96:M96,P96:S96,V96:Y96,AB96:AE96,AH96:AK96),SUM(Таблица1[[#This Row],[1]:[31]])-Таблица1[[#This Row],[Столбец1]])))</f>
        <v>0</v>
      </c>
      <c r="AN96" s="269">
        <f t="array" ref="AN96">IF(AQ96=1,SUM(J96:K96,P96:Q96,V96:W96,AB96:AC96,AH96:AI96),
IF(AQ96=2,SUM(L96:M96,R96:S96,X96:Y96,AD96:AE96),
IF(AQ96=3,SUM(H96:I96,N96:O96,T96:U96,Z96:AA96,AF96:AG96),
SUM(IFERROR(WEEKDAY($H$2:$AL$2,2)&gt;5,)*H96:AL96))))</f>
        <v>0</v>
      </c>
      <c r="AO96" s="271" t="b">
        <f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696" t="b">
        <f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678" t="str">
        <f>IFERROR(INDEX(база!T:T, MATCH(F96,база!Q:Q,0)),"")</f>
        <v/>
      </c>
      <c r="AR96" s="193">
        <f>IFERROR(INDEX(база!D:D, MATCH(F96,база!B:B,0)),"")</f>
        <v>0</v>
      </c>
    </row>
    <row r="97" spans="1:44" ht="15" customHeight="1">
      <c r="A97" s="59"/>
      <c r="B97" s="215"/>
      <c r="C97" s="54"/>
      <c r="D97" s="55"/>
      <c r="E97" s="196"/>
      <c r="F97" s="651"/>
      <c r="G97" s="42"/>
      <c r="H97" s="198"/>
      <c r="I97" s="43"/>
      <c r="J97" s="43"/>
      <c r="K97" s="43"/>
      <c r="L97" s="43"/>
      <c r="M97" s="43"/>
      <c r="N97" s="43"/>
      <c r="O97" s="43"/>
      <c r="P97" s="278"/>
      <c r="Q97" s="539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5"/>
      <c r="AG97" s="45"/>
      <c r="AH97" s="45"/>
      <c r="AI97" s="45"/>
      <c r="AJ97" s="45"/>
      <c r="AK97" s="45"/>
      <c r="AL97" s="45"/>
      <c r="AM97" s="197">
        <f>IF(AQ97=1,SUM(H97:I97,L97:O97,R97:U97,X97:AA97,AD97:AG97,AI97:AK97),
IF(AQ97=2,SUM(H97:K97,N97:Q97,T97:W97,Z97:AC97,AF97:AI97),
IF(AQ97=3,SUM(J97:M97,P97:S97,V97:Y97,AB97:AE97,AH97:AK97),SUM(Таблица1[[#This Row],[1]:[31]])-Таблица1[[#This Row],[Столбец1]])))</f>
        <v>0</v>
      </c>
      <c r="AN97" s="269">
        <f t="array" ref="AN97">IF(AQ97=1,SUM(J97:K97,P97:Q97,V97:W97,AB97:AC97,AH97:AI97),
IF(AQ97=2,SUM(L97:M97,R97:S97,X97:Y97,AD97:AE97),
IF(AQ97=3,SUM(H97:I97,N97:O97,T97:U97,Z97:AA97,AF97:AG97),
SUM(IFERROR(WEEKDAY($H$2:$AL$2,2)&gt;5,)*H97:AL97))))</f>
        <v>0</v>
      </c>
      <c r="AO97" s="271" t="b">
        <f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696" t="b">
        <f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678" t="str">
        <f>IFERROR(INDEX(база!T:T, MATCH(F97,база!Q:Q,0)),"")</f>
        <v/>
      </c>
      <c r="AR97" s="193">
        <f>IFERROR(INDEX(база!D:D, MATCH(F97,база!B:B,0)),"")</f>
        <v>0</v>
      </c>
    </row>
    <row r="98" spans="1:44" ht="15" customHeight="1">
      <c r="A98" s="59"/>
      <c r="B98" s="215"/>
      <c r="C98" s="277"/>
      <c r="D98" s="55"/>
      <c r="E98" s="196"/>
      <c r="F98" s="651"/>
      <c r="G98" s="42"/>
      <c r="H98" s="198"/>
      <c r="I98" s="43"/>
      <c r="J98" s="43"/>
      <c r="K98" s="43"/>
      <c r="L98" s="43"/>
      <c r="M98" s="43"/>
      <c r="N98" s="43"/>
      <c r="O98" s="43"/>
      <c r="P98" s="278"/>
      <c r="Q98" s="539"/>
      <c r="R98" s="539"/>
      <c r="S98" s="539"/>
      <c r="T98" s="539"/>
      <c r="U98" s="539"/>
      <c r="V98" s="539"/>
      <c r="W98" s="539"/>
      <c r="X98" s="539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5"/>
      <c r="AM98" s="197">
        <f>IF(AQ98=1,SUM(H98:I98,L98:O98,R98:U98,X98:AA98,AD98:AG98,AI98:AK98),
IF(AQ98=2,SUM(H98:K98,N98:Q98,T98:W98,Z98:AC98,AF98:AI98),
IF(AQ98=3,SUM(J98:M98,P98:S98,V98:Y98,AB98:AE98,AH98:AK98),SUM(Таблица1[[#This Row],[1]:[31]])-Таблица1[[#This Row],[Столбец1]])))</f>
        <v>0</v>
      </c>
      <c r="AN98" s="269">
        <f t="array" ref="AN98">IF(AQ98=1,SUM(J98:K98,P98:Q98,V98:W98,AB98:AC98,AH98:AI98),
IF(AQ98=2,SUM(L98:M98,R98:S98,X98:Y98,AD98:AE98),
IF(AQ98=3,SUM(H98:I98,N98:O98,T98:U98,Z98:AA98,AF98:AG98),
SUM(IFERROR(WEEKDAY($H$2:$AL$2,2)&gt;5,)*H98:AL98))))</f>
        <v>0</v>
      </c>
      <c r="AO98" s="271" t="b">
        <f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696" t="b">
        <f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678" t="str">
        <f>IFERROR(INDEX(база!T:T, MATCH(F98,база!Q:Q,0)),"")</f>
        <v/>
      </c>
      <c r="AR98" s="193">
        <f>IFERROR(INDEX(база!D:D, MATCH(F98,база!B:B,0)),"")</f>
        <v>0</v>
      </c>
    </row>
    <row r="99" spans="1:44" ht="15" customHeight="1">
      <c r="A99" s="59"/>
      <c r="B99" s="215"/>
      <c r="C99" s="277"/>
      <c r="D99" s="55"/>
      <c r="E99" s="196"/>
      <c r="F99" s="651"/>
      <c r="G99" s="42"/>
      <c r="H99" s="539"/>
      <c r="I99" s="539"/>
      <c r="J99" s="539"/>
      <c r="K99" s="539"/>
      <c r="L99" s="539"/>
      <c r="M99" s="539"/>
      <c r="N99" s="539"/>
      <c r="O99" s="539"/>
      <c r="P99" s="278"/>
      <c r="Q99" s="539"/>
      <c r="R99" s="539"/>
      <c r="S99" s="539"/>
      <c r="T99" s="539"/>
      <c r="U99" s="539"/>
      <c r="V99" s="539"/>
      <c r="W99" s="539"/>
      <c r="X99" s="539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5"/>
      <c r="AK99" s="45"/>
      <c r="AL99" s="45"/>
      <c r="AM99" s="197">
        <f>IF(AQ99=1,SUM(H99:I99,L99:O99,R99:U99,X99:AA99,AD99:AG99,AI99:AK99),
IF(AQ99=2,SUM(H99:K99,N99:Q99,T99:W99,Z99:AC99,AF99:AI99),
IF(AQ99=3,SUM(J99:M99,P99:S99,V99:Y99,AB99:AE99,AH99:AK99),SUM(Таблица1[[#This Row],[1]:[31]])-Таблица1[[#This Row],[Столбец1]])))</f>
        <v>0</v>
      </c>
      <c r="AN99" s="269">
        <f t="array" ref="AN99">IF(AQ99=1,SUM(J99:K99,P99:Q99,V99:W99,AB99:AC99,AH99:AI99),
IF(AQ99=2,SUM(L99:M99,R99:S99,X99:Y99,AD99:AE99),
IF(AQ99=3,SUM(H99:I99,N99:O99,T99:U99,Z99:AA99,AF99:AG99),
SUM(IFERROR(WEEKDAY($H$2:$AL$2,2)&gt;5,)*H99:AL99))))</f>
        <v>0</v>
      </c>
      <c r="AO99" s="271" t="b">
        <f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696" t="b">
        <f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678" t="str">
        <f>IFERROR(INDEX(база!T:T, MATCH(F99,база!Q:Q,0)),"")</f>
        <v/>
      </c>
      <c r="AR99" s="193">
        <f>IFERROR(INDEX(база!D:D, MATCH(F99,база!B:B,0)),"")</f>
        <v>0</v>
      </c>
    </row>
    <row r="100" spans="1:44" ht="15">
      <c r="A100" s="59"/>
      <c r="B100" s="215"/>
      <c r="C100" s="54"/>
      <c r="D100" s="55"/>
      <c r="E100" s="196"/>
      <c r="F100" s="651"/>
      <c r="G100" s="42"/>
      <c r="H100" s="539"/>
      <c r="I100" s="539"/>
      <c r="J100" s="539"/>
      <c r="K100" s="539"/>
      <c r="L100" s="539"/>
      <c r="M100" s="539"/>
      <c r="N100" s="539"/>
      <c r="O100" s="539"/>
      <c r="P100" s="278"/>
      <c r="Q100" s="539"/>
      <c r="R100" s="43"/>
      <c r="S100" s="43"/>
      <c r="T100" s="43"/>
      <c r="U100" s="43"/>
      <c r="V100" s="539"/>
      <c r="W100" s="539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5"/>
      <c r="AM100" s="197">
        <f>IF(AQ100=1,SUM(H100:I100,L100:O100,R100:U100,X100:AA100,AD100:AG100,AI100:AK100),
IF(AQ100=2,SUM(H100:K100,N100:Q100,T100:W100,Z100:AC100,AF100:AI100),
IF(AQ100=3,SUM(J100:M100,P100:S100,V100:Y100,AB100:AE100,AH100:AK100),SUM(Таблица1[[#This Row],[1]:[31]])-Таблица1[[#This Row],[Столбец1]])))</f>
        <v>0</v>
      </c>
      <c r="AN100" s="269">
        <f t="array" ref="AN100">IF(AQ100=1,SUM(J100:K100,P100:Q100,V100:W100,AB100:AC100,AH100:AI100),
IF(AQ100=2,SUM(L100:M100,R100:S100,X100:Y100,AD100:AE100),
IF(AQ100=3,SUM(H100:I100,N100:O100,T100:U100,Z100:AA100,AF100:AG100),
SUM(IFERROR(WEEKDAY($H$2:$AL$2,2)&gt;5,)*H100:AL100))))</f>
        <v>0</v>
      </c>
      <c r="AO100" s="271" t="b">
        <f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696" t="b">
        <f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678" t="str">
        <f>IFERROR(INDEX(база!T:T, MATCH(F100,база!Q:Q,0)),"")</f>
        <v/>
      </c>
      <c r="AR100" s="193">
        <f>IFERROR(INDEX(база!D:D, MATCH(F100,база!B:B,0)),"")</f>
        <v>0</v>
      </c>
    </row>
    <row r="101" spans="1:44" ht="15" customHeight="1">
      <c r="A101" s="59"/>
      <c r="B101" s="215"/>
      <c r="C101" s="277"/>
      <c r="D101" s="55"/>
      <c r="E101" s="196"/>
      <c r="F101" s="651"/>
      <c r="G101" s="42"/>
      <c r="H101" s="539"/>
      <c r="I101" s="539"/>
      <c r="J101" s="539"/>
      <c r="K101" s="539"/>
      <c r="L101" s="539"/>
      <c r="M101" s="539"/>
      <c r="N101" s="539"/>
      <c r="O101" s="539"/>
      <c r="P101" s="278"/>
      <c r="Q101" s="539"/>
      <c r="R101" s="43"/>
      <c r="S101" s="43"/>
      <c r="T101" s="43"/>
      <c r="U101" s="43"/>
      <c r="V101" s="539"/>
      <c r="W101" s="539"/>
      <c r="X101" s="43"/>
      <c r="Y101" s="43"/>
      <c r="Z101" s="43"/>
      <c r="AA101" s="43"/>
      <c r="AB101" s="43"/>
      <c r="AC101" s="43"/>
      <c r="AD101" s="43"/>
      <c r="AE101" s="43"/>
      <c r="AF101" s="45"/>
      <c r="AG101" s="45"/>
      <c r="AH101" s="45"/>
      <c r="AI101" s="45"/>
      <c r="AJ101" s="45"/>
      <c r="AK101" s="45"/>
      <c r="AL101" s="45"/>
      <c r="AM101" s="197">
        <f>IF(AQ101=1,SUM(H101:I101,L101:O101,R101:U101,X101:AA101,AD101:AG101,AI101:AK101),
IF(AQ101=2,SUM(H101:K101,N101:Q101,T101:W101,Z101:AC101,AF101:AI101),
IF(AQ101=3,SUM(J101:M101,P101:S101,V101:Y101,AB101:AE101,AH101:AK101),SUM(Таблица1[[#This Row],[1]:[31]])-Таблица1[[#This Row],[Столбец1]])))</f>
        <v>0</v>
      </c>
      <c r="AN101" s="269">
        <f t="array" ref="AN101">IF(AQ101=1,SUM(J101:K101,P101:Q101,V101:W101,AB101:AC101,AH101:AI101),
IF(AQ101=2,SUM(L101:M101,R101:S101,X101:Y101,AD101:AE101),
IF(AQ101=3,SUM(H101:I101,N101:O101,T101:U101,Z101:AA101,AF101:AG101),
SUM(IFERROR(WEEKDAY($H$2:$AL$2,2)&gt;5,)*H101:AL101))))</f>
        <v>0</v>
      </c>
      <c r="AO101" s="271" t="b">
        <f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696" t="b">
        <f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678" t="str">
        <f>IFERROR(INDEX(база!T:T, MATCH(F101,база!Q:Q,0)),"")</f>
        <v/>
      </c>
      <c r="AR101" s="193">
        <f>IFERROR(INDEX(база!D:D, MATCH(F101,база!B:B,0)),"")</f>
        <v>0</v>
      </c>
    </row>
    <row r="102" spans="1:44" ht="15" customHeight="1">
      <c r="A102" s="59"/>
      <c r="B102" s="215"/>
      <c r="C102" s="277"/>
      <c r="D102" s="55"/>
      <c r="E102" s="196"/>
      <c r="F102" s="651"/>
      <c r="G102" s="42"/>
      <c r="H102" s="539"/>
      <c r="I102" s="539"/>
      <c r="J102" s="539"/>
      <c r="K102" s="539"/>
      <c r="L102" s="539"/>
      <c r="M102" s="539"/>
      <c r="N102" s="539"/>
      <c r="O102" s="539"/>
      <c r="P102" s="278"/>
      <c r="Q102" s="539"/>
      <c r="R102" s="539"/>
      <c r="S102" s="539"/>
      <c r="T102" s="539"/>
      <c r="U102" s="539"/>
      <c r="V102" s="539"/>
      <c r="W102" s="539"/>
      <c r="X102" s="539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5"/>
      <c r="AM102" s="197">
        <f>IF(AQ102=1,SUM(H102:I102,L102:O102,R102:U102,X102:AA102,AD102:AG102,AI102:AK102),
IF(AQ102=2,SUM(H102:K102,N102:Q102,T102:W102,Z102:AC102,AF102:AI102),
IF(AQ102=3,SUM(J102:M102,P102:S102,V102:Y102,AB102:AE102,AH102:AK102),SUM(Таблица1[[#This Row],[1]:[31]])-Таблица1[[#This Row],[Столбец1]])))</f>
        <v>0</v>
      </c>
      <c r="AN102" s="269">
        <f t="array" ref="AN102">IF(AQ102=1,SUM(J102:K102,P102:Q102,V102:W102,AB102:AC102,AH102:AI102),
IF(AQ102=2,SUM(L102:M102,R102:S102,X102:Y102,AD102:AE102),
IF(AQ102=3,SUM(H102:I102,N102:O102,T102:U102,Z102:AA102,AF102:AG102),
SUM(IFERROR(WEEKDAY($H$2:$AL$2,2)&gt;5,)*H102:AL102))))</f>
        <v>0</v>
      </c>
      <c r="AO102" s="271" t="b">
        <f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696" t="b">
        <f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678" t="str">
        <f>IFERROR(INDEX(база!T:T, MATCH(F102,база!Q:Q,0)),"")</f>
        <v/>
      </c>
      <c r="AR102" s="193">
        <f>IFERROR(INDEX(база!D:D, MATCH(F102,база!B:B,0)),"")</f>
        <v>0</v>
      </c>
    </row>
    <row r="103" spans="1:44" ht="15" customHeight="1">
      <c r="A103" s="59"/>
      <c r="B103" s="215"/>
      <c r="C103" s="277"/>
      <c r="D103" s="55"/>
      <c r="E103" s="196"/>
      <c r="F103" s="651"/>
      <c r="G103" s="42"/>
      <c r="H103" s="539"/>
      <c r="I103" s="539"/>
      <c r="J103" s="539"/>
      <c r="K103" s="539"/>
      <c r="L103" s="539"/>
      <c r="M103" s="539"/>
      <c r="N103" s="539"/>
      <c r="O103" s="539"/>
      <c r="P103" s="278"/>
      <c r="Q103" s="539"/>
      <c r="R103" s="539"/>
      <c r="S103" s="539"/>
      <c r="T103" s="539"/>
      <c r="U103" s="539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238"/>
      <c r="AM103" s="197">
        <f>IF(AQ103=1,SUM(H103:I103,L103:O103,R103:U103,X103:AA103,AD103:AG103,AI103:AK103),
IF(AQ103=2,SUM(H103:K103,N103:Q103,T103:W103,Z103:AC103,AF103:AI103),
IF(AQ103=3,SUM(J103:M103,P103:S103,V103:Y103,AB103:AE103,AH103:AK103),SUM(Таблица1[[#This Row],[1]:[31]])-Таблица1[[#This Row],[Столбец1]])))</f>
        <v>0</v>
      </c>
      <c r="AN103" s="269">
        <f t="array" ref="AN103">IF(AQ103=1,SUM(J103:K103,P103:Q103,V103:W103,AB103:AC103,AH103:AI103),
IF(AQ103=2,SUM(L103:M103,R103:S103,X103:Y103,AD103:AE103),
IF(AQ103=3,SUM(H103:I103,N103:O103,T103:U103,Z103:AA103,AF103:AG103),
SUM(IFERROR(WEEKDAY($H$2:$AL$2,2)&gt;5,)*H103:AL103))))</f>
        <v>0</v>
      </c>
      <c r="AO103" s="271" t="b">
        <f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696" t="b">
        <f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678" t="str">
        <f>IFERROR(INDEX(база!T:T, MATCH(F103,база!Q:Q,0)),"")</f>
        <v/>
      </c>
      <c r="AR103" s="193">
        <f>IFERROR(INDEX(база!D:D, MATCH(F103,база!B:B,0)),"")</f>
        <v>0</v>
      </c>
    </row>
    <row r="104" spans="1:44" ht="15" customHeight="1">
      <c r="A104" s="59"/>
      <c r="B104" s="215"/>
      <c r="C104" s="277"/>
      <c r="D104" s="55"/>
      <c r="E104" s="196"/>
      <c r="F104" s="651"/>
      <c r="G104" s="42"/>
      <c r="H104" s="539"/>
      <c r="I104" s="539"/>
      <c r="J104" s="539"/>
      <c r="K104" s="539"/>
      <c r="L104" s="539"/>
      <c r="M104" s="539"/>
      <c r="N104" s="539"/>
      <c r="O104" s="539"/>
      <c r="P104" s="278"/>
      <c r="Q104" s="539"/>
      <c r="R104" s="43"/>
      <c r="S104" s="43"/>
      <c r="T104" s="43"/>
      <c r="U104" s="43"/>
      <c r="V104" s="43"/>
      <c r="W104" s="539"/>
      <c r="X104" s="539"/>
      <c r="Y104" s="43"/>
      <c r="Z104" s="43"/>
      <c r="AA104" s="43"/>
      <c r="AB104" s="43"/>
      <c r="AC104" s="539"/>
      <c r="AD104" s="43"/>
      <c r="AE104" s="43"/>
      <c r="AF104" s="43"/>
      <c r="AG104" s="43"/>
      <c r="AH104" s="43"/>
      <c r="AI104" s="43"/>
      <c r="AJ104" s="43"/>
      <c r="AK104" s="238"/>
      <c r="AL104" s="238"/>
      <c r="AM104" s="197">
        <f>IF(AQ104=1,SUM(H104:I104,L104:O104,R104:U104,X104:AA104,AD104:AG104,AI104:AK104),
IF(AQ104=2,SUM(H104:K104,N104:Q104,T104:W104,Z104:AC104,AF104:AI104),
IF(AQ104=3,SUM(J104:M104,P104:S104,V104:Y104,AB104:AE104,AH104:AK104),SUM(Таблица1[[#This Row],[1]:[31]])-Таблица1[[#This Row],[Столбец1]])))</f>
        <v>0</v>
      </c>
      <c r="AN104" s="269">
        <f t="array" ref="AN104">IF(AQ104=1,SUM(J104:K104,P104:Q104,V104:W104,AB104:AC104,AH104:AI104),
IF(AQ104=2,SUM(L104:M104,R104:S104,X104:Y104,AD104:AE104),
IF(AQ104=3,SUM(H104:I104,N104:O104,T104:U104,Z104:AA104,AF104:AG104),
SUM(IFERROR(WEEKDAY($H$2:$AL$2,2)&gt;5,)*H104:AL104))))</f>
        <v>0</v>
      </c>
      <c r="AO104" s="271" t="b">
        <f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696" t="b">
        <f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678" t="str">
        <f>IFERROR(INDEX(база!T:T, MATCH(F104,база!Q:Q,0)),"")</f>
        <v/>
      </c>
      <c r="AR104" s="193">
        <f>IFERROR(INDEX(база!D:D, MATCH(F104,база!B:B,0)),"")</f>
        <v>0</v>
      </c>
    </row>
    <row r="105" spans="1:44" ht="15" customHeight="1">
      <c r="A105" s="59"/>
      <c r="B105" s="215"/>
      <c r="C105" s="277"/>
      <c r="D105" s="55"/>
      <c r="E105" s="196"/>
      <c r="F105" s="651"/>
      <c r="G105" s="42"/>
      <c r="H105" s="539"/>
      <c r="I105" s="539"/>
      <c r="J105" s="539"/>
      <c r="K105" s="539"/>
      <c r="L105" s="539"/>
      <c r="M105" s="539"/>
      <c r="N105" s="539"/>
      <c r="O105" s="539"/>
      <c r="P105" s="278"/>
      <c r="Q105" s="539"/>
      <c r="R105" s="43"/>
      <c r="S105" s="43"/>
      <c r="T105" s="43"/>
      <c r="U105" s="43"/>
      <c r="V105" s="43"/>
      <c r="W105" s="539"/>
      <c r="X105" s="539"/>
      <c r="Y105" s="43"/>
      <c r="Z105" s="43"/>
      <c r="AA105" s="43"/>
      <c r="AB105" s="43"/>
      <c r="AC105" s="539"/>
      <c r="AD105" s="43"/>
      <c r="AE105" s="43"/>
      <c r="AF105" s="238"/>
      <c r="AG105" s="238"/>
      <c r="AH105" s="238"/>
      <c r="AI105" s="238"/>
      <c r="AJ105" s="238"/>
      <c r="AK105" s="43"/>
      <c r="AL105" s="45"/>
      <c r="AM105" s="197">
        <f>IF(AQ105=1,SUM(H105:I105,L105:O105,R105:U105,X105:AA105,AD105:AG105,AI105:AK105),
IF(AQ105=2,SUM(H105:K105,N105:Q105,T105:W105,Z105:AC105,AF105:AI105),
IF(AQ105=3,SUM(J105:M105,P105:S105,V105:Y105,AB105:AE105,AH105:AK105),SUM(Таблица1[[#This Row],[1]:[31]])-Таблица1[[#This Row],[Столбец1]])))</f>
        <v>0</v>
      </c>
      <c r="AN105" s="269">
        <f t="array" ref="AN105">IF(AQ105=1,SUM(J105:K105,P105:Q105,V105:W105,AB105:AC105,AH105:AI105),
IF(AQ105=2,SUM(L105:M105,R105:S105,X105:Y105,AD105:AE105),
IF(AQ105=3,SUM(H105:I105,N105:O105,T105:U105,Z105:AA105,AF105:AG105),
SUM(IFERROR(WEEKDAY($H$2:$AL$2,2)&gt;5,)*H105:AL105))))</f>
        <v>0</v>
      </c>
      <c r="AO105" s="271" t="b">
        <f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696" t="b">
        <f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678" t="str">
        <f>IFERROR(INDEX(база!T:T, MATCH(F105,база!Q:Q,0)),"")</f>
        <v/>
      </c>
      <c r="AR105" s="193">
        <f>IFERROR(INDEX(база!D:D, MATCH(F105,база!B:B,0)),"")</f>
        <v>0</v>
      </c>
    </row>
    <row r="106" spans="1:44" ht="15">
      <c r="A106" s="59"/>
      <c r="B106" s="215"/>
      <c r="C106" s="54"/>
      <c r="D106" s="55"/>
      <c r="E106" s="196"/>
      <c r="F106" s="651"/>
      <c r="G106" s="42"/>
      <c r="H106" s="539"/>
      <c r="I106" s="539"/>
      <c r="J106" s="539"/>
      <c r="K106" s="539"/>
      <c r="L106" s="539"/>
      <c r="M106" s="539"/>
      <c r="N106" s="539"/>
      <c r="O106" s="539"/>
      <c r="P106" s="43"/>
      <c r="Q106" s="43"/>
      <c r="R106" s="43"/>
      <c r="S106" s="43"/>
      <c r="T106" s="43"/>
      <c r="U106" s="43"/>
      <c r="V106" s="43"/>
      <c r="W106" s="539"/>
      <c r="X106" s="539"/>
      <c r="Y106" s="539"/>
      <c r="Z106" s="539"/>
      <c r="AA106" s="539"/>
      <c r="AB106" s="539"/>
      <c r="AC106" s="539"/>
      <c r="AD106" s="43"/>
      <c r="AE106" s="43"/>
      <c r="AF106" s="238"/>
      <c r="AG106" s="238"/>
      <c r="AH106" s="238"/>
      <c r="AI106" s="238"/>
      <c r="AJ106" s="238"/>
      <c r="AK106" s="43"/>
      <c r="AL106" s="45"/>
      <c r="AM106" s="197">
        <f>IF(AQ106=1,SUM(H106:I106,L106:O106,R106:U106,X106:AA106,AD106:AG106,AI106:AK106),
IF(AQ106=2,SUM(H106:K106,N106:Q106,T106:W106,Z106:AC106,AF106:AI106),
IF(AQ106=3,SUM(J106:M106,P106:S106,V106:Y106,AB106:AE106,AH106:AK106),SUM(Таблица1[[#This Row],[1]:[31]])-Таблица1[[#This Row],[Столбец1]])))</f>
        <v>0</v>
      </c>
      <c r="AN106" s="269">
        <f t="array" ref="AN106">IF(AQ106=1,SUM(J106:K106,P106:Q106,V106:W106,AB106:AC106,AH106:AI106),
IF(AQ106=2,SUM(L106:M106,R106:S106,X106:Y106,AD106:AE106),
IF(AQ106=3,SUM(H106:I106,N106:O106,T106:U106,Z106:AA106,AF106:AG106),
SUM(IFERROR(WEEKDAY($H$2:$AL$2,2)&gt;5,)*H106:AL106))))</f>
        <v>0</v>
      </c>
      <c r="AO106" s="271" t="b">
        <f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696" t="b">
        <f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678" t="str">
        <f>IFERROR(INDEX(база!T:T, MATCH(F106,база!Q:Q,0)),"")</f>
        <v/>
      </c>
      <c r="AR106" s="193">
        <f>IFERROR(INDEX(база!D:D, MATCH(F106,база!B:B,0)),"")</f>
        <v>0</v>
      </c>
    </row>
    <row r="107" spans="1:44" ht="15">
      <c r="A107" s="59"/>
      <c r="B107" s="215"/>
      <c r="C107" s="54"/>
      <c r="D107" s="55"/>
      <c r="E107" s="196"/>
      <c r="F107" s="651"/>
      <c r="G107" s="42"/>
      <c r="H107" s="539"/>
      <c r="I107" s="539"/>
      <c r="J107" s="539"/>
      <c r="K107" s="539"/>
      <c r="L107" s="539"/>
      <c r="M107" s="539"/>
      <c r="N107" s="539"/>
      <c r="O107" s="539"/>
      <c r="P107" s="278"/>
      <c r="Q107" s="539"/>
      <c r="R107" s="539"/>
      <c r="S107" s="539"/>
      <c r="T107" s="539"/>
      <c r="U107" s="539"/>
      <c r="V107" s="539"/>
      <c r="W107" s="539"/>
      <c r="X107" s="539"/>
      <c r="Y107" s="539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5"/>
      <c r="AM107" s="197">
        <f>IF(AQ107=1,SUM(H107:I107,L107:O107,R107:U107,X107:AA107,AD107:AG107,AI107:AK107),
IF(AQ107=2,SUM(H107:K107,N107:Q107,T107:W107,Z107:AC107,AF107:AI107),
IF(AQ107=3,SUM(J107:M107,P107:S107,V107:Y107,AB107:AE107,AH107:AK107),SUM(Таблица1[[#This Row],[1]:[31]])-Таблица1[[#This Row],[Столбец1]])))</f>
        <v>0</v>
      </c>
      <c r="AN107" s="269">
        <f t="array" ref="AN107">IF(AQ107=1,SUM(J107:K107,P107:Q107,V107:W107,AB107:AC107,AH107:AI107),
IF(AQ107=2,SUM(L107:M107,R107:S107,X107:Y107,AD107:AE107),
IF(AQ107=3,SUM(H107:I107,N107:O107,T107:U107,Z107:AA107,AF107:AG107),
SUM(IFERROR(WEEKDAY($H$2:$AL$2,2)&gt;5,)*H107:AL107))))</f>
        <v>0</v>
      </c>
      <c r="AO107" s="271" t="b">
        <f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696" t="b">
        <f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678" t="str">
        <f>IFERROR(INDEX(база!T:T, MATCH(F107,база!Q:Q,0)),"")</f>
        <v/>
      </c>
      <c r="AR107" s="193">
        <f>IFERROR(INDEX(база!D:D, MATCH(F107,база!B:B,0)),"")</f>
        <v>0</v>
      </c>
    </row>
    <row r="108" spans="1:44" ht="15">
      <c r="A108" s="59"/>
      <c r="B108" s="215"/>
      <c r="C108" s="54"/>
      <c r="D108" s="55"/>
      <c r="E108" s="196"/>
      <c r="F108" s="651"/>
      <c r="G108" s="42"/>
      <c r="H108" s="539"/>
      <c r="I108" s="539"/>
      <c r="J108" s="539"/>
      <c r="K108" s="539"/>
      <c r="L108" s="539"/>
      <c r="M108" s="539"/>
      <c r="N108" s="539"/>
      <c r="O108" s="539"/>
      <c r="P108" s="278"/>
      <c r="Q108" s="539"/>
      <c r="R108" s="43"/>
      <c r="S108" s="43"/>
      <c r="T108" s="43"/>
      <c r="U108" s="43"/>
      <c r="V108" s="43"/>
      <c r="W108" s="539"/>
      <c r="X108" s="539"/>
      <c r="Y108" s="539"/>
      <c r="Z108" s="539"/>
      <c r="AA108" s="539"/>
      <c r="AB108" s="539"/>
      <c r="AC108" s="539"/>
      <c r="AD108" s="43"/>
      <c r="AE108" s="43"/>
      <c r="AF108" s="238"/>
      <c r="AG108" s="238"/>
      <c r="AH108" s="238"/>
      <c r="AI108" s="238"/>
      <c r="AJ108" s="238"/>
      <c r="AK108" s="238"/>
      <c r="AL108" s="238"/>
      <c r="AM108" s="197">
        <f>IF(AQ108=1,SUM(H108:I108,L108:O108,R108:U108,X108:AA108,AD108:AG108,AI108:AK108),
IF(AQ108=2,SUM(H108:K108,N108:Q108,T108:W108,Z108:AC108,AF108:AI108),
IF(AQ108=3,SUM(J108:M108,P108:S108,V108:Y108,AB108:AE108,AH108:AK108),SUM(Таблица1[[#This Row],[1]:[31]])-Таблица1[[#This Row],[Столбец1]])))</f>
        <v>0</v>
      </c>
      <c r="AN108" s="269">
        <f t="array" ref="AN108">IF(AQ108=1,SUM(J108:K108,P108:Q108,V108:W108,AB108:AC108,AH108:AI108),
IF(AQ108=2,SUM(L108:M108,R108:S108,X108:Y108,AD108:AE108),
IF(AQ108=3,SUM(H108:I108,N108:O108,T108:U108,Z108:AA108,AF108:AG108),
SUM(IFERROR(WEEKDAY($H$2:$AL$2,2)&gt;5,)*H108:AL108))))</f>
        <v>0</v>
      </c>
      <c r="AO108" s="271" t="b">
        <f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696" t="b">
        <f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678" t="str">
        <f>IFERROR(INDEX(база!T:T, MATCH(F108,база!Q:Q,0)),"")</f>
        <v/>
      </c>
      <c r="AR108" s="193">
        <f>IFERROR(INDEX(база!D:D, MATCH(F108,база!B:B,0)),"")</f>
        <v>0</v>
      </c>
    </row>
    <row r="109" spans="1:44" ht="15">
      <c r="A109" s="59"/>
      <c r="B109" s="215"/>
      <c r="C109" s="54"/>
      <c r="D109" s="55"/>
      <c r="E109" s="196"/>
      <c r="F109" s="651"/>
      <c r="G109" s="42"/>
      <c r="H109" s="539"/>
      <c r="I109" s="539"/>
      <c r="J109" s="539"/>
      <c r="K109" s="539"/>
      <c r="L109" s="539"/>
      <c r="M109" s="539"/>
      <c r="N109" s="539"/>
      <c r="O109" s="539"/>
      <c r="P109" s="278"/>
      <c r="Q109" s="539"/>
      <c r="R109" s="539"/>
      <c r="S109" s="539"/>
      <c r="T109" s="539"/>
      <c r="U109" s="539"/>
      <c r="V109" s="539"/>
      <c r="W109" s="539"/>
      <c r="X109" s="539"/>
      <c r="Y109" s="539"/>
      <c r="Z109" s="539"/>
      <c r="AA109" s="539"/>
      <c r="AB109" s="539"/>
      <c r="AC109" s="539"/>
      <c r="AD109" s="43"/>
      <c r="AE109" s="43"/>
      <c r="AF109" s="43"/>
      <c r="AG109" s="43"/>
      <c r="AH109" s="43"/>
      <c r="AI109" s="43"/>
      <c r="AJ109" s="238"/>
      <c r="AK109" s="238"/>
      <c r="AL109" s="238"/>
      <c r="AM109" s="197">
        <f>IF(AQ109=1,SUM(H109:I109,L109:O109,R109:U109,X109:AA109,AD109:AG109,AI109:AK109),
IF(AQ109=2,SUM(H109:K109,N109:Q109,T109:W109,Z109:AC109,AF109:AI109),
IF(AQ109=3,SUM(J109:M109,P109:S109,V109:Y109,AB109:AE109,AH109:AK109),SUM(Таблица1[[#This Row],[1]:[31]])-Таблица1[[#This Row],[Столбец1]])))</f>
        <v>0</v>
      </c>
      <c r="AN109" s="269">
        <f t="array" ref="AN109">IF(AQ109=1,SUM(J109:K109,P109:Q109,V109:W109,AB109:AC109,AH109:AI109),
IF(AQ109=2,SUM(L109:M109,R109:S109,X109:Y109,AD109:AE109),
IF(AQ109=3,SUM(H109:I109,N109:O109,T109:U109,Z109:AA109,AF109:AG109),
SUM(IFERROR(WEEKDAY($H$2:$AL$2,2)&gt;5,)*H109:AL109))))</f>
        <v>0</v>
      </c>
      <c r="AO109" s="271" t="b">
        <f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696" t="b">
        <f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678" t="str">
        <f>IFERROR(INDEX(база!T:T, MATCH(F109,база!Q:Q,0)),"")</f>
        <v/>
      </c>
      <c r="AR109" s="193">
        <f>IFERROR(INDEX(база!D:D, MATCH(F109,база!B:B,0)),"")</f>
        <v>0</v>
      </c>
    </row>
    <row r="110" spans="1:44" ht="15">
      <c r="A110" s="59"/>
      <c r="B110" s="215"/>
      <c r="C110" s="54"/>
      <c r="D110" s="55"/>
      <c r="E110" s="196"/>
      <c r="F110" s="651"/>
      <c r="G110" s="42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43"/>
      <c r="Y110" s="43"/>
      <c r="Z110" s="43"/>
      <c r="AA110" s="43"/>
      <c r="AB110" s="539"/>
      <c r="AC110" s="539"/>
      <c r="AD110" s="43"/>
      <c r="AE110" s="43"/>
      <c r="AF110" s="43"/>
      <c r="AG110" s="43"/>
      <c r="AH110" s="43"/>
      <c r="AI110" s="43"/>
      <c r="AJ110" s="43"/>
      <c r="AK110" s="43"/>
      <c r="AL110" s="45"/>
      <c r="AM110" s="197">
        <f>IF(AQ110=1,SUM(H110:I110,L110:O110,R110:U110,X110:AA110,AD110:AG110,AI110:AK110),
IF(AQ110=2,SUM(H110:K110,N110:Q110,T110:W110,Z110:AC110,AF110:AI110),
IF(AQ110=3,SUM(J110:M110,P110:S110,V110:Y110,AB110:AE110,AH110:AK110),SUM(Таблица1[[#This Row],[1]:[31]])-Таблица1[[#This Row],[Столбец1]])))</f>
        <v>0</v>
      </c>
      <c r="AN110" s="269">
        <f t="array" ref="AN110">IF(AQ110=1,SUM(J110:K110,P110:Q110,V110:W110,AB110:AC110,AH110:AI110),
IF(AQ110=2,SUM(L110:M110,R110:S110,X110:Y110,AD110:AE110),
IF(AQ110=3,SUM(H110:I110,N110:O110,T110:U110,Z110:AA110,AF110:AG110),
SUM(IFERROR(WEEKDAY($H$2:$AL$2,2)&gt;5,)*H110:AL110))))</f>
        <v>0</v>
      </c>
      <c r="AO110" s="271" t="b">
        <f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696" t="b">
        <f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678" t="str">
        <f>IFERROR(INDEX(база!T:T, MATCH(F110,база!Q:Q,0)),"")</f>
        <v/>
      </c>
      <c r="AR110" s="193">
        <f>IFERROR(INDEX(база!D:D, MATCH(F110,база!B:B,0)),"")</f>
        <v>0</v>
      </c>
    </row>
    <row r="111" spans="1:44" ht="15">
      <c r="A111" s="59"/>
      <c r="B111" s="215"/>
      <c r="C111" s="54"/>
      <c r="D111" s="55"/>
      <c r="E111" s="196"/>
      <c r="F111" s="651"/>
      <c r="G111" s="42"/>
      <c r="H111" s="539"/>
      <c r="I111" s="539"/>
      <c r="J111" s="539"/>
      <c r="K111" s="539"/>
      <c r="L111" s="539"/>
      <c r="M111" s="539"/>
      <c r="N111" s="539"/>
      <c r="O111" s="539"/>
      <c r="P111" s="539"/>
      <c r="Q111" s="539"/>
      <c r="R111" s="539"/>
      <c r="S111" s="539"/>
      <c r="T111" s="539"/>
      <c r="U111" s="539"/>
      <c r="V111" s="539"/>
      <c r="W111" s="539"/>
      <c r="X111" s="539"/>
      <c r="Y111" s="539"/>
      <c r="Z111" s="539"/>
      <c r="AA111" s="539"/>
      <c r="AB111" s="539"/>
      <c r="AC111" s="539"/>
      <c r="AD111" s="43"/>
      <c r="AE111" s="43"/>
      <c r="AF111" s="43"/>
      <c r="AG111" s="43"/>
      <c r="AH111" s="43"/>
      <c r="AI111" s="43"/>
      <c r="AJ111" s="43"/>
      <c r="AK111" s="43"/>
      <c r="AL111" s="238"/>
      <c r="AM111" s="197">
        <f>IF(AQ111=1,SUM(H111:I111,L111:O111,R111:U111,X111:AA111,AD111:AG111,AI111:AK111),
IF(AQ111=2,SUM(H111:K111,N111:Q111,T111:W111,Z111:AC111,AF111:AI111),
IF(AQ111=3,SUM(J111:M111,P111:S111,V111:Y111,AB111:AE111,AH111:AK111),SUM(Таблица1[[#This Row],[1]:[31]])-Таблица1[[#This Row],[Столбец1]])))</f>
        <v>0</v>
      </c>
      <c r="AN111" s="269">
        <f t="array" ref="AN111">IF(AQ111=1,SUM(J111:K111,P111:Q111,V111:W111,AB111:AC111,AH111:AI111),
IF(AQ111=2,SUM(L111:M111,R111:S111,X111:Y111,AD111:AE111),
IF(AQ111=3,SUM(H111:I111,N111:O111,T111:U111,Z111:AA111,AF111:AG111),
SUM(IFERROR(WEEKDAY($H$2:$AL$2,2)&gt;5,)*H111:AL111))))</f>
        <v>0</v>
      </c>
      <c r="AO111" s="271" t="b">
        <f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696" t="b">
        <f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678" t="str">
        <f>IFERROR(INDEX(база!T:T, MATCH(F111,база!Q:Q,0)),"")</f>
        <v/>
      </c>
      <c r="AR111" s="193">
        <f>IFERROR(INDEX(база!D:D, MATCH(F111,база!B:B,0)),"")</f>
        <v>0</v>
      </c>
    </row>
    <row r="112" spans="1:44" ht="15">
      <c r="A112" s="59"/>
      <c r="B112" s="215"/>
      <c r="C112" s="54"/>
      <c r="D112" s="55"/>
      <c r="E112" s="196"/>
      <c r="F112" s="651"/>
      <c r="G112" s="42"/>
      <c r="H112" s="539"/>
      <c r="I112" s="539"/>
      <c r="J112" s="539"/>
      <c r="K112" s="539"/>
      <c r="L112" s="539"/>
      <c r="M112" s="539"/>
      <c r="N112" s="539"/>
      <c r="O112" s="539"/>
      <c r="P112" s="43"/>
      <c r="Q112" s="43"/>
      <c r="R112" s="539"/>
      <c r="S112" s="539"/>
      <c r="T112" s="43"/>
      <c r="U112" s="43"/>
      <c r="V112" s="43"/>
      <c r="W112" s="43"/>
      <c r="X112" s="539"/>
      <c r="Y112" s="539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238"/>
      <c r="AK112" s="238"/>
      <c r="AL112" s="238"/>
      <c r="AM112" s="197">
        <f>IF(AQ112=1,SUM(H112:I112,L112:O112,R112:U112,X112:AA112,AD112:AG112,AI112:AK112),
IF(AQ112=2,SUM(H112:K112,N112:Q112,T112:W112,Z112:AC112,AF112:AI112),
IF(AQ112=3,SUM(J112:M112,P112:S112,V112:Y112,AB112:AE112,AH112:AK112),SUM(Таблица1[[#This Row],[1]:[31]])-Таблица1[[#This Row],[Столбец1]])))</f>
        <v>0</v>
      </c>
      <c r="AN112" s="269">
        <f t="array" ref="AN112">IF(AQ112=1,SUM(J112:K112,P112:Q112,V112:W112,AB112:AC112,AH112:AI112),
IF(AQ112=2,SUM(L112:M112,R112:S112,X112:Y112,AD112:AE112),
IF(AQ112=3,SUM(H112:I112,N112:O112,T112:U112,Z112:AA112,AF112:AG112),
SUM(IFERROR(WEEKDAY($H$2:$AL$2,2)&gt;5,)*H112:AL112))))</f>
        <v>0</v>
      </c>
      <c r="AO112" s="271" t="b">
        <f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696" t="b">
        <f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678" t="str">
        <f>IFERROR(INDEX(база!T:T, MATCH(F112,база!Q:Q,0)),"")</f>
        <v/>
      </c>
      <c r="AR112" s="193">
        <f>IFERROR(INDEX(база!D:D, MATCH(F112,база!B:B,0)),"")</f>
        <v>0</v>
      </c>
    </row>
    <row r="113" spans="1:44" ht="15">
      <c r="A113" s="59"/>
      <c r="B113" s="215"/>
      <c r="C113" s="54"/>
      <c r="D113" s="55"/>
      <c r="E113" s="196"/>
      <c r="F113" s="651"/>
      <c r="G113" s="42"/>
      <c r="H113" s="539"/>
      <c r="I113" s="539"/>
      <c r="J113" s="539"/>
      <c r="K113" s="539"/>
      <c r="L113" s="539"/>
      <c r="M113" s="539"/>
      <c r="N113" s="539"/>
      <c r="O113" s="539"/>
      <c r="P113" s="278"/>
      <c r="Q113" s="539"/>
      <c r="R113" s="539"/>
      <c r="S113" s="539"/>
      <c r="T113" s="43"/>
      <c r="U113" s="43"/>
      <c r="V113" s="43"/>
      <c r="W113" s="43"/>
      <c r="X113" s="539"/>
      <c r="Y113" s="539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238"/>
      <c r="AK113" s="238"/>
      <c r="AL113" s="238"/>
      <c r="AM113" s="197">
        <f>IF(AQ113=1,SUM(H113:I113,L113:O113,R113:U113,X113:AA113,AD113:AG113,AI113:AK113),
IF(AQ113=2,SUM(H113:K113,N113:Q113,T113:W113,Z113:AC113,AF113:AI113),
IF(AQ113=3,SUM(J113:M113,P113:S113,V113:Y113,AB113:AE113,AH113:AK113),SUM(Таблица1[[#This Row],[1]:[31]])-Таблица1[[#This Row],[Столбец1]])))</f>
        <v>0</v>
      </c>
      <c r="AN113" s="269">
        <f t="array" ref="AN113">IF(AQ113=1,SUM(J113:K113,P113:Q113,V113:W113,AB113:AC113,AH113:AI113),
IF(AQ113=2,SUM(L113:M113,R113:S113,X113:Y113,AD113:AE113),
IF(AQ113=3,SUM(H113:I113,N113:O113,T113:U113,Z113:AA113,AF113:AG113),
SUM(IFERROR(WEEKDAY($H$2:$AL$2,2)&gt;5,)*H113:AL113))))</f>
        <v>0</v>
      </c>
      <c r="AO113" s="271" t="b">
        <f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696" t="b">
        <f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678" t="str">
        <f>IFERROR(INDEX(база!T:T, MATCH(F113,база!Q:Q,0)),"")</f>
        <v/>
      </c>
      <c r="AR113" s="193">
        <f>IFERROR(INDEX(база!D:D, MATCH(F113,база!B:B,0)),"")</f>
        <v>0</v>
      </c>
    </row>
    <row r="114" spans="1:44" ht="15">
      <c r="A114" s="59"/>
      <c r="B114" s="215"/>
      <c r="C114" s="54"/>
      <c r="D114" s="55"/>
      <c r="E114" s="196"/>
      <c r="F114" s="651"/>
      <c r="G114" s="42"/>
      <c r="H114" s="539"/>
      <c r="I114" s="539"/>
      <c r="J114" s="539"/>
      <c r="K114" s="539"/>
      <c r="L114" s="539"/>
      <c r="M114" s="539"/>
      <c r="N114" s="539"/>
      <c r="O114" s="539"/>
      <c r="P114" s="278"/>
      <c r="Q114" s="539"/>
      <c r="R114" s="539"/>
      <c r="S114" s="539"/>
      <c r="T114" s="539"/>
      <c r="U114" s="539"/>
      <c r="V114" s="539"/>
      <c r="W114" s="539"/>
      <c r="X114" s="539"/>
      <c r="Y114" s="539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238"/>
      <c r="AK114" s="238"/>
      <c r="AL114" s="238"/>
      <c r="AM114" s="197">
        <f>IF(AQ114=1,SUM(H114:I114,L114:O114,R114:U114,X114:AA114,AD114:AG114,AI114:AK114),
IF(AQ114=2,SUM(H114:K114,N114:Q114,T114:W114,Z114:AC114,AF114:AI114),
IF(AQ114=3,SUM(J114:M114,P114:S114,V114:Y114,AB114:AE114,AH114:AK114),SUM(Таблица1[[#This Row],[1]:[31]])-Таблица1[[#This Row],[Столбец1]])))</f>
        <v>0</v>
      </c>
      <c r="AN114" s="269">
        <f t="array" ref="AN114">IF(AQ114=1,SUM(J114:K114,P114:Q114,V114:W114,AB114:AC114,AH114:AI114),
IF(AQ114=2,SUM(L114:M114,R114:S114,X114:Y114,AD114:AE114),
IF(AQ114=3,SUM(H114:I114,N114:O114,T114:U114,Z114:AA114,AF114:AG114),
SUM(IFERROR(WEEKDAY($H$2:$AL$2,2)&gt;5,)*H114:AL114))))</f>
        <v>0</v>
      </c>
      <c r="AO114" s="271" t="b">
        <f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696" t="b">
        <f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678" t="str">
        <f>IFERROR(INDEX(база!T:T, MATCH(F114,база!Q:Q,0)),"")</f>
        <v/>
      </c>
      <c r="AR114" s="193">
        <f>IFERROR(INDEX(база!D:D, MATCH(F114,база!B:B,0)),"")</f>
        <v>0</v>
      </c>
    </row>
    <row r="115" spans="1:44" ht="15">
      <c r="A115" s="59"/>
      <c r="B115" s="215"/>
      <c r="C115" s="54"/>
      <c r="D115" s="55"/>
      <c r="E115" s="196"/>
      <c r="F115" s="651"/>
      <c r="G115" s="42"/>
      <c r="H115" s="539"/>
      <c r="I115" s="539"/>
      <c r="J115" s="539"/>
      <c r="K115" s="539"/>
      <c r="L115" s="539"/>
      <c r="M115" s="539"/>
      <c r="N115" s="539"/>
      <c r="O115" s="539"/>
      <c r="P115" s="278"/>
      <c r="Q115" s="539"/>
      <c r="R115" s="539"/>
      <c r="S115" s="539"/>
      <c r="T115" s="539"/>
      <c r="U115" s="539"/>
      <c r="V115" s="539"/>
      <c r="W115" s="539"/>
      <c r="X115" s="539"/>
      <c r="Y115" s="539"/>
      <c r="Z115" s="539"/>
      <c r="AA115" s="539"/>
      <c r="AB115" s="539"/>
      <c r="AC115" s="539"/>
      <c r="AD115" s="43"/>
      <c r="AE115" s="43"/>
      <c r="AF115" s="43"/>
      <c r="AG115" s="43"/>
      <c r="AH115" s="43"/>
      <c r="AI115" s="43"/>
      <c r="AJ115" s="238"/>
      <c r="AK115" s="238"/>
      <c r="AL115" s="238"/>
      <c r="AM115" s="197">
        <f>IF(AQ115=1,SUM(H115:I115,L115:O115,R115:U115,X115:AA115,AD115:AG115,AI115:AK115),
IF(AQ115=2,SUM(H115:K115,N115:Q115,T115:W115,Z115:AC115,AF115:AI115),
IF(AQ115=3,SUM(J115:M115,P115:S115,V115:Y115,AB115:AE115,AH115:AK115),SUM(Таблица1[[#This Row],[1]:[31]])-Таблица1[[#This Row],[Столбец1]])))</f>
        <v>0</v>
      </c>
      <c r="AN115" s="269">
        <f t="array" ref="AN115">IF(AQ115=1,SUM(J115:K115,P115:Q115,V115:W115,AB115:AC115,AH115:AI115),
IF(AQ115=2,SUM(L115:M115,R115:S115,X115:Y115,AD115:AE115),
IF(AQ115=3,SUM(H115:I115,N115:O115,T115:U115,Z115:AA115,AF115:AG115),
SUM(IFERROR(WEEKDAY($H$2:$AL$2,2)&gt;5,)*H115:AL115))))</f>
        <v>0</v>
      </c>
      <c r="AO115" s="271" t="b">
        <f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696" t="b">
        <f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678" t="str">
        <f>IFERROR(INDEX(база!T:T, MATCH(F115,база!Q:Q,0)),"")</f>
        <v/>
      </c>
      <c r="AR115" s="193">
        <f>IFERROR(INDEX(база!D:D, MATCH(F115,база!B:B,0)),"")</f>
        <v>0</v>
      </c>
    </row>
    <row r="116" spans="1:44" ht="15">
      <c r="A116" s="59"/>
      <c r="B116" s="215"/>
      <c r="C116" s="54"/>
      <c r="D116" s="55"/>
      <c r="E116" s="196"/>
      <c r="F116" s="651"/>
      <c r="G116" s="42"/>
      <c r="H116" s="539"/>
      <c r="I116" s="539"/>
      <c r="J116" s="539"/>
      <c r="K116" s="539"/>
      <c r="L116" s="539"/>
      <c r="M116" s="539"/>
      <c r="N116" s="539"/>
      <c r="O116" s="539"/>
      <c r="P116" s="278"/>
      <c r="Q116" s="539"/>
      <c r="R116" s="539"/>
      <c r="S116" s="539"/>
      <c r="T116" s="539"/>
      <c r="U116" s="539"/>
      <c r="V116" s="539"/>
      <c r="W116" s="539"/>
      <c r="X116" s="539"/>
      <c r="Y116" s="539"/>
      <c r="Z116" s="539"/>
      <c r="AA116" s="539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238"/>
      <c r="AM116" s="197">
        <f>IF(AQ116=1,SUM(H116:I116,L116:O116,R116:U116,X116:AA116,AD116:AG116,AI116:AK116),
IF(AQ116=2,SUM(H116:K116,N116:Q116,T116:W116,Z116:AC116,AF116:AI116),
IF(AQ116=3,SUM(J116:M116,P116:S116,V116:Y116,AB116:AE116,AH116:AK116),SUM(Таблица1[[#This Row],[1]:[31]])-Таблица1[[#This Row],[Столбец1]])))</f>
        <v>0</v>
      </c>
      <c r="AN116" s="269">
        <f t="array" ref="AN116">IF(AQ116=1,SUM(J116:K116,P116:Q116,V116:W116,AB116:AC116,AH116:AI116),
IF(AQ116=2,SUM(L116:M116,R116:S116,X116:Y116,AD116:AE116),
IF(AQ116=3,SUM(H116:I116,N116:O116,T116:U116,Z116:AA116,AF116:AG116),
SUM(IFERROR(WEEKDAY($H$2:$AL$2,2)&gt;5,)*H116:AL116))))</f>
        <v>0</v>
      </c>
      <c r="AO116" s="271" t="b">
        <f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696" t="b">
        <f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678" t="str">
        <f>IFERROR(INDEX(база!T:T, MATCH(F116,база!Q:Q,0)),"")</f>
        <v/>
      </c>
      <c r="AR116" s="193">
        <f>IFERROR(INDEX(база!D:D, MATCH(F116,база!B:B,0)),"")</f>
        <v>0</v>
      </c>
    </row>
    <row r="117" spans="1:44" ht="15">
      <c r="A117" s="59"/>
      <c r="B117" s="215"/>
      <c r="C117" s="277"/>
      <c r="D117" s="55"/>
      <c r="E117" s="196"/>
      <c r="F117" s="651"/>
      <c r="G117" s="42"/>
      <c r="H117" s="539"/>
      <c r="I117" s="539"/>
      <c r="J117" s="539"/>
      <c r="K117" s="539"/>
      <c r="L117" s="539"/>
      <c r="M117" s="539"/>
      <c r="N117" s="539"/>
      <c r="O117" s="539"/>
      <c r="P117" s="278"/>
      <c r="Q117" s="539"/>
      <c r="R117" s="539"/>
      <c r="S117" s="539"/>
      <c r="T117" s="539"/>
      <c r="U117" s="539"/>
      <c r="V117" s="539"/>
      <c r="W117" s="539"/>
      <c r="X117" s="539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238"/>
      <c r="AL117" s="238"/>
      <c r="AM117" s="197">
        <f>IF(AQ117=1,SUM(H117:I117,L117:O117,R117:U117,X117:AA117,AD117:AG117,AI117:AK117),
IF(AQ117=2,SUM(H117:K117,N117:Q117,T117:W117,Z117:AC117,AF117:AI117),
IF(AQ117=3,SUM(J117:M117,P117:S117,V117:Y117,AB117:AE117,AH117:AK117),SUM(Таблица1[[#This Row],[1]:[31]])-Таблица1[[#This Row],[Столбец1]])))</f>
        <v>0</v>
      </c>
      <c r="AN117" s="269">
        <f t="array" ref="AN117">IF(AQ117=1,SUM(J117:K117,P117:Q117,V117:W117,AB117:AC117,AH117:AI117),
IF(AQ117=2,SUM(L117:M117,R117:S117,X117:Y117,AD117:AE117),
IF(AQ117=3,SUM(H117:I117,N117:O117,T117:U117,Z117:AA117,AF117:AG117),
SUM(IFERROR(WEEKDAY($H$2:$AL$2,2)&gt;5,)*H117:AL117))))</f>
        <v>0</v>
      </c>
      <c r="AO117" s="271" t="b">
        <f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696" t="b">
        <f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678" t="str">
        <f>IFERROR(INDEX(база!T:T, MATCH(F117,база!Q:Q,0)),"")</f>
        <v/>
      </c>
      <c r="AR117" s="193">
        <f>IFERROR(INDEX(база!D:D, MATCH(F117,база!B:B,0)),"")</f>
        <v>0</v>
      </c>
    </row>
    <row r="118" spans="1:44" ht="15">
      <c r="A118" s="59"/>
      <c r="B118" s="215"/>
      <c r="C118" s="54"/>
      <c r="D118" s="55"/>
      <c r="E118" s="196"/>
      <c r="F118" s="651"/>
      <c r="G118" s="42"/>
      <c r="H118" s="539"/>
      <c r="I118" s="539"/>
      <c r="J118" s="539"/>
      <c r="K118" s="539"/>
      <c r="L118" s="539"/>
      <c r="M118" s="539"/>
      <c r="N118" s="539"/>
      <c r="O118" s="539"/>
      <c r="P118" s="278"/>
      <c r="Q118" s="539"/>
      <c r="R118" s="539"/>
      <c r="S118" s="539"/>
      <c r="T118" s="539"/>
      <c r="U118" s="539"/>
      <c r="V118" s="539"/>
      <c r="W118" s="539"/>
      <c r="X118" s="539"/>
      <c r="Y118" s="539"/>
      <c r="Z118" s="539"/>
      <c r="AA118" s="539"/>
      <c r="AB118" s="539"/>
      <c r="AC118" s="539"/>
      <c r="AD118" s="43"/>
      <c r="AE118" s="43"/>
      <c r="AF118" s="43"/>
      <c r="AG118" s="43"/>
      <c r="AH118" s="43"/>
      <c r="AI118" s="43"/>
      <c r="AJ118" s="43"/>
      <c r="AK118" s="43"/>
      <c r="AL118" s="45"/>
      <c r="AM118" s="197">
        <f>IF(AQ118=1,SUM(H118:I118,L118:O118,R118:U118,X118:AA118,AD118:AG118,AI118:AK118),
IF(AQ118=2,SUM(H118:K118,N118:Q118,T118:W118,Z118:AC118,AF118:AI118),
IF(AQ118=3,SUM(J118:M118,P118:S118,V118:Y118,AB118:AE118,AH118:AK118),SUM(Таблица1[[#This Row],[1]:[31]])-Таблица1[[#This Row],[Столбец1]])))</f>
        <v>0</v>
      </c>
      <c r="AN118" s="269">
        <f t="array" ref="AN118">IF(AQ118=1,SUM(J118:K118,P118:Q118,V118:W118,AB118:AC118,AH118:AI118),
IF(AQ118=2,SUM(L118:M118,R118:S118,X118:Y118,AD118:AE118),
IF(AQ118=3,SUM(H118:I118,N118:O118,T118:U118,Z118:AA118,AF118:AG118),
SUM(IFERROR(WEEKDAY($H$2:$AL$2,2)&gt;5,)*H118:AL118))))</f>
        <v>0</v>
      </c>
      <c r="AO118" s="271" t="b">
        <f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696" t="b">
        <f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678" t="str">
        <f>IFERROR(INDEX(база!T:T, MATCH(F118,база!Q:Q,0)),"")</f>
        <v/>
      </c>
      <c r="AR118" s="193">
        <f>IFERROR(INDEX(база!D:D, MATCH(F118,база!B:B,0)),"")</f>
        <v>0</v>
      </c>
    </row>
    <row r="119" spans="1:44" ht="15">
      <c r="A119" s="59"/>
      <c r="B119" s="215"/>
      <c r="C119" s="54"/>
      <c r="D119" s="55"/>
      <c r="E119" s="196"/>
      <c r="F119" s="651"/>
      <c r="G119" s="42"/>
      <c r="H119" s="539"/>
      <c r="I119" s="539"/>
      <c r="J119" s="539"/>
      <c r="K119" s="539"/>
      <c r="L119" s="539"/>
      <c r="M119" s="539"/>
      <c r="N119" s="539"/>
      <c r="O119" s="539"/>
      <c r="P119" s="539"/>
      <c r="Q119" s="539"/>
      <c r="R119" s="539"/>
      <c r="S119" s="539"/>
      <c r="T119" s="539"/>
      <c r="U119" s="539"/>
      <c r="V119" s="539"/>
      <c r="W119" s="539"/>
      <c r="X119" s="43"/>
      <c r="Y119" s="43"/>
      <c r="Z119" s="43"/>
      <c r="AA119" s="43"/>
      <c r="AB119" s="43"/>
      <c r="AC119" s="43"/>
      <c r="AD119" s="43"/>
      <c r="AE119" s="43"/>
      <c r="AF119" s="238"/>
      <c r="AG119" s="238"/>
      <c r="AH119" s="238"/>
      <c r="AI119" s="238"/>
      <c r="AJ119" s="238"/>
      <c r="AK119" s="238"/>
      <c r="AL119" s="238"/>
      <c r="AM119" s="197">
        <f>IF(AQ119=1,SUM(H119:I119,L119:O119,R119:U119,X119:AA119,AD119:AG119,AI119:AK119),
IF(AQ119=2,SUM(H119:K119,N119:Q119,T119:W119,Z119:AC119,AF119:AI119),
IF(AQ119=3,SUM(J119:M119,P119:S119,V119:Y119,AB119:AE119,AH119:AK119),SUM(Таблица1[[#This Row],[1]:[31]])-Таблица1[[#This Row],[Столбец1]])))</f>
        <v>0</v>
      </c>
      <c r="AN119" s="269">
        <f t="array" ref="AN119">IF(AQ119=1,SUM(J119:K119,P119:Q119,V119:W119,AB119:AC119,AH119:AI119),
IF(AQ119=2,SUM(L119:M119,R119:S119,X119:Y119,AD119:AE119),
IF(AQ119=3,SUM(H119:I119,N119:O119,T119:U119,Z119:AA119,AF119:AG119),
SUM(IFERROR(WEEKDAY($H$2:$AL$2,2)&gt;5,)*H119:AL119))))</f>
        <v>0</v>
      </c>
      <c r="AO119" s="271" t="b">
        <f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696" t="b">
        <f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678" t="str">
        <f>IFERROR(INDEX(база!T:T, MATCH(F119,база!Q:Q,0)),"")</f>
        <v/>
      </c>
      <c r="AR119" s="193">
        <f>IFERROR(INDEX(база!D:D, MATCH(F119,база!B:B,0)),"")</f>
        <v>0</v>
      </c>
    </row>
    <row r="120" spans="1:44" ht="15">
      <c r="A120" s="59"/>
      <c r="B120" s="215"/>
      <c r="C120" s="277"/>
      <c r="D120" s="55"/>
      <c r="E120" s="196"/>
      <c r="F120" s="651"/>
      <c r="G120" s="42"/>
      <c r="H120" s="539"/>
      <c r="I120" s="539"/>
      <c r="J120" s="539"/>
      <c r="K120" s="539"/>
      <c r="L120" s="539"/>
      <c r="M120" s="539"/>
      <c r="N120" s="539"/>
      <c r="O120" s="539"/>
      <c r="P120" s="278"/>
      <c r="Q120" s="539"/>
      <c r="R120" s="539"/>
      <c r="S120" s="539"/>
      <c r="T120" s="539"/>
      <c r="U120" s="539"/>
      <c r="V120" s="539"/>
      <c r="W120" s="539"/>
      <c r="X120" s="539"/>
      <c r="Y120" s="539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238"/>
      <c r="AK120" s="238"/>
      <c r="AL120" s="238"/>
      <c r="AM120" s="197">
        <f>IF(AQ120=1,SUM(H120:I120,L120:O120,R120:U120,X120:AA120,AD120:AG120,AI120:AK120),
IF(AQ120=2,SUM(H120:K120,N120:Q120,T120:W120,Z120:AC120,AF120:AI120),
IF(AQ120=3,SUM(J120:M120,P120:S120,V120:Y120,AB120:AE120,AH120:AK120),SUM(Таблица1[[#This Row],[1]:[31]])-Таблица1[[#This Row],[Столбец1]])))</f>
        <v>0</v>
      </c>
      <c r="AN120" s="269">
        <f t="array" ref="AN120">IF(AQ120=1,SUM(J120:K120,P120:Q120,V120:W120,AB120:AC120,AH120:AI120),
IF(AQ120=2,SUM(L120:M120,R120:S120,X120:Y120,AD120:AE120),
IF(AQ120=3,SUM(H120:I120,N120:O120,T120:U120,Z120:AA120,AF120:AG120),
SUM(IFERROR(WEEKDAY($H$2:$AL$2,2)&gt;5,)*H120:AL120))))</f>
        <v>0</v>
      </c>
      <c r="AO120" s="271" t="b">
        <f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696" t="b">
        <f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678" t="str">
        <f>IFERROR(INDEX(база!T:T, MATCH(F120,база!Q:Q,0)),"")</f>
        <v/>
      </c>
      <c r="AR120" s="193">
        <f>IFERROR(INDEX(база!D:D, MATCH(F120,база!B:B,0)),"")</f>
        <v>0</v>
      </c>
    </row>
    <row r="121" spans="1:44" ht="15">
      <c r="A121" s="59"/>
      <c r="B121" s="215"/>
      <c r="C121" s="277"/>
      <c r="D121" s="55"/>
      <c r="E121" s="196"/>
      <c r="F121" s="651"/>
      <c r="G121" s="42"/>
      <c r="H121" s="539"/>
      <c r="I121" s="539"/>
      <c r="J121" s="539"/>
      <c r="K121" s="539"/>
      <c r="L121" s="539"/>
      <c r="M121" s="539"/>
      <c r="N121" s="539"/>
      <c r="O121" s="539"/>
      <c r="P121" s="278"/>
      <c r="Q121" s="539"/>
      <c r="R121" s="539"/>
      <c r="S121" s="539"/>
      <c r="T121" s="539"/>
      <c r="U121" s="539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238"/>
      <c r="AG121" s="238"/>
      <c r="AH121" s="238"/>
      <c r="AI121" s="238"/>
      <c r="AJ121" s="238"/>
      <c r="AK121" s="238"/>
      <c r="AL121" s="238"/>
      <c r="AM121" s="197">
        <f>IF(AQ121=1,SUM(H121:I121,L121:O121,R121:U121,X121:AA121,AD121:AG121,AI121:AK121),
IF(AQ121=2,SUM(H121:K121,N121:Q121,T121:W121,Z121:AC121,AF121:AI121),
IF(AQ121=3,SUM(J121:M121,P121:S121,V121:Y121,AB121:AE121,AH121:AK121),SUM(Таблица1[[#This Row],[1]:[31]])-Таблица1[[#This Row],[Столбец1]])))</f>
        <v>0</v>
      </c>
      <c r="AN121" s="269">
        <f t="array" ref="AN121">IF(AQ121=1,SUM(J121:K121,P121:Q121,V121:W121,AB121:AC121,AH121:AI121),
IF(AQ121=2,SUM(L121:M121,R121:S121,X121:Y121,AD121:AE121),
IF(AQ121=3,SUM(H121:I121,N121:O121,T121:U121,Z121:AA121,AF121:AG121),
SUM(IFERROR(WEEKDAY($H$2:$AL$2,2)&gt;5,)*H121:AL121))))</f>
        <v>0</v>
      </c>
      <c r="AO121" s="271" t="b">
        <f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696" t="b">
        <f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678" t="str">
        <f>IFERROR(INDEX(база!T:T, MATCH(F121,база!Q:Q,0)),"")</f>
        <v/>
      </c>
      <c r="AR121" s="193">
        <f>IFERROR(INDEX(база!D:D, MATCH(F121,база!B:B,0)),"")</f>
        <v>0</v>
      </c>
    </row>
    <row r="122" spans="1:44" ht="15">
      <c r="A122" s="59"/>
      <c r="B122" s="215"/>
      <c r="C122" s="277"/>
      <c r="D122" s="55"/>
      <c r="E122" s="196"/>
      <c r="F122" s="651"/>
      <c r="G122" s="42"/>
      <c r="H122" s="539"/>
      <c r="I122" s="539"/>
      <c r="J122" s="539"/>
      <c r="K122" s="43"/>
      <c r="L122" s="43"/>
      <c r="M122" s="43"/>
      <c r="N122" s="44"/>
      <c r="O122" s="43"/>
      <c r="P122" s="43"/>
      <c r="Q122" s="43"/>
      <c r="R122" s="43"/>
      <c r="S122" s="43"/>
      <c r="T122" s="43"/>
      <c r="U122" s="43"/>
      <c r="V122" s="43"/>
      <c r="W122" s="539"/>
      <c r="X122" s="539"/>
      <c r="Y122" s="43"/>
      <c r="Z122" s="43"/>
      <c r="AA122" s="43"/>
      <c r="AB122" s="43"/>
      <c r="AC122" s="43"/>
      <c r="AD122" s="43"/>
      <c r="AE122" s="43"/>
      <c r="AF122" s="238"/>
      <c r="AG122" s="238"/>
      <c r="AH122" s="238"/>
      <c r="AI122" s="238"/>
      <c r="AJ122" s="238"/>
      <c r="AK122" s="238"/>
      <c r="AL122" s="238"/>
      <c r="AM122" s="197">
        <f>IF(AQ122=1,SUM(H122:I122,L122:O122,R122:U122,X122:AA122,AD122:AG122,AI122:AK122),
IF(AQ122=2,SUM(H122:K122,N122:Q122,T122:W122,Z122:AC122,AF122:AI122),
IF(AQ122=3,SUM(J122:M122,P122:S122,V122:Y122,AB122:AE122,AH122:AK122),SUM(Таблица1[[#This Row],[1]:[31]])-Таблица1[[#This Row],[Столбец1]])))</f>
        <v>0</v>
      </c>
      <c r="AN122" s="269">
        <f t="array" ref="AN122">IF(AQ122=1,SUM(J122:K122,P122:Q122,V122:W122,AB122:AC122,AH122:AI122),
IF(AQ122=2,SUM(L122:M122,R122:S122,X122:Y122,AD122:AE122),
IF(AQ122=3,SUM(H122:I122,N122:O122,T122:U122,Z122:AA122,AF122:AG122),
SUM(IFERROR(WEEKDAY($H$2:$AL$2,2)&gt;5,)*H122:AL122))))</f>
        <v>0</v>
      </c>
      <c r="AO122" s="271" t="b">
        <f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696" t="b">
        <f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678" t="str">
        <f>IFERROR(INDEX(база!T:T, MATCH(F122,база!Q:Q,0)),"")</f>
        <v/>
      </c>
      <c r="AR122" s="193">
        <f>IFERROR(INDEX(база!D:D, MATCH(F122,база!B:B,0)),"")</f>
        <v>0</v>
      </c>
    </row>
    <row r="123" spans="1:44" ht="15">
      <c r="A123" s="59"/>
      <c r="B123" s="215"/>
      <c r="C123" s="277"/>
      <c r="D123" s="55"/>
      <c r="E123" s="196"/>
      <c r="F123" s="651"/>
      <c r="G123" s="42"/>
      <c r="H123" s="198"/>
      <c r="I123" s="43"/>
      <c r="J123" s="43"/>
      <c r="K123" s="43"/>
      <c r="L123" s="539"/>
      <c r="M123" s="539"/>
      <c r="N123" s="539"/>
      <c r="O123" s="539"/>
      <c r="P123" s="278"/>
      <c r="Q123" s="539"/>
      <c r="R123" s="539"/>
      <c r="S123" s="539"/>
      <c r="T123" s="539"/>
      <c r="U123" s="539"/>
      <c r="V123" s="539"/>
      <c r="W123" s="539"/>
      <c r="X123" s="539"/>
      <c r="Y123" s="539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238"/>
      <c r="AK123" s="43"/>
      <c r="AL123" s="45"/>
      <c r="AM123" s="197">
        <f>IF(AQ123=1,SUM(H123:I123,L123:O123,R123:U123,X123:AA123,AD123:AG123,AI123:AK123),
IF(AQ123=2,SUM(H123:K123,N123:Q123,T123:W123,Z123:AC123,AF123:AI123),
IF(AQ123=3,SUM(J123:M123,P123:S123,V123:Y123,AB123:AE123,AH123:AK123),SUM(Таблица1[[#This Row],[1]:[31]])-Таблица1[[#This Row],[Столбец1]])))</f>
        <v>0</v>
      </c>
      <c r="AN123" s="269">
        <f t="array" ref="AN123">IF(AQ123=1,SUM(J123:K123,P123:Q123,V123:W123,AB123:AC123,AH123:AI123),
IF(AQ123=2,SUM(L123:M123,R123:S123,X123:Y123,AD123:AE123),
IF(AQ123=3,SUM(H123:I123,N123:O123,T123:U123,Z123:AA123,AF123:AG123),
SUM(IFERROR(WEEKDAY($H$2:$AL$2,2)&gt;5,)*H123:AL123))))</f>
        <v>0</v>
      </c>
      <c r="AO123" s="271" t="b">
        <f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696" t="b">
        <f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678" t="str">
        <f>IFERROR(INDEX(база!T:T, MATCH(F123,база!Q:Q,0)),"")</f>
        <v/>
      </c>
      <c r="AR123" s="193">
        <f>IFERROR(INDEX(база!D:D, MATCH(F123,база!B:B,0)),"")</f>
        <v>0</v>
      </c>
    </row>
    <row r="124" spans="1:44" ht="15">
      <c r="A124" s="59"/>
      <c r="B124" s="215"/>
      <c r="C124" s="54"/>
      <c r="D124" s="55"/>
      <c r="E124" s="196"/>
      <c r="F124" s="651"/>
      <c r="G124" s="42"/>
      <c r="H124" s="539"/>
      <c r="I124" s="539"/>
      <c r="J124" s="539"/>
      <c r="K124" s="539"/>
      <c r="L124" s="539"/>
      <c r="M124" s="539"/>
      <c r="N124" s="539"/>
      <c r="O124" s="539"/>
      <c r="P124" s="278"/>
      <c r="Q124" s="539"/>
      <c r="R124" s="539"/>
      <c r="S124" s="539"/>
      <c r="T124" s="539"/>
      <c r="U124" s="539"/>
      <c r="V124" s="539"/>
      <c r="W124" s="539"/>
      <c r="X124" s="539"/>
      <c r="Y124" s="539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238"/>
      <c r="AK124" s="238"/>
      <c r="AL124" s="238"/>
      <c r="AM124" s="197">
        <f>IF(AQ124=1,SUM(H124:I124,L124:O124,R124:U124,X124:AA124,AD124:AG124,AI124:AK124),
IF(AQ124=2,SUM(H124:K124,N124:Q124,T124:W124,Z124:AC124,AF124:AI124),
IF(AQ124=3,SUM(J124:M124,P124:S124,V124:Y124,AB124:AE124,AH124:AK124),SUM(Таблица1[[#This Row],[1]:[31]])-Таблица1[[#This Row],[Столбец1]])))</f>
        <v>0</v>
      </c>
      <c r="AN124" s="269">
        <f t="array" ref="AN124">IF(AQ124=1,SUM(J124:K124,P124:Q124,V124:W124,AB124:AC124,AH124:AI124),
IF(AQ124=2,SUM(L124:M124,R124:S124,X124:Y124,AD124:AE124),
IF(AQ124=3,SUM(H124:I124,N124:O124,T124:U124,Z124:AA124,AF124:AG124),
SUM(IFERROR(WEEKDAY($H$2:$AL$2,2)&gt;5,)*H124:AL124))))</f>
        <v>0</v>
      </c>
      <c r="AO124" s="271" t="b">
        <f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696" t="b">
        <f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678" t="str">
        <f>IFERROR(INDEX(база!T:T, MATCH(F124,база!Q:Q,0)),"")</f>
        <v/>
      </c>
      <c r="AR124" s="193">
        <f>IFERROR(INDEX(база!D:D, MATCH(F124,база!B:B,0)),"")</f>
        <v>0</v>
      </c>
    </row>
    <row r="125" spans="1:44" ht="15">
      <c r="A125" s="59"/>
      <c r="B125" s="215"/>
      <c r="C125" s="54"/>
      <c r="D125" s="55"/>
      <c r="E125" s="196"/>
      <c r="F125" s="651"/>
      <c r="G125" s="42"/>
      <c r="H125" s="539"/>
      <c r="I125" s="539"/>
      <c r="J125" s="539"/>
      <c r="K125" s="539"/>
      <c r="L125" s="539"/>
      <c r="M125" s="539"/>
      <c r="N125" s="539"/>
      <c r="O125" s="539"/>
      <c r="P125" s="278"/>
      <c r="Q125" s="539"/>
      <c r="R125" s="43"/>
      <c r="S125" s="43"/>
      <c r="T125" s="43"/>
      <c r="U125" s="43"/>
      <c r="V125" s="43"/>
      <c r="W125" s="539"/>
      <c r="X125" s="539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238"/>
      <c r="AL125" s="238"/>
      <c r="AM125" s="197">
        <f>IF(AQ125=1,SUM(H125:I125,L125:O125,R125:U125,X125:AA125,AD125:AG125,AI125:AK125),
IF(AQ125=2,SUM(H125:K125,N125:Q125,T125:W125,Z125:AC125,AF125:AI125),
IF(AQ125=3,SUM(J125:M125,P125:S125,V125:Y125,AB125:AE125,AH125:AK125),SUM(Таблица1[[#This Row],[1]:[31]])-Таблица1[[#This Row],[Столбец1]])))</f>
        <v>0</v>
      </c>
      <c r="AN125" s="269">
        <f t="array" ref="AN125">IF(AQ125=1,SUM(J125:K125,P125:Q125,V125:W125,AB125:AC125,AH125:AI125),
IF(AQ125=2,SUM(L125:M125,R125:S125,X125:Y125,AD125:AE125),
IF(AQ125=3,SUM(H125:I125,N125:O125,T125:U125,Z125:AA125,AF125:AG125),
SUM(IFERROR(WEEKDAY($H$2:$AL$2,2)&gt;5,)*H125:AL125))))</f>
        <v>0</v>
      </c>
      <c r="AO125" s="271" t="b">
        <f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696" t="b">
        <f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678" t="str">
        <f>IFERROR(INDEX(база!T:T, MATCH(F125,база!Q:Q,0)),"")</f>
        <v/>
      </c>
      <c r="AR125" s="193">
        <f>IFERROR(INDEX(база!D:D, MATCH(F125,база!B:B,0)),"")</f>
        <v>0</v>
      </c>
    </row>
    <row r="126" spans="1:44" ht="15">
      <c r="A126" s="59"/>
      <c r="B126" s="215"/>
      <c r="C126" s="54"/>
      <c r="D126" s="55"/>
      <c r="E126" s="196"/>
      <c r="F126" s="651"/>
      <c r="G126" s="42"/>
      <c r="H126" s="539"/>
      <c r="I126" s="539"/>
      <c r="J126" s="539"/>
      <c r="K126" s="539"/>
      <c r="L126" s="539"/>
      <c r="M126" s="539"/>
      <c r="N126" s="539"/>
      <c r="O126" s="539"/>
      <c r="P126" s="278"/>
      <c r="Q126" s="539"/>
      <c r="R126" s="43"/>
      <c r="S126" s="43"/>
      <c r="T126" s="43"/>
      <c r="U126" s="43"/>
      <c r="V126" s="43"/>
      <c r="W126" s="539"/>
      <c r="X126" s="539"/>
      <c r="Y126" s="539"/>
      <c r="Z126" s="539"/>
      <c r="AA126" s="539"/>
      <c r="AB126" s="539"/>
      <c r="AC126" s="539"/>
      <c r="AD126" s="43"/>
      <c r="AE126" s="43"/>
      <c r="AF126" s="43"/>
      <c r="AG126" s="43"/>
      <c r="AH126" s="43"/>
      <c r="AI126" s="43"/>
      <c r="AJ126" s="43"/>
      <c r="AK126" s="238"/>
      <c r="AL126" s="238"/>
      <c r="AM126" s="197">
        <f>IF(AQ126=1,SUM(H126:I126,L126:O126,R126:U126,X126:AA126,AD126:AG126,AI126:AK126),
IF(AQ126=2,SUM(H126:K126,N126:Q126,T126:W126,Z126:AC126,AF126:AI126),
IF(AQ126=3,SUM(J126:M126,P126:S126,V126:Y126,AB126:AE126,AH126:AK126),SUM(Таблица1[[#This Row],[1]:[31]])-Таблица1[[#This Row],[Столбец1]])))</f>
        <v>0</v>
      </c>
      <c r="AN126" s="269">
        <f t="array" ref="AN126">IF(AQ126=1,SUM(J126:K126,P126:Q126,V126:W126,AB126:AC126,AH126:AI126),
IF(AQ126=2,SUM(L126:M126,R126:S126,X126:Y126,AD126:AE126),
IF(AQ126=3,SUM(H126:I126,N126:O126,T126:U126,Z126:AA126,AF126:AG126),
SUM(IFERROR(WEEKDAY($H$2:$AL$2,2)&gt;5,)*H126:AL126))))</f>
        <v>0</v>
      </c>
      <c r="AO126" s="271" t="b">
        <f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696" t="b">
        <f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678" t="str">
        <f>IFERROR(INDEX(база!T:T, MATCH(F126,база!Q:Q,0)),"")</f>
        <v/>
      </c>
      <c r="AR126" s="193">
        <f>IFERROR(INDEX(база!D:D, MATCH(F126,база!B:B,0)),"")</f>
        <v>0</v>
      </c>
    </row>
    <row r="127" spans="1:44" ht="15">
      <c r="A127" s="59"/>
      <c r="B127" s="215"/>
      <c r="C127" s="54"/>
      <c r="D127" s="55"/>
      <c r="E127" s="196"/>
      <c r="F127" s="651"/>
      <c r="G127" s="42"/>
      <c r="H127" s="539"/>
      <c r="I127" s="539"/>
      <c r="J127" s="539"/>
      <c r="K127" s="539"/>
      <c r="L127" s="539"/>
      <c r="M127" s="539"/>
      <c r="N127" s="539"/>
      <c r="O127" s="539"/>
      <c r="P127" s="278"/>
      <c r="Q127" s="539"/>
      <c r="R127" s="539"/>
      <c r="S127" s="539"/>
      <c r="T127" s="539"/>
      <c r="U127" s="539"/>
      <c r="V127" s="539"/>
      <c r="W127" s="539"/>
      <c r="X127" s="539"/>
      <c r="Y127" s="539"/>
      <c r="Z127" s="539"/>
      <c r="AA127" s="539"/>
      <c r="AB127" s="539"/>
      <c r="AC127" s="539"/>
      <c r="AD127" s="43"/>
      <c r="AE127" s="43"/>
      <c r="AF127" s="43"/>
      <c r="AG127" s="43"/>
      <c r="AH127" s="43"/>
      <c r="AI127" s="43"/>
      <c r="AJ127" s="43"/>
      <c r="AK127" s="238"/>
      <c r="AL127" s="238"/>
      <c r="AM127" s="197">
        <f>IF(AQ127=1,SUM(H127:I127,L127:O127,R127:U127,X127:AA127,AD127:AG127,AI127:AK127),
IF(AQ127=2,SUM(H127:K127,N127:Q127,T127:W127,Z127:AC127,AF127:AI127),
IF(AQ127=3,SUM(J127:M127,P127:S127,V127:Y127,AB127:AE127,AH127:AK127),SUM(Таблица1[[#This Row],[1]:[31]])-Таблица1[[#This Row],[Столбец1]])))</f>
        <v>0</v>
      </c>
      <c r="AN127" s="269">
        <f t="array" ref="AN127">IF(AQ127=1,SUM(J127:K127,P127:Q127,V127:W127,AB127:AC127,AH127:AI127),
IF(AQ127=2,SUM(L127:M127,R127:S127,X127:Y127,AD127:AE127),
IF(AQ127=3,SUM(H127:I127,N127:O127,T127:U127,Z127:AA127,AF127:AG127),
SUM(IFERROR(WEEKDAY($H$2:$AL$2,2)&gt;5,)*H127:AL127))))</f>
        <v>0</v>
      </c>
      <c r="AO127" s="271" t="b">
        <f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696" t="b">
        <f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678" t="str">
        <f>IFERROR(INDEX(база!T:T, MATCH(F127,база!Q:Q,0)),"")</f>
        <v/>
      </c>
      <c r="AR127" s="193">
        <f>IFERROR(INDEX(база!D:D, MATCH(F127,база!B:B,0)),"")</f>
        <v>0</v>
      </c>
    </row>
    <row r="128" spans="1:44" ht="15">
      <c r="A128" s="59"/>
      <c r="B128" s="215"/>
      <c r="C128" s="54"/>
      <c r="D128" s="55"/>
      <c r="E128" s="196"/>
      <c r="F128" s="651"/>
      <c r="G128" s="42"/>
      <c r="H128" s="539"/>
      <c r="I128" s="539"/>
      <c r="J128" s="539"/>
      <c r="K128" s="539"/>
      <c r="L128" s="539"/>
      <c r="M128" s="539"/>
      <c r="N128" s="539"/>
      <c r="O128" s="539"/>
      <c r="P128" s="278"/>
      <c r="Q128" s="539"/>
      <c r="R128" s="43"/>
      <c r="S128" s="43"/>
      <c r="T128" s="43"/>
      <c r="U128" s="43"/>
      <c r="V128" s="43"/>
      <c r="W128" s="539"/>
      <c r="X128" s="539"/>
      <c r="Y128" s="43"/>
      <c r="Z128" s="43"/>
      <c r="AA128" s="43"/>
      <c r="AB128" s="43"/>
      <c r="AC128" s="43"/>
      <c r="AD128" s="43"/>
      <c r="AE128" s="43"/>
      <c r="AF128" s="238"/>
      <c r="AG128" s="238"/>
      <c r="AH128" s="238"/>
      <c r="AI128" s="238"/>
      <c r="AJ128" s="238"/>
      <c r="AK128" s="238"/>
      <c r="AL128" s="238"/>
      <c r="AM128" s="197">
        <f>IF(AQ128=1,SUM(H128:I128,L128:O128,R128:U128,X128:AA128,AD128:AG128,AI128:AK128),
IF(AQ128=2,SUM(H128:K128,N128:Q128,T128:W128,Z128:AC128,AF128:AI128),
IF(AQ128=3,SUM(J128:M128,P128:S128,V128:Y128,AB128:AE128,AH128:AK128),SUM(Таблица1[[#This Row],[1]:[31]])-Таблица1[[#This Row],[Столбец1]])))</f>
        <v>0</v>
      </c>
      <c r="AN128" s="269">
        <f t="array" ref="AN128">IF(AQ128=1,SUM(J128:K128,P128:Q128,V128:W128,AB128:AC128,AH128:AI128),
IF(AQ128=2,SUM(L128:M128,R128:S128,X128:Y128,AD128:AE128),
IF(AQ128=3,SUM(H128:I128,N128:O128,T128:U128,Z128:AA128,AF128:AG128),
SUM(IFERROR(WEEKDAY($H$2:$AL$2,2)&gt;5,)*H128:AL128))))</f>
        <v>0</v>
      </c>
      <c r="AO128" s="271" t="b">
        <f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696" t="b">
        <f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678" t="str">
        <f>IFERROR(INDEX(база!T:T, MATCH(F128,база!Q:Q,0)),"")</f>
        <v/>
      </c>
      <c r="AR128" s="193">
        <f>IFERROR(INDEX(база!D:D, MATCH(F128,база!B:B,0)),"")</f>
        <v>0</v>
      </c>
    </row>
    <row r="129" spans="1:44" ht="15">
      <c r="A129" s="59"/>
      <c r="B129" s="215"/>
      <c r="C129" s="54"/>
      <c r="D129" s="55"/>
      <c r="E129" s="196"/>
      <c r="F129" s="651"/>
      <c r="G129" s="42"/>
      <c r="H129" s="539"/>
      <c r="I129" s="539"/>
      <c r="J129" s="539"/>
      <c r="K129" s="539"/>
      <c r="L129" s="539"/>
      <c r="M129" s="539"/>
      <c r="N129" s="539"/>
      <c r="O129" s="539"/>
      <c r="P129" s="278"/>
      <c r="Q129" s="539"/>
      <c r="R129" s="539"/>
      <c r="S129" s="539"/>
      <c r="T129" s="539"/>
      <c r="U129" s="539"/>
      <c r="V129" s="539"/>
      <c r="W129" s="539"/>
      <c r="X129" s="539"/>
      <c r="Y129" s="43"/>
      <c r="Z129" s="43"/>
      <c r="AA129" s="43"/>
      <c r="AB129" s="43"/>
      <c r="AC129" s="43"/>
      <c r="AD129" s="43"/>
      <c r="AE129" s="43"/>
      <c r="AF129" s="238"/>
      <c r="AG129" s="238"/>
      <c r="AH129" s="238"/>
      <c r="AI129" s="238"/>
      <c r="AJ129" s="238"/>
      <c r="AK129" s="238"/>
      <c r="AL129" s="238"/>
      <c r="AM129" s="197">
        <f>IF(AQ129=1,SUM(H129:I129,L129:O129,R129:U129,X129:AA129,AD129:AG129,AI129:AK129),
IF(AQ129=2,SUM(H129:K129,N129:Q129,T129:W129,Z129:AC129,AF129:AI129),
IF(AQ129=3,SUM(J129:M129,P129:S129,V129:Y129,AB129:AE129,AH129:AK129),SUM(Таблица1[[#This Row],[1]:[31]])-Таблица1[[#This Row],[Столбец1]])))</f>
        <v>0</v>
      </c>
      <c r="AN129" s="269">
        <f t="array" ref="AN129">IF(AQ129=1,SUM(J129:K129,P129:Q129,V129:W129,AB129:AC129,AH129:AI129),
IF(AQ129=2,SUM(L129:M129,R129:S129,X129:Y129,AD129:AE129),
IF(AQ129=3,SUM(H129:I129,N129:O129,T129:U129,Z129:AA129,AF129:AG129),
SUM(IFERROR(WEEKDAY($H$2:$AL$2,2)&gt;5,)*H129:AL129))))</f>
        <v>0</v>
      </c>
      <c r="AO129" s="271" t="b">
        <f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696" t="b">
        <f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678" t="str">
        <f>IFERROR(INDEX(база!T:T, MATCH(F129,база!Q:Q,0)),"")</f>
        <v/>
      </c>
      <c r="AR129" s="193">
        <f>IFERROR(INDEX(база!D:D, MATCH(F129,база!B:B,0)),"")</f>
        <v>0</v>
      </c>
    </row>
    <row r="130" spans="1:44" ht="15">
      <c r="A130" s="59"/>
      <c r="B130" s="215"/>
      <c r="C130" s="54"/>
      <c r="D130" s="55"/>
      <c r="E130" s="196"/>
      <c r="F130" s="651"/>
      <c r="G130" s="42"/>
      <c r="H130" s="539"/>
      <c r="I130" s="539"/>
      <c r="J130" s="539"/>
      <c r="K130" s="539"/>
      <c r="L130" s="539"/>
      <c r="M130" s="539"/>
      <c r="N130" s="539"/>
      <c r="O130" s="539"/>
      <c r="P130" s="539"/>
      <c r="Q130" s="539"/>
      <c r="R130" s="43"/>
      <c r="S130" s="43"/>
      <c r="T130" s="43"/>
      <c r="U130" s="43"/>
      <c r="V130" s="43"/>
      <c r="W130" s="539"/>
      <c r="X130" s="539"/>
      <c r="Y130" s="539"/>
      <c r="Z130" s="539"/>
      <c r="AA130" s="539"/>
      <c r="AB130" s="539"/>
      <c r="AC130" s="539"/>
      <c r="AD130" s="43"/>
      <c r="AE130" s="43"/>
      <c r="AF130" s="43"/>
      <c r="AG130" s="43"/>
      <c r="AH130" s="43"/>
      <c r="AI130" s="43"/>
      <c r="AJ130" s="43"/>
      <c r="AK130" s="238"/>
      <c r="AL130" s="238"/>
      <c r="AM130" s="197">
        <f>IF(AQ130=1,SUM(H130:I130,L130:O130,R130:U130,X130:AA130,AD130:AG130,AI130:AK130),
IF(AQ130=2,SUM(H130:K130,N130:Q130,T130:W130,Z130:AC130,AF130:AI130),
IF(AQ130=3,SUM(J130:M130,P130:S130,V130:Y130,AB130:AE130,AH130:AK130),SUM(Таблица1[[#This Row],[1]:[31]])-Таблица1[[#This Row],[Столбец1]])))</f>
        <v>0</v>
      </c>
      <c r="AN130" s="269">
        <f t="array" ref="AN130">IF(AQ130=1,SUM(J130:K130,P130:Q130,V130:W130,AB130:AC130,AH130:AI130),
IF(AQ130=2,SUM(L130:M130,R130:S130,X130:Y130,AD130:AE130),
IF(AQ130=3,SUM(H130:I130,N130:O130,T130:U130,Z130:AA130,AF130:AG130),
SUM(IFERROR(WEEKDAY($H$2:$AL$2,2)&gt;5,)*H130:AL130))))</f>
        <v>0</v>
      </c>
      <c r="AO130" s="271" t="b">
        <f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696" t="b">
        <f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678" t="str">
        <f>IFERROR(INDEX(база!T:T, MATCH(F130,база!Q:Q,0)),"")</f>
        <v/>
      </c>
      <c r="AR130" s="193">
        <f>IFERROR(INDEX(база!D:D, MATCH(F130,база!B:B,0)),"")</f>
        <v>0</v>
      </c>
    </row>
    <row r="131" spans="1:44" ht="15">
      <c r="A131" s="59"/>
      <c r="B131" s="215"/>
      <c r="C131" s="54"/>
      <c r="D131" s="55"/>
      <c r="E131" s="196"/>
      <c r="F131" s="651"/>
      <c r="G131" s="42"/>
      <c r="H131" s="539"/>
      <c r="I131" s="539"/>
      <c r="J131" s="539"/>
      <c r="K131" s="539"/>
      <c r="L131" s="539"/>
      <c r="M131" s="539"/>
      <c r="N131" s="539"/>
      <c r="O131" s="539"/>
      <c r="P131" s="278"/>
      <c r="Q131" s="539"/>
      <c r="R131" s="539"/>
      <c r="S131" s="539"/>
      <c r="T131" s="539"/>
      <c r="U131" s="539"/>
      <c r="V131" s="539"/>
      <c r="W131" s="539"/>
      <c r="X131" s="539"/>
      <c r="Y131" s="539"/>
      <c r="Z131" s="539"/>
      <c r="AA131" s="539"/>
      <c r="AB131" s="539"/>
      <c r="AC131" s="539"/>
      <c r="AD131" s="43"/>
      <c r="AE131" s="43"/>
      <c r="AF131" s="43"/>
      <c r="AG131" s="43"/>
      <c r="AH131" s="43"/>
      <c r="AI131" s="43"/>
      <c r="AJ131" s="43"/>
      <c r="AK131" s="238"/>
      <c r="AL131" s="238"/>
      <c r="AM131" s="197">
        <f>IF(AQ131=1,SUM(H131:I131,L131:O131,R131:U131,X131:AA131,AD131:AG131,AI131:AK131),
IF(AQ131=2,SUM(H131:K131,N131:Q131,T131:W131,Z131:AC131,AF131:AI131),
IF(AQ131=3,SUM(J131:M131,P131:S131,V131:Y131,AB131:AE131,AH131:AK131),SUM(Таблица1[[#This Row],[1]:[31]])-Таблица1[[#This Row],[Столбец1]])))</f>
        <v>0</v>
      </c>
      <c r="AN131" s="269">
        <f t="array" ref="AN131">IF(AQ131=1,SUM(J131:K131,P131:Q131,V131:W131,AB131:AC131,AH131:AI131),
IF(AQ131=2,SUM(L131:M131,R131:S131,X131:Y131,AD131:AE131),
IF(AQ131=3,SUM(H131:I131,N131:O131,T131:U131,Z131:AA131,AF131:AG131),
SUM(IFERROR(WEEKDAY($H$2:$AL$2,2)&gt;5,)*H131:AL131))))</f>
        <v>0</v>
      </c>
      <c r="AO131" s="271" t="b">
        <f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696" t="b">
        <f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678" t="str">
        <f>IFERROR(INDEX(база!T:T, MATCH(F131,база!Q:Q,0)),"")</f>
        <v/>
      </c>
      <c r="AR131" s="193">
        <f>IFERROR(INDEX(база!D:D, MATCH(F131,база!B:B,0)),"")</f>
        <v>0</v>
      </c>
    </row>
    <row r="132" spans="1:44" ht="15">
      <c r="A132" s="59"/>
      <c r="B132" s="215"/>
      <c r="C132" s="277"/>
      <c r="D132" s="55"/>
      <c r="E132" s="196"/>
      <c r="F132" s="651"/>
      <c r="G132" s="42"/>
      <c r="H132" s="539"/>
      <c r="I132" s="539"/>
      <c r="J132" s="539"/>
      <c r="K132" s="539"/>
      <c r="L132" s="539"/>
      <c r="M132" s="539"/>
      <c r="N132" s="539"/>
      <c r="O132" s="539"/>
      <c r="P132" s="278"/>
      <c r="Q132" s="539"/>
      <c r="R132" s="539"/>
      <c r="S132" s="539"/>
      <c r="T132" s="43"/>
      <c r="U132" s="43"/>
      <c r="V132" s="43"/>
      <c r="W132" s="43"/>
      <c r="X132" s="539"/>
      <c r="Y132" s="539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238"/>
      <c r="AK132" s="238"/>
      <c r="AL132" s="238"/>
      <c r="AM132" s="197">
        <f>IF(AQ132=1,SUM(H132:I132,L132:O132,R132:U132,X132:AA132,AD132:AG132,AI132:AK132),
IF(AQ132=2,SUM(H132:K132,N132:Q132,T132:W132,Z132:AC132,AF132:AI132),
IF(AQ132=3,SUM(J132:M132,P132:S132,V132:Y132,AB132:AE132,AH132:AK132),SUM(Таблица1[[#This Row],[1]:[31]])-Таблица1[[#This Row],[Столбец1]])))</f>
        <v>0</v>
      </c>
      <c r="AN132" s="269">
        <f t="array" ref="AN132">IF(AQ132=1,SUM(J132:K132,P132:Q132,V132:W132,AB132:AC132,AH132:AI132),
IF(AQ132=2,SUM(L132:M132,R132:S132,X132:Y132,AD132:AE132),
IF(AQ132=3,SUM(H132:I132,N132:O132,T132:U132,Z132:AA132,AF132:AG132),
SUM(IFERROR(WEEKDAY($H$2:$AL$2,2)&gt;5,)*H132:AL132))))</f>
        <v>0</v>
      </c>
      <c r="AO132" s="271" t="b">
        <f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696" t="b">
        <f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678" t="str">
        <f>IFERROR(INDEX(база!T:T, MATCH(F132,база!Q:Q,0)),"")</f>
        <v/>
      </c>
      <c r="AR132" s="193">
        <f>IFERROR(INDEX(база!D:D, MATCH(F132,база!B:B,0)),"")</f>
        <v>0</v>
      </c>
    </row>
    <row r="133" spans="1:44" ht="15">
      <c r="A133" s="59"/>
      <c r="B133" s="215"/>
      <c r="C133" s="54"/>
      <c r="D133" s="55"/>
      <c r="E133" s="196"/>
      <c r="F133" s="651"/>
      <c r="G133" s="42"/>
      <c r="H133" s="539"/>
      <c r="I133" s="539"/>
      <c r="J133" s="539"/>
      <c r="K133" s="539"/>
      <c r="L133" s="539"/>
      <c r="M133" s="539"/>
      <c r="N133" s="539"/>
      <c r="O133" s="539"/>
      <c r="P133" s="278"/>
      <c r="Q133" s="539"/>
      <c r="R133" s="539"/>
      <c r="S133" s="539"/>
      <c r="T133" s="43"/>
      <c r="U133" s="43"/>
      <c r="V133" s="43"/>
      <c r="W133" s="43"/>
      <c r="X133" s="539"/>
      <c r="Y133" s="539"/>
      <c r="Z133" s="539"/>
      <c r="AA133" s="539"/>
      <c r="AB133" s="539"/>
      <c r="AC133" s="539"/>
      <c r="AD133" s="43"/>
      <c r="AE133" s="43"/>
      <c r="AF133" s="43"/>
      <c r="AG133" s="43"/>
      <c r="AH133" s="43"/>
      <c r="AI133" s="43"/>
      <c r="AJ133" s="238"/>
      <c r="AK133" s="43"/>
      <c r="AL133" s="45"/>
      <c r="AM133" s="197">
        <f>IF(AQ133=1,SUM(H133:I133,L133:O133,R133:U133,X133:AA133,AD133:AG133,AI133:AK133),
IF(AQ133=2,SUM(H133:K133,N133:Q133,T133:W133,Z133:AC133,AF133:AI133),
IF(AQ133=3,SUM(J133:M133,P133:S133,V133:Y133,AB133:AE133,AH133:AK133),SUM(Таблица1[[#This Row],[1]:[31]])-Таблица1[[#This Row],[Столбец1]])))</f>
        <v>0</v>
      </c>
      <c r="AN133" s="269">
        <f t="array" ref="AN133">IF(AQ133=1,SUM(J133:K133,P133:Q133,V133:W133,AB133:AC133,AH133:AI133),
IF(AQ133=2,SUM(L133:M133,R133:S133,X133:Y133,AD133:AE133),
IF(AQ133=3,SUM(H133:I133,N133:O133,T133:U133,Z133:AA133,AF133:AG133),
SUM(IFERROR(WEEKDAY($H$2:$AL$2,2)&gt;5,)*H133:AL133))))</f>
        <v>0</v>
      </c>
      <c r="AO133" s="271" t="b">
        <f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696" t="b">
        <f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678" t="str">
        <f>IFERROR(INDEX(база!T:T, MATCH(F133,база!Q:Q,0)),"")</f>
        <v/>
      </c>
      <c r="AR133" s="193">
        <f>IFERROR(INDEX(база!D:D, MATCH(F133,база!B:B,0)),"")</f>
        <v>0</v>
      </c>
    </row>
    <row r="134" spans="1:44" ht="15">
      <c r="A134" s="59"/>
      <c r="B134" s="215"/>
      <c r="C134" s="277"/>
      <c r="D134" s="55"/>
      <c r="E134" s="196"/>
      <c r="F134" s="651"/>
      <c r="G134" s="42"/>
      <c r="H134" s="539"/>
      <c r="I134" s="539"/>
      <c r="J134" s="539"/>
      <c r="K134" s="539"/>
      <c r="L134" s="539"/>
      <c r="M134" s="539"/>
      <c r="N134" s="539"/>
      <c r="O134" s="539"/>
      <c r="P134" s="539"/>
      <c r="Q134" s="539"/>
      <c r="R134" s="539"/>
      <c r="S134" s="539"/>
      <c r="T134" s="539"/>
      <c r="U134" s="539"/>
      <c r="V134" s="539"/>
      <c r="W134" s="539"/>
      <c r="X134" s="539"/>
      <c r="Y134" s="539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238"/>
      <c r="AK134" s="238"/>
      <c r="AL134" s="238"/>
      <c r="AM134" s="197">
        <f>IF(AQ134=1,SUM(H134:I134,L134:O134,R134:U134,X134:AA134,AD134:AG134,AI134:AK134),
IF(AQ134=2,SUM(H134:K134,N134:Q134,T134:W134,Z134:AC134,AF134:AI134),
IF(AQ134=3,SUM(J134:M134,P134:S134,V134:Y134,AB134:AE134,AH134:AK134),SUM(Таблица1[[#This Row],[1]:[31]])-Таблица1[[#This Row],[Столбец1]])))</f>
        <v>0</v>
      </c>
      <c r="AN134" s="269">
        <f t="array" ref="AN134">IF(AQ134=1,SUM(J134:K134,P134:Q134,V134:W134,AB134:AC134,AH134:AI134),
IF(AQ134=2,SUM(L134:M134,R134:S134,X134:Y134,AD134:AE134),
IF(AQ134=3,SUM(H134:I134,N134:O134,T134:U134,Z134:AA134,AF134:AG134),
SUM(IFERROR(WEEKDAY($H$2:$AL$2,2)&gt;5,)*H134:AL134))))</f>
        <v>0</v>
      </c>
      <c r="AO134" s="271" t="b">
        <f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696" t="b">
        <f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678" t="str">
        <f>IFERROR(INDEX(база!T:T, MATCH(F134,база!Q:Q,0)),"")</f>
        <v/>
      </c>
      <c r="AR134" s="193">
        <f>IFERROR(INDEX(база!D:D, MATCH(F134,база!B:B,0)),"")</f>
        <v>0</v>
      </c>
    </row>
    <row r="135" spans="1:44" ht="15">
      <c r="A135" s="59"/>
      <c r="B135" s="215"/>
      <c r="C135" s="54"/>
      <c r="D135" s="55"/>
      <c r="E135" s="196"/>
      <c r="F135" s="651"/>
      <c r="G135" s="42"/>
      <c r="H135" s="539"/>
      <c r="I135" s="539"/>
      <c r="J135" s="539"/>
      <c r="K135" s="539"/>
      <c r="L135" s="539"/>
      <c r="M135" s="539"/>
      <c r="N135" s="539"/>
      <c r="O135" s="539"/>
      <c r="P135" s="539"/>
      <c r="Q135" s="539"/>
      <c r="R135" s="539"/>
      <c r="S135" s="539"/>
      <c r="T135" s="539"/>
      <c r="U135" s="539"/>
      <c r="V135" s="539"/>
      <c r="W135" s="539"/>
      <c r="X135" s="539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238"/>
      <c r="AL135" s="238"/>
      <c r="AM135" s="197">
        <f>IF(AQ135=1,SUM(H135:I135,L135:O135,R135:U135,X135:AA135,AD135:AG135,AI135:AK135),
IF(AQ135=2,SUM(H135:K135,N135:Q135,T135:W135,Z135:AC135,AF135:AI135),
IF(AQ135=3,SUM(J135:M135,P135:S135,V135:Y135,AB135:AE135,AH135:AK135),SUM(Таблица1[[#This Row],[1]:[31]])-Таблица1[[#This Row],[Столбец1]])))</f>
        <v>0</v>
      </c>
      <c r="AN135" s="269">
        <f t="array" ref="AN135">IF(AQ135=1,SUM(J135:K135,P135:Q135,V135:W135,AB135:AC135,AH135:AI135),
IF(AQ135=2,SUM(L135:M135,R135:S135,X135:Y135,AD135:AE135),
IF(AQ135=3,SUM(H135:I135,N135:O135,T135:U135,Z135:AA135,AF135:AG135),
SUM(IFERROR(WEEKDAY($H$2:$AL$2,2)&gt;5,)*H135:AL135))))</f>
        <v>0</v>
      </c>
      <c r="AO135" s="271" t="b">
        <f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696" t="b">
        <f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678" t="str">
        <f>IFERROR(INDEX(база!T:T, MATCH(F135,база!Q:Q,0)),"")</f>
        <v/>
      </c>
      <c r="AR135" s="193">
        <f>IFERROR(INDEX(база!D:D, MATCH(F135,база!B:B,0)),"")</f>
        <v>0</v>
      </c>
    </row>
    <row r="136" spans="1:44" ht="15">
      <c r="A136" s="59"/>
      <c r="B136" s="215"/>
      <c r="C136" s="54"/>
      <c r="D136" s="55"/>
      <c r="E136" s="196"/>
      <c r="F136" s="651"/>
      <c r="G136" s="42"/>
      <c r="H136" s="539"/>
      <c r="I136" s="539"/>
      <c r="J136" s="539"/>
      <c r="K136" s="43"/>
      <c r="L136" s="43"/>
      <c r="M136" s="539"/>
      <c r="N136" s="539"/>
      <c r="O136" s="539"/>
      <c r="P136" s="539"/>
      <c r="Q136" s="539"/>
      <c r="R136" s="43"/>
      <c r="S136" s="43"/>
      <c r="T136" s="43"/>
      <c r="U136" s="43"/>
      <c r="V136" s="43"/>
      <c r="W136" s="539"/>
      <c r="X136" s="539"/>
      <c r="Y136" s="43"/>
      <c r="Z136" s="43"/>
      <c r="AA136" s="43"/>
      <c r="AB136" s="43"/>
      <c r="AC136" s="43"/>
      <c r="AD136" s="43"/>
      <c r="AE136" s="43"/>
      <c r="AF136" s="238"/>
      <c r="AG136" s="238"/>
      <c r="AH136" s="238"/>
      <c r="AI136" s="238"/>
      <c r="AJ136" s="238"/>
      <c r="AK136" s="238"/>
      <c r="AL136" s="238"/>
      <c r="AM136" s="197">
        <f>IF(AQ136=1,SUM(H136:I136,L136:O136,R136:U136,X136:AA136,AD136:AG136,AI136:AK136),
IF(AQ136=2,SUM(H136:K136,N136:Q136,T136:W136,Z136:AC136,AF136:AI136),
IF(AQ136=3,SUM(J136:M136,P136:S136,V136:Y136,AB136:AE136,AH136:AK136),SUM(Таблица1[[#This Row],[1]:[31]])-Таблица1[[#This Row],[Столбец1]])))</f>
        <v>0</v>
      </c>
      <c r="AN136" s="269">
        <f t="array" ref="AN136">IF(AQ136=1,SUM(J136:K136,P136:Q136,V136:W136,AB136:AC136,AH136:AI136),
IF(AQ136=2,SUM(L136:M136,R136:S136,X136:Y136,AD136:AE136),
IF(AQ136=3,SUM(H136:I136,N136:O136,T136:U136,Z136:AA136,AF136:AG136),
SUM(IFERROR(WEEKDAY($H$2:$AL$2,2)&gt;5,)*H136:AL136))))</f>
        <v>0</v>
      </c>
      <c r="AO136" s="271" t="b">
        <f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696" t="b">
        <f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678" t="str">
        <f>IFERROR(INDEX(база!T:T, MATCH(F136,база!Q:Q,0)),"")</f>
        <v/>
      </c>
      <c r="AR136" s="193">
        <f>IFERROR(INDEX(база!D:D, MATCH(F136,база!B:B,0)),"")</f>
        <v>0</v>
      </c>
    </row>
    <row r="137" spans="1:44" ht="15">
      <c r="A137" s="59"/>
      <c r="B137" s="215"/>
      <c r="C137" s="54"/>
      <c r="D137" s="55"/>
      <c r="E137" s="196"/>
      <c r="F137" s="651"/>
      <c r="G137" s="42"/>
      <c r="H137" s="539"/>
      <c r="I137" s="539"/>
      <c r="J137" s="539"/>
      <c r="K137" s="43"/>
      <c r="L137" s="43"/>
      <c r="M137" s="539"/>
      <c r="N137" s="539"/>
      <c r="O137" s="539"/>
      <c r="P137" s="278"/>
      <c r="Q137" s="278"/>
      <c r="R137" s="43"/>
      <c r="S137" s="43"/>
      <c r="T137" s="43"/>
      <c r="U137" s="43"/>
      <c r="V137" s="43"/>
      <c r="W137" s="539"/>
      <c r="X137" s="539"/>
      <c r="Y137" s="539"/>
      <c r="Z137" s="539"/>
      <c r="AA137" s="539"/>
      <c r="AB137" s="539"/>
      <c r="AC137" s="539"/>
      <c r="AD137" s="43"/>
      <c r="AE137" s="43"/>
      <c r="AF137" s="238"/>
      <c r="AG137" s="238"/>
      <c r="AH137" s="238"/>
      <c r="AI137" s="238"/>
      <c r="AJ137" s="238"/>
      <c r="AK137" s="238"/>
      <c r="AL137" s="238"/>
      <c r="AM137" s="197">
        <f>IF(AQ137=1,SUM(H137:I137,L137:O137,R137:U137,X137:AA137,AD137:AG137,AI137:AK137),
IF(AQ137=2,SUM(H137:K137,N137:Q137,T137:W137,Z137:AC137,AF137:AI137),
IF(AQ137=3,SUM(J137:M137,P137:S137,V137:Y137,AB137:AE137,AH137:AK137),SUM(Таблица1[[#This Row],[1]:[31]])-Таблица1[[#This Row],[Столбец1]])))</f>
        <v>0</v>
      </c>
      <c r="AN137" s="269">
        <f t="array" ref="AN137">IF(AQ137=1,SUM(J137:K137,P137:Q137,V137:W137,AB137:AC137,AH137:AI137),
IF(AQ137=2,SUM(L137:M137,R137:S137,X137:Y137,AD137:AE137),
IF(AQ137=3,SUM(H137:I137,N137:O137,T137:U137,Z137:AA137,AF137:AG137),
SUM(IFERROR(WEEKDAY($H$2:$AL$2,2)&gt;5,)*H137:AL137))))</f>
        <v>0</v>
      </c>
      <c r="AO137" s="271" t="b">
        <f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696" t="b">
        <f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678" t="str">
        <f>IFERROR(INDEX(база!T:T, MATCH(F137,база!Q:Q,0)),"")</f>
        <v/>
      </c>
      <c r="AR137" s="193">
        <f>IFERROR(INDEX(база!D:D, MATCH(F137,база!B:B,0)),"")</f>
        <v>0</v>
      </c>
    </row>
    <row r="138" spans="1:44" ht="15">
      <c r="A138" s="59"/>
      <c r="B138" s="215"/>
      <c r="C138" s="277"/>
      <c r="D138" s="55"/>
      <c r="E138" s="196"/>
      <c r="F138" s="651"/>
      <c r="G138" s="42"/>
      <c r="H138" s="539"/>
      <c r="I138" s="539"/>
      <c r="J138" s="539"/>
      <c r="K138" s="539"/>
      <c r="L138" s="539"/>
      <c r="M138" s="539"/>
      <c r="N138" s="539"/>
      <c r="O138" s="539"/>
      <c r="P138" s="278"/>
      <c r="Q138" s="278"/>
      <c r="R138" s="43"/>
      <c r="S138" s="43"/>
      <c r="T138" s="43"/>
      <c r="U138" s="43"/>
      <c r="V138" s="43"/>
      <c r="W138" s="539"/>
      <c r="X138" s="539"/>
      <c r="Y138" s="539"/>
      <c r="Z138" s="539"/>
      <c r="AA138" s="539"/>
      <c r="AB138" s="539"/>
      <c r="AC138" s="539"/>
      <c r="AD138" s="43"/>
      <c r="AE138" s="43"/>
      <c r="AF138" s="238"/>
      <c r="AG138" s="238"/>
      <c r="AH138" s="238"/>
      <c r="AI138" s="238"/>
      <c r="AJ138" s="238"/>
      <c r="AK138" s="238"/>
      <c r="AL138" s="238"/>
      <c r="AM138" s="197">
        <f>IF(AQ138=1,SUM(H138:I138,L138:O138,R138:U138,X138:AA138,AD138:AG138,AI138:AK138),
IF(AQ138=2,SUM(H138:K138,N138:Q138,T138:W138,Z138:AC138,AF138:AI138),
IF(AQ138=3,SUM(J138:M138,P138:S138,V138:Y138,AB138:AE138,AH138:AK138),SUM(Таблица1[[#This Row],[1]:[31]])-Таблица1[[#This Row],[Столбец1]])))</f>
        <v>0</v>
      </c>
      <c r="AN138" s="269">
        <f t="array" ref="AN138">IF(AQ138=1,SUM(J138:K138,P138:Q138,V138:W138,AB138:AC138,AH138:AI138),
IF(AQ138=2,SUM(L138:M138,R138:S138,X138:Y138,AD138:AE138),
IF(AQ138=3,SUM(H138:I138,N138:O138,T138:U138,Z138:AA138,AF138:AG138),
SUM(IFERROR(WEEKDAY($H$2:$AL$2,2)&gt;5,)*H138:AL138))))</f>
        <v>0</v>
      </c>
      <c r="AO138" s="271" t="b">
        <f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696" t="b">
        <f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678" t="str">
        <f>IFERROR(INDEX(база!T:T, MATCH(F138,база!Q:Q,0)),"")</f>
        <v/>
      </c>
      <c r="AR138" s="193">
        <f>IFERROR(INDEX(база!D:D, MATCH(F138,база!B:B,0)),"")</f>
        <v>0</v>
      </c>
    </row>
    <row r="139" spans="1:44" ht="15">
      <c r="A139" s="59"/>
      <c r="B139" s="215"/>
      <c r="C139" s="54"/>
      <c r="D139" s="55"/>
      <c r="E139" s="196"/>
      <c r="F139" s="651"/>
      <c r="G139" s="42"/>
      <c r="H139" s="539"/>
      <c r="I139" s="539"/>
      <c r="J139" s="539"/>
      <c r="K139" s="539"/>
      <c r="L139" s="43"/>
      <c r="M139" s="43"/>
      <c r="N139" s="43"/>
      <c r="O139" s="43"/>
      <c r="P139" s="278"/>
      <c r="Q139" s="539"/>
      <c r="R139" s="43"/>
      <c r="S139" s="43"/>
      <c r="T139" s="43"/>
      <c r="U139" s="43"/>
      <c r="V139" s="539"/>
      <c r="W139" s="539"/>
      <c r="X139" s="43"/>
      <c r="Y139" s="43"/>
      <c r="Z139" s="43"/>
      <c r="AA139" s="43"/>
      <c r="AB139" s="539"/>
      <c r="AC139" s="539"/>
      <c r="AD139" s="43"/>
      <c r="AE139" s="43"/>
      <c r="AF139" s="238"/>
      <c r="AG139" s="238"/>
      <c r="AH139" s="238"/>
      <c r="AI139" s="238"/>
      <c r="AJ139" s="238"/>
      <c r="AK139" s="238"/>
      <c r="AL139" s="238"/>
      <c r="AM139" s="197">
        <f>IF(AQ139=1,SUM(H139:I139,L139:O139,R139:U139,X139:AA139,AD139:AG139,AI139:AK139),
IF(AQ139=2,SUM(H139:K139,N139:Q139,T139:W139,Z139:AC139,AF139:AI139),
IF(AQ139=3,SUM(J139:M139,P139:S139,V139:Y139,AB139:AE139,AH139:AK139),SUM(Таблица1[[#This Row],[1]:[31]])-Таблица1[[#This Row],[Столбец1]])))</f>
        <v>0</v>
      </c>
      <c r="AN139" s="269">
        <f t="array" ref="AN139">IF(AQ139=1,SUM(J139:K139,P139:Q139,V139:W139,AB139:AC139,AH139:AI139),
IF(AQ139=2,SUM(L139:M139,R139:S139,X139:Y139,AD139:AE139),
IF(AQ139=3,SUM(H139:I139,N139:O139,T139:U139,Z139:AA139,AF139:AG139),
SUM(IFERROR(WEEKDAY($H$2:$AL$2,2)&gt;5,)*H139:AL139))))</f>
        <v>0</v>
      </c>
      <c r="AO139" s="271" t="b">
        <f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696" t="b">
        <f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678" t="str">
        <f>IFERROR(INDEX(база!T:T, MATCH(F139,база!Q:Q,0)),"")</f>
        <v/>
      </c>
      <c r="AR139" s="193">
        <f>IFERROR(INDEX(база!D:D, MATCH(F139,база!B:B,0)),"")</f>
        <v>0</v>
      </c>
    </row>
    <row r="140" spans="1:44" ht="15">
      <c r="A140" s="59"/>
      <c r="B140" s="215"/>
      <c r="C140" s="543"/>
      <c r="D140" s="55"/>
      <c r="E140" s="196"/>
      <c r="F140" s="651"/>
      <c r="G140" s="42"/>
      <c r="H140" s="539"/>
      <c r="I140" s="539"/>
      <c r="J140" s="539"/>
      <c r="K140" s="539"/>
      <c r="L140" s="43"/>
      <c r="M140" s="43"/>
      <c r="N140" s="43"/>
      <c r="O140" s="43"/>
      <c r="P140" s="539"/>
      <c r="Q140" s="539"/>
      <c r="R140" s="43"/>
      <c r="S140" s="43"/>
      <c r="T140" s="43"/>
      <c r="U140" s="43"/>
      <c r="V140" s="539"/>
      <c r="W140" s="539"/>
      <c r="X140" s="43"/>
      <c r="Y140" s="43"/>
      <c r="Z140" s="43"/>
      <c r="AA140" s="43"/>
      <c r="AB140" s="539"/>
      <c r="AC140" s="539"/>
      <c r="AD140" s="43"/>
      <c r="AE140" s="43"/>
      <c r="AF140" s="238"/>
      <c r="AG140" s="238"/>
      <c r="AH140" s="238"/>
      <c r="AI140" s="238"/>
      <c r="AJ140" s="238"/>
      <c r="AK140" s="238"/>
      <c r="AL140" s="238"/>
      <c r="AM140" s="197">
        <f>IF(AQ140=1,SUM(H140:I140,L140:O140,R140:U140,X140:AA140,AD140:AG140,AI140:AK140),
IF(AQ140=2,SUM(H140:K140,N140:Q140,T140:W140,Z140:AC140,AF140:AI140),
IF(AQ140=3,SUM(J140:M140,P140:S140,V140:Y140,AB140:AE140,AH140:AK140),SUM(Таблица1[[#This Row],[1]:[31]])-Таблица1[[#This Row],[Столбец1]])))</f>
        <v>0</v>
      </c>
      <c r="AN140" s="269">
        <f t="array" ref="AN140">IF(AQ140=1,SUM(J140:K140,P140:Q140,V140:W140,AB140:AC140,AH140:AI140),
IF(AQ140=2,SUM(L140:M140,R140:S140,X140:Y140,AD140:AE140),
IF(AQ140=3,SUM(H140:I140,N140:O140,T140:U140,Z140:AA140,AF140:AG140),
SUM(IFERROR(WEEKDAY($H$2:$AL$2,2)&gt;5,)*H140:AL140))))</f>
        <v>0</v>
      </c>
      <c r="AO140" s="271" t="b">
        <f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696" t="b">
        <f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678" t="str">
        <f>IFERROR(INDEX(база!T:T, MATCH(F140,база!Q:Q,0)),"")</f>
        <v/>
      </c>
      <c r="AR140" s="193">
        <f>IFERROR(INDEX(база!D:D, MATCH(F140,база!B:B,0)),"")</f>
        <v>0</v>
      </c>
    </row>
    <row r="141" spans="1:44" ht="15">
      <c r="A141" s="59"/>
      <c r="B141" s="215"/>
      <c r="C141" s="54"/>
      <c r="D141" s="55"/>
      <c r="E141" s="196"/>
      <c r="F141" s="651"/>
      <c r="G141" s="42"/>
      <c r="H141" s="539"/>
      <c r="I141" s="539"/>
      <c r="J141" s="539"/>
      <c r="K141" s="539"/>
      <c r="L141" s="539"/>
      <c r="M141" s="539"/>
      <c r="N141" s="539"/>
      <c r="O141" s="539"/>
      <c r="P141" s="539"/>
      <c r="Q141" s="539"/>
      <c r="R141" s="43"/>
      <c r="S141" s="43"/>
      <c r="T141" s="43"/>
      <c r="U141" s="43"/>
      <c r="V141" s="539"/>
      <c r="W141" s="539"/>
      <c r="X141" s="43"/>
      <c r="Y141" s="43"/>
      <c r="Z141" s="43"/>
      <c r="AA141" s="43"/>
      <c r="AB141" s="539"/>
      <c r="AC141" s="539"/>
      <c r="AD141" s="43"/>
      <c r="AE141" s="43"/>
      <c r="AF141" s="238"/>
      <c r="AG141" s="238"/>
      <c r="AH141" s="238"/>
      <c r="AI141" s="238"/>
      <c r="AJ141" s="238"/>
      <c r="AK141" s="238"/>
      <c r="AL141" s="238"/>
      <c r="AM141" s="197">
        <f>IF(AQ141=1,SUM(H141:I141,L141:O141,R141:U141,X141:AA141,AD141:AG141,AI141:AK141),
IF(AQ141=2,SUM(H141:K141,N141:Q141,T141:W141,Z141:AC141,AF141:AI141),
IF(AQ141=3,SUM(J141:M141,P141:S141,V141:Y141,AB141:AE141,AH141:AK141),SUM(Таблица1[[#This Row],[1]:[31]])-Таблица1[[#This Row],[Столбец1]])))</f>
        <v>0</v>
      </c>
      <c r="AN141" s="269">
        <f t="array" ref="AN141">IF(AQ141=1,SUM(J141:K141,P141:Q141,V141:W141,AB141:AC141,AH141:AI141),
IF(AQ141=2,SUM(L141:M141,R141:S141,X141:Y141,AD141:AE141),
IF(AQ141=3,SUM(H141:I141,N141:O141,T141:U141,Z141:AA141,AF141:AG141),
SUM(IFERROR(WEEKDAY($H$2:$AL$2,2)&gt;5,)*H141:AL141))))</f>
        <v>0</v>
      </c>
      <c r="AO141" s="271" t="b">
        <f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696" t="b">
        <f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678" t="str">
        <f>IFERROR(INDEX(база!T:T, MATCH(F141,база!Q:Q,0)),"")</f>
        <v/>
      </c>
      <c r="AR141" s="193">
        <f>IFERROR(INDEX(база!D:D, MATCH(F141,база!B:B,0)),"")</f>
        <v>0</v>
      </c>
    </row>
    <row r="142" spans="1:44" ht="15">
      <c r="A142" s="59"/>
      <c r="B142" s="215"/>
      <c r="C142" s="54"/>
      <c r="D142" s="55"/>
      <c r="E142" s="196"/>
      <c r="F142" s="651"/>
      <c r="G142" s="42"/>
      <c r="H142" s="539"/>
      <c r="I142" s="539"/>
      <c r="J142" s="539"/>
      <c r="K142" s="539"/>
      <c r="L142" s="539"/>
      <c r="M142" s="539"/>
      <c r="N142" s="539"/>
      <c r="O142" s="539"/>
      <c r="P142" s="278"/>
      <c r="Q142" s="539"/>
      <c r="R142" s="539"/>
      <c r="S142" s="539"/>
      <c r="T142" s="539"/>
      <c r="U142" s="539"/>
      <c r="V142" s="539"/>
      <c r="W142" s="539"/>
      <c r="X142" s="43"/>
      <c r="Y142" s="43"/>
      <c r="Z142" s="43"/>
      <c r="AA142" s="43"/>
      <c r="AB142" s="539"/>
      <c r="AC142" s="539"/>
      <c r="AD142" s="43"/>
      <c r="AE142" s="43"/>
      <c r="AF142" s="238"/>
      <c r="AG142" s="238"/>
      <c r="AH142" s="238"/>
      <c r="AI142" s="238"/>
      <c r="AJ142" s="238"/>
      <c r="AK142" s="238"/>
      <c r="AL142" s="238"/>
      <c r="AM142" s="197">
        <f>IF(AQ142=1,SUM(H142:I142,L142:O142,R142:U142,X142:AA142,AD142:AG142,AI142:AK142),
IF(AQ142=2,SUM(H142:K142,N142:Q142,T142:W142,Z142:AC142,AF142:AI142),
IF(AQ142=3,SUM(J142:M142,P142:S142,V142:Y142,AB142:AE142,AH142:AK142),SUM(Таблица1[[#This Row],[1]:[31]])-Таблица1[[#This Row],[Столбец1]])))</f>
        <v>0</v>
      </c>
      <c r="AN142" s="269">
        <f t="array" ref="AN142">IF(AQ142=1,SUM(J142:K142,P142:Q142,V142:W142,AB142:AC142,AH142:AI142),
IF(AQ142=2,SUM(L142:M142,R142:S142,X142:Y142,AD142:AE142),
IF(AQ142=3,SUM(H142:I142,N142:O142,T142:U142,Z142:AA142,AF142:AG142),
SUM(IFERROR(WEEKDAY($H$2:$AL$2,2)&gt;5,)*H142:AL142))))</f>
        <v>0</v>
      </c>
      <c r="AO142" s="271" t="b">
        <f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696" t="b">
        <f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678" t="str">
        <f>IFERROR(INDEX(база!T:T, MATCH(F142,база!Q:Q,0)),"")</f>
        <v/>
      </c>
      <c r="AR142" s="193">
        <f>IFERROR(INDEX(база!D:D, MATCH(F142,база!B:B,0)),"")</f>
        <v>0</v>
      </c>
    </row>
    <row r="143" spans="1:44" ht="15">
      <c r="A143" s="59"/>
      <c r="B143" s="215"/>
      <c r="C143" s="277"/>
      <c r="D143" s="55"/>
      <c r="E143" s="196"/>
      <c r="F143" s="651"/>
      <c r="G143" s="42"/>
      <c r="H143" s="539"/>
      <c r="I143" s="539"/>
      <c r="J143" s="539"/>
      <c r="K143" s="539"/>
      <c r="L143" s="539"/>
      <c r="M143" s="539"/>
      <c r="N143" s="539"/>
      <c r="O143" s="539"/>
      <c r="P143" s="278"/>
      <c r="Q143" s="539"/>
      <c r="R143" s="539"/>
      <c r="S143" s="539"/>
      <c r="T143" s="43"/>
      <c r="U143" s="43"/>
      <c r="V143" s="43"/>
      <c r="W143" s="43"/>
      <c r="X143" s="539"/>
      <c r="Y143" s="539"/>
      <c r="Z143" s="539"/>
      <c r="AA143" s="539"/>
      <c r="AB143" s="539"/>
      <c r="AC143" s="539"/>
      <c r="AD143" s="43"/>
      <c r="AE143" s="43"/>
      <c r="AF143" s="43"/>
      <c r="AG143" s="43"/>
      <c r="AH143" s="43"/>
      <c r="AI143" s="43"/>
      <c r="AJ143" s="238"/>
      <c r="AK143" s="43"/>
      <c r="AL143" s="45"/>
      <c r="AM143" s="197">
        <f>IF(AQ143=1,SUM(H143:I143,L143:O143,R143:U143,X143:AA143,AD143:AG143,AI143:AK143),
IF(AQ143=2,SUM(H143:K143,N143:Q143,T143:W143,Z143:AC143,AF143:AI143),
IF(AQ143=3,SUM(J143:M143,P143:S143,V143:Y143,AB143:AE143,AH143:AK143),SUM(Таблица1[[#This Row],[1]:[31]])-Таблица1[[#This Row],[Столбец1]])))</f>
        <v>0</v>
      </c>
      <c r="AN143" s="269">
        <f t="array" ref="AN143">IF(AQ143=1,SUM(J143:K143,P143:Q143,V143:W143,AB143:AC143,AH143:AI143),
IF(AQ143=2,SUM(L143:M143,R143:S143,X143:Y143,AD143:AE143),
IF(AQ143=3,SUM(H143:I143,N143:O143,T143:U143,Z143:AA143,AF143:AG143),
SUM(IFERROR(WEEKDAY($H$2:$AL$2,2)&gt;5,)*H143:AL143))))</f>
        <v>0</v>
      </c>
      <c r="AO143" s="271" t="b">
        <f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696" t="b">
        <f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678" t="str">
        <f>IFERROR(INDEX(база!T:T, MATCH(F143,база!Q:Q,0)),"")</f>
        <v/>
      </c>
      <c r="AR143" s="193">
        <f>IFERROR(INDEX(база!D:D, MATCH(F143,база!B:B,0)),"")</f>
        <v>0</v>
      </c>
    </row>
    <row r="144" spans="1:44" ht="15">
      <c r="A144" s="59"/>
      <c r="B144" s="215"/>
      <c r="C144" s="543"/>
      <c r="D144" s="55"/>
      <c r="E144" s="196"/>
      <c r="F144" s="651"/>
      <c r="G144" s="42"/>
      <c r="H144" s="539"/>
      <c r="I144" s="539"/>
      <c r="J144" s="539"/>
      <c r="K144" s="539"/>
      <c r="L144" s="539"/>
      <c r="M144" s="539"/>
      <c r="N144" s="539"/>
      <c r="O144" s="539"/>
      <c r="P144" s="278"/>
      <c r="Q144" s="539"/>
      <c r="R144" s="539"/>
      <c r="S144" s="539"/>
      <c r="T144" s="539"/>
      <c r="U144" s="539"/>
      <c r="V144" s="539"/>
      <c r="W144" s="539"/>
      <c r="X144" s="539"/>
      <c r="Y144" s="539"/>
      <c r="Z144" s="539"/>
      <c r="AA144" s="539"/>
      <c r="AB144" s="539"/>
      <c r="AC144" s="539"/>
      <c r="AD144" s="43"/>
      <c r="AE144" s="43"/>
      <c r="AF144" s="43"/>
      <c r="AG144" s="43"/>
      <c r="AH144" s="43"/>
      <c r="AI144" s="43"/>
      <c r="AJ144" s="238"/>
      <c r="AK144" s="238"/>
      <c r="AL144" s="238"/>
      <c r="AM144" s="197">
        <f>IF(AQ144=1,SUM(H144:I144,L144:O144,R144:U144,X144:AA144,AD144:AG144,AI144:AK144),
IF(AQ144=2,SUM(H144:K144,N144:Q144,T144:W144,Z144:AC144,AF144:AI144),
IF(AQ144=3,SUM(J144:M144,P144:S144,V144:Y144,AB144:AE144,AH144:AK144),SUM(Таблица1[[#This Row],[1]:[31]])-Таблица1[[#This Row],[Столбец1]])))</f>
        <v>0</v>
      </c>
      <c r="AN144" s="269">
        <f t="array" ref="AN144">IF(AQ144=1,SUM(J144:K144,P144:Q144,V144:W144,AB144:AC144,AH144:AI144),
IF(AQ144=2,SUM(L144:M144,R144:S144,X144:Y144,AD144:AE144),
IF(AQ144=3,SUM(H144:I144,N144:O144,T144:U144,Z144:AA144,AF144:AG144),
SUM(IFERROR(WEEKDAY($H$2:$AL$2,2)&gt;5,)*H144:AL144))))</f>
        <v>0</v>
      </c>
      <c r="AO144" s="271" t="b">
        <f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696" t="b">
        <f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678" t="str">
        <f>IFERROR(INDEX(база!T:T, MATCH(F144,база!Q:Q,0)),"")</f>
        <v/>
      </c>
      <c r="AR144" s="193">
        <f>IFERROR(INDEX(база!D:D, MATCH(F144,база!B:B,0)),"")</f>
        <v>0</v>
      </c>
    </row>
    <row r="145" spans="1:44" ht="15">
      <c r="A145" s="59"/>
      <c r="B145" s="215"/>
      <c r="C145" s="277"/>
      <c r="D145" s="55"/>
      <c r="E145" s="196"/>
      <c r="F145" s="651"/>
      <c r="G145" s="42"/>
      <c r="H145" s="539"/>
      <c r="I145" s="539"/>
      <c r="J145" s="539"/>
      <c r="K145" s="539"/>
      <c r="L145" s="539"/>
      <c r="M145" s="539"/>
      <c r="N145" s="44"/>
      <c r="O145" s="43"/>
      <c r="P145" s="43"/>
      <c r="Q145" s="43"/>
      <c r="R145" s="539"/>
      <c r="S145" s="539"/>
      <c r="T145" s="539"/>
      <c r="U145" s="539"/>
      <c r="V145" s="539"/>
      <c r="W145" s="539"/>
      <c r="X145" s="539"/>
      <c r="Y145" s="539"/>
      <c r="Z145" s="43"/>
      <c r="AA145" s="43"/>
      <c r="AB145" s="43"/>
      <c r="AC145" s="43"/>
      <c r="AD145" s="43"/>
      <c r="AE145" s="43"/>
      <c r="AF145" s="238"/>
      <c r="AG145" s="238"/>
      <c r="AH145" s="238"/>
      <c r="AI145" s="238"/>
      <c r="AJ145" s="238"/>
      <c r="AK145" s="238"/>
      <c r="AL145" s="238"/>
      <c r="AM145" s="197">
        <f>IF(AQ145=1,SUM(H145:I145,L145:O145,R145:U145,X145:AA145,AD145:AG145,AI145:AK145),
IF(AQ145=2,SUM(H145:K145,N145:Q145,T145:W145,Z145:AC145,AF145:AI145),
IF(AQ145=3,SUM(J145:M145,P145:S145,V145:Y145,AB145:AE145,AH145:AK145),SUM(Таблица1[[#This Row],[1]:[31]])-Таблица1[[#This Row],[Столбец1]])))</f>
        <v>0</v>
      </c>
      <c r="AN145" s="269">
        <f t="array" ref="AN145">IF(AQ145=1,SUM(J145:K145,P145:Q145,V145:W145,AB145:AC145,AH145:AI145),
IF(AQ145=2,SUM(L145:M145,R145:S145,X145:Y145,AD145:AE145),
IF(AQ145=3,SUM(H145:I145,N145:O145,T145:U145,Z145:AA145,AF145:AG145),
SUM(IFERROR(WEEKDAY($H$2:$AL$2,2)&gt;5,)*H145:AL145))))</f>
        <v>0</v>
      </c>
      <c r="AO145" s="271" t="b">
        <f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696" t="b">
        <f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678" t="str">
        <f>IFERROR(INDEX(база!T:T, MATCH(F145,база!Q:Q,0)),"")</f>
        <v/>
      </c>
      <c r="AR145" s="193">
        <f>IFERROR(INDEX(база!D:D, MATCH(F145,база!B:B,0)),"")</f>
        <v>0</v>
      </c>
    </row>
    <row r="146" spans="1:44" ht="15">
      <c r="A146" s="59"/>
      <c r="B146" s="215"/>
      <c r="C146" s="54"/>
      <c r="D146" s="55"/>
      <c r="E146" s="196"/>
      <c r="F146" s="651"/>
      <c r="G146" s="42"/>
      <c r="H146" s="539"/>
      <c r="I146" s="539"/>
      <c r="J146" s="539"/>
      <c r="K146" s="539"/>
      <c r="L146" s="539"/>
      <c r="M146" s="539"/>
      <c r="N146" s="539"/>
      <c r="O146" s="539"/>
      <c r="P146" s="278"/>
      <c r="Q146" s="539"/>
      <c r="R146" s="43"/>
      <c r="S146" s="43"/>
      <c r="T146" s="43"/>
      <c r="U146" s="43"/>
      <c r="V146" s="539"/>
      <c r="W146" s="539"/>
      <c r="X146" s="539"/>
      <c r="Y146" s="539"/>
      <c r="Z146" s="539"/>
      <c r="AA146" s="539"/>
      <c r="AB146" s="539"/>
      <c r="AC146" s="539"/>
      <c r="AD146" s="43"/>
      <c r="AE146" s="43"/>
      <c r="AF146" s="43"/>
      <c r="AG146" s="43"/>
      <c r="AH146" s="43"/>
      <c r="AI146" s="43"/>
      <c r="AJ146" s="43"/>
      <c r="AK146" s="43"/>
      <c r="AL146" s="238"/>
      <c r="AM146" s="197">
        <f>IF(AQ146=1,SUM(H146:I146,L146:O146,R146:U146,X146:AA146,AD146:AG146,AI146:AK146),
IF(AQ146=2,SUM(H146:K146,N146:Q146,T146:W146,Z146:AC146,AF146:AI146),
IF(AQ146=3,SUM(J146:M146,P146:S146,V146:Y146,AB146:AE146,AH146:AK146),SUM(Таблица1[[#This Row],[1]:[31]])-Таблица1[[#This Row],[Столбец1]])))</f>
        <v>0</v>
      </c>
      <c r="AN146" s="269">
        <f t="array" ref="AN146">IF(AQ146=1,SUM(J146:K146,P146:Q146,V146:W146,AB146:AC146,AH146:AI146),
IF(AQ146=2,SUM(L146:M146,R146:S146,X146:Y146,AD146:AE146),
IF(AQ146=3,SUM(H146:I146,N146:O146,T146:U146,Z146:AA146,AF146:AG146),
SUM(IFERROR(WEEKDAY($H$2:$AL$2,2)&gt;5,)*H146:AL146))))</f>
        <v>0</v>
      </c>
      <c r="AO146" s="271" t="b">
        <f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696" t="b">
        <f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678" t="str">
        <f>IFERROR(INDEX(база!T:T, MATCH(F146,база!Q:Q,0)),"")</f>
        <v/>
      </c>
      <c r="AR146" s="193">
        <f>IFERROR(INDEX(база!D:D, MATCH(F146,база!B:B,0)),"")</f>
        <v>0</v>
      </c>
    </row>
    <row r="147" spans="1:44" ht="15">
      <c r="A147" s="59"/>
      <c r="B147" s="215"/>
      <c r="C147" s="54"/>
      <c r="D147" s="55"/>
      <c r="E147" s="196"/>
      <c r="F147" s="651"/>
      <c r="G147" s="42"/>
      <c r="H147" s="198"/>
      <c r="I147" s="43"/>
      <c r="J147" s="43"/>
      <c r="K147" s="43"/>
      <c r="L147" s="43"/>
      <c r="M147" s="43"/>
      <c r="N147" s="44"/>
      <c r="O147" s="43"/>
      <c r="P147" s="278"/>
      <c r="Q147" s="539"/>
      <c r="R147" s="539"/>
      <c r="S147" s="539"/>
      <c r="T147" s="539"/>
      <c r="U147" s="539"/>
      <c r="V147" s="539"/>
      <c r="W147" s="539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238"/>
      <c r="AM147" s="197">
        <f>IF(AQ147=1,SUM(H147:I147,L147:O147,R147:U147,X147:AA147,AD147:AG147,AI147:AK147),
IF(AQ147=2,SUM(H147:K147,N147:Q147,T147:W147,Z147:AC147,AF147:AI147),
IF(AQ147=3,SUM(J147:M147,P147:S147,V147:Y147,AB147:AE147,AH147:AK147),SUM(Таблица1[[#This Row],[1]:[31]])-Таблица1[[#This Row],[Столбец1]])))</f>
        <v>0</v>
      </c>
      <c r="AN147" s="269">
        <f t="array" ref="AN147">IF(AQ147=1,SUM(J147:K147,P147:Q147,V147:W147,AB147:AC147,AH147:AI147),
IF(AQ147=2,SUM(L147:M147,R147:S147,X147:Y147,AD147:AE147),
IF(AQ147=3,SUM(H147:I147,N147:O147,T147:U147,Z147:AA147,AF147:AG147),
SUM(IFERROR(WEEKDAY($H$2:$AL$2,2)&gt;5,)*H147:AL147))))</f>
        <v>0</v>
      </c>
      <c r="AO147" s="271" t="b">
        <f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696" t="b">
        <f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678" t="str">
        <f>IFERROR(INDEX(база!T:T, MATCH(F147,база!Q:Q,0)),"")</f>
        <v/>
      </c>
      <c r="AR147" s="193">
        <f>IFERROR(INDEX(база!D:D, MATCH(F147,база!B:B,0)),"")</f>
        <v>0</v>
      </c>
    </row>
    <row r="148" spans="1:44" ht="15">
      <c r="A148" s="59"/>
      <c r="B148" s="215"/>
      <c r="C148" s="54"/>
      <c r="D148" s="55"/>
      <c r="E148" s="196"/>
      <c r="F148" s="651"/>
      <c r="G148" s="42"/>
      <c r="H148" s="539"/>
      <c r="I148" s="539"/>
      <c r="J148" s="539"/>
      <c r="K148" s="539"/>
      <c r="L148" s="539"/>
      <c r="M148" s="539"/>
      <c r="N148" s="539"/>
      <c r="O148" s="539"/>
      <c r="P148" s="539"/>
      <c r="Q148" s="539"/>
      <c r="R148" s="539"/>
      <c r="S148" s="539"/>
      <c r="T148" s="539"/>
      <c r="U148" s="539"/>
      <c r="V148" s="539"/>
      <c r="W148" s="539"/>
      <c r="X148" s="539"/>
      <c r="Y148" s="539"/>
      <c r="Z148" s="539"/>
      <c r="AA148" s="539"/>
      <c r="AB148" s="539"/>
      <c r="AC148" s="539"/>
      <c r="AD148" s="43"/>
      <c r="AE148" s="43"/>
      <c r="AF148" s="43"/>
      <c r="AG148" s="43"/>
      <c r="AH148" s="43"/>
      <c r="AI148" s="43"/>
      <c r="AJ148" s="43"/>
      <c r="AK148" s="43"/>
      <c r="AL148" s="238"/>
      <c r="AM148" s="197">
        <f>IF(AQ148=1,SUM(H148:I148,L148:O148,R148:U148,X148:AA148,AD148:AG148,AI148:AK148),
IF(AQ148=2,SUM(H148:K148,N148:Q148,T148:W148,Z148:AC148,AF148:AI148),
IF(AQ148=3,SUM(J148:M148,P148:S148,V148:Y148,AB148:AE148,AH148:AK148),SUM(Таблица1[[#This Row],[1]:[31]])-Таблица1[[#This Row],[Столбец1]])))</f>
        <v>0</v>
      </c>
      <c r="AN148" s="269">
        <f t="array" ref="AN148">IF(AQ148=1,SUM(J148:K148,P148:Q148,V148:W148,AB148:AC148,AH148:AI148),
IF(AQ148=2,SUM(L148:M148,R148:S148,X148:Y148,AD148:AE148),
IF(AQ148=3,SUM(H148:I148,N148:O148,T148:U148,Z148:AA148,AF148:AG148),
SUM(IFERROR(WEEKDAY($H$2:$AL$2,2)&gt;5,)*H148:AL148))))</f>
        <v>0</v>
      </c>
      <c r="AO148" s="271" t="b">
        <f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696" t="b">
        <f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678" t="str">
        <f>IFERROR(INDEX(база!T:T, MATCH(F148,база!Q:Q,0)),"")</f>
        <v/>
      </c>
      <c r="AR148" s="193">
        <f>IFERROR(INDEX(база!D:D, MATCH(F148,база!B:B,0)),"")</f>
        <v>0</v>
      </c>
    </row>
    <row r="149" spans="1:44" ht="15">
      <c r="A149" s="59"/>
      <c r="B149" s="215"/>
      <c r="C149" s="54"/>
      <c r="D149" s="55"/>
      <c r="E149" s="196"/>
      <c r="F149" s="651"/>
      <c r="G149" s="42"/>
      <c r="H149" s="539"/>
      <c r="I149" s="539"/>
      <c r="J149" s="539"/>
      <c r="K149" s="539"/>
      <c r="L149" s="539"/>
      <c r="M149" s="539"/>
      <c r="N149" s="539"/>
      <c r="O149" s="539"/>
      <c r="P149" s="278"/>
      <c r="Q149" s="539"/>
      <c r="R149" s="539"/>
      <c r="S149" s="539"/>
      <c r="T149" s="539"/>
      <c r="U149" s="539"/>
      <c r="V149" s="539"/>
      <c r="W149" s="539"/>
      <c r="X149" s="539"/>
      <c r="Y149" s="539"/>
      <c r="Z149" s="539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238"/>
      <c r="AM149" s="197">
        <f>IF(AQ149=1,SUM(H149:I149,L149:O149,R149:U149,X149:AA149,AD149:AG149,AI149:AK149),
IF(AQ149=2,SUM(H149:K149,N149:Q149,T149:W149,Z149:AC149,AF149:AI149),
IF(AQ149=3,SUM(J149:M149,P149:S149,V149:Y149,AB149:AE149,AH149:AK149),SUM(Таблица1[[#This Row],[1]:[31]])-Таблица1[[#This Row],[Столбец1]])))</f>
        <v>0</v>
      </c>
      <c r="AN149" s="269">
        <f t="array" ref="AN149">IF(AQ149=1,SUM(J149:K149,P149:Q149,V149:W149,AB149:AC149,AH149:AI149),
IF(AQ149=2,SUM(L149:M149,R149:S149,X149:Y149,AD149:AE149),
IF(AQ149=3,SUM(H149:I149,N149:O149,T149:U149,Z149:AA149,AF149:AG149),
SUM(IFERROR(WEEKDAY($H$2:$AL$2,2)&gt;5,)*H149:AL149))))</f>
        <v>0</v>
      </c>
      <c r="AO149" s="271" t="b">
        <f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696" t="b">
        <f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678" t="str">
        <f>IFERROR(INDEX(база!T:T, MATCH(F149,база!Q:Q,0)),"")</f>
        <v/>
      </c>
      <c r="AR149" s="193">
        <f>IFERROR(INDEX(база!D:D, MATCH(F149,база!B:B,0)),"")</f>
        <v>0</v>
      </c>
    </row>
    <row r="150" spans="1:44" ht="15">
      <c r="A150" s="59"/>
      <c r="B150" s="215"/>
      <c r="C150" s="54"/>
      <c r="D150" s="55"/>
      <c r="E150" s="196"/>
      <c r="F150" s="651"/>
      <c r="G150" s="42"/>
      <c r="H150" s="539"/>
      <c r="I150" s="539"/>
      <c r="J150" s="539"/>
      <c r="K150" s="539"/>
      <c r="L150" s="539"/>
      <c r="M150" s="539"/>
      <c r="N150" s="539"/>
      <c r="O150" s="539"/>
      <c r="P150" s="278"/>
      <c r="Q150" s="539"/>
      <c r="R150" s="539"/>
      <c r="S150" s="539"/>
      <c r="T150" s="539"/>
      <c r="U150" s="539"/>
      <c r="V150" s="539"/>
      <c r="W150" s="539"/>
      <c r="X150" s="539"/>
      <c r="Y150" s="539"/>
      <c r="Z150" s="539"/>
      <c r="AA150" s="539"/>
      <c r="AB150" s="539"/>
      <c r="AC150" s="539"/>
      <c r="AD150" s="43"/>
      <c r="AE150" s="43"/>
      <c r="AF150" s="238"/>
      <c r="AG150" s="238"/>
      <c r="AH150" s="43"/>
      <c r="AI150" s="43"/>
      <c r="AJ150" s="43"/>
      <c r="AK150" s="43"/>
      <c r="AL150" s="238"/>
      <c r="AM150" s="197">
        <f>IF(AQ150=1,SUM(H150:I150,L150:O150,R150:U150,X150:AA150,AD150:AG150,AI150:AK150),
IF(AQ150=2,SUM(H150:K150,N150:Q150,T150:W150,Z150:AC150,AF150:AI150),
IF(AQ150=3,SUM(J150:M150,P150:S150,V150:Y150,AB150:AE150,AH150:AK150),SUM(Таблица1[[#This Row],[1]:[31]])-Таблица1[[#This Row],[Столбец1]])))</f>
        <v>0</v>
      </c>
      <c r="AN150" s="269">
        <f t="array" ref="AN150">IF(AQ150=1,SUM(J150:K150,P150:Q150,V150:W150,AB150:AC150,AH150:AI150),
IF(AQ150=2,SUM(L150:M150,R150:S150,X150:Y150,AD150:AE150),
IF(AQ150=3,SUM(H150:I150,N150:O150,T150:U150,Z150:AA150,AF150:AG150),
SUM(IFERROR(WEEKDAY($H$2:$AL$2,2)&gt;5,)*H150:AL150))))</f>
        <v>0</v>
      </c>
      <c r="AO150" s="271" t="b">
        <f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696" t="b">
        <f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678" t="str">
        <f>IFERROR(INDEX(база!T:T, MATCH(F150,база!Q:Q,0)),"")</f>
        <v/>
      </c>
      <c r="AR150" s="193">
        <f>IFERROR(INDEX(база!D:D, MATCH(F150,база!B:B,0)),"")</f>
        <v>0</v>
      </c>
    </row>
    <row r="151" spans="1:44" ht="15">
      <c r="A151" s="59"/>
      <c r="B151" s="215"/>
      <c r="C151" s="277"/>
      <c r="D151" s="55"/>
      <c r="E151" s="196"/>
      <c r="F151" s="651"/>
      <c r="G151" s="42"/>
      <c r="H151" s="539"/>
      <c r="I151" s="539"/>
      <c r="J151" s="539"/>
      <c r="K151" s="539"/>
      <c r="L151" s="539"/>
      <c r="M151" s="539"/>
      <c r="N151" s="539"/>
      <c r="O151" s="539"/>
      <c r="P151" s="278"/>
      <c r="Q151" s="539"/>
      <c r="R151" s="539"/>
      <c r="S151" s="539"/>
      <c r="T151" s="539"/>
      <c r="U151" s="539"/>
      <c r="V151" s="539"/>
      <c r="W151" s="539"/>
      <c r="X151" s="539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238"/>
      <c r="AL151" s="238"/>
      <c r="AM151" s="197">
        <f>IF(AQ151=1,SUM(H151:I151,L151:O151,R151:U151,X151:AA151,AD151:AG151,AI151:AK151),
IF(AQ151=2,SUM(H151:K151,N151:Q151,T151:W151,Z151:AC151,AF151:AI151),
IF(AQ151=3,SUM(J151:M151,P151:S151,V151:Y151,AB151:AE151,AH151:AK151),SUM(Таблица1[[#This Row],[1]:[31]])-Таблица1[[#This Row],[Столбец1]])))</f>
        <v>0</v>
      </c>
      <c r="AN151" s="269">
        <f t="array" ref="AN151">IF(AQ151=1,SUM(J151:K151,P151:Q151,V151:W151,AB151:AC151,AH151:AI151),
IF(AQ151=2,SUM(L151:M151,R151:S151,X151:Y151,AD151:AE151),
IF(AQ151=3,SUM(H151:I151,N151:O151,T151:U151,Z151:AA151,AF151:AG151),
SUM(IFERROR(WEEKDAY($H$2:$AL$2,2)&gt;5,)*H151:AL151))))</f>
        <v>0</v>
      </c>
      <c r="AO151" s="271" t="b">
        <f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696" t="b">
        <f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678" t="str">
        <f>IFERROR(INDEX(база!T:T, MATCH(F151,база!Q:Q,0)),"")</f>
        <v/>
      </c>
      <c r="AR151" s="193">
        <f>IFERROR(INDEX(база!D:D, MATCH(F151,база!B:B,0)),"")</f>
        <v>0</v>
      </c>
    </row>
    <row r="152" spans="1:44" ht="14.25" customHeight="1">
      <c r="A152" s="59"/>
      <c r="B152" s="215"/>
      <c r="C152" s="277"/>
      <c r="D152" s="55"/>
      <c r="E152" s="196"/>
      <c r="F152" s="651"/>
      <c r="G152" s="42"/>
      <c r="H152" s="539"/>
      <c r="I152" s="539"/>
      <c r="J152" s="539"/>
      <c r="K152" s="539"/>
      <c r="L152" s="539"/>
      <c r="M152" s="539"/>
      <c r="N152" s="539"/>
      <c r="O152" s="539"/>
      <c r="P152" s="278"/>
      <c r="Q152" s="278"/>
      <c r="R152" s="278"/>
      <c r="S152" s="278"/>
      <c r="T152" s="278"/>
      <c r="U152" s="539"/>
      <c r="V152" s="539"/>
      <c r="W152" s="539"/>
      <c r="X152" s="539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238"/>
      <c r="AK152" s="43"/>
      <c r="AL152" s="45"/>
      <c r="AM152" s="197">
        <f>IF(AQ152=1,SUM(H152:I152,L152:O152,R152:U152,X152:AA152,AD152:AG152,AI152:AK152),
IF(AQ152=2,SUM(H152:K152,N152:Q152,T152:W152,Z152:AC152,AF152:AI152),
IF(AQ152=3,SUM(J152:M152,P152:S152,V152:Y152,AB152:AE152,AH152:AK152),SUM(Таблица1[[#This Row],[1]:[31]])-Таблица1[[#This Row],[Столбец1]])))</f>
        <v>0</v>
      </c>
      <c r="AN152" s="269">
        <f t="array" ref="AN152">IF(AQ152=1,SUM(J152:K152,P152:Q152,V152:W152,AB152:AC152,AH152:AI152),
IF(AQ152=2,SUM(L152:M152,R152:S152,X152:Y152,AD152:AE152),
IF(AQ152=3,SUM(H152:I152,N152:O152,T152:U152,Z152:AA152,AF152:AG152),
SUM(IFERROR(WEEKDAY($H$2:$AL$2,2)&gt;5,)*H152:AL152))))</f>
        <v>0</v>
      </c>
      <c r="AO152" s="271" t="b">
        <f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696" t="b">
        <f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678" t="str">
        <f>IFERROR(INDEX(база!T:T, MATCH(F152,база!Q:Q,0)),"")</f>
        <v/>
      </c>
      <c r="AR152" s="193">
        <f>IFERROR(INDEX(база!D:D, MATCH(F152,база!B:B,0)),"")</f>
        <v>0</v>
      </c>
    </row>
    <row r="153" spans="1:44" ht="15">
      <c r="A153" s="59"/>
      <c r="B153" s="215"/>
      <c r="C153" s="54"/>
      <c r="D153" s="55"/>
      <c r="E153" s="196"/>
      <c r="F153" s="651"/>
      <c r="G153" s="42"/>
      <c r="H153" s="539"/>
      <c r="I153" s="539"/>
      <c r="J153" s="539"/>
      <c r="K153" s="539"/>
      <c r="L153" s="539"/>
      <c r="M153" s="539"/>
      <c r="N153" s="539"/>
      <c r="O153" s="539"/>
      <c r="P153" s="539"/>
      <c r="Q153" s="539"/>
      <c r="R153" s="539"/>
      <c r="S153" s="539"/>
      <c r="T153" s="539"/>
      <c r="U153" s="539"/>
      <c r="V153" s="539"/>
      <c r="W153" s="539"/>
      <c r="X153" s="539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238"/>
      <c r="AM153" s="197">
        <f>IF(AQ153=1,SUM(H153:I153,L153:O153,R153:U153,X153:AA153,AD153:AG153,AI153:AK153),
IF(AQ153=2,SUM(H153:K153,N153:Q153,T153:W153,Z153:AC153,AF153:AI153),
IF(AQ153=3,SUM(J153:M153,P153:S153,V153:Y153,AB153:AE153,AH153:AK153),SUM(Таблица1[[#This Row],[1]:[31]])-Таблица1[[#This Row],[Столбец1]])))</f>
        <v>0</v>
      </c>
      <c r="AN153" s="269">
        <f t="array" ref="AN153">IF(AQ153=1,SUM(J153:K153,P153:Q153,V153:W153,AB153:AC153,AH153:AI153),
IF(AQ153=2,SUM(L153:M153,R153:S153,X153:Y153,AD153:AE153),
IF(AQ153=3,SUM(H153:I153,N153:O153,T153:U153,Z153:AA153,AF153:AG153),
SUM(IFERROR(WEEKDAY($H$2:$AL$2,2)&gt;5,)*H153:AL153))))</f>
        <v>0</v>
      </c>
      <c r="AO153" s="271" t="b">
        <f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696" t="b">
        <f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678" t="str">
        <f>IFERROR(INDEX(база!T:T, MATCH(F153,база!Q:Q,0)),"")</f>
        <v/>
      </c>
      <c r="AR153" s="193">
        <f>IFERROR(INDEX(база!D:D, MATCH(F153,база!B:B,0)),"")</f>
        <v>0</v>
      </c>
    </row>
    <row r="154" spans="1:44" ht="15">
      <c r="A154" s="59"/>
      <c r="B154" s="215"/>
      <c r="C154" s="277"/>
      <c r="D154" s="55"/>
      <c r="E154" s="196"/>
      <c r="F154" s="651"/>
      <c r="G154" s="42"/>
      <c r="H154" s="539"/>
      <c r="I154" s="539"/>
      <c r="J154" s="539"/>
      <c r="K154" s="539"/>
      <c r="L154" s="539"/>
      <c r="M154" s="539"/>
      <c r="N154" s="539"/>
      <c r="O154" s="539"/>
      <c r="P154" s="539"/>
      <c r="Q154" s="539"/>
      <c r="R154" s="539"/>
      <c r="S154" s="539"/>
      <c r="T154" s="539"/>
      <c r="U154" s="539"/>
      <c r="V154" s="539"/>
      <c r="W154" s="539"/>
      <c r="X154" s="539"/>
      <c r="Y154" s="539"/>
      <c r="Z154" s="539"/>
      <c r="AA154" s="539"/>
      <c r="AB154" s="539"/>
      <c r="AC154" s="539"/>
      <c r="AD154" s="43"/>
      <c r="AE154" s="43"/>
      <c r="AF154" s="238"/>
      <c r="AG154" s="238"/>
      <c r="AH154" s="238"/>
      <c r="AI154" s="238"/>
      <c r="AJ154" s="238"/>
      <c r="AK154" s="238"/>
      <c r="AL154" s="238"/>
      <c r="AM154" s="197">
        <f>IF(AQ154=1,SUM(H154:I154,L154:O154,R154:U154,X154:AA154,AD154:AG154,AI154:AK154),
IF(AQ154=2,SUM(H154:K154,N154:Q154,T154:W154,Z154:AC154,AF154:AI154),
IF(AQ154=3,SUM(J154:M154,P154:S154,V154:Y154,AB154:AE154,AH154:AK154),SUM(Таблица1[[#This Row],[1]:[31]])-Таблица1[[#This Row],[Столбец1]])))</f>
        <v>0</v>
      </c>
      <c r="AN154" s="269">
        <f t="array" ref="AN154">IF(AQ154=1,SUM(J154:K154,P154:Q154,V154:W154,AB154:AC154,AH154:AI154),
IF(AQ154=2,SUM(L154:M154,R154:S154,X154:Y154,AD154:AE154),
IF(AQ154=3,SUM(H154:I154,N154:O154,T154:U154,Z154:AA154,AF154:AG154),
SUM(IFERROR(WEEKDAY($H$2:$AL$2,2)&gt;5,)*H154:AL154))))</f>
        <v>0</v>
      </c>
      <c r="AO154" s="271" t="b">
        <f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696" t="b">
        <f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678" t="str">
        <f>IFERROR(INDEX(база!T:T, MATCH(F154,база!Q:Q,0)),"")</f>
        <v/>
      </c>
      <c r="AR154" s="193">
        <f>IFERROR(INDEX(база!D:D, MATCH(F154,база!B:B,0)),"")</f>
        <v>0</v>
      </c>
    </row>
    <row r="155" spans="1:44" ht="15">
      <c r="A155" s="59"/>
      <c r="B155" s="215"/>
      <c r="C155" s="54"/>
      <c r="D155" s="55"/>
      <c r="E155" s="196"/>
      <c r="F155" s="651"/>
      <c r="G155" s="42"/>
      <c r="H155" s="539"/>
      <c r="I155" s="539"/>
      <c r="J155" s="539"/>
      <c r="K155" s="539"/>
      <c r="L155" s="539"/>
      <c r="M155" s="539"/>
      <c r="N155" s="539"/>
      <c r="O155" s="539"/>
      <c r="P155" s="278"/>
      <c r="Q155" s="539"/>
      <c r="R155" s="539"/>
      <c r="S155" s="539"/>
      <c r="T155" s="539"/>
      <c r="U155" s="539"/>
      <c r="V155" s="539"/>
      <c r="W155" s="539"/>
      <c r="X155" s="539"/>
      <c r="Y155" s="539"/>
      <c r="Z155" s="539"/>
      <c r="AA155" s="539"/>
      <c r="AB155" s="539"/>
      <c r="AC155" s="539"/>
      <c r="AD155" s="43"/>
      <c r="AE155" s="43"/>
      <c r="AF155" s="238"/>
      <c r="AG155" s="238"/>
      <c r="AH155" s="238"/>
      <c r="AI155" s="238"/>
      <c r="AJ155" s="238"/>
      <c r="AK155" s="238"/>
      <c r="AL155" s="238"/>
      <c r="AM155" s="197">
        <f>IF(AQ155=1,SUM(H155:I155,L155:O155,R155:U155,X155:AA155,AD155:AG155,AI155:AK155),
IF(AQ155=2,SUM(H155:K155,N155:Q155,T155:W155,Z155:AC155,AF155:AI155),
IF(AQ155=3,SUM(J155:M155,P155:S155,V155:Y155,AB155:AE155,AH155:AK155),SUM(Таблица1[[#This Row],[1]:[31]])-Таблица1[[#This Row],[Столбец1]])))</f>
        <v>0</v>
      </c>
      <c r="AN155" s="269">
        <f t="array" ref="AN155">IF(AQ155=1,SUM(J155:K155,P155:Q155,V155:W155,AB155:AC155,AH155:AI155),
IF(AQ155=2,SUM(L155:M155,R155:S155,X155:Y155,AD155:AE155),
IF(AQ155=3,SUM(H155:I155,N155:O155,T155:U155,Z155:AA155,AF155:AG155),
SUM(IFERROR(WEEKDAY($H$2:$AL$2,2)&gt;5,)*H155:AL155))))</f>
        <v>0</v>
      </c>
      <c r="AO155" s="271" t="b">
        <f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696" t="b">
        <f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678" t="str">
        <f>IFERROR(INDEX(база!T:T, MATCH(F155,база!Q:Q,0)),"")</f>
        <v/>
      </c>
      <c r="AR155" s="193">
        <f>IFERROR(INDEX(база!D:D, MATCH(F155,база!B:B,0)),"")</f>
        <v>0</v>
      </c>
    </row>
    <row r="156" spans="1:44" ht="15">
      <c r="A156" s="59"/>
      <c r="B156" s="215"/>
      <c r="C156" s="54"/>
      <c r="D156" s="55"/>
      <c r="E156" s="196"/>
      <c r="F156" s="651"/>
      <c r="G156" s="42"/>
      <c r="H156" s="539"/>
      <c r="I156" s="539"/>
      <c r="J156" s="539"/>
      <c r="K156" s="539"/>
      <c r="L156" s="539"/>
      <c r="M156" s="539"/>
      <c r="N156" s="539"/>
      <c r="O156" s="539"/>
      <c r="P156" s="539"/>
      <c r="Q156" s="539"/>
      <c r="R156" s="539"/>
      <c r="S156" s="539"/>
      <c r="T156" s="539"/>
      <c r="U156" s="539"/>
      <c r="V156" s="539"/>
      <c r="W156" s="539"/>
      <c r="X156" s="539"/>
      <c r="Y156" s="539"/>
      <c r="Z156" s="539"/>
      <c r="AA156" s="539"/>
      <c r="AB156" s="539"/>
      <c r="AC156" s="539"/>
      <c r="AD156" s="43"/>
      <c r="AE156" s="43"/>
      <c r="AF156" s="238"/>
      <c r="AG156" s="238"/>
      <c r="AH156" s="238"/>
      <c r="AI156" s="238"/>
      <c r="AJ156" s="238"/>
      <c r="AK156" s="238"/>
      <c r="AL156" s="238"/>
      <c r="AM156" s="197">
        <f>IF(AQ156=1,SUM(H156:I156,L156:O156,R156:U156,X156:AA156,AD156:AG156,AI156:AK156),
IF(AQ156=2,SUM(H156:K156,N156:Q156,T156:W156,Z156:AC156,AF156:AI156),
IF(AQ156=3,SUM(J156:M156,P156:S156,V156:Y156,AB156:AE156,AH156:AK156),SUM(Таблица1[[#This Row],[1]:[31]])-Таблица1[[#This Row],[Столбец1]])))</f>
        <v>0</v>
      </c>
      <c r="AN156" s="269">
        <f t="array" ref="AN156">IF(AQ156=1,SUM(J156:K156,P156:Q156,V156:W156,AB156:AC156,AH156:AI156),
IF(AQ156=2,SUM(L156:M156,R156:S156,X156:Y156,AD156:AE156),
IF(AQ156=3,SUM(H156:I156,N156:O156,T156:U156,Z156:AA156,AF156:AG156),
SUM(IFERROR(WEEKDAY($H$2:$AL$2,2)&gt;5,)*H156:AL156))))</f>
        <v>0</v>
      </c>
      <c r="AO156" s="271" t="b">
        <f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696" t="b">
        <f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678" t="str">
        <f>IFERROR(INDEX(база!T:T, MATCH(F156,база!Q:Q,0)),"")</f>
        <v/>
      </c>
      <c r="AR156" s="193">
        <f>IFERROR(INDEX(база!D:D, MATCH(F156,база!B:B,0)),"")</f>
        <v>0</v>
      </c>
    </row>
    <row r="157" spans="1:44" ht="15">
      <c r="A157" s="59"/>
      <c r="B157" s="215"/>
      <c r="C157" s="277"/>
      <c r="D157" s="55"/>
      <c r="E157" s="196"/>
      <c r="F157" s="651"/>
      <c r="G157" s="42"/>
      <c r="H157" s="539"/>
      <c r="I157" s="539"/>
      <c r="J157" s="539"/>
      <c r="K157" s="539"/>
      <c r="L157" s="539"/>
      <c r="M157" s="539"/>
      <c r="N157" s="539"/>
      <c r="O157" s="539"/>
      <c r="P157" s="278"/>
      <c r="Q157" s="539"/>
      <c r="R157" s="539"/>
      <c r="S157" s="539"/>
      <c r="T157" s="539"/>
      <c r="U157" s="539"/>
      <c r="V157" s="539"/>
      <c r="W157" s="539"/>
      <c r="X157" s="539"/>
      <c r="Y157" s="539"/>
      <c r="Z157" s="539"/>
      <c r="AA157" s="539"/>
      <c r="AB157" s="539"/>
      <c r="AC157" s="539"/>
      <c r="AD157" s="43"/>
      <c r="AE157" s="43"/>
      <c r="AF157" s="238"/>
      <c r="AG157" s="238"/>
      <c r="AH157" s="238"/>
      <c r="AI157" s="238"/>
      <c r="AJ157" s="238"/>
      <c r="AK157" s="238"/>
      <c r="AL157" s="238"/>
      <c r="AM157" s="197">
        <f>IF(AQ157=1,SUM(H157:I157,L157:O157,R157:U157,X157:AA157,AD157:AG157,AI157:AK157),
IF(AQ157=2,SUM(H157:K157,N157:Q157,T157:W157,Z157:AC157,AF157:AI157),
IF(AQ157=3,SUM(J157:M157,P157:S157,V157:Y157,AB157:AE157,AH157:AK157),SUM(Таблица1[[#This Row],[1]:[31]])-Таблица1[[#This Row],[Столбец1]])))</f>
        <v>0</v>
      </c>
      <c r="AN157" s="269">
        <f t="array" ref="AN157">IF(AQ157=1,SUM(J157:K157,P157:Q157,V157:W157,AB157:AC157,AH157:AI157),
IF(AQ157=2,SUM(L157:M157,R157:S157,X157:Y157,AD157:AE157),
IF(AQ157=3,SUM(H157:I157,N157:O157,T157:U157,Z157:AA157,AF157:AG157),
SUM(IFERROR(WEEKDAY($H$2:$AL$2,2)&gt;5,)*H157:AL157))))</f>
        <v>0</v>
      </c>
      <c r="AO157" s="271" t="b">
        <f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696" t="b">
        <f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678" t="str">
        <f>IFERROR(INDEX(база!T:T, MATCH(F157,база!Q:Q,0)),"")</f>
        <v/>
      </c>
      <c r="AR157" s="193">
        <f>IFERROR(INDEX(база!D:D, MATCH(F157,база!B:B,0)),"")</f>
        <v>0</v>
      </c>
    </row>
    <row r="158" spans="1:44" ht="15">
      <c r="A158" s="59"/>
      <c r="B158" s="215"/>
      <c r="C158" s="54"/>
      <c r="D158" s="55"/>
      <c r="E158" s="196"/>
      <c r="F158" s="651"/>
      <c r="G158" s="42"/>
      <c r="H158" s="539"/>
      <c r="I158" s="539"/>
      <c r="J158" s="539"/>
      <c r="K158" s="539"/>
      <c r="L158" s="539"/>
      <c r="M158" s="539"/>
      <c r="N158" s="539"/>
      <c r="O158" s="539"/>
      <c r="P158" s="278"/>
      <c r="Q158" s="539"/>
      <c r="R158" s="539"/>
      <c r="S158" s="539"/>
      <c r="T158" s="539"/>
      <c r="U158" s="539"/>
      <c r="V158" s="539"/>
      <c r="W158" s="539"/>
      <c r="X158" s="539"/>
      <c r="Y158" s="539"/>
      <c r="Z158" s="539"/>
      <c r="AA158" s="539"/>
      <c r="AB158" s="539"/>
      <c r="AC158" s="539"/>
      <c r="AD158" s="43"/>
      <c r="AE158" s="43"/>
      <c r="AF158" s="238"/>
      <c r="AG158" s="238"/>
      <c r="AH158" s="238"/>
      <c r="AI158" s="238"/>
      <c r="AJ158" s="238"/>
      <c r="AK158" s="238"/>
      <c r="AL158" s="238"/>
      <c r="AM158" s="197">
        <f>IF(AQ158=1,SUM(H158:I158,L158:O158,R158:U158,X158:AA158,AD158:AG158,AI158:AK158),
IF(AQ158=2,SUM(H158:K158,N158:Q158,T158:W158,Z158:AC158,AF158:AI158),
IF(AQ158=3,SUM(J158:M158,P158:S158,V158:Y158,AB158:AE158,AH158:AK158),SUM(Таблица1[[#This Row],[1]:[31]])-Таблица1[[#This Row],[Столбец1]])))</f>
        <v>0</v>
      </c>
      <c r="AN158" s="269">
        <f t="array" ref="AN158">IF(AQ158=1,SUM(J158:K158,P158:Q158,V158:W158,AB158:AC158,AH158:AI158),
IF(AQ158=2,SUM(L158:M158,R158:S158,X158:Y158,AD158:AE158),
IF(AQ158=3,SUM(H158:I158,N158:O158,T158:U158,Z158:AA158,AF158:AG158),
SUM(IFERROR(WEEKDAY($H$2:$AL$2,2)&gt;5,)*H158:AL158))))</f>
        <v>0</v>
      </c>
      <c r="AO158" s="271" t="b">
        <f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696" t="b">
        <f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678" t="str">
        <f>IFERROR(INDEX(база!T:T, MATCH(F158,база!Q:Q,0)),"")</f>
        <v/>
      </c>
      <c r="AR158" s="193">
        <f>IFERROR(INDEX(база!D:D, MATCH(F158,база!B:B,0)),"")</f>
        <v>0</v>
      </c>
    </row>
    <row r="159" spans="1:44" ht="15">
      <c r="A159" s="59"/>
      <c r="B159" s="215"/>
      <c r="C159" s="277"/>
      <c r="D159" s="55"/>
      <c r="E159" s="196"/>
      <c r="F159" s="651"/>
      <c r="G159" s="42"/>
      <c r="H159" s="539"/>
      <c r="I159" s="539"/>
      <c r="J159" s="539"/>
      <c r="K159" s="539"/>
      <c r="L159" s="539"/>
      <c r="M159" s="539"/>
      <c r="N159" s="539"/>
      <c r="O159" s="539"/>
      <c r="P159" s="278"/>
      <c r="Q159" s="278"/>
      <c r="R159" s="278"/>
      <c r="S159" s="278"/>
      <c r="T159" s="278"/>
      <c r="U159" s="539"/>
      <c r="V159" s="539"/>
      <c r="W159" s="539"/>
      <c r="X159" s="539"/>
      <c r="Y159" s="539"/>
      <c r="Z159" s="539"/>
      <c r="AA159" s="539"/>
      <c r="AB159" s="539"/>
      <c r="AC159" s="539"/>
      <c r="AD159" s="43"/>
      <c r="AE159" s="43"/>
      <c r="AF159" s="238"/>
      <c r="AG159" s="238"/>
      <c r="AH159" s="238"/>
      <c r="AI159" s="238"/>
      <c r="AJ159" s="238"/>
      <c r="AK159" s="238"/>
      <c r="AL159" s="238"/>
      <c r="AM159" s="197">
        <f>IF(AQ159=1,SUM(H159:I159,L159:O159,R159:U159,X159:AA159,AD159:AG159,AI159:AK159),
IF(AQ159=2,SUM(H159:K159,N159:Q159,T159:W159,Z159:AC159,AF159:AI159),
IF(AQ159=3,SUM(J159:M159,P159:S159,V159:Y159,AB159:AE159,AH159:AK159),SUM(Таблица1[[#This Row],[1]:[31]])-Таблица1[[#This Row],[Столбец1]])))</f>
        <v>0</v>
      </c>
      <c r="AN159" s="269">
        <f t="array" ref="AN159">IF(AQ159=1,SUM(J159:K159,P159:Q159,V159:W159,AB159:AC159,AH159:AI159),
IF(AQ159=2,SUM(L159:M159,R159:S159,X159:Y159,AD159:AE159),
IF(AQ159=3,SUM(H159:I159,N159:O159,T159:U159,Z159:AA159,AF159:AG159),
SUM(IFERROR(WEEKDAY($H$2:$AL$2,2)&gt;5,)*H159:AL159))))</f>
        <v>0</v>
      </c>
      <c r="AO159" s="271" t="b">
        <f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696" t="b">
        <f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678" t="str">
        <f>IFERROR(INDEX(база!T:T, MATCH(F159,база!Q:Q,0)),"")</f>
        <v/>
      </c>
      <c r="AR159" s="193">
        <f>IFERROR(INDEX(база!D:D, MATCH(F159,база!B:B,0)),"")</f>
        <v>0</v>
      </c>
    </row>
    <row r="160" spans="1:44" ht="15">
      <c r="A160" s="59"/>
      <c r="B160" s="215"/>
      <c r="C160" s="277"/>
      <c r="D160" s="55"/>
      <c r="E160" s="196"/>
      <c r="F160" s="651"/>
      <c r="G160" s="42"/>
      <c r="H160" s="539"/>
      <c r="I160" s="539"/>
      <c r="J160" s="539"/>
      <c r="K160" s="539"/>
      <c r="L160" s="539"/>
      <c r="M160" s="539"/>
      <c r="N160" s="539"/>
      <c r="O160" s="539"/>
      <c r="P160" s="278"/>
      <c r="Q160" s="539"/>
      <c r="R160" s="539"/>
      <c r="S160" s="539"/>
      <c r="T160" s="539"/>
      <c r="U160" s="539"/>
      <c r="V160" s="539"/>
      <c r="W160" s="539"/>
      <c r="X160" s="539"/>
      <c r="Y160" s="539"/>
      <c r="Z160" s="539"/>
      <c r="AA160" s="539"/>
      <c r="AB160" s="539"/>
      <c r="AC160" s="539"/>
      <c r="AD160" s="43"/>
      <c r="AE160" s="43"/>
      <c r="AF160" s="238"/>
      <c r="AG160" s="238"/>
      <c r="AH160" s="238"/>
      <c r="AI160" s="238"/>
      <c r="AJ160" s="238"/>
      <c r="AK160" s="238"/>
      <c r="AL160" s="238"/>
      <c r="AM160" s="197">
        <f>IF(AQ160=1,SUM(H160:I160,L160:O160,R160:U160,X160:AA160,AD160:AG160,AI160:AK160),
IF(AQ160=2,SUM(H160:K160,N160:Q160,T160:W160,Z160:AC160,AF160:AI160),
IF(AQ160=3,SUM(J160:M160,P160:S160,V160:Y160,AB160:AE160,AH160:AK160),SUM(Таблица1[[#This Row],[1]:[31]])-Таблица1[[#This Row],[Столбец1]])))</f>
        <v>0</v>
      </c>
      <c r="AN160" s="269">
        <f t="array" ref="AN160">IF(AQ160=1,SUM(J160:K160,P160:Q160,V160:W160,AB160:AC160,AH160:AI160),
IF(AQ160=2,SUM(L160:M160,R160:S160,X160:Y160,AD160:AE160),
IF(AQ160=3,SUM(H160:I160,N160:O160,T160:U160,Z160:AA160,AF160:AG160),
SUM(IFERROR(WEEKDAY($H$2:$AL$2,2)&gt;5,)*H160:AL160))))</f>
        <v>0</v>
      </c>
      <c r="AO160" s="271" t="b">
        <f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696" t="b">
        <f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678" t="str">
        <f>IFERROR(INDEX(база!T:T, MATCH(F160,база!Q:Q,0)),"")</f>
        <v/>
      </c>
      <c r="AR160" s="193">
        <f>IFERROR(INDEX(база!D:D, MATCH(F160,база!B:B,0)),"")</f>
        <v>0</v>
      </c>
    </row>
    <row r="161" spans="1:44" ht="15">
      <c r="A161" s="59"/>
      <c r="B161" s="215"/>
      <c r="C161" s="277"/>
      <c r="D161" s="55"/>
      <c r="E161" s="196"/>
      <c r="F161" s="651"/>
      <c r="G161" s="42"/>
      <c r="H161" s="539"/>
      <c r="I161" s="539"/>
      <c r="J161" s="539"/>
      <c r="K161" s="539"/>
      <c r="L161" s="539"/>
      <c r="M161" s="539"/>
      <c r="N161" s="539"/>
      <c r="O161" s="539"/>
      <c r="P161" s="278"/>
      <c r="Q161" s="539"/>
      <c r="R161" s="539"/>
      <c r="S161" s="539"/>
      <c r="T161" s="539"/>
      <c r="U161" s="539"/>
      <c r="V161" s="539"/>
      <c r="W161" s="539"/>
      <c r="X161" s="539"/>
      <c r="Y161" s="539"/>
      <c r="Z161" s="539"/>
      <c r="AA161" s="539"/>
      <c r="AB161" s="539"/>
      <c r="AC161" s="539"/>
      <c r="AD161" s="43"/>
      <c r="AE161" s="43"/>
      <c r="AF161" s="238"/>
      <c r="AG161" s="238"/>
      <c r="AH161" s="238"/>
      <c r="AI161" s="238"/>
      <c r="AJ161" s="238"/>
      <c r="AK161" s="238"/>
      <c r="AL161" s="238"/>
      <c r="AM161" s="197">
        <f>IF(AQ161=1,SUM(H161:I161,L161:O161,R161:U161,X161:AA161,AD161:AG161,AI161:AK161),
IF(AQ161=2,SUM(H161:K161,N161:Q161,T161:W161,Z161:AC161,AF161:AI161),
IF(AQ161=3,SUM(J161:M161,P161:S161,V161:Y161,AB161:AE161,AH161:AK161),SUM(Таблица1[[#This Row],[1]:[31]])-Таблица1[[#This Row],[Столбец1]])))</f>
        <v>0</v>
      </c>
      <c r="AN161" s="269">
        <f t="array" ref="AN161">IF(AQ161=1,SUM(J161:K161,P161:Q161,V161:W161,AB161:AC161,AH161:AI161),
IF(AQ161=2,SUM(L161:M161,R161:S161,X161:Y161,AD161:AE161),
IF(AQ161=3,SUM(H161:I161,N161:O161,T161:U161,Z161:AA161,AF161:AG161),
SUM(IFERROR(WEEKDAY($H$2:$AL$2,2)&gt;5,)*H161:AL161))))</f>
        <v>0</v>
      </c>
      <c r="AO161" s="271" t="b">
        <f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696" t="b">
        <f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678" t="str">
        <f>IFERROR(INDEX(база!T:T, MATCH(F161,база!Q:Q,0)),"")</f>
        <v/>
      </c>
      <c r="AR161" s="193">
        <f>IFERROR(INDEX(база!D:D, MATCH(F161,база!B:B,0)),"")</f>
        <v>0</v>
      </c>
    </row>
    <row r="162" spans="1:44" ht="15">
      <c r="A162" s="59"/>
      <c r="B162" s="215"/>
      <c r="C162" s="54"/>
      <c r="D162" s="55"/>
      <c r="E162" s="196"/>
      <c r="F162" s="651"/>
      <c r="G162" s="42"/>
      <c r="H162" s="539"/>
      <c r="I162" s="539"/>
      <c r="J162" s="539"/>
      <c r="K162" s="539"/>
      <c r="L162" s="539"/>
      <c r="M162" s="539"/>
      <c r="N162" s="539"/>
      <c r="O162" s="539"/>
      <c r="P162" s="278"/>
      <c r="Q162" s="539"/>
      <c r="R162" s="539"/>
      <c r="S162" s="539"/>
      <c r="T162" s="539"/>
      <c r="U162" s="539"/>
      <c r="V162" s="539"/>
      <c r="W162" s="539"/>
      <c r="X162" s="539"/>
      <c r="Y162" s="539"/>
      <c r="Z162" s="539"/>
      <c r="AA162" s="539"/>
      <c r="AB162" s="539"/>
      <c r="AC162" s="539"/>
      <c r="AD162" s="238"/>
      <c r="AE162" s="238"/>
      <c r="AF162" s="238"/>
      <c r="AG162" s="238"/>
      <c r="AH162" s="238"/>
      <c r="AI162" s="238"/>
      <c r="AJ162" s="238"/>
      <c r="AK162" s="238"/>
      <c r="AL162" s="238"/>
      <c r="AM162" s="197">
        <f>IF(AQ162=1,SUM(H162:I162,L162:O162,R162:U162,X162:AA162,AD162:AG162,AI162:AK162),
IF(AQ162=2,SUM(H162:K162,N162:Q162,T162:W162,Z162:AC162,AF162:AI162),
IF(AQ162=3,SUM(J162:M162,P162:S162,V162:Y162,AB162:AE162,AH162:AK162),SUM(Таблица1[[#This Row],[1]:[31]])-Таблица1[[#This Row],[Столбец1]])))</f>
        <v>0</v>
      </c>
      <c r="AN162" s="269">
        <f t="array" ref="AN162">IF(AQ162=1,SUM(J162:K162,P162:Q162,V162:W162,AB162:AC162,AH162:AI162),
IF(AQ162=2,SUM(L162:M162,R162:S162,X162:Y162,AD162:AE162),
IF(AQ162=3,SUM(H162:I162,N162:O162,T162:U162,Z162:AA162,AF162:AG162),
SUM(IFERROR(WEEKDAY($H$2:$AL$2,2)&gt;5,)*H162:AL162))))</f>
        <v>0</v>
      </c>
      <c r="AO162" s="271" t="b">
        <f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696" t="b">
        <f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678" t="str">
        <f>IFERROR(INDEX(база!T:T, MATCH(F162,база!Q:Q,0)),"")</f>
        <v/>
      </c>
      <c r="AR162" s="193">
        <f>IFERROR(INDEX(база!D:D, MATCH(F162,база!B:B,0)),"")</f>
        <v>0</v>
      </c>
    </row>
    <row r="163" spans="1:44" ht="15">
      <c r="A163" s="59"/>
      <c r="B163" s="215"/>
      <c r="C163" s="277"/>
      <c r="D163" s="55"/>
      <c r="E163" s="196"/>
      <c r="F163" s="651"/>
      <c r="G163" s="42"/>
      <c r="H163" s="539"/>
      <c r="I163" s="539"/>
      <c r="J163" s="539"/>
      <c r="K163" s="539"/>
      <c r="L163" s="539"/>
      <c r="M163" s="539"/>
      <c r="N163" s="539"/>
      <c r="O163" s="539"/>
      <c r="P163" s="278"/>
      <c r="Q163" s="539"/>
      <c r="R163" s="539"/>
      <c r="S163" s="539"/>
      <c r="T163" s="539"/>
      <c r="U163" s="539"/>
      <c r="V163" s="539"/>
      <c r="W163" s="539"/>
      <c r="X163" s="539"/>
      <c r="Y163" s="539"/>
      <c r="Z163" s="539"/>
      <c r="AA163" s="539"/>
      <c r="AB163" s="539"/>
      <c r="AC163" s="539"/>
      <c r="AD163" s="43"/>
      <c r="AE163" s="43"/>
      <c r="AF163" s="238"/>
      <c r="AG163" s="238"/>
      <c r="AH163" s="238"/>
      <c r="AI163" s="238"/>
      <c r="AJ163" s="238"/>
      <c r="AK163" s="238"/>
      <c r="AL163" s="238"/>
      <c r="AM163" s="197">
        <f>IF(AQ163=1,SUM(H163:I163,L163:O163,R163:U163,X163:AA163,AD163:AG163,AI163:AK163),
IF(AQ163=2,SUM(H163:K163,N163:Q163,T163:W163,Z163:AC163,AF163:AI163),
IF(AQ163=3,SUM(J163:M163,P163:S163,V163:Y163,AB163:AE163,AH163:AK163),SUM(Таблица1[[#This Row],[1]:[31]])-Таблица1[[#This Row],[Столбец1]])))</f>
        <v>0</v>
      </c>
      <c r="AN163" s="269">
        <f t="array" ref="AN163">IF(AQ163=1,SUM(J163:K163,P163:Q163,V163:W163,AB163:AC163,AH163:AI163),
IF(AQ163=2,SUM(L163:M163,R163:S163,X163:Y163,AD163:AE163),
IF(AQ163=3,SUM(H163:I163,N163:O163,T163:U163,Z163:AA163,AF163:AG163),
SUM(IFERROR(WEEKDAY($H$2:$AL$2,2)&gt;5,)*H163:AL163))))</f>
        <v>0</v>
      </c>
      <c r="AO163" s="271" t="b">
        <f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696" t="b">
        <f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678" t="str">
        <f>IFERROR(INDEX(база!T:T, MATCH(F163,база!Q:Q,0)),"")</f>
        <v/>
      </c>
      <c r="AR163" s="193">
        <f>IFERROR(INDEX(база!D:D, MATCH(F163,база!B:B,0)),"")</f>
        <v>0</v>
      </c>
    </row>
    <row r="164" spans="1:44" ht="15">
      <c r="A164" s="59"/>
      <c r="B164" s="215"/>
      <c r="C164" s="54"/>
      <c r="D164" s="55"/>
      <c r="E164" s="196"/>
      <c r="F164" s="651"/>
      <c r="G164" s="42"/>
      <c r="H164" s="539"/>
      <c r="I164" s="539"/>
      <c r="J164" s="539"/>
      <c r="K164" s="539"/>
      <c r="L164" s="539"/>
      <c r="M164" s="539"/>
      <c r="N164" s="539"/>
      <c r="O164" s="539"/>
      <c r="P164" s="278"/>
      <c r="Q164" s="539"/>
      <c r="R164" s="539"/>
      <c r="S164" s="539"/>
      <c r="T164" s="539"/>
      <c r="U164" s="539"/>
      <c r="V164" s="539"/>
      <c r="W164" s="539"/>
      <c r="X164" s="539"/>
      <c r="Y164" s="539"/>
      <c r="Z164" s="539"/>
      <c r="AA164" s="539"/>
      <c r="AB164" s="539"/>
      <c r="AC164" s="539"/>
      <c r="AD164" s="43"/>
      <c r="AE164" s="43"/>
      <c r="AF164" s="238"/>
      <c r="AG164" s="238"/>
      <c r="AH164" s="238"/>
      <c r="AI164" s="238"/>
      <c r="AJ164" s="238"/>
      <c r="AK164" s="43"/>
      <c r="AL164" s="45"/>
      <c r="AM164" s="197">
        <f>IF(AQ164=1,SUM(H164:I164,L164:O164,R164:U164,X164:AA164,AD164:AG164,AI164:AK164),
IF(AQ164=2,SUM(H164:K164,N164:Q164,T164:W164,Z164:AC164,AF164:AI164),
IF(AQ164=3,SUM(J164:M164,P164:S164,V164:Y164,AB164:AE164,AH164:AK164),SUM(Таблица1[[#This Row],[1]:[31]])-Таблица1[[#This Row],[Столбец1]])))</f>
        <v>0</v>
      </c>
      <c r="AN164" s="269">
        <f t="array" ref="AN164">IF(AQ164=1,SUM(J164:K164,P164:Q164,V164:W164,AB164:AC164,AH164:AI164),
IF(AQ164=2,SUM(L164:M164,R164:S164,X164:Y164,AD164:AE164),
IF(AQ164=3,SUM(H164:I164,N164:O164,T164:U164,Z164:AA164,AF164:AG164),
SUM(IFERROR(WEEKDAY($H$2:$AL$2,2)&gt;5,)*H164:AL164))))</f>
        <v>0</v>
      </c>
      <c r="AO164" s="271" t="b">
        <f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696" t="b">
        <f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678" t="str">
        <f>IFERROR(INDEX(база!T:T, MATCH(F164,база!Q:Q,0)),"")</f>
        <v/>
      </c>
      <c r="AR164" s="193">
        <f>IFERROR(INDEX(база!D:D, MATCH(F164,база!B:B,0)),"")</f>
        <v>0</v>
      </c>
    </row>
    <row r="165" spans="1:44" ht="15">
      <c r="A165" s="59"/>
      <c r="B165" s="215"/>
      <c r="C165" s="54"/>
      <c r="D165" s="55"/>
      <c r="E165" s="196"/>
      <c r="F165" s="651"/>
      <c r="G165" s="42"/>
      <c r="H165" s="539"/>
      <c r="I165" s="539"/>
      <c r="J165" s="539"/>
      <c r="K165" s="539"/>
      <c r="L165" s="539"/>
      <c r="M165" s="539"/>
      <c r="N165" s="539"/>
      <c r="O165" s="539"/>
      <c r="P165" s="278"/>
      <c r="Q165" s="539"/>
      <c r="R165" s="539"/>
      <c r="S165" s="539"/>
      <c r="T165" s="539"/>
      <c r="U165" s="539"/>
      <c r="V165" s="539"/>
      <c r="W165" s="539"/>
      <c r="X165" s="539"/>
      <c r="Y165" s="539"/>
      <c r="Z165" s="539"/>
      <c r="AA165" s="539"/>
      <c r="AB165" s="539"/>
      <c r="AC165" s="539"/>
      <c r="AD165" s="43"/>
      <c r="AE165" s="43"/>
      <c r="AF165" s="238"/>
      <c r="AG165" s="238"/>
      <c r="AH165" s="238"/>
      <c r="AI165" s="238"/>
      <c r="AJ165" s="238"/>
      <c r="AK165" s="238"/>
      <c r="AL165" s="238"/>
      <c r="AM165" s="197">
        <f>IF(AQ165=1,SUM(H165:I165,L165:O165,R165:U165,X165:AA165,AD165:AG165,AI165:AK165),
IF(AQ165=2,SUM(H165:K165,N165:Q165,T165:W165,Z165:AC165,AF165:AI165),
IF(AQ165=3,SUM(J165:M165,P165:S165,V165:Y165,AB165:AE165,AH165:AK165),SUM(Таблица1[[#This Row],[1]:[31]])-Таблица1[[#This Row],[Столбец1]])))</f>
        <v>0</v>
      </c>
      <c r="AN165" s="269">
        <f t="array" ref="AN165">IF(AQ165=1,SUM(J165:K165,P165:Q165,V165:W165,AB165:AC165,AH165:AI165),
IF(AQ165=2,SUM(L165:M165,R165:S165,X165:Y165,AD165:AE165),
IF(AQ165=3,SUM(H165:I165,N165:O165,T165:U165,Z165:AA165,AF165:AG165),
SUM(IFERROR(WEEKDAY($H$2:$AL$2,2)&gt;5,)*H165:AL165))))</f>
        <v>0</v>
      </c>
      <c r="AO165" s="271" t="b">
        <f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696" t="b">
        <f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678" t="str">
        <f>IFERROR(INDEX(база!T:T, MATCH(F165,база!Q:Q,0)),"")</f>
        <v/>
      </c>
      <c r="AR165" s="193">
        <f>IFERROR(INDEX(база!D:D, MATCH(F165,база!B:B,0)),"")</f>
        <v>0</v>
      </c>
    </row>
    <row r="166" spans="1:44" ht="15">
      <c r="A166" s="59"/>
      <c r="B166" s="215"/>
      <c r="C166" s="54"/>
      <c r="D166" s="55"/>
      <c r="E166" s="196"/>
      <c r="F166" s="651"/>
      <c r="G166" s="42"/>
      <c r="H166" s="539"/>
      <c r="I166" s="539"/>
      <c r="J166" s="539"/>
      <c r="K166" s="539"/>
      <c r="L166" s="539"/>
      <c r="M166" s="539"/>
      <c r="N166" s="539"/>
      <c r="O166" s="539"/>
      <c r="P166" s="278"/>
      <c r="Q166" s="539"/>
      <c r="R166" s="539"/>
      <c r="S166" s="539"/>
      <c r="T166" s="539"/>
      <c r="U166" s="539"/>
      <c r="V166" s="539"/>
      <c r="W166" s="539"/>
      <c r="X166" s="539"/>
      <c r="Y166" s="539"/>
      <c r="Z166" s="539"/>
      <c r="AA166" s="539"/>
      <c r="AB166" s="539"/>
      <c r="AC166" s="539"/>
      <c r="AD166" s="43"/>
      <c r="AE166" s="43"/>
      <c r="AF166" s="238"/>
      <c r="AG166" s="238"/>
      <c r="AH166" s="238"/>
      <c r="AI166" s="238"/>
      <c r="AJ166" s="238"/>
      <c r="AK166" s="238"/>
      <c r="AL166" s="238"/>
      <c r="AM166" s="197">
        <f>IF(AQ166=1,SUM(H166:I166,L166:O166,R166:U166,X166:AA166,AD166:AG166,AI166:AK166),
IF(AQ166=2,SUM(H166:K166,N166:Q166,T166:W166,Z166:AC166,AF166:AI166),
IF(AQ166=3,SUM(J166:M166,P166:S166,V166:Y166,AB166:AE166,AH166:AK166),SUM(Таблица1[[#This Row],[1]:[31]])-Таблица1[[#This Row],[Столбец1]])))</f>
        <v>0</v>
      </c>
      <c r="AN166" s="269">
        <f t="array" ref="AN166">IF(AQ166=1,SUM(J166:K166,P166:Q166,V166:W166,AB166:AC166,AH166:AI166),
IF(AQ166=2,SUM(L166:M166,R166:S166,X166:Y166,AD166:AE166),
IF(AQ166=3,SUM(H166:I166,N166:O166,T166:U166,Z166:AA166,AF166:AG166),
SUM(IFERROR(WEEKDAY($H$2:$AL$2,2)&gt;5,)*H166:AL166))))</f>
        <v>0</v>
      </c>
      <c r="AO166" s="271" t="b">
        <f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696" t="b">
        <f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678" t="str">
        <f>IFERROR(INDEX(база!T:T, MATCH(F166,база!Q:Q,0)),"")</f>
        <v/>
      </c>
      <c r="AR166" s="193">
        <f>IFERROR(INDEX(база!D:D, MATCH(F166,база!B:B,0)),"")</f>
        <v>0</v>
      </c>
    </row>
    <row r="167" spans="1:44" ht="15">
      <c r="A167" s="59"/>
      <c r="B167" s="215"/>
      <c r="C167" s="54"/>
      <c r="D167" s="55"/>
      <c r="E167" s="196"/>
      <c r="F167" s="651"/>
      <c r="G167" s="42"/>
      <c r="H167" s="539"/>
      <c r="I167" s="539"/>
      <c r="J167" s="539"/>
      <c r="K167" s="539"/>
      <c r="L167" s="539"/>
      <c r="M167" s="539"/>
      <c r="N167" s="539"/>
      <c r="O167" s="539"/>
      <c r="P167" s="278"/>
      <c r="Q167" s="539"/>
      <c r="R167" s="539"/>
      <c r="S167" s="539"/>
      <c r="T167" s="539"/>
      <c r="U167" s="539"/>
      <c r="V167" s="539"/>
      <c r="W167" s="539"/>
      <c r="X167" s="539"/>
      <c r="Y167" s="539"/>
      <c r="Z167" s="539"/>
      <c r="AA167" s="539"/>
      <c r="AB167" s="539"/>
      <c r="AC167" s="539"/>
      <c r="AD167" s="43"/>
      <c r="AE167" s="43"/>
      <c r="AF167" s="238"/>
      <c r="AG167" s="238"/>
      <c r="AH167" s="238"/>
      <c r="AI167" s="238"/>
      <c r="AJ167" s="238"/>
      <c r="AK167" s="238"/>
      <c r="AL167" s="238"/>
      <c r="AM167" s="197">
        <f>IF(AQ167=1,SUM(H167:I167,L167:O167,R167:U167,X167:AA167,AD167:AG167,AI167:AK167),
IF(AQ167=2,SUM(H167:K167,N167:Q167,T167:W167,Z167:AC167,AF167:AI167),
IF(AQ167=3,SUM(J167:M167,P167:S167,V167:Y167,AB167:AE167,AH167:AK167),SUM(Таблица1[[#This Row],[1]:[31]])-Таблица1[[#This Row],[Столбец1]])))</f>
        <v>0</v>
      </c>
      <c r="AN167" s="269">
        <f t="array" ref="AN167">IF(AQ167=1,SUM(J167:K167,P167:Q167,V167:W167,AB167:AC167,AH167:AI167),
IF(AQ167=2,SUM(L167:M167,R167:S167,X167:Y167,AD167:AE167),
IF(AQ167=3,SUM(H167:I167,N167:O167,T167:U167,Z167:AA167,AF167:AG167),
SUM(IFERROR(WEEKDAY($H$2:$AL$2,2)&gt;5,)*H167:AL167))))</f>
        <v>0</v>
      </c>
      <c r="AO167" s="271" t="b">
        <f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696" t="b">
        <f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678" t="str">
        <f>IFERROR(INDEX(база!T:T, MATCH(F167,база!Q:Q,0)),"")</f>
        <v/>
      </c>
      <c r="AR167" s="193">
        <f>IFERROR(INDEX(база!D:D, MATCH(F167,база!B:B,0)),"")</f>
        <v>0</v>
      </c>
    </row>
    <row r="168" spans="1:44" ht="15">
      <c r="A168" s="59"/>
      <c r="B168" s="215"/>
      <c r="C168" s="54"/>
      <c r="D168" s="55"/>
      <c r="E168" s="196"/>
      <c r="F168" s="651"/>
      <c r="G168" s="42"/>
      <c r="H168" s="539"/>
      <c r="I168" s="539"/>
      <c r="J168" s="539"/>
      <c r="K168" s="539"/>
      <c r="L168" s="539"/>
      <c r="M168" s="539"/>
      <c r="N168" s="539"/>
      <c r="O168" s="539"/>
      <c r="P168" s="278"/>
      <c r="Q168" s="539"/>
      <c r="R168" s="539"/>
      <c r="S168" s="539"/>
      <c r="T168" s="539"/>
      <c r="U168" s="539"/>
      <c r="V168" s="539"/>
      <c r="W168" s="539"/>
      <c r="X168" s="539"/>
      <c r="Y168" s="539"/>
      <c r="Z168" s="539"/>
      <c r="AA168" s="539"/>
      <c r="AB168" s="539"/>
      <c r="AC168" s="539"/>
      <c r="AD168" s="43"/>
      <c r="AE168" s="43"/>
      <c r="AF168" s="238"/>
      <c r="AG168" s="238"/>
      <c r="AH168" s="238"/>
      <c r="AI168" s="238"/>
      <c r="AJ168" s="238"/>
      <c r="AK168" s="238"/>
      <c r="AL168" s="238"/>
      <c r="AM168" s="197">
        <f>IF(AQ168=1,SUM(H168:I168,L168:O168,R168:U168,X168:AA168,AD168:AG168,AI168:AK168),
IF(AQ168=2,SUM(H168:K168,N168:Q168,T168:W168,Z168:AC168,AF168:AI168),
IF(AQ168=3,SUM(J168:M168,P168:S168,V168:Y168,AB168:AE168,AH168:AK168),SUM(Таблица1[[#This Row],[1]:[31]])-Таблица1[[#This Row],[Столбец1]])))</f>
        <v>0</v>
      </c>
      <c r="AN168" s="269">
        <f t="array" ref="AN168">IF(AQ168=1,SUM(J168:K168,P168:Q168,V168:W168,AB168:AC168,AH168:AI168),
IF(AQ168=2,SUM(L168:M168,R168:S168,X168:Y168,AD168:AE168),
IF(AQ168=3,SUM(H168:I168,N168:O168,T168:U168,Z168:AA168,AF168:AG168),
SUM(IFERROR(WEEKDAY($H$2:$AL$2,2)&gt;5,)*H168:AL168))))</f>
        <v>0</v>
      </c>
      <c r="AO168" s="271" t="b">
        <f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696" t="b">
        <f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678" t="str">
        <f>IFERROR(INDEX(база!T:T, MATCH(F168,база!Q:Q,0)),"")</f>
        <v/>
      </c>
      <c r="AR168" s="193">
        <f>IFERROR(INDEX(база!D:D, MATCH(F168,база!B:B,0)),"")</f>
        <v>0</v>
      </c>
    </row>
    <row r="169" spans="1:44" ht="15">
      <c r="A169" s="59"/>
      <c r="B169" s="215"/>
      <c r="C169" s="277"/>
      <c r="D169" s="55"/>
      <c r="E169" s="196"/>
      <c r="F169" s="651"/>
      <c r="G169" s="42"/>
      <c r="H169" s="539"/>
      <c r="I169" s="539"/>
      <c r="J169" s="539"/>
      <c r="K169" s="539"/>
      <c r="L169" s="539"/>
      <c r="M169" s="539"/>
      <c r="N169" s="539"/>
      <c r="O169" s="539"/>
      <c r="P169" s="278"/>
      <c r="Q169" s="539"/>
      <c r="R169" s="539"/>
      <c r="S169" s="539"/>
      <c r="T169" s="539"/>
      <c r="U169" s="539"/>
      <c r="V169" s="539"/>
      <c r="W169" s="539"/>
      <c r="X169" s="539"/>
      <c r="Y169" s="539"/>
      <c r="Z169" s="539"/>
      <c r="AA169" s="539"/>
      <c r="AB169" s="539"/>
      <c r="AC169" s="539"/>
      <c r="AD169" s="43"/>
      <c r="AE169" s="43"/>
      <c r="AF169" s="238"/>
      <c r="AG169" s="238"/>
      <c r="AH169" s="238"/>
      <c r="AI169" s="238"/>
      <c r="AJ169" s="238"/>
      <c r="AK169" s="238"/>
      <c r="AL169" s="238"/>
      <c r="AM169" s="197">
        <f>IF(AQ169=1,SUM(H169:I169,L169:O169,R169:U169,X169:AA169,AD169:AG169,AI169:AK169),
IF(AQ169=2,SUM(H169:K169,N169:Q169,T169:W169,Z169:AC169,AF169:AI169),
IF(AQ169=3,SUM(J169:M169,P169:S169,V169:Y169,AB169:AE169,AH169:AK169),SUM(Таблица1[[#This Row],[1]:[31]])-Таблица1[[#This Row],[Столбец1]])))</f>
        <v>0</v>
      </c>
      <c r="AN169" s="269">
        <f t="array" ref="AN169">IF(AQ169=1,SUM(J169:K169,P169:Q169,V169:W169,AB169:AC169,AH169:AI169),
IF(AQ169=2,SUM(L169:M169,R169:S169,X169:Y169,AD169:AE169),
IF(AQ169=3,SUM(H169:I169,N169:O169,T169:U169,Z169:AA169,AF169:AG169),
SUM(IFERROR(WEEKDAY($H$2:$AL$2,2)&gt;5,)*H169:AL169))))</f>
        <v>0</v>
      </c>
      <c r="AO169" s="271" t="b">
        <f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696" t="b">
        <f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678" t="str">
        <f>IFERROR(INDEX(база!T:T, MATCH(F169,база!Q:Q,0)),"")</f>
        <v/>
      </c>
      <c r="AR169" s="193">
        <f>IFERROR(INDEX(база!D:D, MATCH(F169,база!B:B,0)),"")</f>
        <v>0</v>
      </c>
    </row>
    <row r="170" spans="1:44" ht="15">
      <c r="A170" s="59"/>
      <c r="B170" s="215"/>
      <c r="C170" s="277"/>
      <c r="D170" s="55"/>
      <c r="E170" s="196"/>
      <c r="F170" s="651"/>
      <c r="G170" s="42"/>
      <c r="H170" s="539"/>
      <c r="I170" s="539"/>
      <c r="J170" s="539"/>
      <c r="K170" s="539"/>
      <c r="L170" s="539"/>
      <c r="M170" s="539"/>
      <c r="N170" s="539"/>
      <c r="O170" s="539"/>
      <c r="P170" s="539"/>
      <c r="Q170" s="539"/>
      <c r="R170" s="539"/>
      <c r="S170" s="539"/>
      <c r="T170" s="539"/>
      <c r="U170" s="539"/>
      <c r="V170" s="539"/>
      <c r="W170" s="539"/>
      <c r="X170" s="539"/>
      <c r="Y170" s="539"/>
      <c r="Z170" s="539"/>
      <c r="AA170" s="539"/>
      <c r="AB170" s="539"/>
      <c r="AC170" s="539"/>
      <c r="AD170" s="43"/>
      <c r="AE170" s="43"/>
      <c r="AF170" s="238"/>
      <c r="AG170" s="238"/>
      <c r="AH170" s="238"/>
      <c r="AI170" s="238"/>
      <c r="AJ170" s="238"/>
      <c r="AK170" s="238"/>
      <c r="AL170" s="238"/>
      <c r="AM170" s="197">
        <f>IF(AQ170=1,SUM(H170:I170,L170:O170,R170:U170,X170:AA170,AD170:AG170,AI170:AK170),
IF(AQ170=2,SUM(H170:K170,N170:Q170,T170:W170,Z170:AC170,AF170:AI170),
IF(AQ170=3,SUM(J170:M170,P170:S170,V170:Y170,AB170:AE170,AH170:AK170),SUM(Таблица1[[#This Row],[1]:[31]])-Таблица1[[#This Row],[Столбец1]])))</f>
        <v>0</v>
      </c>
      <c r="AN170" s="269">
        <f t="array" ref="AN170">IF(AQ170=1,SUM(J170:K170,P170:Q170,V170:W170,AB170:AC170,AH170:AI170),
IF(AQ170=2,SUM(L170:M170,R170:S170,X170:Y170,AD170:AE170),
IF(AQ170=3,SUM(H170:I170,N170:O170,T170:U170,Z170:AA170,AF170:AG170),
SUM(IFERROR(WEEKDAY($H$2:$AL$2,2)&gt;5,)*H170:AL170))))</f>
        <v>0</v>
      </c>
      <c r="AO170" s="271" t="b">
        <f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696" t="b">
        <f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678" t="str">
        <f>IFERROR(INDEX(база!T:T, MATCH(F170,база!Q:Q,0)),"")</f>
        <v/>
      </c>
      <c r="AR170" s="193">
        <f>IFERROR(INDEX(база!D:D, MATCH(F170,база!B:B,0)),"")</f>
        <v>0</v>
      </c>
    </row>
    <row r="171" spans="1:44" ht="15">
      <c r="A171" s="59"/>
      <c r="B171" s="215"/>
      <c r="C171" s="277"/>
      <c r="D171" s="55"/>
      <c r="E171" s="196"/>
      <c r="F171" s="651"/>
      <c r="G171" s="42"/>
      <c r="H171" s="539"/>
      <c r="I171" s="539"/>
      <c r="J171" s="539"/>
      <c r="K171" s="539"/>
      <c r="L171" s="539"/>
      <c r="M171" s="539"/>
      <c r="N171" s="539"/>
      <c r="O171" s="539"/>
      <c r="P171" s="278"/>
      <c r="Q171" s="539"/>
      <c r="R171" s="539"/>
      <c r="S171" s="539"/>
      <c r="T171" s="539"/>
      <c r="U171" s="539"/>
      <c r="V171" s="539"/>
      <c r="W171" s="539"/>
      <c r="X171" s="539"/>
      <c r="Y171" s="539"/>
      <c r="Z171" s="539"/>
      <c r="AA171" s="539"/>
      <c r="AB171" s="539"/>
      <c r="AC171" s="539"/>
      <c r="AD171" s="43"/>
      <c r="AE171" s="43"/>
      <c r="AF171" s="238"/>
      <c r="AG171" s="238"/>
      <c r="AH171" s="238"/>
      <c r="AI171" s="238"/>
      <c r="AJ171" s="238"/>
      <c r="AK171" s="238"/>
      <c r="AL171" s="238"/>
      <c r="AM171" s="197">
        <f>IF(AQ171=1,SUM(H171:I171,L171:O171,R171:U171,X171:AA171,AD171:AG171,AI171:AK171),
IF(AQ171=2,SUM(H171:K171,N171:Q171,T171:W171,Z171:AC171,AF171:AI171),
IF(AQ171=3,SUM(J171:M171,P171:S171,V171:Y171,AB171:AE171,AH171:AK171),SUM(Таблица1[[#This Row],[1]:[31]])-Таблица1[[#This Row],[Столбец1]])))</f>
        <v>0</v>
      </c>
      <c r="AN171" s="269">
        <f t="array" ref="AN171">IF(AQ171=1,SUM(J171:K171,P171:Q171,V171:W171,AB171:AC171,AH171:AI171),
IF(AQ171=2,SUM(L171:M171,R171:S171,X171:Y171,AD171:AE171),
IF(AQ171=3,SUM(H171:I171,N171:O171,T171:U171,Z171:AA171,AF171:AG171),
SUM(IFERROR(WEEKDAY($H$2:$AL$2,2)&gt;5,)*H171:AL171))))</f>
        <v>0</v>
      </c>
      <c r="AO171" s="271" t="b">
        <f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696" t="b">
        <f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678" t="str">
        <f>IFERROR(INDEX(база!T:T, MATCH(F171,база!Q:Q,0)),"")</f>
        <v/>
      </c>
      <c r="AR171" s="193">
        <f>IFERROR(INDEX(база!D:D, MATCH(F171,база!B:B,0)),"")</f>
        <v>0</v>
      </c>
    </row>
    <row r="172" spans="1:44" ht="15">
      <c r="A172" s="59"/>
      <c r="B172" s="215"/>
      <c r="C172" s="54"/>
      <c r="D172" s="55"/>
      <c r="E172" s="196"/>
      <c r="F172" s="651"/>
      <c r="G172" s="42"/>
      <c r="H172" s="539"/>
      <c r="I172" s="539"/>
      <c r="J172" s="539"/>
      <c r="K172" s="539"/>
      <c r="L172" s="539"/>
      <c r="M172" s="539"/>
      <c r="N172" s="539"/>
      <c r="O172" s="539"/>
      <c r="P172" s="539"/>
      <c r="Q172" s="539"/>
      <c r="R172" s="539"/>
      <c r="S172" s="539"/>
      <c r="T172" s="539"/>
      <c r="U172" s="539"/>
      <c r="V172" s="539"/>
      <c r="W172" s="539"/>
      <c r="X172" s="539"/>
      <c r="Y172" s="539"/>
      <c r="Z172" s="539"/>
      <c r="AA172" s="539"/>
      <c r="AB172" s="539"/>
      <c r="AC172" s="539"/>
      <c r="AD172" s="238"/>
      <c r="AE172" s="238"/>
      <c r="AF172" s="539"/>
      <c r="AG172" s="238"/>
      <c r="AH172" s="238"/>
      <c r="AI172" s="238"/>
      <c r="AJ172" s="238"/>
      <c r="AK172" s="238"/>
      <c r="AL172" s="238"/>
      <c r="AM172" s="197">
        <f>IF(AQ172=1,SUM(H172:I172,L172:O172,R172:U172,X172:AA172,AD172:AG172,AI172:AK172),
IF(AQ172=2,SUM(H172:K172,N172:Q172,T172:W172,Z172:AC172,AF172:AI172),
IF(AQ172=3,SUM(J172:M172,P172:S172,V172:Y172,AB172:AE172,AH172:AK172),SUM(Таблица1[[#This Row],[1]:[31]])-Таблица1[[#This Row],[Столбец1]])))</f>
        <v>0</v>
      </c>
      <c r="AN172" s="269">
        <f t="array" ref="AN172">IF(AQ172=1,SUM(J172:K172,P172:Q172,V172:W172,AB172:AC172,AH172:AI172),
IF(AQ172=2,SUM(L172:M172,R172:S172,X172:Y172,AD172:AE172),
IF(AQ172=3,SUM(H172:I172,N172:O172,T172:U172,Z172:AA172,AF172:AG172),
SUM(IFERROR(WEEKDAY($H$2:$AL$2,2)&gt;5,)*H172:AL172))))</f>
        <v>0</v>
      </c>
      <c r="AO172" s="271" t="b">
        <f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696" t="b">
        <f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678" t="str">
        <f>IFERROR(INDEX(база!T:T, MATCH(F172,база!Q:Q,0)),"")</f>
        <v/>
      </c>
      <c r="AR172" s="193">
        <f>IFERROR(INDEX(база!D:D, MATCH(F172,база!B:B,0)),"")</f>
        <v>0</v>
      </c>
    </row>
    <row r="173" spans="1:44" ht="15">
      <c r="A173" s="59"/>
      <c r="B173" s="215"/>
      <c r="C173" s="277"/>
      <c r="D173" s="55"/>
      <c r="E173" s="196"/>
      <c r="F173" s="651"/>
      <c r="G173" s="42"/>
      <c r="H173" s="539"/>
      <c r="I173" s="539"/>
      <c r="J173" s="539"/>
      <c r="K173" s="539"/>
      <c r="L173" s="539"/>
      <c r="M173" s="539"/>
      <c r="N173" s="539"/>
      <c r="O173" s="539"/>
      <c r="P173" s="278"/>
      <c r="Q173" s="539"/>
      <c r="R173" s="539"/>
      <c r="S173" s="539"/>
      <c r="T173" s="539"/>
      <c r="U173" s="539"/>
      <c r="V173" s="539"/>
      <c r="W173" s="539"/>
      <c r="X173" s="539"/>
      <c r="Y173" s="539"/>
      <c r="Z173" s="539"/>
      <c r="AA173" s="539"/>
      <c r="AB173" s="539"/>
      <c r="AC173" s="539"/>
      <c r="AD173" s="43"/>
      <c r="AE173" s="43"/>
      <c r="AF173" s="238"/>
      <c r="AG173" s="43"/>
      <c r="AH173" s="43"/>
      <c r="AI173" s="238"/>
      <c r="AJ173" s="238"/>
      <c r="AK173" s="238"/>
      <c r="AL173" s="238"/>
      <c r="AM173" s="197">
        <f>IF(AQ173=1,SUM(H173:I173,L173:O173,R173:U173,X173:AA173,AD173:AG173,AI173:AK173),
IF(AQ173=2,SUM(H173:K173,N173:Q173,T173:W173,Z173:AC173,AF173:AI173),
IF(AQ173=3,SUM(J173:M173,P173:S173,V173:Y173,AB173:AE173,AH173:AK173),SUM(Таблица1[[#This Row],[1]:[31]])-Таблица1[[#This Row],[Столбец1]])))</f>
        <v>0</v>
      </c>
      <c r="AN173" s="269">
        <f t="array" ref="AN173">IF(AQ173=1,SUM(J173:K173,P173:Q173,V173:W173,AB173:AC173,AH173:AI173),
IF(AQ173=2,SUM(L173:M173,R173:S173,X173:Y173,AD173:AE173),
IF(AQ173=3,SUM(H173:I173,N173:O173,T173:U173,Z173:AA173,AF173:AG173),
SUM(IFERROR(WEEKDAY($H$2:$AL$2,2)&gt;5,)*H173:AL173))))</f>
        <v>0</v>
      </c>
      <c r="AO173" s="271" t="b">
        <f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696" t="b">
        <f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678" t="str">
        <f>IFERROR(INDEX(база!T:T, MATCH(F173,база!Q:Q,0)),"")</f>
        <v/>
      </c>
      <c r="AR173" s="193">
        <f>IFERROR(INDEX(база!D:D, MATCH(F173,база!B:B,0)),"")</f>
        <v>0</v>
      </c>
    </row>
    <row r="174" spans="1:44" ht="15">
      <c r="A174" s="59"/>
      <c r="B174" s="215"/>
      <c r="C174" s="54"/>
      <c r="D174" s="55"/>
      <c r="E174" s="196"/>
      <c r="F174" s="651"/>
      <c r="G174" s="42"/>
      <c r="H174" s="539"/>
      <c r="I174" s="539"/>
      <c r="J174" s="539"/>
      <c r="K174" s="539"/>
      <c r="L174" s="539"/>
      <c r="M174" s="539"/>
      <c r="N174" s="539"/>
      <c r="O174" s="539"/>
      <c r="P174" s="278"/>
      <c r="Q174" s="539"/>
      <c r="R174" s="539"/>
      <c r="S174" s="539"/>
      <c r="T174" s="539"/>
      <c r="U174" s="539"/>
      <c r="V174" s="539"/>
      <c r="W174" s="539"/>
      <c r="X174" s="539"/>
      <c r="Y174" s="539"/>
      <c r="Z174" s="539"/>
      <c r="AA174" s="539"/>
      <c r="AB174" s="539"/>
      <c r="AC174" s="539"/>
      <c r="AD174" s="43"/>
      <c r="AE174" s="43"/>
      <c r="AF174" s="43"/>
      <c r="AG174" s="43"/>
      <c r="AH174" s="43"/>
      <c r="AI174" s="43"/>
      <c r="AJ174" s="43"/>
      <c r="AK174" s="43"/>
      <c r="AL174" s="45"/>
      <c r="AM174" s="197">
        <f>IF(AQ174=1,SUM(H174:I174,L174:O174,R174:U174,X174:AA174,AD174:AG174,AI174:AK174),
IF(AQ174=2,SUM(H174:K174,N174:Q174,T174:W174,Z174:AC174,AF174:AI174),
IF(AQ174=3,SUM(J174:M174,P174:S174,V174:Y174,AB174:AE174,AH174:AK174),SUM(Таблица1[[#This Row],[1]:[31]])-Таблица1[[#This Row],[Столбец1]])))</f>
        <v>0</v>
      </c>
      <c r="AN174" s="269">
        <f t="array" ref="AN174">IF(AQ174=1,SUM(J174:K174,P174:Q174,V174:W174,AB174:AC174,AH174:AI174),
IF(AQ174=2,SUM(L174:M174,R174:S174,X174:Y174,AD174:AE174),
IF(AQ174=3,SUM(H174:I174,N174:O174,T174:U174,Z174:AA174,AF174:AG174),
SUM(IFERROR(WEEKDAY($H$2:$AL$2,2)&gt;5,)*H174:AL174))))</f>
        <v>0</v>
      </c>
      <c r="AO174" s="271" t="b">
        <f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696" t="b">
        <f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678" t="str">
        <f>IFERROR(INDEX(база!T:T, MATCH(F174,база!Q:Q,0)),"")</f>
        <v/>
      </c>
      <c r="AR174" s="193">
        <f>IFERROR(INDEX(база!D:D, MATCH(F174,база!B:B,0)),"")</f>
        <v>0</v>
      </c>
    </row>
    <row r="175" spans="1:44" ht="15">
      <c r="A175" s="59"/>
      <c r="B175" s="215"/>
      <c r="C175" s="54"/>
      <c r="D175" s="55"/>
      <c r="E175" s="196"/>
      <c r="F175" s="651"/>
      <c r="G175" s="42"/>
      <c r="H175" s="539"/>
      <c r="I175" s="539"/>
      <c r="J175" s="539"/>
      <c r="K175" s="539"/>
      <c r="L175" s="539"/>
      <c r="M175" s="539"/>
      <c r="N175" s="539"/>
      <c r="O175" s="539"/>
      <c r="P175" s="278"/>
      <c r="Q175" s="539"/>
      <c r="R175" s="539"/>
      <c r="S175" s="539"/>
      <c r="T175" s="539"/>
      <c r="U175" s="539"/>
      <c r="V175" s="539"/>
      <c r="W175" s="539"/>
      <c r="X175" s="539"/>
      <c r="Y175" s="539"/>
      <c r="Z175" s="539"/>
      <c r="AA175" s="539"/>
      <c r="AB175" s="539"/>
      <c r="AC175" s="539"/>
      <c r="AD175" s="43"/>
      <c r="AE175" s="43"/>
      <c r="AF175" s="238"/>
      <c r="AG175" s="43"/>
      <c r="AH175" s="43"/>
      <c r="AI175" s="43"/>
      <c r="AJ175" s="43"/>
      <c r="AK175" s="43"/>
      <c r="AL175" s="45"/>
      <c r="AM175" s="197">
        <f>IF(AQ175=1,SUM(H175:I175,L175:O175,R175:U175,X175:AA175,AD175:AG175,AI175:AK175),
IF(AQ175=2,SUM(H175:K175,N175:Q175,T175:W175,Z175:AC175,AF175:AI175),
IF(AQ175=3,SUM(J175:M175,P175:S175,V175:Y175,AB175:AE175,AH175:AK175),SUM(Таблица1[[#This Row],[1]:[31]])-Таблица1[[#This Row],[Столбец1]])))</f>
        <v>0</v>
      </c>
      <c r="AN175" s="269">
        <f t="array" ref="AN175">IF(AQ175=1,SUM(J175:K175,P175:Q175,V175:W175,AB175:AC175,AH175:AI175),
IF(AQ175=2,SUM(L175:M175,R175:S175,X175:Y175,AD175:AE175),
IF(AQ175=3,SUM(H175:I175,N175:O175,T175:U175,Z175:AA175,AF175:AG175),
SUM(IFERROR(WEEKDAY($H$2:$AL$2,2)&gt;5,)*H175:AL175))))</f>
        <v>0</v>
      </c>
      <c r="AO175" s="271" t="b">
        <f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696" t="b">
        <f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678" t="str">
        <f>IFERROR(INDEX(база!T:T, MATCH(F175,база!Q:Q,0)),"")</f>
        <v/>
      </c>
      <c r="AR175" s="193">
        <f>IFERROR(INDEX(база!D:D, MATCH(F175,база!B:B,0)),"")</f>
        <v>0</v>
      </c>
    </row>
    <row r="176" spans="1:44" ht="15">
      <c r="A176" s="59"/>
      <c r="B176" s="215"/>
      <c r="C176" s="277"/>
      <c r="D176" s="55"/>
      <c r="E176" s="196"/>
      <c r="F176" s="651"/>
      <c r="G176" s="42"/>
      <c r="H176" s="539"/>
      <c r="I176" s="539"/>
      <c r="J176" s="539"/>
      <c r="K176" s="539"/>
      <c r="L176" s="539"/>
      <c r="M176" s="539"/>
      <c r="N176" s="539"/>
      <c r="O176" s="539"/>
      <c r="P176" s="278"/>
      <c r="Q176" s="539"/>
      <c r="R176" s="539"/>
      <c r="S176" s="539"/>
      <c r="T176" s="539"/>
      <c r="U176" s="539"/>
      <c r="V176" s="539"/>
      <c r="W176" s="539"/>
      <c r="X176" s="539"/>
      <c r="Y176" s="539"/>
      <c r="Z176" s="539"/>
      <c r="AA176" s="539"/>
      <c r="AB176" s="539"/>
      <c r="AC176" s="539"/>
      <c r="AD176" s="43"/>
      <c r="AE176" s="43"/>
      <c r="AF176" s="238"/>
      <c r="AG176" s="43"/>
      <c r="AH176" s="43"/>
      <c r="AI176" s="238"/>
      <c r="AJ176" s="238"/>
      <c r="AK176" s="238"/>
      <c r="AL176" s="238"/>
      <c r="AM176" s="197">
        <f>IF(AQ176=1,SUM(H176:I176,L176:O176,R176:U176,X176:AA176,AD176:AG176,AI176:AK176),
IF(AQ176=2,SUM(H176:K176,N176:Q176,T176:W176,Z176:AC176,AF176:AI176),
IF(AQ176=3,SUM(J176:M176,P176:S176,V176:Y176,AB176:AE176,AH176:AK176),SUM(Таблица1[[#This Row],[1]:[31]])-Таблица1[[#This Row],[Столбец1]])))</f>
        <v>0</v>
      </c>
      <c r="AN176" s="269">
        <f t="array" ref="AN176">IF(AQ176=1,SUM(J176:K176,P176:Q176,V176:W176,AB176:AC176,AH176:AI176),
IF(AQ176=2,SUM(L176:M176,R176:S176,X176:Y176,AD176:AE176),
IF(AQ176=3,SUM(H176:I176,N176:O176,T176:U176,Z176:AA176,AF176:AG176),
SUM(IFERROR(WEEKDAY($H$2:$AL$2,2)&gt;5,)*H176:AL176))))</f>
        <v>0</v>
      </c>
      <c r="AO176" s="271" t="b">
        <f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696" t="b">
        <f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678" t="str">
        <f>IFERROR(INDEX(база!T:T, MATCH(F176,база!Q:Q,0)),"")</f>
        <v/>
      </c>
      <c r="AR176" s="193">
        <f>IFERROR(INDEX(база!D:D, MATCH(F176,база!B:B,0)),"")</f>
        <v>0</v>
      </c>
    </row>
    <row r="177" spans="1:44" ht="15">
      <c r="A177" s="59"/>
      <c r="B177" s="215"/>
      <c r="C177" s="277"/>
      <c r="D177" s="55"/>
      <c r="E177" s="196"/>
      <c r="F177" s="651"/>
      <c r="G177" s="42"/>
      <c r="H177" s="539"/>
      <c r="I177" s="539"/>
      <c r="J177" s="539"/>
      <c r="K177" s="539"/>
      <c r="L177" s="539"/>
      <c r="M177" s="539"/>
      <c r="N177" s="539"/>
      <c r="O177" s="539"/>
      <c r="P177" s="278"/>
      <c r="Q177" s="539"/>
      <c r="R177" s="539"/>
      <c r="S177" s="539"/>
      <c r="T177" s="539"/>
      <c r="U177" s="539"/>
      <c r="V177" s="539"/>
      <c r="W177" s="539"/>
      <c r="X177" s="539"/>
      <c r="Y177" s="539"/>
      <c r="Z177" s="539"/>
      <c r="AA177" s="539"/>
      <c r="AB177" s="539"/>
      <c r="AC177" s="539"/>
      <c r="AD177" s="43"/>
      <c r="AE177" s="43"/>
      <c r="AF177" s="238"/>
      <c r="AG177" s="43"/>
      <c r="AH177" s="43"/>
      <c r="AI177" s="238"/>
      <c r="AJ177" s="238"/>
      <c r="AK177" s="238"/>
      <c r="AL177" s="238"/>
      <c r="AM177" s="197">
        <f>IF(AQ177=1,SUM(H177:I177,L177:O177,R177:U177,X177:AA177,AD177:AG177,AI177:AK177),
IF(AQ177=2,SUM(H177:K177,N177:Q177,T177:W177,Z177:AC177,AF177:AI177),
IF(AQ177=3,SUM(J177:M177,P177:S177,V177:Y177,AB177:AE177,AH177:AK177),SUM(Таблица1[[#This Row],[1]:[31]])-Таблица1[[#This Row],[Столбец1]])))</f>
        <v>0</v>
      </c>
      <c r="AN177" s="269">
        <f t="array" ref="AN177">IF(AQ177=1,SUM(J177:K177,P177:Q177,V177:W177,AB177:AC177,AH177:AI177),
IF(AQ177=2,SUM(L177:M177,R177:S177,X177:Y177,AD177:AE177),
IF(AQ177=3,SUM(H177:I177,N177:O177,T177:U177,Z177:AA177,AF177:AG177),
SUM(IFERROR(WEEKDAY($H$2:$AL$2,2)&gt;5,)*H177:AL177))))</f>
        <v>0</v>
      </c>
      <c r="AO177" s="271" t="b">
        <f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696" t="b">
        <f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678" t="str">
        <f>IFERROR(INDEX(база!T:T, MATCH(F177,база!Q:Q,0)),"")</f>
        <v/>
      </c>
      <c r="AR177" s="193">
        <f>IFERROR(INDEX(база!D:D, MATCH(F177,база!B:B,0)),"")</f>
        <v>0</v>
      </c>
    </row>
    <row r="178" spans="1:44" ht="15">
      <c r="A178" s="59"/>
      <c r="B178" s="215"/>
      <c r="C178" s="54"/>
      <c r="D178" s="55"/>
      <c r="E178" s="196"/>
      <c r="F178" s="651"/>
      <c r="G178" s="42"/>
      <c r="H178" s="539"/>
      <c r="I178" s="539"/>
      <c r="J178" s="539"/>
      <c r="K178" s="539"/>
      <c r="L178" s="539"/>
      <c r="M178" s="539"/>
      <c r="N178" s="539"/>
      <c r="O178" s="539"/>
      <c r="P178" s="278"/>
      <c r="Q178" s="539"/>
      <c r="R178" s="539"/>
      <c r="S178" s="539"/>
      <c r="T178" s="539"/>
      <c r="U178" s="539"/>
      <c r="V178" s="539"/>
      <c r="W178" s="539"/>
      <c r="X178" s="539"/>
      <c r="Y178" s="539"/>
      <c r="Z178" s="539"/>
      <c r="AA178" s="539"/>
      <c r="AB178" s="539"/>
      <c r="AC178" s="539"/>
      <c r="AD178" s="43"/>
      <c r="AE178" s="43"/>
      <c r="AF178" s="238"/>
      <c r="AG178" s="43"/>
      <c r="AH178" s="43"/>
      <c r="AI178" s="43"/>
      <c r="AJ178" s="43"/>
      <c r="AK178" s="43"/>
      <c r="AL178" s="45"/>
      <c r="AM178" s="197">
        <f>IF(AQ178=1,SUM(H178:I178,L178:O178,R178:U178,X178:AA178,AD178:AG178,AI178:AK178),
IF(AQ178=2,SUM(H178:K178,N178:Q178,T178:W178,Z178:AC178,AF178:AI178),
IF(AQ178=3,SUM(J178:M178,P178:S178,V178:Y178,AB178:AE178,AH178:AK178),SUM(Таблица1[[#This Row],[1]:[31]])-Таблица1[[#This Row],[Столбец1]])))</f>
        <v>0</v>
      </c>
      <c r="AN178" s="269">
        <f t="array" ref="AN178">IF(AQ178=1,SUM(J178:K178,P178:Q178,V178:W178,AB178:AC178,AH178:AI178),
IF(AQ178=2,SUM(L178:M178,R178:S178,X178:Y178,AD178:AE178),
IF(AQ178=3,SUM(H178:I178,N178:O178,T178:U178,Z178:AA178,AF178:AG178),
SUM(IFERROR(WEEKDAY($H$2:$AL$2,2)&gt;5,)*H178:AL178))))</f>
        <v>0</v>
      </c>
      <c r="AO178" s="271" t="b">
        <f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696" t="b">
        <f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678" t="str">
        <f>IFERROR(INDEX(база!T:T, MATCH(F178,база!Q:Q,0)),"")</f>
        <v/>
      </c>
      <c r="AR178" s="193">
        <f>IFERROR(INDEX(база!D:D, MATCH(F178,база!B:B,0)),"")</f>
        <v>0</v>
      </c>
    </row>
    <row r="179" spans="1:44" ht="15">
      <c r="A179" s="59"/>
      <c r="B179" s="215"/>
      <c r="C179" s="54"/>
      <c r="D179" s="55"/>
      <c r="E179" s="196"/>
      <c r="F179" s="651"/>
      <c r="G179" s="42"/>
      <c r="H179" s="539"/>
      <c r="I179" s="539"/>
      <c r="J179" s="539"/>
      <c r="K179" s="539"/>
      <c r="L179" s="539"/>
      <c r="M179" s="539"/>
      <c r="N179" s="539"/>
      <c r="O179" s="539"/>
      <c r="P179" s="278"/>
      <c r="Q179" s="539"/>
      <c r="R179" s="539"/>
      <c r="S179" s="539"/>
      <c r="T179" s="539"/>
      <c r="U179" s="539"/>
      <c r="V179" s="539"/>
      <c r="W179" s="539"/>
      <c r="X179" s="539"/>
      <c r="Y179" s="539"/>
      <c r="Z179" s="539"/>
      <c r="AA179" s="539"/>
      <c r="AB179" s="539"/>
      <c r="AC179" s="539"/>
      <c r="AD179" s="43"/>
      <c r="AE179" s="43"/>
      <c r="AF179" s="238"/>
      <c r="AG179" s="43"/>
      <c r="AH179" s="43"/>
      <c r="AI179" s="43"/>
      <c r="AJ179" s="43"/>
      <c r="AK179" s="43"/>
      <c r="AL179" s="45"/>
      <c r="AM179" s="197">
        <f>IF(AQ179=1,SUM(H179:I179,L179:O179,R179:U179,X179:AA179,AD179:AG179,AI179:AK179),
IF(AQ179=2,SUM(H179:K179,N179:Q179,T179:W179,Z179:AC179,AF179:AI179),
IF(AQ179=3,SUM(J179:M179,P179:S179,V179:Y179,AB179:AE179,AH179:AK179),SUM(Таблица1[[#This Row],[1]:[31]])-Таблица1[[#This Row],[Столбец1]])))</f>
        <v>0</v>
      </c>
      <c r="AN179" s="269">
        <f t="array" ref="AN179">IF(AQ179=1,SUM(J179:K179,P179:Q179,V179:W179,AB179:AC179,AH179:AI179),
IF(AQ179=2,SUM(L179:M179,R179:S179,X179:Y179,AD179:AE179),
IF(AQ179=3,SUM(H179:I179,N179:O179,T179:U179,Z179:AA179,AF179:AG179),
SUM(IFERROR(WEEKDAY($H$2:$AL$2,2)&gt;5,)*H179:AL179))))</f>
        <v>0</v>
      </c>
      <c r="AO179" s="271" t="b">
        <f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696" t="b">
        <f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678" t="str">
        <f>IFERROR(INDEX(база!T:T, MATCH(F179,база!Q:Q,0)),"")</f>
        <v/>
      </c>
      <c r="AR179" s="193">
        <f>IFERROR(INDEX(база!D:D, MATCH(F179,база!B:B,0)),"")</f>
        <v>0</v>
      </c>
    </row>
    <row r="180" spans="1:44" ht="15">
      <c r="A180" s="59"/>
      <c r="B180" s="215"/>
      <c r="C180" s="277"/>
      <c r="D180" s="55"/>
      <c r="E180" s="196"/>
      <c r="F180" s="651"/>
      <c r="G180" s="42"/>
      <c r="H180" s="539"/>
      <c r="I180" s="539"/>
      <c r="J180" s="539"/>
      <c r="K180" s="539"/>
      <c r="L180" s="539"/>
      <c r="M180" s="539"/>
      <c r="N180" s="539"/>
      <c r="O180" s="539"/>
      <c r="P180" s="278"/>
      <c r="Q180" s="539"/>
      <c r="R180" s="539"/>
      <c r="S180" s="539"/>
      <c r="T180" s="539"/>
      <c r="U180" s="539"/>
      <c r="V180" s="539"/>
      <c r="W180" s="539"/>
      <c r="X180" s="539"/>
      <c r="Y180" s="539"/>
      <c r="Z180" s="539"/>
      <c r="AA180" s="539"/>
      <c r="AB180" s="539"/>
      <c r="AC180" s="539"/>
      <c r="AD180" s="43"/>
      <c r="AE180" s="43"/>
      <c r="AF180" s="238"/>
      <c r="AG180" s="43"/>
      <c r="AH180" s="43"/>
      <c r="AI180" s="238"/>
      <c r="AJ180" s="238"/>
      <c r="AK180" s="238"/>
      <c r="AL180" s="238"/>
      <c r="AM180" s="197">
        <f>IF(AQ180=1,SUM(H180:I180,L180:O180,R180:U180,X180:AA180,AD180:AG180,AI180:AK180),
IF(AQ180=2,SUM(H180:K180,N180:Q180,T180:W180,Z180:AC180,AF180:AI180),
IF(AQ180=3,SUM(J180:M180,P180:S180,V180:Y180,AB180:AE180,AH180:AK180),SUM(Таблица1[[#This Row],[1]:[31]])-Таблица1[[#This Row],[Столбец1]])))</f>
        <v>0</v>
      </c>
      <c r="AN180" s="269">
        <f t="array" ref="AN180">IF(AQ180=1,SUM(J180:K180,P180:Q180,V180:W180,AB180:AC180,AH180:AI180),
IF(AQ180=2,SUM(L180:M180,R180:S180,X180:Y180,AD180:AE180),
IF(AQ180=3,SUM(H180:I180,N180:O180,T180:U180,Z180:AA180,AF180:AG180),
SUM(IFERROR(WEEKDAY($H$2:$AL$2,2)&gt;5,)*H180:AL180))))</f>
        <v>0</v>
      </c>
      <c r="AO180" s="271" t="b">
        <f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696" t="b">
        <f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678" t="str">
        <f>IFERROR(INDEX(база!T:T, MATCH(F180,база!Q:Q,0)),"")</f>
        <v/>
      </c>
      <c r="AR180" s="193">
        <f>IFERROR(INDEX(база!D:D, MATCH(F180,база!B:B,0)),"")</f>
        <v>0</v>
      </c>
    </row>
    <row r="181" spans="1:44" ht="15">
      <c r="A181" s="59"/>
      <c r="B181" s="215"/>
      <c r="C181" s="277"/>
      <c r="D181" s="55"/>
      <c r="E181" s="196"/>
      <c r="F181" s="651"/>
      <c r="G181" s="42"/>
      <c r="H181" s="539"/>
      <c r="I181" s="539"/>
      <c r="J181" s="539"/>
      <c r="K181" s="539"/>
      <c r="L181" s="539"/>
      <c r="M181" s="539"/>
      <c r="N181" s="539"/>
      <c r="O181" s="539"/>
      <c r="P181" s="278"/>
      <c r="Q181" s="539"/>
      <c r="R181" s="539"/>
      <c r="S181" s="539"/>
      <c r="T181" s="539"/>
      <c r="U181" s="539"/>
      <c r="V181" s="539"/>
      <c r="W181" s="539"/>
      <c r="X181" s="539"/>
      <c r="Y181" s="539"/>
      <c r="Z181" s="539"/>
      <c r="AA181" s="539"/>
      <c r="AB181" s="539"/>
      <c r="AC181" s="539"/>
      <c r="AD181" s="43"/>
      <c r="AE181" s="43"/>
      <c r="AF181" s="238"/>
      <c r="AG181" s="43"/>
      <c r="AH181" s="43"/>
      <c r="AI181" s="238"/>
      <c r="AJ181" s="238"/>
      <c r="AK181" s="238"/>
      <c r="AL181" s="238"/>
      <c r="AM181" s="197">
        <f>IF(AQ181=1,SUM(H181:I181,L181:O181,R181:U181,X181:AA181,AD181:AG181,AI181:AK181),
IF(AQ181=2,SUM(H181:K181,N181:Q181,T181:W181,Z181:AC181,AF181:AI181),
IF(AQ181=3,SUM(J181:M181,P181:S181,V181:Y181,AB181:AE181,AH181:AK181),SUM(Таблица1[[#This Row],[1]:[31]])-Таблица1[[#This Row],[Столбец1]])))</f>
        <v>0</v>
      </c>
      <c r="AN181" s="269">
        <f t="array" ref="AN181">IF(AQ181=1,SUM(J181:K181,P181:Q181,V181:W181,AB181:AC181,AH181:AI181),
IF(AQ181=2,SUM(L181:M181,R181:S181,X181:Y181,AD181:AE181),
IF(AQ181=3,SUM(H181:I181,N181:O181,T181:U181,Z181:AA181,AF181:AG181),
SUM(IFERROR(WEEKDAY($H$2:$AL$2,2)&gt;5,)*H181:AL181))))</f>
        <v>0</v>
      </c>
      <c r="AO181" s="271" t="b">
        <f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696" t="b">
        <f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678" t="str">
        <f>IFERROR(INDEX(база!T:T, MATCH(F181,база!Q:Q,0)),"")</f>
        <v/>
      </c>
      <c r="AR181" s="193">
        <f>IFERROR(INDEX(база!D:D, MATCH(F181,база!B:B,0)),"")</f>
        <v>0</v>
      </c>
    </row>
    <row r="182" spans="1:44" ht="15">
      <c r="A182" s="59"/>
      <c r="B182" s="215"/>
      <c r="C182" s="54"/>
      <c r="D182" s="55"/>
      <c r="E182" s="196"/>
      <c r="F182" s="651"/>
      <c r="G182" s="42"/>
      <c r="H182" s="539"/>
      <c r="I182" s="539"/>
      <c r="J182" s="539"/>
      <c r="K182" s="539"/>
      <c r="L182" s="539"/>
      <c r="M182" s="539"/>
      <c r="N182" s="539"/>
      <c r="O182" s="539"/>
      <c r="P182" s="278"/>
      <c r="Q182" s="539"/>
      <c r="R182" s="539"/>
      <c r="S182" s="539"/>
      <c r="T182" s="539"/>
      <c r="U182" s="539"/>
      <c r="V182" s="539"/>
      <c r="W182" s="539"/>
      <c r="X182" s="539"/>
      <c r="Y182" s="539"/>
      <c r="Z182" s="539"/>
      <c r="AA182" s="539"/>
      <c r="AB182" s="539"/>
      <c r="AC182" s="539"/>
      <c r="AD182" s="43"/>
      <c r="AE182" s="43"/>
      <c r="AF182" s="238"/>
      <c r="AG182" s="43"/>
      <c r="AH182" s="43"/>
      <c r="AI182" s="238"/>
      <c r="AJ182" s="238"/>
      <c r="AK182" s="238"/>
      <c r="AL182" s="238"/>
      <c r="AM182" s="197">
        <f>IF(AQ182=1,SUM(H182:I182,L182:O182,R182:U182,X182:AA182,AD182:AG182,AI182:AK182),
IF(AQ182=2,SUM(H182:K182,N182:Q182,T182:W182,Z182:AC182,AF182:AI182),
IF(AQ182=3,SUM(J182:M182,P182:S182,V182:Y182,AB182:AE182,AH182:AK182),SUM(Таблица1[[#This Row],[1]:[31]])-Таблица1[[#This Row],[Столбец1]])))</f>
        <v>0</v>
      </c>
      <c r="AN182" s="269">
        <f t="array" ref="AN182">IF(AQ182=1,SUM(J182:K182,P182:Q182,V182:W182,AB182:AC182,AH182:AI182),
IF(AQ182=2,SUM(L182:M182,R182:S182,X182:Y182,AD182:AE182),
IF(AQ182=3,SUM(H182:I182,N182:O182,T182:U182,Z182:AA182,AF182:AG182),
SUM(IFERROR(WEEKDAY($H$2:$AL$2,2)&gt;5,)*H182:AL182))))</f>
        <v>0</v>
      </c>
      <c r="AO182" s="271" t="b">
        <f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696" t="b">
        <f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678" t="str">
        <f>IFERROR(INDEX(база!T:T, MATCH(F182,база!Q:Q,0)),"")</f>
        <v/>
      </c>
      <c r="AR182" s="193">
        <f>IFERROR(INDEX(база!D:D, MATCH(F182,база!B:B,0)),"")</f>
        <v>0</v>
      </c>
    </row>
    <row r="183" spans="1:44" ht="15">
      <c r="A183" s="59"/>
      <c r="B183" s="215"/>
      <c r="C183" s="277"/>
      <c r="D183" s="55"/>
      <c r="E183" s="196"/>
      <c r="F183" s="651"/>
      <c r="G183" s="42"/>
      <c r="H183" s="539"/>
      <c r="I183" s="539"/>
      <c r="J183" s="539"/>
      <c r="K183" s="539"/>
      <c r="L183" s="539"/>
      <c r="M183" s="539"/>
      <c r="N183" s="539"/>
      <c r="O183" s="539"/>
      <c r="P183" s="278"/>
      <c r="Q183" s="539"/>
      <c r="R183" s="539"/>
      <c r="S183" s="539"/>
      <c r="T183" s="539"/>
      <c r="U183" s="539"/>
      <c r="V183" s="539"/>
      <c r="W183" s="539"/>
      <c r="X183" s="539"/>
      <c r="Y183" s="539"/>
      <c r="Z183" s="539"/>
      <c r="AA183" s="539"/>
      <c r="AB183" s="539"/>
      <c r="AC183" s="539"/>
      <c r="AD183" s="43"/>
      <c r="AE183" s="43"/>
      <c r="AF183" s="238"/>
      <c r="AG183" s="43"/>
      <c r="AH183" s="43"/>
      <c r="AI183" s="238"/>
      <c r="AJ183" s="238"/>
      <c r="AK183" s="238"/>
      <c r="AL183" s="238"/>
      <c r="AM183" s="197">
        <f>IF(AQ183=1,SUM(H183:I183,L183:O183,R183:U183,X183:AA183,AD183:AG183,AI183:AK183),
IF(AQ183=2,SUM(H183:K183,N183:Q183,T183:W183,Z183:AC183,AF183:AI183),
IF(AQ183=3,SUM(J183:M183,P183:S183,V183:Y183,AB183:AE183,AH183:AK183),SUM(Таблица1[[#This Row],[1]:[31]])-Таблица1[[#This Row],[Столбец1]])))</f>
        <v>0</v>
      </c>
      <c r="AN183" s="269">
        <f t="array" ref="AN183">IF(AQ183=1,SUM(J183:K183,P183:Q183,V183:W183,AB183:AC183,AH183:AI183),
IF(AQ183=2,SUM(L183:M183,R183:S183,X183:Y183,AD183:AE183),
IF(AQ183=3,SUM(H183:I183,N183:O183,T183:U183,Z183:AA183,AF183:AG183),
SUM(IFERROR(WEEKDAY($H$2:$AL$2,2)&gt;5,)*H183:AL183))))</f>
        <v>0</v>
      </c>
      <c r="AO183" s="271" t="b">
        <f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696" t="b">
        <f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678" t="str">
        <f>IFERROR(INDEX(база!T:T, MATCH(F183,база!Q:Q,0)),"")</f>
        <v/>
      </c>
      <c r="AR183" s="193">
        <f>IFERROR(INDEX(база!D:D, MATCH(F183,база!B:B,0)),"")</f>
        <v>0</v>
      </c>
    </row>
    <row r="184" spans="1:44" ht="15">
      <c r="A184" s="59"/>
      <c r="B184" s="215"/>
      <c r="C184" s="54"/>
      <c r="D184" s="55"/>
      <c r="E184" s="196"/>
      <c r="F184" s="651"/>
      <c r="G184" s="42"/>
      <c r="H184" s="539"/>
      <c r="I184" s="539"/>
      <c r="J184" s="539"/>
      <c r="K184" s="539"/>
      <c r="L184" s="539"/>
      <c r="M184" s="539"/>
      <c r="N184" s="539"/>
      <c r="O184" s="539"/>
      <c r="P184" s="278"/>
      <c r="Q184" s="539"/>
      <c r="R184" s="539"/>
      <c r="S184" s="539"/>
      <c r="T184" s="539"/>
      <c r="U184" s="539"/>
      <c r="V184" s="539"/>
      <c r="W184" s="539"/>
      <c r="X184" s="539"/>
      <c r="Y184" s="539"/>
      <c r="Z184" s="539"/>
      <c r="AA184" s="539"/>
      <c r="AB184" s="539"/>
      <c r="AC184" s="539"/>
      <c r="AD184" s="43"/>
      <c r="AE184" s="43"/>
      <c r="AF184" s="238"/>
      <c r="AG184" s="43"/>
      <c r="AH184" s="43"/>
      <c r="AI184" s="238"/>
      <c r="AJ184" s="238"/>
      <c r="AK184" s="238"/>
      <c r="AL184" s="238"/>
      <c r="AM184" s="197">
        <f>IF(AQ184=1,SUM(H184:I184,L184:O184,R184:U184,X184:AA184,AD184:AG184,AI184:AK184),
IF(AQ184=2,SUM(H184:K184,N184:Q184,T184:W184,Z184:AC184,AF184:AI184),
IF(AQ184=3,SUM(J184:M184,P184:S184,V184:Y184,AB184:AE184,AH184:AK184),SUM(Таблица1[[#This Row],[1]:[31]])-Таблица1[[#This Row],[Столбец1]])))</f>
        <v>0</v>
      </c>
      <c r="AN184" s="269">
        <f t="array" ref="AN184">IF(AQ184=1,SUM(J184:K184,P184:Q184,V184:W184,AB184:AC184,AH184:AI184),
IF(AQ184=2,SUM(L184:M184,R184:S184,X184:Y184,AD184:AE184),
IF(AQ184=3,SUM(H184:I184,N184:O184,T184:U184,Z184:AA184,AF184:AG184),
SUM(IFERROR(WEEKDAY($H$2:$AL$2,2)&gt;5,)*H184:AL184))))</f>
        <v>0</v>
      </c>
      <c r="AO184" s="271" t="b">
        <f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696" t="b">
        <f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678" t="str">
        <f>IFERROR(INDEX(база!T:T, MATCH(F184,база!Q:Q,0)),"")</f>
        <v/>
      </c>
      <c r="AR184" s="193">
        <f>IFERROR(INDEX(база!D:D, MATCH(F184,база!B:B,0)),"")</f>
        <v>0</v>
      </c>
    </row>
    <row r="185" spans="1:44" ht="15">
      <c r="A185" s="59"/>
      <c r="B185" s="215"/>
      <c r="C185" s="54"/>
      <c r="D185" s="55"/>
      <c r="E185" s="196"/>
      <c r="F185" s="651"/>
      <c r="G185" s="42"/>
      <c r="H185" s="539"/>
      <c r="I185" s="539"/>
      <c r="J185" s="539"/>
      <c r="K185" s="539"/>
      <c r="L185" s="539"/>
      <c r="M185" s="539"/>
      <c r="N185" s="539"/>
      <c r="O185" s="539"/>
      <c r="P185" s="278"/>
      <c r="Q185" s="539"/>
      <c r="R185" s="539"/>
      <c r="S185" s="539"/>
      <c r="T185" s="539"/>
      <c r="U185" s="539"/>
      <c r="V185" s="539"/>
      <c r="W185" s="539"/>
      <c r="X185" s="539"/>
      <c r="Y185" s="539"/>
      <c r="Z185" s="539"/>
      <c r="AA185" s="539"/>
      <c r="AB185" s="539"/>
      <c r="AC185" s="539"/>
      <c r="AD185" s="43"/>
      <c r="AE185" s="43"/>
      <c r="AF185" s="238"/>
      <c r="AG185" s="43"/>
      <c r="AH185" s="43"/>
      <c r="AI185" s="238"/>
      <c r="AJ185" s="238"/>
      <c r="AK185" s="238"/>
      <c r="AL185" s="238"/>
      <c r="AM185" s="197">
        <f>IF(AQ185=1,SUM(H185:I185,L185:O185,R185:U185,X185:AA185,AD185:AG185,AI185:AK185),
IF(AQ185=2,SUM(H185:K185,N185:Q185,T185:W185,Z185:AC185,AF185:AI185),
IF(AQ185=3,SUM(J185:M185,P185:S185,V185:Y185,AB185:AE185,AH185:AK185),SUM(Таблица1[[#This Row],[1]:[31]])-Таблица1[[#This Row],[Столбец1]])))</f>
        <v>0</v>
      </c>
      <c r="AN185" s="269">
        <f t="array" ref="AN185">IF(AQ185=1,SUM(J185:K185,P185:Q185,V185:W185,AB185:AC185,AH185:AI185),
IF(AQ185=2,SUM(L185:M185,R185:S185,X185:Y185,AD185:AE185),
IF(AQ185=3,SUM(H185:I185,N185:O185,T185:U185,Z185:AA185,AF185:AG185),
SUM(IFERROR(WEEKDAY($H$2:$AL$2,2)&gt;5,)*H185:AL185))))</f>
        <v>0</v>
      </c>
      <c r="AO185" s="271" t="b">
        <f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696" t="b">
        <f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678" t="str">
        <f>IFERROR(INDEX(база!T:T, MATCH(F185,база!Q:Q,0)),"")</f>
        <v/>
      </c>
      <c r="AR185" s="193">
        <f>IFERROR(INDEX(база!D:D, MATCH(F185,база!B:B,0)),"")</f>
        <v>0</v>
      </c>
    </row>
    <row r="186" spans="1:44" ht="15">
      <c r="A186" s="59"/>
      <c r="B186" s="215"/>
      <c r="C186" s="54"/>
      <c r="D186" s="55"/>
      <c r="E186" s="196"/>
      <c r="F186" s="651"/>
      <c r="G186" s="42"/>
      <c r="H186" s="539"/>
      <c r="I186" s="539"/>
      <c r="J186" s="539"/>
      <c r="K186" s="539"/>
      <c r="L186" s="539"/>
      <c r="M186" s="539"/>
      <c r="N186" s="539"/>
      <c r="O186" s="539"/>
      <c r="P186" s="278"/>
      <c r="Q186" s="539"/>
      <c r="R186" s="539"/>
      <c r="S186" s="539"/>
      <c r="T186" s="539"/>
      <c r="U186" s="539"/>
      <c r="V186" s="539"/>
      <c r="W186" s="539"/>
      <c r="X186" s="539"/>
      <c r="Y186" s="539"/>
      <c r="Z186" s="539"/>
      <c r="AA186" s="539"/>
      <c r="AB186" s="539"/>
      <c r="AC186" s="539"/>
      <c r="AD186" s="43"/>
      <c r="AE186" s="43"/>
      <c r="AF186" s="238"/>
      <c r="AG186" s="43"/>
      <c r="AH186" s="43"/>
      <c r="AI186" s="238"/>
      <c r="AJ186" s="238"/>
      <c r="AK186" s="238"/>
      <c r="AL186" s="238"/>
      <c r="AM186" s="197">
        <f>IF(AQ186=1,SUM(H186:I186,L186:O186,R186:U186,X186:AA186,AD186:AG186,AI186:AK186),
IF(AQ186=2,SUM(H186:K186,N186:Q186,T186:W186,Z186:AC186,AF186:AI186),
IF(AQ186=3,SUM(J186:M186,P186:S186,V186:Y186,AB186:AE186,AH186:AK186),SUM(Таблица1[[#This Row],[1]:[31]])-Таблица1[[#This Row],[Столбец1]])))</f>
        <v>0</v>
      </c>
      <c r="AN186" s="269">
        <f t="array" ref="AN186">IF(AQ186=1,SUM(J186:K186,P186:Q186,V186:W186,AB186:AC186,AH186:AI186),
IF(AQ186=2,SUM(L186:M186,R186:S186,X186:Y186,AD186:AE186),
IF(AQ186=3,SUM(H186:I186,N186:O186,T186:U186,Z186:AA186,AF186:AG186),
SUM(IFERROR(WEEKDAY($H$2:$AL$2,2)&gt;5,)*H186:AL186))))</f>
        <v>0</v>
      </c>
      <c r="AO186" s="271" t="b">
        <f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696" t="b">
        <f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678" t="str">
        <f>IFERROR(INDEX(база!T:T, MATCH(F186,база!Q:Q,0)),"")</f>
        <v/>
      </c>
      <c r="AR186" s="193">
        <f>IFERROR(INDEX(база!D:D, MATCH(F186,база!B:B,0)),"")</f>
        <v>0</v>
      </c>
    </row>
    <row r="187" spans="1:44" ht="15">
      <c r="A187" s="59"/>
      <c r="B187" s="215"/>
      <c r="C187" s="277"/>
      <c r="D187" s="55"/>
      <c r="E187" s="196"/>
      <c r="F187" s="651"/>
      <c r="G187" s="42"/>
      <c r="H187" s="539"/>
      <c r="I187" s="539"/>
      <c r="J187" s="539"/>
      <c r="K187" s="539"/>
      <c r="L187" s="539"/>
      <c r="M187" s="539"/>
      <c r="N187" s="539"/>
      <c r="O187" s="539"/>
      <c r="P187" s="539"/>
      <c r="Q187" s="539"/>
      <c r="R187" s="539"/>
      <c r="S187" s="539"/>
      <c r="T187" s="539"/>
      <c r="U187" s="539"/>
      <c r="V187" s="539"/>
      <c r="W187" s="539"/>
      <c r="X187" s="539"/>
      <c r="Y187" s="539"/>
      <c r="Z187" s="539"/>
      <c r="AA187" s="539"/>
      <c r="AB187" s="539"/>
      <c r="AC187" s="539"/>
      <c r="AD187" s="43"/>
      <c r="AE187" s="43"/>
      <c r="AF187" s="238"/>
      <c r="AG187" s="43"/>
      <c r="AH187" s="43"/>
      <c r="AI187" s="43"/>
      <c r="AJ187" s="43"/>
      <c r="AK187" s="43"/>
      <c r="AL187" s="45"/>
      <c r="AM187" s="197">
        <f>IF(AQ187=1,SUM(H187:I187,L187:O187,R187:U187,X187:AA187,AD187:AG187,AI187:AK187),
IF(AQ187=2,SUM(H187:K187,N187:Q187,T187:W187,Z187:AC187,AF187:AI187),
IF(AQ187=3,SUM(J187:M187,P187:S187,V187:Y187,AB187:AE187,AH187:AK187),SUM(Таблица1[[#This Row],[1]:[31]])-Таблица1[[#This Row],[Столбец1]])))</f>
        <v>0</v>
      </c>
      <c r="AN187" s="269">
        <f t="array" ref="AN187">IF(AQ187=1,SUM(J187:K187,P187:Q187,V187:W187,AB187:AC187,AH187:AI187),
IF(AQ187=2,SUM(L187:M187,R187:S187,X187:Y187,AD187:AE187),
IF(AQ187=3,SUM(H187:I187,N187:O187,T187:U187,Z187:AA187,AF187:AG187),
SUM(IFERROR(WEEKDAY($H$2:$AL$2,2)&gt;5,)*H187:AL187))))</f>
        <v>0</v>
      </c>
      <c r="AO187" s="271" t="b">
        <f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696" t="b">
        <f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678" t="str">
        <f>IFERROR(INDEX(база!T:T, MATCH(F187,база!Q:Q,0)),"")</f>
        <v/>
      </c>
      <c r="AR187" s="193">
        <f>IFERROR(INDEX(база!D:D, MATCH(F187,база!B:B,0)),"")</f>
        <v>0</v>
      </c>
    </row>
    <row r="188" spans="1:44" ht="15">
      <c r="A188" s="59"/>
      <c r="B188" s="215"/>
      <c r="C188" s="54"/>
      <c r="D188" s="55"/>
      <c r="E188" s="196"/>
      <c r="F188" s="651"/>
      <c r="G188" s="42"/>
      <c r="H188" s="539"/>
      <c r="I188" s="539"/>
      <c r="J188" s="539"/>
      <c r="K188" s="539"/>
      <c r="L188" s="539"/>
      <c r="M188" s="539"/>
      <c r="N188" s="539"/>
      <c r="O188" s="539"/>
      <c r="P188" s="278"/>
      <c r="Q188" s="539"/>
      <c r="R188" s="539"/>
      <c r="S188" s="539"/>
      <c r="T188" s="539"/>
      <c r="U188" s="539"/>
      <c r="V188" s="539"/>
      <c r="W188" s="539"/>
      <c r="X188" s="539"/>
      <c r="Y188" s="539"/>
      <c r="Z188" s="539"/>
      <c r="AA188" s="539"/>
      <c r="AB188" s="539"/>
      <c r="AC188" s="539"/>
      <c r="AD188" s="43"/>
      <c r="AE188" s="43"/>
      <c r="AF188" s="238"/>
      <c r="AG188" s="43"/>
      <c r="AH188" s="43"/>
      <c r="AI188" s="238"/>
      <c r="AJ188" s="238"/>
      <c r="AK188" s="238"/>
      <c r="AL188" s="238"/>
      <c r="AM188" s="197">
        <f>IF(AQ188=1,SUM(H188:I188,L188:O188,R188:U188,X188:AA188,AD188:AG188,AI188:AK188),
IF(AQ188=2,SUM(H188:K188,N188:Q188,T188:W188,Z188:AC188,AF188:AI188),
IF(AQ188=3,SUM(J188:M188,P188:S188,V188:Y188,AB188:AE188,AH188:AK188),SUM(Таблица1[[#This Row],[1]:[31]])-Таблица1[[#This Row],[Столбец1]])))</f>
        <v>0</v>
      </c>
      <c r="AN188" s="269">
        <f t="array" ref="AN188">IF(AQ188=1,SUM(J188:K188,P188:Q188,V188:W188,AB188:AC188,AH188:AI188),
IF(AQ188=2,SUM(L188:M188,R188:S188,X188:Y188,AD188:AE188),
IF(AQ188=3,SUM(H188:I188,N188:O188,T188:U188,Z188:AA188,AF188:AG188),
SUM(IFERROR(WEEKDAY($H$2:$AL$2,2)&gt;5,)*H188:AL188))))</f>
        <v>0</v>
      </c>
      <c r="AO188" s="271" t="b">
        <f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696" t="b">
        <f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678" t="str">
        <f>IFERROR(INDEX(база!T:T, MATCH(F188,база!Q:Q,0)),"")</f>
        <v/>
      </c>
      <c r="AR188" s="193">
        <f>IFERROR(INDEX(база!D:D, MATCH(F188,база!B:B,0)),"")</f>
        <v>0</v>
      </c>
    </row>
    <row r="189" spans="1:44" ht="15">
      <c r="A189" s="59"/>
      <c r="B189" s="215"/>
      <c r="C189" s="277"/>
      <c r="D189" s="55"/>
      <c r="E189" s="196"/>
      <c r="F189" s="651"/>
      <c r="G189" s="42"/>
      <c r="H189" s="539"/>
      <c r="I189" s="539"/>
      <c r="J189" s="539"/>
      <c r="K189" s="539"/>
      <c r="L189" s="539"/>
      <c r="M189" s="539"/>
      <c r="N189" s="539"/>
      <c r="O189" s="539"/>
      <c r="P189" s="278"/>
      <c r="Q189" s="539"/>
      <c r="R189" s="539"/>
      <c r="S189" s="539"/>
      <c r="T189" s="539"/>
      <c r="U189" s="539"/>
      <c r="V189" s="539"/>
      <c r="W189" s="539"/>
      <c r="X189" s="539"/>
      <c r="Y189" s="539"/>
      <c r="Z189" s="539"/>
      <c r="AA189" s="539"/>
      <c r="AB189" s="539"/>
      <c r="AC189" s="539"/>
      <c r="AD189" s="43"/>
      <c r="AE189" s="43"/>
      <c r="AF189" s="238"/>
      <c r="AG189" s="43"/>
      <c r="AH189" s="43"/>
      <c r="AI189" s="43"/>
      <c r="AJ189" s="43"/>
      <c r="AK189" s="43"/>
      <c r="AL189" s="45"/>
      <c r="AM189" s="197">
        <f>IF(AQ189=1,SUM(H189:I189,L189:O189,R189:U189,X189:AA189,AD189:AG189,AI189:AK189),
IF(AQ189=2,SUM(H189:K189,N189:Q189,T189:W189,Z189:AC189,AF189:AI189),
IF(AQ189=3,SUM(J189:M189,P189:S189,V189:Y189,AB189:AE189,AH189:AK189),SUM(Таблица1[[#This Row],[1]:[31]])-Таблица1[[#This Row],[Столбец1]])))</f>
        <v>0</v>
      </c>
      <c r="AN189" s="269">
        <f t="array" ref="AN189">IF(AQ189=1,SUM(J189:K189,P189:Q189,V189:W189,AB189:AC189,AH189:AI189),
IF(AQ189=2,SUM(L189:M189,R189:S189,X189:Y189,AD189:AE189),
IF(AQ189=3,SUM(H189:I189,N189:O189,T189:U189,Z189:AA189,AF189:AG189),
SUM(IFERROR(WEEKDAY($H$2:$AL$2,2)&gt;5,)*H189:AL189))))</f>
        <v>0</v>
      </c>
      <c r="AO189" s="271" t="b">
        <f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696" t="b">
        <f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678" t="str">
        <f>IFERROR(INDEX(база!T:T, MATCH(F189,база!Q:Q,0)),"")</f>
        <v/>
      </c>
      <c r="AR189" s="193">
        <f>IFERROR(INDEX(база!D:D, MATCH(F189,база!B:B,0)),"")</f>
        <v>0</v>
      </c>
    </row>
    <row r="190" spans="1:44" ht="15">
      <c r="A190" s="59"/>
      <c r="B190" s="215"/>
      <c r="C190" s="54"/>
      <c r="D190" s="55"/>
      <c r="E190" s="196"/>
      <c r="F190" s="651"/>
      <c r="G190" s="42"/>
      <c r="H190" s="539"/>
      <c r="I190" s="539"/>
      <c r="J190" s="539"/>
      <c r="K190" s="539"/>
      <c r="L190" s="539"/>
      <c r="M190" s="539"/>
      <c r="N190" s="539"/>
      <c r="O190" s="539"/>
      <c r="P190" s="278"/>
      <c r="Q190" s="278"/>
      <c r="R190" s="278"/>
      <c r="S190" s="539"/>
      <c r="T190" s="539"/>
      <c r="U190" s="539"/>
      <c r="V190" s="539"/>
      <c r="W190" s="539"/>
      <c r="X190" s="539"/>
      <c r="Y190" s="539"/>
      <c r="Z190" s="539"/>
      <c r="AA190" s="539"/>
      <c r="AB190" s="539"/>
      <c r="AC190" s="539"/>
      <c r="AD190" s="43"/>
      <c r="AE190" s="43"/>
      <c r="AF190" s="238"/>
      <c r="AG190" s="238"/>
      <c r="AH190" s="238"/>
      <c r="AI190" s="238"/>
      <c r="AJ190" s="238"/>
      <c r="AK190" s="238"/>
      <c r="AL190" s="238"/>
      <c r="AM190" s="197">
        <f>IF(AQ190=1,SUM(H190:I190,L190:O190,R190:U190,X190:AA190,AD190:AG190,AI190:AK190),
IF(AQ190=2,SUM(H190:K190,N190:Q190,T190:W190,Z190:AC190,AF190:AI190),
IF(AQ190=3,SUM(J190:M190,P190:S190,V190:Y190,AB190:AE190,AH190:AK190),SUM(Таблица1[[#This Row],[1]:[31]])-Таблица1[[#This Row],[Столбец1]])))</f>
        <v>0</v>
      </c>
      <c r="AN190" s="269">
        <f t="array" ref="AN190">IF(AQ190=1,SUM(J190:K190,P190:Q190,V190:W190,AB190:AC190,AH190:AI190),
IF(AQ190=2,SUM(L190:M190,R190:S190,X190:Y190,AD190:AE190),
IF(AQ190=3,SUM(H190:I190,N190:O190,T190:U190,Z190:AA190,AF190:AG190),
SUM(IFERROR(WEEKDAY($H$2:$AL$2,2)&gt;5,)*H190:AL190))))</f>
        <v>0</v>
      </c>
      <c r="AO190" s="271" t="b">
        <f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696" t="b">
        <f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678" t="str">
        <f>IFERROR(INDEX(база!T:T, MATCH(F190,база!Q:Q,0)),"")</f>
        <v/>
      </c>
      <c r="AR190" s="193">
        <f>IFERROR(INDEX(база!D:D, MATCH(F190,база!B:B,0)),"")</f>
        <v>0</v>
      </c>
    </row>
    <row r="191" spans="1:44" ht="15">
      <c r="A191" s="59"/>
      <c r="B191" s="215"/>
      <c r="C191" s="277"/>
      <c r="D191" s="55"/>
      <c r="E191" s="196"/>
      <c r="F191" s="651"/>
      <c r="G191" s="42"/>
      <c r="H191" s="539"/>
      <c r="I191" s="539"/>
      <c r="J191" s="539"/>
      <c r="K191" s="539"/>
      <c r="L191" s="539"/>
      <c r="M191" s="539"/>
      <c r="N191" s="539"/>
      <c r="O191" s="539"/>
      <c r="P191" s="278"/>
      <c r="Q191" s="278"/>
      <c r="R191" s="278"/>
      <c r="S191" s="539"/>
      <c r="T191" s="539"/>
      <c r="U191" s="539"/>
      <c r="V191" s="539"/>
      <c r="W191" s="539"/>
      <c r="X191" s="539"/>
      <c r="Y191" s="539"/>
      <c r="Z191" s="539"/>
      <c r="AA191" s="539"/>
      <c r="AB191" s="539"/>
      <c r="AC191" s="539"/>
      <c r="AD191" s="43"/>
      <c r="AE191" s="43"/>
      <c r="AF191" s="238"/>
      <c r="AG191" s="43"/>
      <c r="AH191" s="43"/>
      <c r="AI191" s="43"/>
      <c r="AJ191" s="43"/>
      <c r="AK191" s="43"/>
      <c r="AL191" s="45"/>
      <c r="AM191" s="197">
        <f>IF(AQ191=1,SUM(H191:I191,L191:O191,R191:U191,X191:AA191,AD191:AG191,AI191:AK191),
IF(AQ191=2,SUM(H191:K191,N191:Q191,T191:W191,Z191:AC191,AF191:AI191),
IF(AQ191=3,SUM(J191:M191,P191:S191,V191:Y191,AB191:AE191,AH191:AK191),SUM(Таблица1[[#This Row],[1]:[31]])-Таблица1[[#This Row],[Столбец1]])))</f>
        <v>0</v>
      </c>
      <c r="AN191" s="269">
        <f t="array" ref="AN191">IF(AQ191=1,SUM(J191:K191,P191:Q191,V191:W191,AB191:AC191,AH191:AI191),
IF(AQ191=2,SUM(L191:M191,R191:S191,X191:Y191,AD191:AE191),
IF(AQ191=3,SUM(H191:I191,N191:O191,T191:U191,Z191:AA191,AF191:AG191),
SUM(IFERROR(WEEKDAY($H$2:$AL$2,2)&gt;5,)*H191:AL191))))</f>
        <v>0</v>
      </c>
      <c r="AO191" s="271" t="b">
        <f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696" t="b">
        <f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678" t="str">
        <f>IFERROR(INDEX(база!T:T, MATCH(F191,база!Q:Q,0)),"")</f>
        <v/>
      </c>
      <c r="AR191" s="193">
        <f>IFERROR(INDEX(база!D:D, MATCH(F191,база!B:B,0)),"")</f>
        <v>0</v>
      </c>
    </row>
    <row r="192" spans="1:44" ht="15">
      <c r="A192" s="59"/>
      <c r="B192" s="215"/>
      <c r="C192" s="54"/>
      <c r="D192" s="55"/>
      <c r="E192" s="196"/>
      <c r="F192" s="651"/>
      <c r="G192" s="42"/>
      <c r="H192" s="539"/>
      <c r="I192" s="539"/>
      <c r="J192" s="539"/>
      <c r="K192" s="539"/>
      <c r="L192" s="539"/>
      <c r="M192" s="539"/>
      <c r="N192" s="539"/>
      <c r="O192" s="539"/>
      <c r="P192" s="539"/>
      <c r="Q192" s="539"/>
      <c r="R192" s="539"/>
      <c r="S192" s="539"/>
      <c r="T192" s="539"/>
      <c r="U192" s="539"/>
      <c r="V192" s="539"/>
      <c r="W192" s="539"/>
      <c r="X192" s="539"/>
      <c r="Y192" s="539"/>
      <c r="Z192" s="539"/>
      <c r="AA192" s="539"/>
      <c r="AB192" s="539"/>
      <c r="AC192" s="539"/>
      <c r="AD192" s="539"/>
      <c r="AE192" s="43"/>
      <c r="AF192" s="238"/>
      <c r="AG192" s="43"/>
      <c r="AH192" s="43"/>
      <c r="AI192" s="238"/>
      <c r="AJ192" s="238"/>
      <c r="AK192" s="238"/>
      <c r="AL192" s="238"/>
      <c r="AM192" s="197">
        <f>IF(AQ192=1,SUM(H192:I192,L192:O192,R192:U192,X192:AA192,AD192:AG192,AI192:AK192),
IF(AQ192=2,SUM(H192:K192,N192:Q192,T192:W192,Z192:AC192,AF192:AI192),
IF(AQ192=3,SUM(J192:M192,P192:S192,V192:Y192,AB192:AE192,AH192:AK192),SUM(Таблица1[[#This Row],[1]:[31]])-Таблица1[[#This Row],[Столбец1]])))</f>
        <v>0</v>
      </c>
      <c r="AN192" s="269">
        <f t="array" ref="AN192">IF(AQ192=1,SUM(J192:K192,P192:Q192,V192:W192,AB192:AC192,AH192:AI192),
IF(AQ192=2,SUM(L192:M192,R192:S192,X192:Y192,AD192:AE192),
IF(AQ192=3,SUM(H192:I192,N192:O192,T192:U192,Z192:AA192,AF192:AG192),
SUM(IFERROR(WEEKDAY($H$2:$AL$2,2)&gt;5,)*H192:AL192))))</f>
        <v>0</v>
      </c>
      <c r="AO192" s="271" t="b">
        <f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696" t="b">
        <f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678" t="str">
        <f>IFERROR(INDEX(база!T:T, MATCH(F192,база!Q:Q,0)),"")</f>
        <v/>
      </c>
      <c r="AR192" s="193">
        <f>IFERROR(INDEX(база!D:D, MATCH(F192,база!B:B,0)),"")</f>
        <v>0</v>
      </c>
    </row>
    <row r="193" spans="1:44" ht="15">
      <c r="A193" s="59"/>
      <c r="B193" s="215"/>
      <c r="C193" s="277"/>
      <c r="D193" s="55"/>
      <c r="E193" s="196"/>
      <c r="F193" s="651"/>
      <c r="G193" s="42"/>
      <c r="H193" s="539"/>
      <c r="I193" s="539"/>
      <c r="J193" s="539"/>
      <c r="K193" s="539"/>
      <c r="L193" s="539"/>
      <c r="M193" s="539"/>
      <c r="N193" s="539"/>
      <c r="O193" s="539"/>
      <c r="P193" s="278"/>
      <c r="Q193" s="539"/>
      <c r="R193" s="539"/>
      <c r="S193" s="539"/>
      <c r="T193" s="539"/>
      <c r="U193" s="539"/>
      <c r="V193" s="539"/>
      <c r="W193" s="539"/>
      <c r="X193" s="539"/>
      <c r="Y193" s="539"/>
      <c r="Z193" s="539"/>
      <c r="AA193" s="539"/>
      <c r="AB193" s="539"/>
      <c r="AC193" s="539"/>
      <c r="AD193" s="539"/>
      <c r="AE193" s="43"/>
      <c r="AF193" s="238"/>
      <c r="AG193" s="43"/>
      <c r="AH193" s="43"/>
      <c r="AI193" s="43"/>
      <c r="AJ193" s="43"/>
      <c r="AK193" s="43"/>
      <c r="AL193" s="45"/>
      <c r="AM193" s="197">
        <f>IF(AQ193=1,SUM(H193:I193,L193:O193,R193:U193,X193:AA193,AD193:AG193,AI193:AK193),
IF(AQ193=2,SUM(H193:K193,N193:Q193,T193:W193,Z193:AC193,AF193:AI193),
IF(AQ193=3,SUM(J193:M193,P193:S193,V193:Y193,AB193:AE193,AH193:AK193),SUM(Таблица1[[#This Row],[1]:[31]])-Таблица1[[#This Row],[Столбец1]])))</f>
        <v>0</v>
      </c>
      <c r="AN193" s="269">
        <f t="array" ref="AN193">IF(AQ193=1,SUM(J193:K193,P193:Q193,V193:W193,AB193:AC193,AH193:AI193),
IF(AQ193=2,SUM(L193:M193,R193:S193,X193:Y193,AD193:AE193),
IF(AQ193=3,SUM(H193:I193,N193:O193,T193:U193,Z193:AA193,AF193:AG193),
SUM(IFERROR(WEEKDAY($H$2:$AL$2,2)&gt;5,)*H193:AL193))))</f>
        <v>0</v>
      </c>
      <c r="AO193" s="271" t="b">
        <f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696" t="b">
        <f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678" t="str">
        <f>IFERROR(INDEX(база!T:T, MATCH(F193,база!Q:Q,0)),"")</f>
        <v/>
      </c>
      <c r="AR193" s="193">
        <f>IFERROR(INDEX(база!D:D, MATCH(F193,база!B:B,0)),"")</f>
        <v>0</v>
      </c>
    </row>
    <row r="194" spans="1:44" ht="15">
      <c r="A194" s="59"/>
      <c r="B194" s="215"/>
      <c r="C194" s="54"/>
      <c r="D194" s="55"/>
      <c r="E194" s="196"/>
      <c r="F194" s="651"/>
      <c r="G194" s="42"/>
      <c r="H194" s="539"/>
      <c r="I194" s="539"/>
      <c r="J194" s="539"/>
      <c r="K194" s="539"/>
      <c r="L194" s="539"/>
      <c r="M194" s="539"/>
      <c r="N194" s="539"/>
      <c r="O194" s="539"/>
      <c r="P194" s="278"/>
      <c r="Q194" s="539"/>
      <c r="R194" s="539"/>
      <c r="S194" s="539"/>
      <c r="T194" s="539"/>
      <c r="U194" s="539"/>
      <c r="V194" s="539"/>
      <c r="W194" s="539"/>
      <c r="X194" s="539"/>
      <c r="Y194" s="539"/>
      <c r="Z194" s="539"/>
      <c r="AA194" s="539"/>
      <c r="AB194" s="539"/>
      <c r="AC194" s="539"/>
      <c r="AD194" s="43"/>
      <c r="AE194" s="43"/>
      <c r="AF194" s="238"/>
      <c r="AG194" s="43"/>
      <c r="AH194" s="43"/>
      <c r="AI194" s="238"/>
      <c r="AJ194" s="238"/>
      <c r="AK194" s="238"/>
      <c r="AL194" s="238"/>
      <c r="AM194" s="197">
        <f>IF(AQ194=1,SUM(H194:I194,L194:O194,R194:U194,X194:AA194,AD194:AG194,AI194:AK194),
IF(AQ194=2,SUM(H194:K194,N194:Q194,T194:W194,Z194:AC194,AF194:AI194),
IF(AQ194=3,SUM(J194:M194,P194:S194,V194:Y194,AB194:AE194,AH194:AK194),SUM(Таблица1[[#This Row],[1]:[31]])-Таблица1[[#This Row],[Столбец1]])))</f>
        <v>0</v>
      </c>
      <c r="AN194" s="269">
        <f t="array" ref="AN194">IF(AQ194=1,SUM(J194:K194,P194:Q194,V194:W194,AB194:AC194,AH194:AI194),
IF(AQ194=2,SUM(L194:M194,R194:S194,X194:Y194,AD194:AE194),
IF(AQ194=3,SUM(H194:I194,N194:O194,T194:U194,Z194:AA194,AF194:AG194),
SUM(IFERROR(WEEKDAY($H$2:$AL$2,2)&gt;5,)*H194:AL194))))</f>
        <v>0</v>
      </c>
      <c r="AO194" s="271" t="b">
        <f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696" t="b">
        <f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678" t="str">
        <f>IFERROR(INDEX(база!T:T, MATCH(F194,база!Q:Q,0)),"")</f>
        <v/>
      </c>
      <c r="AR194" s="193">
        <f>IFERROR(INDEX(база!D:D, MATCH(F194,база!B:B,0)),"")</f>
        <v>0</v>
      </c>
    </row>
    <row r="195" spans="1:44" ht="15">
      <c r="A195" s="59"/>
      <c r="B195" s="215"/>
      <c r="C195" s="54"/>
      <c r="D195" s="55"/>
      <c r="E195" s="196"/>
      <c r="F195" s="651"/>
      <c r="G195" s="42"/>
      <c r="H195" s="539"/>
      <c r="I195" s="539"/>
      <c r="J195" s="539"/>
      <c r="K195" s="539"/>
      <c r="L195" s="539"/>
      <c r="M195" s="539"/>
      <c r="N195" s="539"/>
      <c r="O195" s="539"/>
      <c r="P195" s="278"/>
      <c r="Q195" s="539"/>
      <c r="R195" s="539"/>
      <c r="S195" s="539"/>
      <c r="T195" s="539"/>
      <c r="U195" s="539"/>
      <c r="V195" s="539"/>
      <c r="W195" s="539"/>
      <c r="X195" s="539"/>
      <c r="Y195" s="539"/>
      <c r="Z195" s="539"/>
      <c r="AA195" s="539"/>
      <c r="AB195" s="539"/>
      <c r="AC195" s="539"/>
      <c r="AD195" s="43"/>
      <c r="AE195" s="43"/>
      <c r="AF195" s="238"/>
      <c r="AG195" s="43"/>
      <c r="AH195" s="43"/>
      <c r="AI195" s="43"/>
      <c r="AJ195" s="43"/>
      <c r="AK195" s="43"/>
      <c r="AL195" s="45"/>
      <c r="AM195" s="197">
        <f>IF(AQ195=1,SUM(H195:I195,L195:O195,R195:U195,X195:AA195,AD195:AG195,AI195:AK195),
IF(AQ195=2,SUM(H195:K195,N195:Q195,T195:W195,Z195:AC195,AF195:AI195),
IF(AQ195=3,SUM(J195:M195,P195:S195,V195:Y195,AB195:AE195,AH195:AK195),SUM(Таблица1[[#This Row],[1]:[31]])-Таблица1[[#This Row],[Столбец1]])))</f>
        <v>0</v>
      </c>
      <c r="AN195" s="269">
        <f t="array" ref="AN195">IF(AQ195=1,SUM(J195:K195,P195:Q195,V195:W195,AB195:AC195,AH195:AI195),
IF(AQ195=2,SUM(L195:M195,R195:S195,X195:Y195,AD195:AE195),
IF(AQ195=3,SUM(H195:I195,N195:O195,T195:U195,Z195:AA195,AF195:AG195),
SUM(IFERROR(WEEKDAY($H$2:$AL$2,2)&gt;5,)*H195:AL195))))</f>
        <v>0</v>
      </c>
      <c r="AO195" s="271" t="b">
        <f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696" t="b">
        <f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678" t="str">
        <f>IFERROR(INDEX(база!T:T, MATCH(F195,база!Q:Q,0)),"")</f>
        <v/>
      </c>
      <c r="AR195" s="193">
        <f>IFERROR(INDEX(база!D:D, MATCH(F195,база!B:B,0)),"")</f>
        <v>0</v>
      </c>
    </row>
    <row r="196" spans="1:44" ht="15">
      <c r="A196" s="59"/>
      <c r="B196" s="215"/>
      <c r="C196" s="277"/>
      <c r="D196" s="55"/>
      <c r="E196" s="196"/>
      <c r="F196" s="651"/>
      <c r="G196" s="42"/>
      <c r="H196" s="539"/>
      <c r="I196" s="539"/>
      <c r="J196" s="539"/>
      <c r="K196" s="539"/>
      <c r="L196" s="539"/>
      <c r="M196" s="539"/>
      <c r="N196" s="539"/>
      <c r="O196" s="539"/>
      <c r="P196" s="278"/>
      <c r="Q196" s="539"/>
      <c r="R196" s="539"/>
      <c r="S196" s="539"/>
      <c r="T196" s="539"/>
      <c r="U196" s="539"/>
      <c r="V196" s="539"/>
      <c r="W196" s="539"/>
      <c r="X196" s="539"/>
      <c r="Y196" s="539"/>
      <c r="Z196" s="539"/>
      <c r="AA196" s="539"/>
      <c r="AB196" s="539"/>
      <c r="AC196" s="539"/>
      <c r="AD196" s="43"/>
      <c r="AE196" s="43"/>
      <c r="AF196" s="238"/>
      <c r="AG196" s="43"/>
      <c r="AH196" s="43"/>
      <c r="AI196" s="238"/>
      <c r="AJ196" s="238"/>
      <c r="AK196" s="238"/>
      <c r="AL196" s="238"/>
      <c r="AM196" s="197">
        <f>IF(AQ196=1,SUM(H196:I196,L196:O196,R196:U196,X196:AA196,AD196:AG196,AI196:AK196),
IF(AQ196=2,SUM(H196:K196,N196:Q196,T196:W196,Z196:AC196,AF196:AI196),
IF(AQ196=3,SUM(J196:M196,P196:S196,V196:Y196,AB196:AE196,AH196:AK196),SUM(Таблица1[[#This Row],[1]:[31]])-Таблица1[[#This Row],[Столбец1]])))</f>
        <v>0</v>
      </c>
      <c r="AN196" s="269">
        <f t="array" ref="AN196">IF(AQ196=1,SUM(J196:K196,P196:Q196,V196:W196,AB196:AC196,AH196:AI196),
IF(AQ196=2,SUM(L196:M196,R196:S196,X196:Y196,AD196:AE196),
IF(AQ196=3,SUM(H196:I196,N196:O196,T196:U196,Z196:AA196,AF196:AG196),
SUM(IFERROR(WEEKDAY($H$2:$AL$2,2)&gt;5,)*H196:AL196))))</f>
        <v>0</v>
      </c>
      <c r="AO196" s="271" t="b">
        <f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696" t="b">
        <f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678" t="str">
        <f>IFERROR(INDEX(база!T:T, MATCH(F196,база!Q:Q,0)),"")</f>
        <v/>
      </c>
      <c r="AR196" s="193">
        <f>IFERROR(INDEX(база!D:D, MATCH(F196,база!B:B,0)),"")</f>
        <v>0</v>
      </c>
    </row>
    <row r="197" spans="1:44" ht="15">
      <c r="A197" s="59"/>
      <c r="B197" s="215"/>
      <c r="C197" s="277"/>
      <c r="D197" s="55"/>
      <c r="E197" s="196"/>
      <c r="F197" s="651"/>
      <c r="G197" s="42"/>
      <c r="H197" s="539"/>
      <c r="I197" s="539"/>
      <c r="J197" s="539"/>
      <c r="K197" s="539"/>
      <c r="L197" s="539"/>
      <c r="M197" s="539"/>
      <c r="N197" s="539"/>
      <c r="O197" s="539"/>
      <c r="P197" s="278"/>
      <c r="Q197" s="539"/>
      <c r="R197" s="539"/>
      <c r="S197" s="539"/>
      <c r="T197" s="539"/>
      <c r="U197" s="539"/>
      <c r="V197" s="539"/>
      <c r="W197" s="539"/>
      <c r="X197" s="539"/>
      <c r="Y197" s="539"/>
      <c r="Z197" s="539"/>
      <c r="AA197" s="539"/>
      <c r="AB197" s="539"/>
      <c r="AC197" s="539"/>
      <c r="AD197" s="43"/>
      <c r="AE197" s="43"/>
      <c r="AF197" s="238"/>
      <c r="AG197" s="43"/>
      <c r="AH197" s="43"/>
      <c r="AI197" s="43"/>
      <c r="AJ197" s="43"/>
      <c r="AK197" s="43"/>
      <c r="AL197" s="45"/>
      <c r="AM197" s="197">
        <f>IF(AQ197=1,SUM(H197:I197,L197:O197,R197:U197,X197:AA197,AD197:AG197,AI197:AK197),
IF(AQ197=2,SUM(H197:K197,N197:Q197,T197:W197,Z197:AC197,AF197:AI197),
IF(AQ197=3,SUM(J197:M197,P197:S197,V197:Y197,AB197:AE197,AH197:AK197),SUM(Таблица1[[#This Row],[1]:[31]])-Таблица1[[#This Row],[Столбец1]])))</f>
        <v>0</v>
      </c>
      <c r="AN197" s="269">
        <f t="array" ref="AN197">IF(AQ197=1,SUM(J197:K197,P197:Q197,V197:W197,AB197:AC197,AH197:AI197),
IF(AQ197=2,SUM(L197:M197,R197:S197,X197:Y197,AD197:AE197),
IF(AQ197=3,SUM(H197:I197,N197:O197,T197:U197,Z197:AA197,AF197:AG197),
SUM(IFERROR(WEEKDAY($H$2:$AL$2,2)&gt;5,)*H197:AL197))))</f>
        <v>0</v>
      </c>
      <c r="AO197" s="271" t="b">
        <f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696" t="b">
        <f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678" t="str">
        <f>IFERROR(INDEX(база!T:T, MATCH(F197,база!Q:Q,0)),"")</f>
        <v/>
      </c>
      <c r="AR197" s="193">
        <f>IFERROR(INDEX(база!D:D, MATCH(F197,база!B:B,0)),"")</f>
        <v>0</v>
      </c>
    </row>
    <row r="198" spans="1:44" ht="15">
      <c r="A198" s="59"/>
      <c r="B198" s="215"/>
      <c r="C198" s="277"/>
      <c r="D198" s="55"/>
      <c r="E198" s="196"/>
      <c r="F198" s="651"/>
      <c r="G198" s="42"/>
      <c r="H198" s="539"/>
      <c r="I198" s="539"/>
      <c r="J198" s="539"/>
      <c r="K198" s="539"/>
      <c r="L198" s="539"/>
      <c r="M198" s="539"/>
      <c r="N198" s="539"/>
      <c r="O198" s="539"/>
      <c r="P198" s="278"/>
      <c r="Q198" s="539"/>
      <c r="R198" s="539"/>
      <c r="S198" s="539"/>
      <c r="T198" s="539"/>
      <c r="U198" s="539"/>
      <c r="V198" s="539"/>
      <c r="W198" s="539"/>
      <c r="X198" s="539"/>
      <c r="Y198" s="539"/>
      <c r="Z198" s="539"/>
      <c r="AA198" s="539"/>
      <c r="AB198" s="539"/>
      <c r="AC198" s="539"/>
      <c r="AD198" s="43"/>
      <c r="AE198" s="43"/>
      <c r="AF198" s="238"/>
      <c r="AG198" s="43"/>
      <c r="AH198" s="43"/>
      <c r="AI198" s="238"/>
      <c r="AJ198" s="238"/>
      <c r="AK198" s="238"/>
      <c r="AL198" s="238"/>
      <c r="AM198" s="197">
        <f>IF(AQ198=1,SUM(H198:I198,L198:O198,R198:U198,X198:AA198,AD198:AG198,AI198:AK198),
IF(AQ198=2,SUM(H198:K198,N198:Q198,T198:W198,Z198:AC198,AF198:AI198),
IF(AQ198=3,SUM(J198:M198,P198:S198,V198:Y198,AB198:AE198,AH198:AK198),SUM(Таблица1[[#This Row],[1]:[31]])-Таблица1[[#This Row],[Столбец1]])))</f>
        <v>0</v>
      </c>
      <c r="AN198" s="269">
        <f t="array" ref="AN198">IF(AQ198=1,SUM(J198:K198,P198:Q198,V198:W198,AB198:AC198,AH198:AI198),
IF(AQ198=2,SUM(L198:M198,R198:S198,X198:Y198,AD198:AE198),
IF(AQ198=3,SUM(H198:I198,N198:O198,T198:U198,Z198:AA198,AF198:AG198),
SUM(IFERROR(WEEKDAY($H$2:$AL$2,2)&gt;5,)*H198:AL198))))</f>
        <v>0</v>
      </c>
      <c r="AO198" s="271" t="b">
        <f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696" t="b">
        <f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678" t="str">
        <f>IFERROR(INDEX(база!T:T, MATCH(F198,база!Q:Q,0)),"")</f>
        <v/>
      </c>
      <c r="AR198" s="193">
        <f>IFERROR(INDEX(база!D:D, MATCH(F198,база!B:B,0)),"")</f>
        <v>0</v>
      </c>
    </row>
    <row r="199" spans="1:44" ht="15">
      <c r="A199" s="59"/>
      <c r="B199" s="215"/>
      <c r="C199" s="277"/>
      <c r="D199" s="55"/>
      <c r="E199" s="196"/>
      <c r="F199" s="651"/>
      <c r="G199" s="42"/>
      <c r="H199" s="539"/>
      <c r="I199" s="539"/>
      <c r="J199" s="539"/>
      <c r="K199" s="539"/>
      <c r="L199" s="539"/>
      <c r="M199" s="539"/>
      <c r="N199" s="539"/>
      <c r="O199" s="539"/>
      <c r="P199" s="278"/>
      <c r="Q199" s="539"/>
      <c r="R199" s="539"/>
      <c r="S199" s="539"/>
      <c r="T199" s="539"/>
      <c r="U199" s="539"/>
      <c r="V199" s="539"/>
      <c r="W199" s="539"/>
      <c r="X199" s="539"/>
      <c r="Y199" s="539"/>
      <c r="Z199" s="539"/>
      <c r="AA199" s="539"/>
      <c r="AB199" s="539"/>
      <c r="AC199" s="539"/>
      <c r="AD199" s="43"/>
      <c r="AE199" s="43"/>
      <c r="AF199" s="238"/>
      <c r="AG199" s="43"/>
      <c r="AH199" s="43"/>
      <c r="AI199" s="43"/>
      <c r="AJ199" s="43"/>
      <c r="AK199" s="43"/>
      <c r="AL199" s="45"/>
      <c r="AM199" s="197">
        <f>IF(AQ199=1,SUM(H199:I199,L199:O199,R199:U199,X199:AA199,AD199:AG199,AI199:AK199),
IF(AQ199=2,SUM(H199:K199,N199:Q199,T199:W199,Z199:AC199,AF199:AI199),
IF(AQ199=3,SUM(J199:M199,P199:S199,V199:Y199,AB199:AE199,AH199:AK199),SUM(Таблица1[[#This Row],[1]:[31]])-Таблица1[[#This Row],[Столбец1]])))</f>
        <v>0</v>
      </c>
      <c r="AN199" s="269">
        <f t="array" ref="AN199">IF(AQ199=1,SUM(J199:K199,P199:Q199,V199:W199,AB199:AC199,AH199:AI199),
IF(AQ199=2,SUM(L199:M199,R199:S199,X199:Y199,AD199:AE199),
IF(AQ199=3,SUM(H199:I199,N199:O199,T199:U199,Z199:AA199,AF199:AG199),
SUM(IFERROR(WEEKDAY($H$2:$AL$2,2)&gt;5,)*H199:AL199))))</f>
        <v>0</v>
      </c>
      <c r="AO199" s="271" t="b">
        <f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696" t="b">
        <f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678" t="str">
        <f>IFERROR(INDEX(база!T:T, MATCH(F199,база!Q:Q,0)),"")</f>
        <v/>
      </c>
      <c r="AR199" s="193">
        <f>IFERROR(INDEX(база!D:D, MATCH(F199,база!B:B,0)),"")</f>
        <v>0</v>
      </c>
    </row>
    <row r="200" spans="1:44" ht="15">
      <c r="A200" s="59"/>
      <c r="B200" s="215"/>
      <c r="C200" s="277"/>
      <c r="D200" s="55"/>
      <c r="E200" s="196"/>
      <c r="F200" s="651"/>
      <c r="G200" s="42"/>
      <c r="H200" s="539"/>
      <c r="I200" s="539"/>
      <c r="J200" s="539"/>
      <c r="K200" s="539"/>
      <c r="L200" s="539"/>
      <c r="M200" s="539"/>
      <c r="N200" s="539"/>
      <c r="O200" s="539"/>
      <c r="P200" s="278"/>
      <c r="Q200" s="539"/>
      <c r="R200" s="539"/>
      <c r="S200" s="539"/>
      <c r="T200" s="539"/>
      <c r="U200" s="539"/>
      <c r="V200" s="539"/>
      <c r="W200" s="539"/>
      <c r="X200" s="539"/>
      <c r="Y200" s="539"/>
      <c r="Z200" s="539"/>
      <c r="AA200" s="539"/>
      <c r="AB200" s="539"/>
      <c r="AC200" s="539"/>
      <c r="AD200" s="238"/>
      <c r="AE200" s="238"/>
      <c r="AF200" s="238"/>
      <c r="AG200" s="43"/>
      <c r="AH200" s="43"/>
      <c r="AI200" s="43"/>
      <c r="AJ200" s="43"/>
      <c r="AK200" s="43"/>
      <c r="AL200" s="45"/>
      <c r="AM200" s="197">
        <f>IF(AQ200=1,SUM(H200:I200,L200:O200,R200:U200,X200:AA200,AD200:AG200,AI200:AK200),
IF(AQ200=2,SUM(H200:K200,N200:Q200,T200:W200,Z200:AC200,AF200:AI200),
IF(AQ200=3,SUM(J200:M200,P200:S200,V200:Y200,AB200:AE200,AH200:AK200),SUM(Таблица1[[#This Row],[1]:[31]])-Таблица1[[#This Row],[Столбец1]])))</f>
        <v>0</v>
      </c>
      <c r="AN200" s="269">
        <f t="array" ref="AN200">IF(AQ200=1,SUM(J200:K200,P200:Q200,V200:W200,AB200:AC200,AH200:AI200),
IF(AQ200=2,SUM(L200:M200,R200:S200,X200:Y200,AD200:AE200),
IF(AQ200=3,SUM(H200:I200,N200:O200,T200:U200,Z200:AA200,AF200:AG200),
SUM(IFERROR(WEEKDAY($H$2:$AL$2,2)&gt;5,)*H200:AL200))))</f>
        <v>0</v>
      </c>
      <c r="AO200" s="271" t="b">
        <f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696" t="b">
        <f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678" t="str">
        <f>IFERROR(INDEX(база!T:T, MATCH(F200,база!Q:Q,0)),"")</f>
        <v/>
      </c>
      <c r="AR200" s="193">
        <f>IFERROR(INDEX(база!D:D, MATCH(F200,база!B:B,0)),"")</f>
        <v>0</v>
      </c>
    </row>
    <row r="201" spans="1:44" ht="15">
      <c r="A201" s="59"/>
      <c r="B201" s="215"/>
      <c r="C201" s="277"/>
      <c r="D201" s="55"/>
      <c r="E201" s="196"/>
      <c r="F201" s="651"/>
      <c r="G201" s="42"/>
      <c r="H201" s="539"/>
      <c r="I201" s="539"/>
      <c r="J201" s="539"/>
      <c r="K201" s="539"/>
      <c r="L201" s="539"/>
      <c r="M201" s="539"/>
      <c r="N201" s="539"/>
      <c r="O201" s="539"/>
      <c r="P201" s="278"/>
      <c r="Q201" s="278"/>
      <c r="R201" s="278"/>
      <c r="S201" s="278"/>
      <c r="T201" s="278"/>
      <c r="U201" s="539"/>
      <c r="V201" s="539"/>
      <c r="W201" s="539"/>
      <c r="X201" s="539"/>
      <c r="Y201" s="539"/>
      <c r="Z201" s="539"/>
      <c r="AA201" s="539"/>
      <c r="AB201" s="539"/>
      <c r="AC201" s="539"/>
      <c r="AD201" s="43"/>
      <c r="AE201" s="43"/>
      <c r="AF201" s="238"/>
      <c r="AG201" s="43"/>
      <c r="AH201" s="43"/>
      <c r="AI201" s="43"/>
      <c r="AJ201" s="43"/>
      <c r="AK201" s="43"/>
      <c r="AL201" s="45"/>
      <c r="AM201" s="197">
        <f>IF(AQ201=1,SUM(H201:I201,L201:O201,R201:U201,X201:AA201,AD201:AG201,AI201:AK201),
IF(AQ201=2,SUM(H201:K201,N201:Q201,T201:W201,Z201:AC201,AF201:AI201),
IF(AQ201=3,SUM(J201:M201,P201:S201,V201:Y201,AB201:AE201,AH201:AK201),SUM(Таблица1[[#This Row],[1]:[31]])-Таблица1[[#This Row],[Столбец1]])))</f>
        <v>0</v>
      </c>
      <c r="AN201" s="269">
        <f t="array" ref="AN201">IF(AQ201=1,SUM(J201:K201,P201:Q201,V201:W201,AB201:AC201,AH201:AI201),
IF(AQ201=2,SUM(L201:M201,R201:S201,X201:Y201,AD201:AE201),
IF(AQ201=3,SUM(H201:I201,N201:O201,T201:U201,Z201:AA201,AF201:AG201),
SUM(IFERROR(WEEKDAY($H$2:$AL$2,2)&gt;5,)*H201:AL201))))</f>
        <v>0</v>
      </c>
      <c r="AO201" s="271" t="b">
        <f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696" t="b">
        <f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678" t="str">
        <f>IFERROR(INDEX(база!T:T, MATCH(F201,база!Q:Q,0)),"")</f>
        <v/>
      </c>
      <c r="AR201" s="193">
        <f>IFERROR(INDEX(база!D:D, MATCH(F201,база!B:B,0)),"")</f>
        <v>0</v>
      </c>
    </row>
    <row r="202" spans="1:44" ht="15">
      <c r="A202" s="59"/>
      <c r="B202" s="215"/>
      <c r="C202" s="277"/>
      <c r="D202" s="55"/>
      <c r="E202" s="196"/>
      <c r="F202" s="651"/>
      <c r="G202" s="42"/>
      <c r="H202" s="539"/>
      <c r="I202" s="539"/>
      <c r="J202" s="539"/>
      <c r="K202" s="539"/>
      <c r="L202" s="539"/>
      <c r="M202" s="539"/>
      <c r="N202" s="539"/>
      <c r="O202" s="539"/>
      <c r="P202" s="539"/>
      <c r="Q202" s="539"/>
      <c r="R202" s="539"/>
      <c r="S202" s="539"/>
      <c r="T202" s="539"/>
      <c r="U202" s="539"/>
      <c r="V202" s="539"/>
      <c r="W202" s="539"/>
      <c r="X202" s="539"/>
      <c r="Y202" s="539"/>
      <c r="Z202" s="539"/>
      <c r="AA202" s="539"/>
      <c r="AB202" s="539"/>
      <c r="AC202" s="539"/>
      <c r="AD202" s="43"/>
      <c r="AE202" s="43"/>
      <c r="AF202" s="238"/>
      <c r="AG202" s="43"/>
      <c r="AH202" s="43"/>
      <c r="AI202" s="238"/>
      <c r="AJ202" s="238"/>
      <c r="AK202" s="238"/>
      <c r="AL202" s="238"/>
      <c r="AM202" s="197">
        <f>IF(AQ202=1,SUM(H202:I202,L202:O202,R202:U202,X202:AA202,AD202:AG202,AI202:AK202),
IF(AQ202=2,SUM(H202:K202,N202:Q202,T202:W202,Z202:AC202,AF202:AI202),
IF(AQ202=3,SUM(J202:M202,P202:S202,V202:Y202,AB202:AE202,AH202:AK202),SUM(Таблица1[[#This Row],[1]:[31]])-Таблица1[[#This Row],[Столбец1]])))</f>
        <v>0</v>
      </c>
      <c r="AN202" s="269">
        <f t="array" ref="AN202">IF(AQ202=1,SUM(J202:K202,P202:Q202,V202:W202,AB202:AC202,AH202:AI202),
IF(AQ202=2,SUM(L202:M202,R202:S202,X202:Y202,AD202:AE202),
IF(AQ202=3,SUM(H202:I202,N202:O202,T202:U202,Z202:AA202,AF202:AG202),
SUM(IFERROR(WEEKDAY($H$2:$AL$2,2)&gt;5,)*H202:AL202))))</f>
        <v>0</v>
      </c>
      <c r="AO202" s="271" t="b">
        <f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696" t="b">
        <f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678" t="str">
        <f>IFERROR(INDEX(база!T:T, MATCH(F202,база!Q:Q,0)),"")</f>
        <v/>
      </c>
      <c r="AR202" s="193">
        <f>IFERROR(INDEX(база!D:D, MATCH(F202,база!B:B,0)),"")</f>
        <v>0</v>
      </c>
    </row>
    <row r="203" spans="1:44" ht="15">
      <c r="A203" s="59"/>
      <c r="B203" s="215"/>
      <c r="C203" s="277"/>
      <c r="D203" s="55"/>
      <c r="E203" s="196"/>
      <c r="F203" s="651"/>
      <c r="G203" s="42"/>
      <c r="H203" s="539"/>
      <c r="I203" s="539"/>
      <c r="J203" s="539"/>
      <c r="K203" s="539"/>
      <c r="L203" s="539"/>
      <c r="M203" s="539"/>
      <c r="N203" s="539"/>
      <c r="O203" s="539"/>
      <c r="P203" s="278"/>
      <c r="Q203" s="539"/>
      <c r="R203" s="539"/>
      <c r="S203" s="539"/>
      <c r="T203" s="539"/>
      <c r="U203" s="539"/>
      <c r="V203" s="539"/>
      <c r="W203" s="539"/>
      <c r="X203" s="539"/>
      <c r="Y203" s="539"/>
      <c r="Z203" s="539"/>
      <c r="AA203" s="539"/>
      <c r="AB203" s="539"/>
      <c r="AC203" s="539"/>
      <c r="AD203" s="43"/>
      <c r="AE203" s="43"/>
      <c r="AF203" s="238"/>
      <c r="AG203" s="43"/>
      <c r="AH203" s="43"/>
      <c r="AI203" s="43"/>
      <c r="AJ203" s="43"/>
      <c r="AK203" s="43"/>
      <c r="AL203" s="45"/>
      <c r="AM203" s="197">
        <f>IF(AQ203=1,SUM(H203:I203,L203:O203,R203:U203,X203:AA203,AD203:AG203,AI203:AK203),
IF(AQ203=2,SUM(H203:K203,N203:Q203,T203:W203,Z203:AC203,AF203:AI203),
IF(AQ203=3,SUM(J203:M203,P203:S203,V203:Y203,AB203:AE203,AH203:AK203),SUM(Таблица1[[#This Row],[1]:[31]])-Таблица1[[#This Row],[Столбец1]])))</f>
        <v>0</v>
      </c>
      <c r="AN203" s="269">
        <f t="array" ref="AN203">IF(AQ203=1,SUM(J203:K203,P203:Q203,V203:W203,AB203:AC203,AH203:AI203),
IF(AQ203=2,SUM(L203:M203,R203:S203,X203:Y203,AD203:AE203),
IF(AQ203=3,SUM(H203:I203,N203:O203,T203:U203,Z203:AA203,AF203:AG203),
SUM(IFERROR(WEEKDAY($H$2:$AL$2,2)&gt;5,)*H203:AL203))))</f>
        <v>0</v>
      </c>
      <c r="AO203" s="271" t="b">
        <f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696" t="b">
        <f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678" t="str">
        <f>IFERROR(INDEX(база!T:T, MATCH(F203,база!Q:Q,0)),"")</f>
        <v/>
      </c>
      <c r="AR203" s="193">
        <f>IFERROR(INDEX(база!D:D, MATCH(F203,база!B:B,0)),"")</f>
        <v>0</v>
      </c>
    </row>
    <row r="204" spans="1:44" ht="15">
      <c r="A204" s="59"/>
      <c r="B204" s="215"/>
      <c r="C204" s="277"/>
      <c r="D204" s="55"/>
      <c r="E204" s="196"/>
      <c r="F204" s="651"/>
      <c r="G204" s="42"/>
      <c r="H204" s="539"/>
      <c r="I204" s="539"/>
      <c r="J204" s="539"/>
      <c r="K204" s="539"/>
      <c r="L204" s="539"/>
      <c r="M204" s="539"/>
      <c r="N204" s="539"/>
      <c r="O204" s="539"/>
      <c r="P204" s="278"/>
      <c r="Q204" s="539"/>
      <c r="R204" s="539"/>
      <c r="S204" s="539"/>
      <c r="T204" s="539"/>
      <c r="U204" s="539"/>
      <c r="V204" s="539"/>
      <c r="W204" s="539"/>
      <c r="X204" s="539"/>
      <c r="Y204" s="539"/>
      <c r="Z204" s="539"/>
      <c r="AA204" s="539"/>
      <c r="AB204" s="539"/>
      <c r="AC204" s="539"/>
      <c r="AD204" s="43"/>
      <c r="AE204" s="43"/>
      <c r="AF204" s="238"/>
      <c r="AG204" s="43"/>
      <c r="AH204" s="43"/>
      <c r="AI204" s="238"/>
      <c r="AJ204" s="238"/>
      <c r="AK204" s="238"/>
      <c r="AL204" s="238"/>
      <c r="AM204" s="197">
        <f>IF(AQ204=1,SUM(H204:I204,L204:O204,R204:U204,X204:AA204,AD204:AG204,AI204:AK204),
IF(AQ204=2,SUM(H204:K204,N204:Q204,T204:W204,Z204:AC204,AF204:AI204),
IF(AQ204=3,SUM(J204:M204,P204:S204,V204:Y204,AB204:AE204,AH204:AK204),SUM(Таблица1[[#This Row],[1]:[31]])-Таблица1[[#This Row],[Столбец1]])))</f>
        <v>0</v>
      </c>
      <c r="AN204" s="269">
        <f t="array" ref="AN204">IF(AQ204=1,SUM(J204:K204,P204:Q204,V204:W204,AB204:AC204,AH204:AI204),
IF(AQ204=2,SUM(L204:M204,R204:S204,X204:Y204,AD204:AE204),
IF(AQ204=3,SUM(H204:I204,N204:O204,T204:U204,Z204:AA204,AF204:AG204),
SUM(IFERROR(WEEKDAY($H$2:$AL$2,2)&gt;5,)*H204:AL204))))</f>
        <v>0</v>
      </c>
      <c r="AO204" s="271" t="b">
        <f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696" t="b">
        <f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678" t="str">
        <f>IFERROR(INDEX(база!T:T, MATCH(F204,база!Q:Q,0)),"")</f>
        <v/>
      </c>
      <c r="AR204" s="193">
        <f>IFERROR(INDEX(база!D:D, MATCH(F204,база!B:B,0)),"")</f>
        <v>0</v>
      </c>
    </row>
    <row r="205" spans="1:44" ht="15">
      <c r="A205" s="59"/>
      <c r="B205" s="215"/>
      <c r="C205" s="277"/>
      <c r="D205" s="55"/>
      <c r="E205" s="196"/>
      <c r="F205" s="651"/>
      <c r="G205" s="42"/>
      <c r="H205" s="539"/>
      <c r="I205" s="539"/>
      <c r="J205" s="539"/>
      <c r="K205" s="539"/>
      <c r="L205" s="539"/>
      <c r="M205" s="539"/>
      <c r="N205" s="539"/>
      <c r="O205" s="539"/>
      <c r="P205" s="278"/>
      <c r="Q205" s="539"/>
      <c r="R205" s="539"/>
      <c r="S205" s="539"/>
      <c r="T205" s="539"/>
      <c r="U205" s="539"/>
      <c r="V205" s="539"/>
      <c r="W205" s="539"/>
      <c r="X205" s="539"/>
      <c r="Y205" s="539"/>
      <c r="Z205" s="539"/>
      <c r="AA205" s="539"/>
      <c r="AB205" s="539"/>
      <c r="AC205" s="539"/>
      <c r="AD205" s="43"/>
      <c r="AE205" s="43"/>
      <c r="AF205" s="238"/>
      <c r="AG205" s="43"/>
      <c r="AH205" s="43"/>
      <c r="AI205" s="43"/>
      <c r="AJ205" s="43"/>
      <c r="AK205" s="43"/>
      <c r="AL205" s="45"/>
      <c r="AM205" s="197">
        <f>IF(AQ205=1,SUM(H205:I205,L205:O205,R205:U205,X205:AA205,AD205:AG205,AI205:AK205),
IF(AQ205=2,SUM(H205:K205,N205:Q205,T205:W205,Z205:AC205,AF205:AI205),
IF(AQ205=3,SUM(J205:M205,P205:S205,V205:Y205,AB205:AE205,AH205:AK205),SUM(Таблица1[[#This Row],[1]:[31]])-Таблица1[[#This Row],[Столбец1]])))</f>
        <v>0</v>
      </c>
      <c r="AN205" s="269">
        <f t="array" ref="AN205">IF(AQ205=1,SUM(J205:K205,P205:Q205,V205:W205,AB205:AC205,AH205:AI205),
IF(AQ205=2,SUM(L205:M205,R205:S205,X205:Y205,AD205:AE205),
IF(AQ205=3,SUM(H205:I205,N205:O205,T205:U205,Z205:AA205,AF205:AG205),
SUM(IFERROR(WEEKDAY($H$2:$AL$2,2)&gt;5,)*H205:AL205))))</f>
        <v>0</v>
      </c>
      <c r="AO205" s="271" t="b">
        <f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696" t="b">
        <f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678" t="str">
        <f>IFERROR(INDEX(база!T:T, MATCH(F205,база!Q:Q,0)),"")</f>
        <v/>
      </c>
      <c r="AR205" s="193">
        <f>IFERROR(INDEX(база!D:D, MATCH(F205,база!B:B,0)),"")</f>
        <v>0</v>
      </c>
    </row>
    <row r="206" spans="1:44" ht="15">
      <c r="A206" s="59"/>
      <c r="B206" s="215"/>
      <c r="C206" s="54"/>
      <c r="D206" s="55"/>
      <c r="E206" s="196"/>
      <c r="F206" s="651"/>
      <c r="G206" s="42"/>
      <c r="H206" s="539"/>
      <c r="I206" s="539"/>
      <c r="J206" s="539"/>
      <c r="K206" s="539"/>
      <c r="L206" s="539"/>
      <c r="M206" s="539"/>
      <c r="N206" s="539"/>
      <c r="O206" s="539"/>
      <c r="P206" s="278"/>
      <c r="Q206" s="539"/>
      <c r="R206" s="539"/>
      <c r="S206" s="539"/>
      <c r="T206" s="539"/>
      <c r="U206" s="539"/>
      <c r="V206" s="539"/>
      <c r="W206" s="539"/>
      <c r="X206" s="539"/>
      <c r="Y206" s="539"/>
      <c r="Z206" s="539"/>
      <c r="AA206" s="539"/>
      <c r="AB206" s="539"/>
      <c r="AC206" s="539"/>
      <c r="AD206" s="43"/>
      <c r="AE206" s="43"/>
      <c r="AF206" s="238"/>
      <c r="AG206" s="43"/>
      <c r="AH206" s="43"/>
      <c r="AI206" s="43"/>
      <c r="AJ206" s="238"/>
      <c r="AK206" s="238"/>
      <c r="AL206" s="238"/>
      <c r="AM206" s="197">
        <f>IF(AQ206=1,SUM(H206:I206,L206:O206,R206:U206,X206:AA206,AD206:AG206,AI206:AK206),
IF(AQ206=2,SUM(H206:K206,N206:Q206,T206:W206,Z206:AC206,AF206:AI206),
IF(AQ206=3,SUM(J206:M206,P206:S206,V206:Y206,AB206:AE206,AH206:AK206),SUM(Таблица1[[#This Row],[1]:[31]])-Таблица1[[#This Row],[Столбец1]])))</f>
        <v>0</v>
      </c>
      <c r="AN206" s="269">
        <f t="array" ref="AN206">IF(AQ206=1,SUM(J206:K206,P206:Q206,V206:W206,AB206:AC206,AH206:AI206),
IF(AQ206=2,SUM(L206:M206,R206:S206,X206:Y206,AD206:AE206),
IF(AQ206=3,SUM(H206:I206,N206:O206,T206:U206,Z206:AA206,AF206:AG206),
SUM(IFERROR(WEEKDAY($H$2:$AL$2,2)&gt;5,)*H206:AL206))))</f>
        <v>0</v>
      </c>
      <c r="AO206" s="271" t="b">
        <f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696" t="b">
        <f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678" t="str">
        <f>IFERROR(INDEX(база!T:T, MATCH(F206,база!Q:Q,0)),"")</f>
        <v/>
      </c>
      <c r="AR206" s="193">
        <f>IFERROR(INDEX(база!D:D, MATCH(F206,база!B:B,0)),"")</f>
        <v>0</v>
      </c>
    </row>
    <row r="207" spans="1:44" ht="15">
      <c r="A207" s="59"/>
      <c r="B207" s="215"/>
      <c r="C207" s="54"/>
      <c r="D207" s="55"/>
      <c r="E207" s="196"/>
      <c r="F207" s="651"/>
      <c r="G207" s="42"/>
      <c r="H207" s="539"/>
      <c r="I207" s="539"/>
      <c r="J207" s="539"/>
      <c r="K207" s="539"/>
      <c r="L207" s="539"/>
      <c r="M207" s="539"/>
      <c r="N207" s="539"/>
      <c r="O207" s="539"/>
      <c r="P207" s="278"/>
      <c r="Q207" s="539"/>
      <c r="R207" s="539"/>
      <c r="S207" s="539"/>
      <c r="T207" s="539"/>
      <c r="U207" s="539"/>
      <c r="V207" s="539"/>
      <c r="W207" s="539"/>
      <c r="X207" s="539"/>
      <c r="Y207" s="539"/>
      <c r="Z207" s="539"/>
      <c r="AA207" s="539"/>
      <c r="AB207" s="539"/>
      <c r="AC207" s="539"/>
      <c r="AD207" s="43"/>
      <c r="AE207" s="43"/>
      <c r="AF207" s="238"/>
      <c r="AG207" s="43"/>
      <c r="AH207" s="43"/>
      <c r="AI207" s="43"/>
      <c r="AJ207" s="43"/>
      <c r="AK207" s="43"/>
      <c r="AL207" s="45"/>
      <c r="AM207" s="197">
        <f>IF(AQ207=1,SUM(H207:I207,L207:O207,R207:U207,X207:AA207,AD207:AG207,AI207:AK207),
IF(AQ207=2,SUM(H207:K207,N207:Q207,T207:W207,Z207:AC207,AF207:AI207),
IF(AQ207=3,SUM(J207:M207,P207:S207,V207:Y207,AB207:AE207,AH207:AK207),SUM(Таблица1[[#This Row],[1]:[31]])-Таблица1[[#This Row],[Столбец1]])))</f>
        <v>0</v>
      </c>
      <c r="AN207" s="269">
        <f t="array" ref="AN207">IF(AQ207=1,SUM(J207:K207,P207:Q207,V207:W207,AB207:AC207,AH207:AI207),
IF(AQ207=2,SUM(L207:M207,R207:S207,X207:Y207,AD207:AE207),
IF(AQ207=3,SUM(H207:I207,N207:O207,T207:U207,Z207:AA207,AF207:AG207),
SUM(IFERROR(WEEKDAY($H$2:$AL$2,2)&gt;5,)*H207:AL207))))</f>
        <v>0</v>
      </c>
      <c r="AO207" s="271" t="b">
        <f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696" t="b">
        <f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678" t="str">
        <f>IFERROR(INDEX(база!T:T, MATCH(F207,база!Q:Q,0)),"")</f>
        <v/>
      </c>
      <c r="AR207" s="193">
        <f>IFERROR(INDEX(база!D:D, MATCH(F207,база!B:B,0)),"")</f>
        <v>0</v>
      </c>
    </row>
    <row r="208" spans="1:44" ht="15">
      <c r="A208" s="59"/>
      <c r="B208" s="215"/>
      <c r="C208" s="54"/>
      <c r="D208" s="55"/>
      <c r="E208" s="196"/>
      <c r="F208" s="651"/>
      <c r="G208" s="42"/>
      <c r="H208" s="539"/>
      <c r="I208" s="539"/>
      <c r="J208" s="539"/>
      <c r="K208" s="539"/>
      <c r="L208" s="539"/>
      <c r="M208" s="539"/>
      <c r="N208" s="539"/>
      <c r="O208" s="539"/>
      <c r="P208" s="278"/>
      <c r="Q208" s="539"/>
      <c r="R208" s="539"/>
      <c r="S208" s="539"/>
      <c r="T208" s="539"/>
      <c r="U208" s="539"/>
      <c r="V208" s="539"/>
      <c r="W208" s="539"/>
      <c r="X208" s="539"/>
      <c r="Y208" s="539"/>
      <c r="Z208" s="539"/>
      <c r="AA208" s="539"/>
      <c r="AB208" s="539"/>
      <c r="AC208" s="539"/>
      <c r="AD208" s="43"/>
      <c r="AE208" s="43"/>
      <c r="AF208" s="238"/>
      <c r="AG208" s="43"/>
      <c r="AH208" s="43"/>
      <c r="AI208" s="238"/>
      <c r="AJ208" s="238"/>
      <c r="AK208" s="238"/>
      <c r="AL208" s="238"/>
      <c r="AM208" s="197">
        <f>IF(AQ208=1,SUM(H208:I208,L208:O208,R208:U208,X208:AA208,AD208:AG208,AI208:AK208),
IF(AQ208=2,SUM(H208:K208,N208:Q208,T208:W208,Z208:AC208,AF208:AI208),
IF(AQ208=3,SUM(J208:M208,P208:S208,V208:Y208,AB208:AE208,AH208:AK208),SUM(Таблица1[[#This Row],[1]:[31]])-Таблица1[[#This Row],[Столбец1]])))</f>
        <v>0</v>
      </c>
      <c r="AN208" s="269">
        <f t="array" ref="AN208">IF(AQ208=1,SUM(J208:K208,P208:Q208,V208:W208,AB208:AC208,AH208:AI208),
IF(AQ208=2,SUM(L208:M208,R208:S208,X208:Y208,AD208:AE208),
IF(AQ208=3,SUM(H208:I208,N208:O208,T208:U208,Z208:AA208,AF208:AG208),
SUM(IFERROR(WEEKDAY($H$2:$AL$2,2)&gt;5,)*H208:AL208))))</f>
        <v>0</v>
      </c>
      <c r="AO208" s="271" t="b">
        <f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696" t="b">
        <f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678" t="str">
        <f>IFERROR(INDEX(база!T:T, MATCH(F208,база!Q:Q,0)),"")</f>
        <v/>
      </c>
      <c r="AR208" s="193">
        <f>IFERROR(INDEX(база!D:D, MATCH(F208,база!B:B,0)),"")</f>
        <v>0</v>
      </c>
    </row>
    <row r="209" spans="1:44" ht="15">
      <c r="A209" s="59"/>
      <c r="B209" s="215"/>
      <c r="C209" s="54"/>
      <c r="D209" s="55"/>
      <c r="E209" s="196"/>
      <c r="F209" s="651"/>
      <c r="G209" s="42"/>
      <c r="H209" s="539"/>
      <c r="I209" s="539"/>
      <c r="J209" s="539"/>
      <c r="K209" s="539"/>
      <c r="L209" s="539"/>
      <c r="M209" s="539"/>
      <c r="N209" s="539"/>
      <c r="O209" s="539"/>
      <c r="P209" s="278"/>
      <c r="Q209" s="539"/>
      <c r="R209" s="539"/>
      <c r="S209" s="539"/>
      <c r="T209" s="539"/>
      <c r="U209" s="539"/>
      <c r="V209" s="539"/>
      <c r="W209" s="539"/>
      <c r="X209" s="539"/>
      <c r="Y209" s="539"/>
      <c r="Z209" s="539"/>
      <c r="AA209" s="539"/>
      <c r="AB209" s="539"/>
      <c r="AC209" s="539"/>
      <c r="AD209" s="43"/>
      <c r="AE209" s="43"/>
      <c r="AF209" s="238"/>
      <c r="AG209" s="43"/>
      <c r="AH209" s="43"/>
      <c r="AI209" s="43"/>
      <c r="AJ209" s="43"/>
      <c r="AK209" s="43"/>
      <c r="AL209" s="45"/>
      <c r="AM209" s="197">
        <f>IF(AQ209=1,SUM(H209:I209,L209:O209,R209:U209,X209:AA209,AD209:AG209,AI209:AK209),
IF(AQ209=2,SUM(H209:K209,N209:Q209,T209:W209,Z209:AC209,AF209:AI209),
IF(AQ209=3,SUM(J209:M209,P209:S209,V209:Y209,AB209:AE209,AH209:AK209),SUM(Таблица1[[#This Row],[1]:[31]])-Таблица1[[#This Row],[Столбец1]])))</f>
        <v>0</v>
      </c>
      <c r="AN209" s="269">
        <f t="array" ref="AN209">IF(AQ209=1,SUM(J209:K209,P209:Q209,V209:W209,AB209:AC209,AH209:AI209),
IF(AQ209=2,SUM(L209:M209,R209:S209,X209:Y209,AD209:AE209),
IF(AQ209=3,SUM(H209:I209,N209:O209,T209:U209,Z209:AA209,AF209:AG209),
SUM(IFERROR(WEEKDAY($H$2:$AL$2,2)&gt;5,)*H209:AL209))))</f>
        <v>0</v>
      </c>
      <c r="AO209" s="271" t="b">
        <f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696" t="b">
        <f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678" t="str">
        <f>IFERROR(INDEX(база!T:T, MATCH(F209,база!Q:Q,0)),"")</f>
        <v/>
      </c>
      <c r="AR209" s="193">
        <f>IFERROR(INDEX(база!D:D, MATCH(F209,база!B:B,0)),"")</f>
        <v>0</v>
      </c>
    </row>
    <row r="210" spans="1:44" ht="15">
      <c r="A210" s="59"/>
      <c r="B210" s="215"/>
      <c r="C210" s="54"/>
      <c r="D210" s="55"/>
      <c r="E210" s="196"/>
      <c r="F210" s="651"/>
      <c r="G210" s="42"/>
      <c r="H210" s="539"/>
      <c r="I210" s="539"/>
      <c r="J210" s="539"/>
      <c r="K210" s="539"/>
      <c r="L210" s="539"/>
      <c r="M210" s="539"/>
      <c r="N210" s="539"/>
      <c r="O210" s="539"/>
      <c r="P210" s="278"/>
      <c r="Q210" s="539"/>
      <c r="R210" s="539"/>
      <c r="S210" s="539"/>
      <c r="T210" s="539"/>
      <c r="U210" s="539"/>
      <c r="V210" s="539"/>
      <c r="W210" s="539"/>
      <c r="X210" s="539"/>
      <c r="Y210" s="539"/>
      <c r="Z210" s="539"/>
      <c r="AA210" s="539"/>
      <c r="AB210" s="539"/>
      <c r="AC210" s="539"/>
      <c r="AD210" s="43"/>
      <c r="AE210" s="43"/>
      <c r="AF210" s="238"/>
      <c r="AG210" s="43"/>
      <c r="AH210" s="43"/>
      <c r="AI210" s="238"/>
      <c r="AJ210" s="238"/>
      <c r="AK210" s="238"/>
      <c r="AL210" s="238"/>
      <c r="AM210" s="197">
        <f>IF(AQ210=1,SUM(H210:I210,L210:O210,R210:U210,X210:AA210,AD210:AG210,AI210:AK210),
IF(AQ210=2,SUM(H210:K210,N210:Q210,T210:W210,Z210:AC210,AF210:AI210),
IF(AQ210=3,SUM(J210:M210,P210:S210,V210:Y210,AB210:AE210,AH210:AK210),SUM(Таблица1[[#This Row],[1]:[31]])-Таблица1[[#This Row],[Столбец1]])))</f>
        <v>0</v>
      </c>
      <c r="AN210" s="269">
        <f t="array" ref="AN210">IF(AQ210=1,SUM(J210:K210,P210:Q210,V210:W210,AB210:AC210,AH210:AI210),
IF(AQ210=2,SUM(L210:M210,R210:S210,X210:Y210,AD210:AE210),
IF(AQ210=3,SUM(H210:I210,N210:O210,T210:U210,Z210:AA210,AF210:AG210),
SUM(IFERROR(WEEKDAY($H$2:$AL$2,2)&gt;5,)*H210:AL210))))</f>
        <v>0</v>
      </c>
      <c r="AO210" s="271" t="b">
        <f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696" t="b">
        <f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678" t="str">
        <f>IFERROR(INDEX(база!T:T, MATCH(F210,база!Q:Q,0)),"")</f>
        <v/>
      </c>
      <c r="AR210" s="193">
        <f>IFERROR(INDEX(база!D:D, MATCH(F210,база!B:B,0)),"")</f>
        <v>0</v>
      </c>
    </row>
    <row r="211" spans="1:44" ht="15">
      <c r="A211" s="59"/>
      <c r="B211" s="215"/>
      <c r="C211" s="54"/>
      <c r="D211" s="55"/>
      <c r="E211" s="196"/>
      <c r="F211" s="651"/>
      <c r="G211" s="42"/>
      <c r="H211" s="539"/>
      <c r="I211" s="539"/>
      <c r="J211" s="539"/>
      <c r="K211" s="539"/>
      <c r="L211" s="539"/>
      <c r="M211" s="539"/>
      <c r="N211" s="539"/>
      <c r="O211" s="539"/>
      <c r="P211" s="278"/>
      <c r="Q211" s="539"/>
      <c r="R211" s="539"/>
      <c r="S211" s="539"/>
      <c r="T211" s="539"/>
      <c r="U211" s="539"/>
      <c r="V211" s="539"/>
      <c r="W211" s="539"/>
      <c r="X211" s="539"/>
      <c r="Y211" s="539"/>
      <c r="Z211" s="539"/>
      <c r="AA211" s="539"/>
      <c r="AB211" s="539"/>
      <c r="AC211" s="539"/>
      <c r="AD211" s="43"/>
      <c r="AE211" s="43"/>
      <c r="AF211" s="238"/>
      <c r="AG211" s="43"/>
      <c r="AH211" s="43"/>
      <c r="AI211" s="43"/>
      <c r="AJ211" s="43"/>
      <c r="AK211" s="43"/>
      <c r="AL211" s="45"/>
      <c r="AM211" s="197">
        <f>IF(AQ211=1,SUM(H211:I211,L211:O211,R211:U211,X211:AA211,AD211:AG211,AI211:AK211),
IF(AQ211=2,SUM(H211:K211,N211:Q211,T211:W211,Z211:AC211,AF211:AI211),
IF(AQ211=3,SUM(J211:M211,P211:S211,V211:Y211,AB211:AE211,AH211:AK211),SUM(Таблица1[[#This Row],[1]:[31]])-Таблица1[[#This Row],[Столбец1]])))</f>
        <v>0</v>
      </c>
      <c r="AN211" s="269">
        <f t="array" ref="AN211">IF(AQ211=1,SUM(J211:K211,P211:Q211,V211:W211,AB211:AC211,AH211:AI211),
IF(AQ211=2,SUM(L211:M211,R211:S211,X211:Y211,AD211:AE211),
IF(AQ211=3,SUM(H211:I211,N211:O211,T211:U211,Z211:AA211,AF211:AG211),
SUM(IFERROR(WEEKDAY($H$2:$AL$2,2)&gt;5,)*H211:AL211))))</f>
        <v>0</v>
      </c>
      <c r="AO211" s="271" t="b">
        <f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696" t="b">
        <f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678" t="str">
        <f>IFERROR(INDEX(база!T:T, MATCH(F211,база!Q:Q,0)),"")</f>
        <v/>
      </c>
      <c r="AR211" s="193">
        <f>IFERROR(INDEX(база!D:D, MATCH(F211,база!B:B,0)),"")</f>
        <v>0</v>
      </c>
    </row>
    <row r="212" spans="1:44" ht="15">
      <c r="A212" s="59"/>
      <c r="B212" s="215"/>
      <c r="C212" s="277"/>
      <c r="D212" s="55"/>
      <c r="E212" s="196"/>
      <c r="F212" s="651"/>
      <c r="G212" s="42"/>
      <c r="H212" s="539"/>
      <c r="I212" s="539"/>
      <c r="J212" s="539"/>
      <c r="K212" s="539"/>
      <c r="L212" s="539"/>
      <c r="M212" s="539"/>
      <c r="N212" s="539"/>
      <c r="O212" s="539"/>
      <c r="P212" s="278"/>
      <c r="Q212" s="539"/>
      <c r="R212" s="539"/>
      <c r="S212" s="539"/>
      <c r="T212" s="539"/>
      <c r="U212" s="539"/>
      <c r="V212" s="539"/>
      <c r="W212" s="539"/>
      <c r="X212" s="539"/>
      <c r="Y212" s="539"/>
      <c r="Z212" s="539"/>
      <c r="AA212" s="539"/>
      <c r="AB212" s="539"/>
      <c r="AC212" s="539"/>
      <c r="AD212" s="43"/>
      <c r="AE212" s="43"/>
      <c r="AF212" s="238"/>
      <c r="AG212" s="43"/>
      <c r="AH212" s="43"/>
      <c r="AI212" s="238"/>
      <c r="AJ212" s="238"/>
      <c r="AK212" s="238"/>
      <c r="AL212" s="238"/>
      <c r="AM212" s="197">
        <f>IF(AQ212=1,SUM(H212:I212,L212:O212,R212:U212,X212:AA212,AD212:AG212,AI212:AK212),
IF(AQ212=2,SUM(H212:K212,N212:Q212,T212:W212,Z212:AC212,AF212:AI212),
IF(AQ212=3,SUM(J212:M212,P212:S212,V212:Y212,AB212:AE212,AH212:AK212),SUM(Таблица1[[#This Row],[1]:[31]])-Таблица1[[#This Row],[Столбец1]])))</f>
        <v>0</v>
      </c>
      <c r="AN212" s="269">
        <f t="array" ref="AN212">IF(AQ212=1,SUM(J212:K212,P212:Q212,V212:W212,AB212:AC212,AH212:AI212),
IF(AQ212=2,SUM(L212:M212,R212:S212,X212:Y212,AD212:AE212),
IF(AQ212=3,SUM(H212:I212,N212:O212,T212:U212,Z212:AA212,AF212:AG212),
SUM(IFERROR(WEEKDAY($H$2:$AL$2,2)&gt;5,)*H212:AL212))))</f>
        <v>0</v>
      </c>
      <c r="AO212" s="271" t="b">
        <f>IF(AR212&lt;=3,(IF((G212="5/24"),((база!$M$6*Таблица1[[#This Row],[сумма]]*Таблица1[[#This Row],[коэф]])),
IF((G212="4/24"),((база!$M$5*Таблица1[[#This Row],[сумма]]*Таблица1[[#This Row],[коэф]])),
IF((G212="3/24"),((база!$M$4*Таблица1[[#This Row],[сумма]]*Таблица1[[#This Row],[коэф]])),
IF((G212="5/16"),((база!$L$6*Таблица1[[#This Row],[сумма]]*Таблица1[[#This Row],[коэф]])),
IF((G212="4/16"),((база!$L$5*Таблица1[[#This Row],[сумма]]*Таблица1[[#This Row],[коэф]])),
IF((G212="3/16"),((база!$L$4*Таблица1[[#This Row],[сумма]]*Таблица1[[#This Row],[коэф]])),
IF((G212="4/4"),((база!$I$5*Таблица1[[#This Row],[сумма]]*Таблица1[[#This Row],[коэф]])),
IF(OR(G212="2/4",G212="3/4"),((база!$I$4*Таблица1[[#This Row],[сумма]]*Таблица1[[#This Row],[коэф]])),
IF((G212="5/8"),((база!$J$6*Таблица1[[#This Row],[сумма]]*Таблица1[[#This Row],[коэф]])),
IF((G212="4/8"),((база!$J$5*Таблица1[[#This Row],[сумма]]*Таблица1[[#This Row],[коэф]])),
IF(OR(G212="3/8",G212="2/8"),((база!$J$4*Таблица1[[#This Row],[сумма]]*Таблица1[[#This Row],[коэф]])))))))))))))),
(IF((G212="5/24"),((база!$M$6*Таблица1[[#This Row],[сумма]]*Таблица1[[#This Row],[коэф]])),
IF(OR(G212="4/24",G212="3/24"),((база!$M$5*Таблица1[[#This Row],[сумма]]*Таблица1[[#This Row],[коэф]])),
IF((G212="5/16"),((база!$L$6*Таблица1[[#This Row],[сумма]]*Таблица1[[#This Row],[коэф]])),
IF(OR(G212="4/16",G212="3/16"),((база!$L$5*Таблица1[[#This Row],[сумма]]*Таблица1[[#This Row],[коэф]])),
IF(OR(G212="2/4",G212="3/4",G212="4/4"),((база!$I$5*Таблица1[[#This Row],[сумма]]*Таблица1[[#This Row],[коэф]])),
IF((G212="5/8"),((база!$J$6*Таблица1[[#This Row],[сумма]]*Таблица1[[#This Row],[коэф]])),
IF(OR(G212="4/8",G212="3/8",G212="2/8"),((база!$J$5*Таблица1[[#This Row],[сумма]]*Таблица1[[#This Row],[коэф]])))))))))))</f>
        <v>0</v>
      </c>
      <c r="AP212" s="696" t="b">
        <f>IF(AR212&lt;=3,(IF((G212="5/24"),((база!$M$6*2*Таблица1[[#This Row],[Столбец1]]*Таблица1[[#This Row],[коэф]])),
IF((G212="4/24"),((база!$M$5*2*Таблица1[[#This Row],[Столбец1]]*Таблица1[[#This Row],[коэф]])),
IF((G212="3/24"),((база!$M$4*2*Таблица1[[#This Row],[Столбец1]]*Таблица1[[#This Row],[коэф]])),
IF((G212="5/16"),((база!$L$6*2*Таблица1[[#This Row],[Столбец1]]*Таблица1[[#This Row],[коэф]])),
IF((G212="4/16"),((база!$L$5*2*Таблица1[[#This Row],[Столбец1]]*Таблица1[[#This Row],[коэф]])),
IF((G212="3/16"),((база!$L$4*2*Таблица1[[#This Row],[Столбец1]]*Таблица1[[#This Row],[коэф]])),
IF((G212="4/4"),((база!$I$5*2*Таблица1[[#This Row],[Столбец1]]*Таблица1[[#This Row],[коэф]])),
IF(OR(G212="2/4",G212="3/4"),((база!$I$4*2*Таблица1[[#This Row],[Столбец1]]*Таблица1[[#This Row],[коэф]])),
IF((G212="5/8"),((база!$J$6*2*Таблица1[[#This Row],[Столбец1]]*Таблица1[[#This Row],[коэф]])),
IF((G212="4/8"),((база!$J$5*2*Таблица1[[#This Row],[Столбец1]]*Таблица1[[#This Row],[коэф]])),
IF(OR(G212="3/8",G212="2/8"),((база!$J$4*2*Таблица1[[#This Row],[Столбец1]]*Таблица1[[#This Row],[коэф]])))))))))))))),
(IF((G212="5/24"),((база!$M$6*2*Таблица1[[#This Row],[Столбец1]]*Таблица1[[#This Row],[коэф]])),
IF(OR(G212="4/24",G212="3/24"),((база!$M$5*2*Таблица1[[#This Row],[Столбец1]]*Таблица1[[#This Row],[коэф]])),
IF((G212="5/16"),((база!$L$6*2*Таблица1[[#This Row],[Столбец1]]*Таблица1[[#This Row],[коэф]])),
IF(OR(G212="4/16",G212="3/16"),((база!$L$5*2*Таблица1[[#This Row],[Столбец1]]*Таблица1[[#This Row],[коэф]])),
IF(OR(G212="2/4",G212="3/4",G212="4/4"),((база!$I$5*2*Таблица1[[#This Row],[Столбец1]]*Таблица1[[#This Row],[коэф]])),
IF((G212="5/8"),((база!$J$6*2*Таблица1[[#This Row],[Столбец1]]*Таблица1[[#This Row],[коэф]])),
IF(OR(G212="4/8",G212="3/8",G212="2/8"),((база!$J$5*2*Таблица1[[#This Row],[Столбец1]]*Таблица1[[#This Row],[коэф]])))))))))))</f>
        <v>0</v>
      </c>
      <c r="AQ212" s="678" t="str">
        <f>IFERROR(INDEX(база!T:T, MATCH(F212,база!Q:Q,0)),"")</f>
        <v/>
      </c>
      <c r="AR212" s="193">
        <f>IFERROR(INDEX(база!D:D, MATCH(F212,база!B:B,0)),"")</f>
        <v>0</v>
      </c>
    </row>
    <row r="213" spans="1:44" ht="15">
      <c r="A213" s="59"/>
      <c r="B213" s="215"/>
      <c r="C213" s="54"/>
      <c r="D213" s="55"/>
      <c r="E213" s="196"/>
      <c r="F213" s="651"/>
      <c r="G213" s="42"/>
      <c r="H213" s="539"/>
      <c r="I213" s="539"/>
      <c r="J213" s="539"/>
      <c r="K213" s="539"/>
      <c r="L213" s="539"/>
      <c r="M213" s="539"/>
      <c r="N213" s="539"/>
      <c r="O213" s="539"/>
      <c r="P213" s="278"/>
      <c r="Q213" s="539"/>
      <c r="R213" s="539"/>
      <c r="S213" s="539"/>
      <c r="T213" s="539"/>
      <c r="U213" s="539"/>
      <c r="V213" s="539"/>
      <c r="W213" s="539"/>
      <c r="X213" s="539"/>
      <c r="Y213" s="539"/>
      <c r="Z213" s="539"/>
      <c r="AA213" s="539"/>
      <c r="AB213" s="539"/>
      <c r="AC213" s="539"/>
      <c r="AD213" s="238"/>
      <c r="AE213" s="238"/>
      <c r="AF213" s="238"/>
      <c r="AG213" s="43"/>
      <c r="AH213" s="43"/>
      <c r="AI213" s="238"/>
      <c r="AJ213" s="238"/>
      <c r="AK213" s="238"/>
      <c r="AL213" s="238"/>
      <c r="AM213" s="197">
        <f>IF(AQ213=1,SUM(H213:I213,L213:O213,R213:U213,X213:AA213,AD213:AG213,AI213:AK213),
IF(AQ213=2,SUM(H213:K213,N213:Q213,T213:W213,Z213:AC213,AF213:AI213),
IF(AQ213=3,SUM(J213:M213,P213:S213,V213:Y213,AB213:AE213,AH213:AK213),SUM(Таблица1[[#This Row],[1]:[31]])-Таблица1[[#This Row],[Столбец1]])))</f>
        <v>0</v>
      </c>
      <c r="AN213" s="269">
        <f t="array" ref="AN213">IF(AQ213=1,SUM(J213:K213,P213:Q213,V213:W213,AB213:AC213,AH213:AI213),
IF(AQ213=2,SUM(L213:M213,R213:S213,X213:Y213,AD213:AE213),
IF(AQ213=3,SUM(H213:I213,N213:O213,T213:U213,Z213:AA213,AF213:AG213),
SUM(IFERROR(WEEKDAY($H$2:$AL$2,2)&gt;5,)*H213:AL213))))</f>
        <v>0</v>
      </c>
      <c r="AO213" s="271" t="b">
        <f>IF(AR213&lt;=3,(IF((G213="5/24"),((база!$M$6*Таблица1[[#This Row],[сумма]]*Таблица1[[#This Row],[коэф]])),
IF((G213="4/24"),((база!$M$5*Таблица1[[#This Row],[сумма]]*Таблица1[[#This Row],[коэф]])),
IF((G213="3/24"),((база!$M$4*Таблица1[[#This Row],[сумма]]*Таблица1[[#This Row],[коэф]])),
IF((G213="5/16"),((база!$L$6*Таблица1[[#This Row],[сумма]]*Таблица1[[#This Row],[коэф]])),
IF((G213="4/16"),((база!$L$5*Таблица1[[#This Row],[сумма]]*Таблица1[[#This Row],[коэф]])),
IF((G213="3/16"),((база!$L$4*Таблица1[[#This Row],[сумма]]*Таблица1[[#This Row],[коэф]])),
IF((G213="4/4"),((база!$I$5*Таблица1[[#This Row],[сумма]]*Таблица1[[#This Row],[коэф]])),
IF(OR(G213="2/4",G213="3/4"),((база!$I$4*Таблица1[[#This Row],[сумма]]*Таблица1[[#This Row],[коэф]])),
IF((G213="5/8"),((база!$J$6*Таблица1[[#This Row],[сумма]]*Таблица1[[#This Row],[коэф]])),
IF((G213="4/8"),((база!$J$5*Таблица1[[#This Row],[сумма]]*Таблица1[[#This Row],[коэф]])),
IF(OR(G213="3/8",G213="2/8"),((база!$J$4*Таблица1[[#This Row],[сумма]]*Таблица1[[#This Row],[коэф]])))))))))))))),
(IF((G213="5/24"),((база!$M$6*Таблица1[[#This Row],[сумма]]*Таблица1[[#This Row],[коэф]])),
IF(OR(G213="4/24",G213="3/24"),((база!$M$5*Таблица1[[#This Row],[сумма]]*Таблица1[[#This Row],[коэф]])),
IF((G213="5/16"),((база!$L$6*Таблица1[[#This Row],[сумма]]*Таблица1[[#This Row],[коэф]])),
IF(OR(G213="4/16",G213="3/16"),((база!$L$5*Таблица1[[#This Row],[сумма]]*Таблица1[[#This Row],[коэф]])),
IF(OR(G213="2/4",G213="3/4",G213="4/4"),((база!$I$5*Таблица1[[#This Row],[сумма]]*Таблица1[[#This Row],[коэф]])),
IF((G213="5/8"),((база!$J$6*Таблица1[[#This Row],[сумма]]*Таблица1[[#This Row],[коэф]])),
IF(OR(G213="4/8",G213="3/8",G213="2/8"),((база!$J$5*Таблица1[[#This Row],[сумма]]*Таблица1[[#This Row],[коэф]])))))))))))</f>
        <v>0</v>
      </c>
      <c r="AP213" s="696" t="b">
        <f>IF(AR213&lt;=3,(IF((G213="5/24"),((база!$M$6*2*Таблица1[[#This Row],[Столбец1]]*Таблица1[[#This Row],[коэф]])),
IF((G213="4/24"),((база!$M$5*2*Таблица1[[#This Row],[Столбец1]]*Таблица1[[#This Row],[коэф]])),
IF((G213="3/24"),((база!$M$4*2*Таблица1[[#This Row],[Столбец1]]*Таблица1[[#This Row],[коэф]])),
IF((G213="5/16"),((база!$L$6*2*Таблица1[[#This Row],[Столбец1]]*Таблица1[[#This Row],[коэф]])),
IF((G213="4/16"),((база!$L$5*2*Таблица1[[#This Row],[Столбец1]]*Таблица1[[#This Row],[коэф]])),
IF((G213="3/16"),((база!$L$4*2*Таблица1[[#This Row],[Столбец1]]*Таблица1[[#This Row],[коэф]])),
IF((G213="4/4"),((база!$I$5*2*Таблица1[[#This Row],[Столбец1]]*Таблица1[[#This Row],[коэф]])),
IF(OR(G213="2/4",G213="3/4"),((база!$I$4*2*Таблица1[[#This Row],[Столбец1]]*Таблица1[[#This Row],[коэф]])),
IF((G213="5/8"),((база!$J$6*2*Таблица1[[#This Row],[Столбец1]]*Таблица1[[#This Row],[коэф]])),
IF((G213="4/8"),((база!$J$5*2*Таблица1[[#This Row],[Столбец1]]*Таблица1[[#This Row],[коэф]])),
IF(OR(G213="3/8",G213="2/8"),((база!$J$4*2*Таблица1[[#This Row],[Столбец1]]*Таблица1[[#This Row],[коэф]])))))))))))))),
(IF((G213="5/24"),((база!$M$6*2*Таблица1[[#This Row],[Столбец1]]*Таблица1[[#This Row],[коэф]])),
IF(OR(G213="4/24",G213="3/24"),((база!$M$5*2*Таблица1[[#This Row],[Столбец1]]*Таблица1[[#This Row],[коэф]])),
IF((G213="5/16"),((база!$L$6*2*Таблица1[[#This Row],[Столбец1]]*Таблица1[[#This Row],[коэф]])),
IF(OR(G213="4/16",G213="3/16"),((база!$L$5*2*Таблица1[[#This Row],[Столбец1]]*Таблица1[[#This Row],[коэф]])),
IF(OR(G213="2/4",G213="3/4",G213="4/4"),((база!$I$5*2*Таблица1[[#This Row],[Столбец1]]*Таблица1[[#This Row],[коэф]])),
IF((G213="5/8"),((база!$J$6*2*Таблица1[[#This Row],[Столбец1]]*Таблица1[[#This Row],[коэф]])),
IF(OR(G213="4/8",G213="3/8",G213="2/8"),((база!$J$5*2*Таблица1[[#This Row],[Столбец1]]*Таблица1[[#This Row],[коэф]])))))))))))</f>
        <v>0</v>
      </c>
      <c r="AQ213" s="678" t="str">
        <f>IFERROR(INDEX(база!T:T, MATCH(F213,база!Q:Q,0)),"")</f>
        <v/>
      </c>
      <c r="AR213" s="193">
        <f>IFERROR(INDEX(база!D:D, MATCH(F213,база!B:B,0)),"")</f>
        <v>0</v>
      </c>
    </row>
    <row r="214" spans="1:44" ht="15">
      <c r="A214" s="59"/>
      <c r="B214" s="215"/>
      <c r="C214" s="277"/>
      <c r="D214" s="55"/>
      <c r="E214" s="196"/>
      <c r="F214" s="651"/>
      <c r="G214" s="42"/>
      <c r="H214" s="539"/>
      <c r="I214" s="539"/>
      <c r="J214" s="539"/>
      <c r="K214" s="539"/>
      <c r="L214" s="539"/>
      <c r="M214" s="539"/>
      <c r="N214" s="539"/>
      <c r="O214" s="539"/>
      <c r="P214" s="278"/>
      <c r="Q214" s="539"/>
      <c r="R214" s="539"/>
      <c r="S214" s="539"/>
      <c r="T214" s="539"/>
      <c r="U214" s="539"/>
      <c r="V214" s="539"/>
      <c r="W214" s="539"/>
      <c r="X214" s="539"/>
      <c r="Y214" s="539"/>
      <c r="Z214" s="539"/>
      <c r="AA214" s="539"/>
      <c r="AB214" s="539"/>
      <c r="AC214" s="539"/>
      <c r="AD214" s="43"/>
      <c r="AE214" s="43"/>
      <c r="AF214" s="238"/>
      <c r="AG214" s="43"/>
      <c r="AH214" s="43"/>
      <c r="AI214" s="43"/>
      <c r="AJ214" s="43"/>
      <c r="AK214" s="43"/>
      <c r="AL214" s="45"/>
      <c r="AM214" s="197">
        <f>IF(AQ214=1,SUM(H214:I214,L214:O214,R214:U214,X214:AA214,AD214:AG214,AI214:AK214),
IF(AQ214=2,SUM(H214:K214,N214:Q214,T214:W214,Z214:AC214,AF214:AI214),
IF(AQ214=3,SUM(J214:M214,P214:S214,V214:Y214,AB214:AE214,AH214:AK214),SUM(Таблица1[[#This Row],[1]:[31]])-Таблица1[[#This Row],[Столбец1]])))</f>
        <v>0</v>
      </c>
      <c r="AN214" s="269">
        <f t="array" ref="AN214">IF(AQ214=1,SUM(J214:K214,P214:Q214,V214:W214,AB214:AC214,AH214:AI214),
IF(AQ214=2,SUM(L214:M214,R214:S214,X214:Y214,AD214:AE214),
IF(AQ214=3,SUM(H214:I214,N214:O214,T214:U214,Z214:AA214,AF214:AG214),
SUM(IFERROR(WEEKDAY($H$2:$AL$2,2)&gt;5,)*H214:AL214))))</f>
        <v>0</v>
      </c>
      <c r="AO214" s="271" t="b">
        <f>IF(AR214&lt;=3,(IF((G214="5/24"),((база!$M$6*Таблица1[[#This Row],[сумма]]*Таблица1[[#This Row],[коэф]])),
IF((G214="4/24"),((база!$M$5*Таблица1[[#This Row],[сумма]]*Таблица1[[#This Row],[коэф]])),
IF((G214="3/24"),((база!$M$4*Таблица1[[#This Row],[сумма]]*Таблица1[[#This Row],[коэф]])),
IF((G214="5/16"),((база!$L$6*Таблица1[[#This Row],[сумма]]*Таблица1[[#This Row],[коэф]])),
IF((G214="4/16"),((база!$L$5*Таблица1[[#This Row],[сумма]]*Таблица1[[#This Row],[коэф]])),
IF((G214="3/16"),((база!$L$4*Таблица1[[#This Row],[сумма]]*Таблица1[[#This Row],[коэф]])),
IF((G214="4/4"),((база!$I$5*Таблица1[[#This Row],[сумма]]*Таблица1[[#This Row],[коэф]])),
IF(OR(G214="2/4",G214="3/4"),((база!$I$4*Таблица1[[#This Row],[сумма]]*Таблица1[[#This Row],[коэф]])),
IF((G214="5/8"),((база!$J$6*Таблица1[[#This Row],[сумма]]*Таблица1[[#This Row],[коэф]])),
IF((G214="4/8"),((база!$J$5*Таблица1[[#This Row],[сумма]]*Таблица1[[#This Row],[коэф]])),
IF(OR(G214="3/8",G214="2/8"),((база!$J$4*Таблица1[[#This Row],[сумма]]*Таблица1[[#This Row],[коэф]])))))))))))))),
(IF((G214="5/24"),((база!$M$6*Таблица1[[#This Row],[сумма]]*Таблица1[[#This Row],[коэф]])),
IF(OR(G214="4/24",G214="3/24"),((база!$M$5*Таблица1[[#This Row],[сумма]]*Таблица1[[#This Row],[коэф]])),
IF((G214="5/16"),((база!$L$6*Таблица1[[#This Row],[сумма]]*Таблица1[[#This Row],[коэф]])),
IF(OR(G214="4/16",G214="3/16"),((база!$L$5*Таблица1[[#This Row],[сумма]]*Таблица1[[#This Row],[коэф]])),
IF(OR(G214="2/4",G214="3/4",G214="4/4"),((база!$I$5*Таблица1[[#This Row],[сумма]]*Таблица1[[#This Row],[коэф]])),
IF((G214="5/8"),((база!$J$6*Таблица1[[#This Row],[сумма]]*Таблица1[[#This Row],[коэф]])),
IF(OR(G214="4/8",G214="3/8",G214="2/8"),((база!$J$5*Таблица1[[#This Row],[сумма]]*Таблица1[[#This Row],[коэф]])))))))))))</f>
        <v>0</v>
      </c>
      <c r="AP214" s="696" t="b">
        <f>IF(AR214&lt;=3,(IF((G214="5/24"),((база!$M$6*2*Таблица1[[#This Row],[Столбец1]]*Таблица1[[#This Row],[коэф]])),
IF((G214="4/24"),((база!$M$5*2*Таблица1[[#This Row],[Столбец1]]*Таблица1[[#This Row],[коэф]])),
IF((G214="3/24"),((база!$M$4*2*Таблица1[[#This Row],[Столбец1]]*Таблица1[[#This Row],[коэф]])),
IF((G214="5/16"),((база!$L$6*2*Таблица1[[#This Row],[Столбец1]]*Таблица1[[#This Row],[коэф]])),
IF((G214="4/16"),((база!$L$5*2*Таблица1[[#This Row],[Столбец1]]*Таблица1[[#This Row],[коэф]])),
IF((G214="3/16"),((база!$L$4*2*Таблица1[[#This Row],[Столбец1]]*Таблица1[[#This Row],[коэф]])),
IF((G214="4/4"),((база!$I$5*2*Таблица1[[#This Row],[Столбец1]]*Таблица1[[#This Row],[коэф]])),
IF(OR(G214="2/4",G214="3/4"),((база!$I$4*2*Таблица1[[#This Row],[Столбец1]]*Таблица1[[#This Row],[коэф]])),
IF((G214="5/8"),((база!$J$6*2*Таблица1[[#This Row],[Столбец1]]*Таблица1[[#This Row],[коэф]])),
IF((G214="4/8"),((база!$J$5*2*Таблица1[[#This Row],[Столбец1]]*Таблица1[[#This Row],[коэф]])),
IF(OR(G214="3/8",G214="2/8"),((база!$J$4*2*Таблица1[[#This Row],[Столбец1]]*Таблица1[[#This Row],[коэф]])))))))))))))),
(IF((G214="5/24"),((база!$M$6*2*Таблица1[[#This Row],[Столбец1]]*Таблица1[[#This Row],[коэф]])),
IF(OR(G214="4/24",G214="3/24"),((база!$M$5*2*Таблица1[[#This Row],[Столбец1]]*Таблица1[[#This Row],[коэф]])),
IF((G214="5/16"),((база!$L$6*2*Таблица1[[#This Row],[Столбец1]]*Таблица1[[#This Row],[коэф]])),
IF(OR(G214="4/16",G214="3/16"),((база!$L$5*2*Таблица1[[#This Row],[Столбец1]]*Таблица1[[#This Row],[коэф]])),
IF(OR(G214="2/4",G214="3/4",G214="4/4"),((база!$I$5*2*Таблица1[[#This Row],[Столбец1]]*Таблица1[[#This Row],[коэф]])),
IF((G214="5/8"),((база!$J$6*2*Таблица1[[#This Row],[Столбец1]]*Таблица1[[#This Row],[коэф]])),
IF(OR(G214="4/8",G214="3/8",G214="2/8"),((база!$J$5*2*Таблица1[[#This Row],[Столбец1]]*Таблица1[[#This Row],[коэф]])))))))))))</f>
        <v>0</v>
      </c>
      <c r="AQ214" s="678" t="str">
        <f>IFERROR(INDEX(база!T:T, MATCH(F214,база!Q:Q,0)),"")</f>
        <v/>
      </c>
      <c r="AR214" s="193">
        <f>IFERROR(INDEX(база!D:D, MATCH(F214,база!B:B,0)),"")</f>
        <v>0</v>
      </c>
    </row>
    <row r="215" spans="1:44" ht="15">
      <c r="A215" s="59"/>
      <c r="B215" s="215"/>
      <c r="C215" s="650"/>
      <c r="D215" s="55"/>
      <c r="E215" s="196"/>
      <c r="F215" s="651"/>
      <c r="G215" s="42"/>
      <c r="H215" s="539"/>
      <c r="I215" s="539"/>
      <c r="J215" s="539"/>
      <c r="K215" s="539"/>
      <c r="L215" s="539"/>
      <c r="M215" s="539"/>
      <c r="N215" s="539"/>
      <c r="O215" s="539"/>
      <c r="P215" s="278"/>
      <c r="Q215" s="539"/>
      <c r="R215" s="539"/>
      <c r="S215" s="539"/>
      <c r="T215" s="539"/>
      <c r="U215" s="539"/>
      <c r="V215" s="539"/>
      <c r="W215" s="539"/>
      <c r="X215" s="539"/>
      <c r="Y215" s="539"/>
      <c r="Z215" s="539"/>
      <c r="AA215" s="539"/>
      <c r="AB215" s="539"/>
      <c r="AC215" s="539"/>
      <c r="AD215" s="43"/>
      <c r="AE215" s="43"/>
      <c r="AF215" s="238"/>
      <c r="AG215" s="43"/>
      <c r="AH215" s="43"/>
      <c r="AI215" s="238"/>
      <c r="AJ215" s="238"/>
      <c r="AK215" s="238"/>
      <c r="AL215" s="238"/>
      <c r="AM215" s="197">
        <f>IF(AQ215=1,SUM(H215:I215,L215:O215,R215:U215,X215:AA215,AD215:AG215,AI215:AK215),
IF(AQ215=2,SUM(H215:K215,N215:Q215,T215:W215,Z215:AC215,AF215:AI215),
IF(AQ215=3,SUM(J215:M215,P215:S215,V215:Y215,AB215:AE215,AH215:AK215),SUM(Таблица1[[#This Row],[1]:[31]])-Таблица1[[#This Row],[Столбец1]])))</f>
        <v>0</v>
      </c>
      <c r="AN215" s="269">
        <f t="array" ref="AN215">IF(AQ215=1,SUM(J215:K215,P215:Q215,V215:W215,AB215:AC215,AH215:AI215),
IF(AQ215=2,SUM(L215:M215,R215:S215,X215:Y215,AD215:AE215),
IF(AQ215=3,SUM(H215:I215,N215:O215,T215:U215,Z215:AA215,AF215:AG215),
SUM(IFERROR(WEEKDAY($H$2:$AL$2,2)&gt;5,)*H215:AL215))))</f>
        <v>0</v>
      </c>
      <c r="AO215" s="271" t="b">
        <f>IF(AR215&lt;=3,(IF((G215="5/24"),((база!$M$6*Таблица1[[#This Row],[сумма]]*Таблица1[[#This Row],[коэф]])),
IF((G215="4/24"),((база!$M$5*Таблица1[[#This Row],[сумма]]*Таблица1[[#This Row],[коэф]])),
IF((G215="3/24"),((база!$M$4*Таблица1[[#This Row],[сумма]]*Таблица1[[#This Row],[коэф]])),
IF((G215="5/16"),((база!$L$6*Таблица1[[#This Row],[сумма]]*Таблица1[[#This Row],[коэф]])),
IF((G215="4/16"),((база!$L$5*Таблица1[[#This Row],[сумма]]*Таблица1[[#This Row],[коэф]])),
IF((G215="3/16"),((база!$L$4*Таблица1[[#This Row],[сумма]]*Таблица1[[#This Row],[коэф]])),
IF((G215="4/4"),((база!$I$5*Таблица1[[#This Row],[сумма]]*Таблица1[[#This Row],[коэф]])),
IF(OR(G215="2/4",G215="3/4"),((база!$I$4*Таблица1[[#This Row],[сумма]]*Таблица1[[#This Row],[коэф]])),
IF((G215="5/8"),((база!$J$6*Таблица1[[#This Row],[сумма]]*Таблица1[[#This Row],[коэф]])),
IF((G215="4/8"),((база!$J$5*Таблица1[[#This Row],[сумма]]*Таблица1[[#This Row],[коэф]])),
IF(OR(G215="3/8",G215="2/8"),((база!$J$4*Таблица1[[#This Row],[сумма]]*Таблица1[[#This Row],[коэф]])))))))))))))),
(IF((G215="5/24"),((база!$M$6*Таблица1[[#This Row],[сумма]]*Таблица1[[#This Row],[коэф]])),
IF(OR(G215="4/24",G215="3/24"),((база!$M$5*Таблица1[[#This Row],[сумма]]*Таблица1[[#This Row],[коэф]])),
IF((G215="5/16"),((база!$L$6*Таблица1[[#This Row],[сумма]]*Таблица1[[#This Row],[коэф]])),
IF(OR(G215="4/16",G215="3/16"),((база!$L$5*Таблица1[[#This Row],[сумма]]*Таблица1[[#This Row],[коэф]])),
IF(OR(G215="2/4",G215="3/4",G215="4/4"),((база!$I$5*Таблица1[[#This Row],[сумма]]*Таблица1[[#This Row],[коэф]])),
IF((G215="5/8"),((база!$J$6*Таблица1[[#This Row],[сумма]]*Таблица1[[#This Row],[коэф]])),
IF(OR(G215="4/8",G215="3/8",G215="2/8"),((база!$J$5*Таблица1[[#This Row],[сумма]]*Таблица1[[#This Row],[коэф]])))))))))))</f>
        <v>0</v>
      </c>
      <c r="AP215" s="696" t="b">
        <f>IF(AR215&lt;=3,(IF((G215="5/24"),((база!$M$6*2*Таблица1[[#This Row],[Столбец1]]*Таблица1[[#This Row],[коэф]])),
IF((G215="4/24"),((база!$M$5*2*Таблица1[[#This Row],[Столбец1]]*Таблица1[[#This Row],[коэф]])),
IF((G215="3/24"),((база!$M$4*2*Таблица1[[#This Row],[Столбец1]]*Таблица1[[#This Row],[коэф]])),
IF((G215="5/16"),((база!$L$6*2*Таблица1[[#This Row],[Столбец1]]*Таблица1[[#This Row],[коэф]])),
IF((G215="4/16"),((база!$L$5*2*Таблица1[[#This Row],[Столбец1]]*Таблица1[[#This Row],[коэф]])),
IF((G215="3/16"),((база!$L$4*2*Таблица1[[#This Row],[Столбец1]]*Таблица1[[#This Row],[коэф]])),
IF((G215="4/4"),((база!$I$5*2*Таблица1[[#This Row],[Столбец1]]*Таблица1[[#This Row],[коэф]])),
IF(OR(G215="2/4",G215="3/4"),((база!$I$4*2*Таблица1[[#This Row],[Столбец1]]*Таблица1[[#This Row],[коэф]])),
IF((G215="5/8"),((база!$J$6*2*Таблица1[[#This Row],[Столбец1]]*Таблица1[[#This Row],[коэф]])),
IF((G215="4/8"),((база!$J$5*2*Таблица1[[#This Row],[Столбец1]]*Таблица1[[#This Row],[коэф]])),
IF(OR(G215="3/8",G215="2/8"),((база!$J$4*2*Таблица1[[#This Row],[Столбец1]]*Таблица1[[#This Row],[коэф]])))))))))))))),
(IF((G215="5/24"),((база!$M$6*2*Таблица1[[#This Row],[Столбец1]]*Таблица1[[#This Row],[коэф]])),
IF(OR(G215="4/24",G215="3/24"),((база!$M$5*2*Таблица1[[#This Row],[Столбец1]]*Таблица1[[#This Row],[коэф]])),
IF((G215="5/16"),((база!$L$6*2*Таблица1[[#This Row],[Столбец1]]*Таблица1[[#This Row],[коэф]])),
IF(OR(G215="4/16",G215="3/16"),((база!$L$5*2*Таблица1[[#This Row],[Столбец1]]*Таблица1[[#This Row],[коэф]])),
IF(OR(G215="2/4",G215="3/4",G215="4/4"),((база!$I$5*2*Таблица1[[#This Row],[Столбец1]]*Таблица1[[#This Row],[коэф]])),
IF((G215="5/8"),((база!$J$6*2*Таблица1[[#This Row],[Столбец1]]*Таблица1[[#This Row],[коэф]])),
IF(OR(G215="4/8",G215="3/8",G215="2/8"),((база!$J$5*2*Таблица1[[#This Row],[Столбец1]]*Таблица1[[#This Row],[коэф]])))))))))))</f>
        <v>0</v>
      </c>
      <c r="AQ215" s="678" t="str">
        <f>IFERROR(INDEX(база!T:T, MATCH(F215,база!Q:Q,0)),"")</f>
        <v/>
      </c>
      <c r="AR215" s="193">
        <f>IFERROR(INDEX(база!D:D, MATCH(F215,база!B:B,0)),"")</f>
        <v>0</v>
      </c>
    </row>
    <row r="216" spans="1:44" ht="15">
      <c r="A216" s="59"/>
      <c r="B216" s="215"/>
      <c r="C216" s="277"/>
      <c r="D216" s="55"/>
      <c r="E216" s="196"/>
      <c r="F216" s="651"/>
      <c r="G216" s="42"/>
      <c r="H216" s="539"/>
      <c r="I216" s="539"/>
      <c r="J216" s="539"/>
      <c r="K216" s="539"/>
      <c r="L216" s="539"/>
      <c r="M216" s="539"/>
      <c r="N216" s="539"/>
      <c r="O216" s="539"/>
      <c r="P216" s="278"/>
      <c r="Q216" s="539"/>
      <c r="R216" s="539"/>
      <c r="S216" s="539"/>
      <c r="T216" s="539"/>
      <c r="U216" s="539"/>
      <c r="V216" s="539"/>
      <c r="W216" s="539"/>
      <c r="X216" s="539"/>
      <c r="Y216" s="539"/>
      <c r="Z216" s="539"/>
      <c r="AA216" s="539"/>
      <c r="AB216" s="539"/>
      <c r="AC216" s="539"/>
      <c r="AD216" s="43"/>
      <c r="AE216" s="43"/>
      <c r="AF216" s="238"/>
      <c r="AG216" s="43"/>
      <c r="AH216" s="43"/>
      <c r="AI216" s="43"/>
      <c r="AJ216" s="43"/>
      <c r="AK216" s="43"/>
      <c r="AL216" s="45"/>
      <c r="AM216" s="197">
        <f>IF(AQ216=1,SUM(H216:I216,L216:O216,R216:U216,X216:AA216,AD216:AG216,AI216:AK216),
IF(AQ216=2,SUM(H216:K216,N216:Q216,T216:W216,Z216:AC216,AF216:AI216),
IF(AQ216=3,SUM(J216:M216,P216:S216,V216:Y216,AB216:AE216,AH216:AK216),SUM(Таблица1[[#This Row],[1]:[31]])-Таблица1[[#This Row],[Столбец1]])))</f>
        <v>0</v>
      </c>
      <c r="AN216" s="269">
        <f t="array" ref="AN216">IF(AQ216=1,SUM(J216:K216,P216:Q216,V216:W216,AB216:AC216,AH216:AI216),
IF(AQ216=2,SUM(L216:M216,R216:S216,X216:Y216,AD216:AE216),
IF(AQ216=3,SUM(H216:I216,N216:O216,T216:U216,Z216:AA216,AF216:AG216),
SUM(IFERROR(WEEKDAY($H$2:$AL$2,2)&gt;5,)*H216:AL216))))</f>
        <v>0</v>
      </c>
      <c r="AO216" s="271" t="b">
        <f>IF(AR216&lt;=3,(IF((G216="5/24"),((база!$M$6*Таблица1[[#This Row],[сумма]]*Таблица1[[#This Row],[коэф]])),
IF((G216="4/24"),((база!$M$5*Таблица1[[#This Row],[сумма]]*Таблица1[[#This Row],[коэф]])),
IF((G216="3/24"),((база!$M$4*Таблица1[[#This Row],[сумма]]*Таблица1[[#This Row],[коэф]])),
IF((G216="5/16"),((база!$L$6*Таблица1[[#This Row],[сумма]]*Таблица1[[#This Row],[коэф]])),
IF((G216="4/16"),((база!$L$5*Таблица1[[#This Row],[сумма]]*Таблица1[[#This Row],[коэф]])),
IF((G216="3/16"),((база!$L$4*Таблица1[[#This Row],[сумма]]*Таблица1[[#This Row],[коэф]])),
IF((G216="4/4"),((база!$I$5*Таблица1[[#This Row],[сумма]]*Таблица1[[#This Row],[коэф]])),
IF(OR(G216="2/4",G216="3/4"),((база!$I$4*Таблица1[[#This Row],[сумма]]*Таблица1[[#This Row],[коэф]])),
IF((G216="5/8"),((база!$J$6*Таблица1[[#This Row],[сумма]]*Таблица1[[#This Row],[коэф]])),
IF((G216="4/8"),((база!$J$5*Таблица1[[#This Row],[сумма]]*Таблица1[[#This Row],[коэф]])),
IF(OR(G216="3/8",G216="2/8"),((база!$J$4*Таблица1[[#This Row],[сумма]]*Таблица1[[#This Row],[коэф]])))))))))))))),
(IF((G216="5/24"),((база!$M$6*Таблица1[[#This Row],[сумма]]*Таблица1[[#This Row],[коэф]])),
IF(OR(G216="4/24",G216="3/24"),((база!$M$5*Таблица1[[#This Row],[сумма]]*Таблица1[[#This Row],[коэф]])),
IF((G216="5/16"),((база!$L$6*Таблица1[[#This Row],[сумма]]*Таблица1[[#This Row],[коэф]])),
IF(OR(G216="4/16",G216="3/16"),((база!$L$5*Таблица1[[#This Row],[сумма]]*Таблица1[[#This Row],[коэф]])),
IF(OR(G216="2/4",G216="3/4",G216="4/4"),((база!$I$5*Таблица1[[#This Row],[сумма]]*Таблица1[[#This Row],[коэф]])),
IF((G216="5/8"),((база!$J$6*Таблица1[[#This Row],[сумма]]*Таблица1[[#This Row],[коэф]])),
IF(OR(G216="4/8",G216="3/8",G216="2/8"),((база!$J$5*Таблица1[[#This Row],[сумма]]*Таблица1[[#This Row],[коэф]])))))))))))</f>
        <v>0</v>
      </c>
      <c r="AP216" s="696" t="b">
        <f>IF(AR216&lt;=3,(IF((G216="5/24"),((база!$M$6*2*Таблица1[[#This Row],[Столбец1]]*Таблица1[[#This Row],[коэф]])),
IF((G216="4/24"),((база!$M$5*2*Таблица1[[#This Row],[Столбец1]]*Таблица1[[#This Row],[коэф]])),
IF((G216="3/24"),((база!$M$4*2*Таблица1[[#This Row],[Столбец1]]*Таблица1[[#This Row],[коэф]])),
IF((G216="5/16"),((база!$L$6*2*Таблица1[[#This Row],[Столбец1]]*Таблица1[[#This Row],[коэф]])),
IF((G216="4/16"),((база!$L$5*2*Таблица1[[#This Row],[Столбец1]]*Таблица1[[#This Row],[коэф]])),
IF((G216="3/16"),((база!$L$4*2*Таблица1[[#This Row],[Столбец1]]*Таблица1[[#This Row],[коэф]])),
IF((G216="4/4"),((база!$I$5*2*Таблица1[[#This Row],[Столбец1]]*Таблица1[[#This Row],[коэф]])),
IF(OR(G216="2/4",G216="3/4"),((база!$I$4*2*Таблица1[[#This Row],[Столбец1]]*Таблица1[[#This Row],[коэф]])),
IF((G216="5/8"),((база!$J$6*2*Таблица1[[#This Row],[Столбец1]]*Таблица1[[#This Row],[коэф]])),
IF((G216="4/8"),((база!$J$5*2*Таблица1[[#This Row],[Столбец1]]*Таблица1[[#This Row],[коэф]])),
IF(OR(G216="3/8",G216="2/8"),((база!$J$4*2*Таблица1[[#This Row],[Столбец1]]*Таблица1[[#This Row],[коэф]])))))))))))))),
(IF((G216="5/24"),((база!$M$6*2*Таблица1[[#This Row],[Столбец1]]*Таблица1[[#This Row],[коэф]])),
IF(OR(G216="4/24",G216="3/24"),((база!$M$5*2*Таблица1[[#This Row],[Столбец1]]*Таблица1[[#This Row],[коэф]])),
IF((G216="5/16"),((база!$L$6*2*Таблица1[[#This Row],[Столбец1]]*Таблица1[[#This Row],[коэф]])),
IF(OR(G216="4/16",G216="3/16"),((база!$L$5*2*Таблица1[[#This Row],[Столбец1]]*Таблица1[[#This Row],[коэф]])),
IF(OR(G216="2/4",G216="3/4",G216="4/4"),((база!$I$5*2*Таблица1[[#This Row],[Столбец1]]*Таблица1[[#This Row],[коэф]])),
IF((G216="5/8"),((база!$J$6*2*Таблица1[[#This Row],[Столбец1]]*Таблица1[[#This Row],[коэф]])),
IF(OR(G216="4/8",G216="3/8",G216="2/8"),((база!$J$5*2*Таблица1[[#This Row],[Столбец1]]*Таблица1[[#This Row],[коэф]])))))))))))</f>
        <v>0</v>
      </c>
      <c r="AQ216" s="678" t="str">
        <f>IFERROR(INDEX(база!T:T, MATCH(F216,база!Q:Q,0)),"")</f>
        <v/>
      </c>
      <c r="AR216" s="193">
        <f>IFERROR(INDEX(база!D:D, MATCH(F216,база!B:B,0)),"")</f>
        <v>0</v>
      </c>
    </row>
    <row r="217" spans="1:44" ht="15">
      <c r="A217" s="59"/>
      <c r="B217" s="215"/>
      <c r="C217" s="277"/>
      <c r="D217" s="55"/>
      <c r="E217" s="196"/>
      <c r="F217" s="651"/>
      <c r="G217" s="42"/>
      <c r="H217" s="539"/>
      <c r="I217" s="539"/>
      <c r="J217" s="539"/>
      <c r="K217" s="539"/>
      <c r="L217" s="539"/>
      <c r="M217" s="539"/>
      <c r="N217" s="539"/>
      <c r="O217" s="539"/>
      <c r="P217" s="278"/>
      <c r="Q217" s="539"/>
      <c r="R217" s="539"/>
      <c r="S217" s="539"/>
      <c r="T217" s="539"/>
      <c r="U217" s="539"/>
      <c r="V217" s="539"/>
      <c r="W217" s="539"/>
      <c r="X217" s="539"/>
      <c r="Y217" s="539"/>
      <c r="Z217" s="539"/>
      <c r="AA217" s="539"/>
      <c r="AB217" s="539"/>
      <c r="AC217" s="539"/>
      <c r="AD217" s="43"/>
      <c r="AE217" s="43"/>
      <c r="AF217" s="238"/>
      <c r="AG217" s="43"/>
      <c r="AH217" s="43"/>
      <c r="AI217" s="238"/>
      <c r="AJ217" s="238"/>
      <c r="AK217" s="238"/>
      <c r="AL217" s="238"/>
      <c r="AM217" s="197">
        <f>IF(AQ217=1,SUM(H217:I217,L217:O217,R217:U217,X217:AA217,AD217:AG217,AI217:AK217),
IF(AQ217=2,SUM(H217:K217,N217:Q217,T217:W217,Z217:AC217,AF217:AI217),
IF(AQ217=3,SUM(J217:M217,P217:S217,V217:Y217,AB217:AE217,AH217:AK217),SUM(Таблица1[[#This Row],[1]:[31]])-Таблица1[[#This Row],[Столбец1]])))</f>
        <v>0</v>
      </c>
      <c r="AN217" s="269">
        <f t="array" ref="AN217">IF(AQ217=1,SUM(J217:K217,P217:Q217,V217:W217,AB217:AC217,AH217:AI217),
IF(AQ217=2,SUM(L217:M217,R217:S217,X217:Y217,AD217:AE217),
IF(AQ217=3,SUM(H217:I217,N217:O217,T217:U217,Z217:AA217,AF217:AG217),
SUM(IFERROR(WEEKDAY($H$2:$AL$2,2)&gt;5,)*H217:AL217))))</f>
        <v>0</v>
      </c>
      <c r="AO217" s="271" t="b">
        <f>IF(AR217&lt;=3,(IF((G217="5/24"),((база!$M$6*Таблица1[[#This Row],[сумма]]*Таблица1[[#This Row],[коэф]])),
IF((G217="4/24"),((база!$M$5*Таблица1[[#This Row],[сумма]]*Таблица1[[#This Row],[коэф]])),
IF((G217="3/24"),((база!$M$4*Таблица1[[#This Row],[сумма]]*Таблица1[[#This Row],[коэф]])),
IF((G217="5/16"),((база!$L$6*Таблица1[[#This Row],[сумма]]*Таблица1[[#This Row],[коэф]])),
IF((G217="4/16"),((база!$L$5*Таблица1[[#This Row],[сумма]]*Таблица1[[#This Row],[коэф]])),
IF((G217="3/16"),((база!$L$4*Таблица1[[#This Row],[сумма]]*Таблица1[[#This Row],[коэф]])),
IF((G217="4/4"),((база!$I$5*Таблица1[[#This Row],[сумма]]*Таблица1[[#This Row],[коэф]])),
IF(OR(G217="2/4",G217="3/4"),((база!$I$4*Таблица1[[#This Row],[сумма]]*Таблица1[[#This Row],[коэф]])),
IF((G217="5/8"),((база!$J$6*Таблица1[[#This Row],[сумма]]*Таблица1[[#This Row],[коэф]])),
IF((G217="4/8"),((база!$J$5*Таблица1[[#This Row],[сумма]]*Таблица1[[#This Row],[коэф]])),
IF(OR(G217="3/8",G217="2/8"),((база!$J$4*Таблица1[[#This Row],[сумма]]*Таблица1[[#This Row],[коэф]])))))))))))))),
(IF((G217="5/24"),((база!$M$6*Таблица1[[#This Row],[сумма]]*Таблица1[[#This Row],[коэф]])),
IF(OR(G217="4/24",G217="3/24"),((база!$M$5*Таблица1[[#This Row],[сумма]]*Таблица1[[#This Row],[коэф]])),
IF((G217="5/16"),((база!$L$6*Таблица1[[#This Row],[сумма]]*Таблица1[[#This Row],[коэф]])),
IF(OR(G217="4/16",G217="3/16"),((база!$L$5*Таблица1[[#This Row],[сумма]]*Таблица1[[#This Row],[коэф]])),
IF(OR(G217="2/4",G217="3/4",G217="4/4"),((база!$I$5*Таблица1[[#This Row],[сумма]]*Таблица1[[#This Row],[коэф]])),
IF((G217="5/8"),((база!$J$6*Таблица1[[#This Row],[сумма]]*Таблица1[[#This Row],[коэф]])),
IF(OR(G217="4/8",G217="3/8",G217="2/8"),((база!$J$5*Таблица1[[#This Row],[сумма]]*Таблица1[[#This Row],[коэф]])))))))))))</f>
        <v>0</v>
      </c>
      <c r="AP217" s="696" t="b">
        <f>IF(AR217&lt;=3,(IF((G217="5/24"),((база!$M$6*2*Таблица1[[#This Row],[Столбец1]]*Таблица1[[#This Row],[коэф]])),
IF((G217="4/24"),((база!$M$5*2*Таблица1[[#This Row],[Столбец1]]*Таблица1[[#This Row],[коэф]])),
IF((G217="3/24"),((база!$M$4*2*Таблица1[[#This Row],[Столбец1]]*Таблица1[[#This Row],[коэф]])),
IF((G217="5/16"),((база!$L$6*2*Таблица1[[#This Row],[Столбец1]]*Таблица1[[#This Row],[коэф]])),
IF((G217="4/16"),((база!$L$5*2*Таблица1[[#This Row],[Столбец1]]*Таблица1[[#This Row],[коэф]])),
IF((G217="3/16"),((база!$L$4*2*Таблица1[[#This Row],[Столбец1]]*Таблица1[[#This Row],[коэф]])),
IF((G217="4/4"),((база!$I$5*2*Таблица1[[#This Row],[Столбец1]]*Таблица1[[#This Row],[коэф]])),
IF(OR(G217="2/4",G217="3/4"),((база!$I$4*2*Таблица1[[#This Row],[Столбец1]]*Таблица1[[#This Row],[коэф]])),
IF((G217="5/8"),((база!$J$6*2*Таблица1[[#This Row],[Столбец1]]*Таблица1[[#This Row],[коэф]])),
IF((G217="4/8"),((база!$J$5*2*Таблица1[[#This Row],[Столбец1]]*Таблица1[[#This Row],[коэф]])),
IF(OR(G217="3/8",G217="2/8"),((база!$J$4*2*Таблица1[[#This Row],[Столбец1]]*Таблица1[[#This Row],[коэф]])))))))))))))),
(IF((G217="5/24"),((база!$M$6*2*Таблица1[[#This Row],[Столбец1]]*Таблица1[[#This Row],[коэф]])),
IF(OR(G217="4/24",G217="3/24"),((база!$M$5*2*Таблица1[[#This Row],[Столбец1]]*Таблица1[[#This Row],[коэф]])),
IF((G217="5/16"),((база!$L$6*2*Таблица1[[#This Row],[Столбец1]]*Таблица1[[#This Row],[коэф]])),
IF(OR(G217="4/16",G217="3/16"),((база!$L$5*2*Таблица1[[#This Row],[Столбец1]]*Таблица1[[#This Row],[коэф]])),
IF(OR(G217="2/4",G217="3/4",G217="4/4"),((база!$I$5*2*Таблица1[[#This Row],[Столбец1]]*Таблица1[[#This Row],[коэф]])),
IF((G217="5/8"),((база!$J$6*2*Таблица1[[#This Row],[Столбец1]]*Таблица1[[#This Row],[коэф]])),
IF(OR(G217="4/8",G217="3/8",G217="2/8"),((база!$J$5*2*Таблица1[[#This Row],[Столбец1]]*Таблица1[[#This Row],[коэф]])))))))))))</f>
        <v>0</v>
      </c>
      <c r="AQ217" s="678" t="str">
        <f>IFERROR(INDEX(база!T:T, MATCH(F217,база!Q:Q,0)),"")</f>
        <v/>
      </c>
      <c r="AR217" s="193">
        <f>IFERROR(INDEX(база!D:D, MATCH(F217,база!B:B,0)),"")</f>
        <v>0</v>
      </c>
    </row>
    <row r="218" spans="1:44" ht="15">
      <c r="A218" s="59"/>
      <c r="B218" s="215"/>
      <c r="C218" s="277"/>
      <c r="D218" s="55"/>
      <c r="E218" s="196"/>
      <c r="F218" s="651"/>
      <c r="G218" s="42"/>
      <c r="H218" s="539"/>
      <c r="I218" s="539"/>
      <c r="J218" s="539"/>
      <c r="K218" s="539"/>
      <c r="L218" s="539"/>
      <c r="M218" s="539"/>
      <c r="N218" s="539"/>
      <c r="O218" s="539"/>
      <c r="P218" s="278"/>
      <c r="Q218" s="539"/>
      <c r="R218" s="539"/>
      <c r="S218" s="539"/>
      <c r="T218" s="539"/>
      <c r="U218" s="539"/>
      <c r="V218" s="539"/>
      <c r="W218" s="539"/>
      <c r="X218" s="539"/>
      <c r="Y218" s="539"/>
      <c r="Z218" s="539"/>
      <c r="AA218" s="539"/>
      <c r="AB218" s="539"/>
      <c r="AC218" s="539"/>
      <c r="AD218" s="43"/>
      <c r="AE218" s="43"/>
      <c r="AF218" s="238"/>
      <c r="AG218" s="43"/>
      <c r="AH218" s="43"/>
      <c r="AI218" s="43"/>
      <c r="AJ218" s="43"/>
      <c r="AK218" s="43"/>
      <c r="AL218" s="45"/>
      <c r="AM218" s="197">
        <f>IF(AQ218=1,SUM(H218:I218,L218:O218,R218:U218,X218:AA218,AD218:AG218,AI218:AK218),
IF(AQ218=2,SUM(H218:K218,N218:Q218,T218:W218,Z218:AC218,AF218:AI218),
IF(AQ218=3,SUM(J218:M218,P218:S218,V218:Y218,AB218:AE218,AH218:AK218),SUM(Таблица1[[#This Row],[1]:[31]])-Таблица1[[#This Row],[Столбец1]])))</f>
        <v>0</v>
      </c>
      <c r="AN218" s="269">
        <f t="array" ref="AN218">IF(AQ218=1,SUM(J218:K218,P218:Q218,V218:W218,AB218:AC218,AH218:AI218),
IF(AQ218=2,SUM(L218:M218,R218:S218,X218:Y218,AD218:AE218),
IF(AQ218=3,SUM(H218:I218,N218:O218,T218:U218,Z218:AA218,AF218:AG218),
SUM(IFERROR(WEEKDAY($H$2:$AL$2,2)&gt;5,)*H218:AL218))))</f>
        <v>0</v>
      </c>
      <c r="AO218" s="271" t="b">
        <f>IF(AR218&lt;=3,(IF((G218="5/24"),((база!$M$6*Таблица1[[#This Row],[сумма]]*Таблица1[[#This Row],[коэф]])),
IF((G218="4/24"),((база!$M$5*Таблица1[[#This Row],[сумма]]*Таблица1[[#This Row],[коэф]])),
IF((G218="3/24"),((база!$M$4*Таблица1[[#This Row],[сумма]]*Таблица1[[#This Row],[коэф]])),
IF((G218="5/16"),((база!$L$6*Таблица1[[#This Row],[сумма]]*Таблица1[[#This Row],[коэф]])),
IF((G218="4/16"),((база!$L$5*Таблица1[[#This Row],[сумма]]*Таблица1[[#This Row],[коэф]])),
IF((G218="3/16"),((база!$L$4*Таблица1[[#This Row],[сумма]]*Таблица1[[#This Row],[коэф]])),
IF((G218="4/4"),((база!$I$5*Таблица1[[#This Row],[сумма]]*Таблица1[[#This Row],[коэф]])),
IF(OR(G218="2/4",G218="3/4"),((база!$I$4*Таблица1[[#This Row],[сумма]]*Таблица1[[#This Row],[коэф]])),
IF((G218="5/8"),((база!$J$6*Таблица1[[#This Row],[сумма]]*Таблица1[[#This Row],[коэф]])),
IF((G218="4/8"),((база!$J$5*Таблица1[[#This Row],[сумма]]*Таблица1[[#This Row],[коэф]])),
IF(OR(G218="3/8",G218="2/8"),((база!$J$4*Таблица1[[#This Row],[сумма]]*Таблица1[[#This Row],[коэф]])))))))))))))),
(IF((G218="5/24"),((база!$M$6*Таблица1[[#This Row],[сумма]]*Таблица1[[#This Row],[коэф]])),
IF(OR(G218="4/24",G218="3/24"),((база!$M$5*Таблица1[[#This Row],[сумма]]*Таблица1[[#This Row],[коэф]])),
IF((G218="5/16"),((база!$L$6*Таблица1[[#This Row],[сумма]]*Таблица1[[#This Row],[коэф]])),
IF(OR(G218="4/16",G218="3/16"),((база!$L$5*Таблица1[[#This Row],[сумма]]*Таблица1[[#This Row],[коэф]])),
IF(OR(G218="2/4",G218="3/4",G218="4/4"),((база!$I$5*Таблица1[[#This Row],[сумма]]*Таблица1[[#This Row],[коэф]])),
IF((G218="5/8"),((база!$J$6*Таблица1[[#This Row],[сумма]]*Таблица1[[#This Row],[коэф]])),
IF(OR(G218="4/8",G218="3/8",G218="2/8"),((база!$J$5*Таблица1[[#This Row],[сумма]]*Таблица1[[#This Row],[коэф]])))))))))))</f>
        <v>0</v>
      </c>
      <c r="AP218" s="696" t="b">
        <f>IF(AR218&lt;=3,(IF((G218="5/24"),((база!$M$6*2*Таблица1[[#This Row],[Столбец1]]*Таблица1[[#This Row],[коэф]])),
IF((G218="4/24"),((база!$M$5*2*Таблица1[[#This Row],[Столбец1]]*Таблица1[[#This Row],[коэф]])),
IF((G218="3/24"),((база!$M$4*2*Таблица1[[#This Row],[Столбец1]]*Таблица1[[#This Row],[коэф]])),
IF((G218="5/16"),((база!$L$6*2*Таблица1[[#This Row],[Столбец1]]*Таблица1[[#This Row],[коэф]])),
IF((G218="4/16"),((база!$L$5*2*Таблица1[[#This Row],[Столбец1]]*Таблица1[[#This Row],[коэф]])),
IF((G218="3/16"),((база!$L$4*2*Таблица1[[#This Row],[Столбец1]]*Таблица1[[#This Row],[коэф]])),
IF((G218="4/4"),((база!$I$5*2*Таблица1[[#This Row],[Столбец1]]*Таблица1[[#This Row],[коэф]])),
IF(OR(G218="2/4",G218="3/4"),((база!$I$4*2*Таблица1[[#This Row],[Столбец1]]*Таблица1[[#This Row],[коэф]])),
IF((G218="5/8"),((база!$J$6*2*Таблица1[[#This Row],[Столбец1]]*Таблица1[[#This Row],[коэф]])),
IF((G218="4/8"),((база!$J$5*2*Таблица1[[#This Row],[Столбец1]]*Таблица1[[#This Row],[коэф]])),
IF(OR(G218="3/8",G218="2/8"),((база!$J$4*2*Таблица1[[#This Row],[Столбец1]]*Таблица1[[#This Row],[коэф]])))))))))))))),
(IF((G218="5/24"),((база!$M$6*2*Таблица1[[#This Row],[Столбец1]]*Таблица1[[#This Row],[коэф]])),
IF(OR(G218="4/24",G218="3/24"),((база!$M$5*2*Таблица1[[#This Row],[Столбец1]]*Таблица1[[#This Row],[коэф]])),
IF((G218="5/16"),((база!$L$6*2*Таблица1[[#This Row],[Столбец1]]*Таблица1[[#This Row],[коэф]])),
IF(OR(G218="4/16",G218="3/16"),((база!$L$5*2*Таблица1[[#This Row],[Столбец1]]*Таблица1[[#This Row],[коэф]])),
IF(OR(G218="2/4",G218="3/4",G218="4/4"),((база!$I$5*2*Таблица1[[#This Row],[Столбец1]]*Таблица1[[#This Row],[коэф]])),
IF((G218="5/8"),((база!$J$6*2*Таблица1[[#This Row],[Столбец1]]*Таблица1[[#This Row],[коэф]])),
IF(OR(G218="4/8",G218="3/8",G218="2/8"),((база!$J$5*2*Таблица1[[#This Row],[Столбец1]]*Таблица1[[#This Row],[коэф]])))))))))))</f>
        <v>0</v>
      </c>
      <c r="AQ218" s="678" t="str">
        <f>IFERROR(INDEX(база!T:T, MATCH(F218,база!Q:Q,0)),"")</f>
        <v/>
      </c>
      <c r="AR218" s="193">
        <f>IFERROR(INDEX(база!D:D, MATCH(F218,база!B:B,0)),"")</f>
        <v>0</v>
      </c>
    </row>
    <row r="219" spans="1:44" ht="15">
      <c r="A219" s="59"/>
      <c r="B219" s="215"/>
      <c r="C219" s="277"/>
      <c r="D219" s="55"/>
      <c r="E219" s="196"/>
      <c r="F219" s="651"/>
      <c r="G219" s="42"/>
      <c r="H219" s="539"/>
      <c r="I219" s="539"/>
      <c r="J219" s="539"/>
      <c r="K219" s="539"/>
      <c r="L219" s="539"/>
      <c r="M219" s="539"/>
      <c r="N219" s="539"/>
      <c r="O219" s="539"/>
      <c r="P219" s="539"/>
      <c r="Q219" s="539"/>
      <c r="R219" s="539"/>
      <c r="S219" s="539"/>
      <c r="T219" s="539"/>
      <c r="U219" s="539"/>
      <c r="V219" s="539"/>
      <c r="W219" s="539"/>
      <c r="X219" s="539"/>
      <c r="Y219" s="539"/>
      <c r="Z219" s="539"/>
      <c r="AA219" s="539"/>
      <c r="AB219" s="539"/>
      <c r="AC219" s="539"/>
      <c r="AD219" s="43"/>
      <c r="AE219" s="43"/>
      <c r="AF219" s="238"/>
      <c r="AG219" s="43"/>
      <c r="AH219" s="43"/>
      <c r="AI219" s="238"/>
      <c r="AJ219" s="238"/>
      <c r="AK219" s="238"/>
      <c r="AL219" s="238"/>
      <c r="AM219" s="197">
        <f>IF(AQ219=1,SUM(H219:I219,L219:O219,R219:U219,X219:AA219,AD219:AG219,AI219:AK219),
IF(AQ219=2,SUM(H219:K219,N219:Q219,T219:W219,Z219:AC219,AF219:AI219),
IF(AQ219=3,SUM(J219:M219,P219:S219,V219:Y219,AB219:AE219,AH219:AK219),SUM(Таблица1[[#This Row],[1]:[31]])-Таблица1[[#This Row],[Столбец1]])))</f>
        <v>0</v>
      </c>
      <c r="AN219" s="269">
        <f t="array" ref="AN219">IF(AQ219=1,SUM(J219:K219,P219:Q219,V219:W219,AB219:AC219,AH219:AI219),
IF(AQ219=2,SUM(L219:M219,R219:S219,X219:Y219,AD219:AE219),
IF(AQ219=3,SUM(H219:I219,N219:O219,T219:U219,Z219:AA219,AF219:AG219),
SUM(IFERROR(WEEKDAY($H$2:$AL$2,2)&gt;5,)*H219:AL219))))</f>
        <v>0</v>
      </c>
      <c r="AO219" s="271" t="b">
        <f>IF(AR219&lt;=3,(IF((G219="5/24"),((база!$M$6*Таблица1[[#This Row],[сумма]]*Таблица1[[#This Row],[коэф]])),
IF((G219="4/24"),((база!$M$5*Таблица1[[#This Row],[сумма]]*Таблица1[[#This Row],[коэф]])),
IF((G219="3/24"),((база!$M$4*Таблица1[[#This Row],[сумма]]*Таблица1[[#This Row],[коэф]])),
IF((G219="5/16"),((база!$L$6*Таблица1[[#This Row],[сумма]]*Таблица1[[#This Row],[коэф]])),
IF((G219="4/16"),((база!$L$5*Таблица1[[#This Row],[сумма]]*Таблица1[[#This Row],[коэф]])),
IF((G219="3/16"),((база!$L$4*Таблица1[[#This Row],[сумма]]*Таблица1[[#This Row],[коэф]])),
IF((G219="4/4"),((база!$I$5*Таблица1[[#This Row],[сумма]]*Таблица1[[#This Row],[коэф]])),
IF(OR(G219="2/4",G219="3/4"),((база!$I$4*Таблица1[[#This Row],[сумма]]*Таблица1[[#This Row],[коэф]])),
IF((G219="5/8"),((база!$J$6*Таблица1[[#This Row],[сумма]]*Таблица1[[#This Row],[коэф]])),
IF((G219="4/8"),((база!$J$5*Таблица1[[#This Row],[сумма]]*Таблица1[[#This Row],[коэф]])),
IF(OR(G219="3/8",G219="2/8"),((база!$J$4*Таблица1[[#This Row],[сумма]]*Таблица1[[#This Row],[коэф]])))))))))))))),
(IF((G219="5/24"),((база!$M$6*Таблица1[[#This Row],[сумма]]*Таблица1[[#This Row],[коэф]])),
IF(OR(G219="4/24",G219="3/24"),((база!$M$5*Таблица1[[#This Row],[сумма]]*Таблица1[[#This Row],[коэф]])),
IF((G219="5/16"),((база!$L$6*Таблица1[[#This Row],[сумма]]*Таблица1[[#This Row],[коэф]])),
IF(OR(G219="4/16",G219="3/16"),((база!$L$5*Таблица1[[#This Row],[сумма]]*Таблица1[[#This Row],[коэф]])),
IF(OR(G219="2/4",G219="3/4",G219="4/4"),((база!$I$5*Таблица1[[#This Row],[сумма]]*Таблица1[[#This Row],[коэф]])),
IF((G219="5/8"),((база!$J$6*Таблица1[[#This Row],[сумма]]*Таблица1[[#This Row],[коэф]])),
IF(OR(G219="4/8",G219="3/8",G219="2/8"),((база!$J$5*Таблица1[[#This Row],[сумма]]*Таблица1[[#This Row],[коэф]])))))))))))</f>
        <v>0</v>
      </c>
      <c r="AP219" s="696" t="b">
        <f>IF(AR219&lt;=3,(IF((G219="5/24"),((база!$M$6*2*Таблица1[[#This Row],[Столбец1]]*Таблица1[[#This Row],[коэф]])),
IF((G219="4/24"),((база!$M$5*2*Таблица1[[#This Row],[Столбец1]]*Таблица1[[#This Row],[коэф]])),
IF((G219="3/24"),((база!$M$4*2*Таблица1[[#This Row],[Столбец1]]*Таблица1[[#This Row],[коэф]])),
IF((G219="5/16"),((база!$L$6*2*Таблица1[[#This Row],[Столбец1]]*Таблица1[[#This Row],[коэф]])),
IF((G219="4/16"),((база!$L$5*2*Таблица1[[#This Row],[Столбец1]]*Таблица1[[#This Row],[коэф]])),
IF((G219="3/16"),((база!$L$4*2*Таблица1[[#This Row],[Столбец1]]*Таблица1[[#This Row],[коэф]])),
IF((G219="4/4"),((база!$I$5*2*Таблица1[[#This Row],[Столбец1]]*Таблица1[[#This Row],[коэф]])),
IF(OR(G219="2/4",G219="3/4"),((база!$I$4*2*Таблица1[[#This Row],[Столбец1]]*Таблица1[[#This Row],[коэф]])),
IF((G219="5/8"),((база!$J$6*2*Таблица1[[#This Row],[Столбец1]]*Таблица1[[#This Row],[коэф]])),
IF((G219="4/8"),((база!$J$5*2*Таблица1[[#This Row],[Столбец1]]*Таблица1[[#This Row],[коэф]])),
IF(OR(G219="3/8",G219="2/8"),((база!$J$4*2*Таблица1[[#This Row],[Столбец1]]*Таблица1[[#This Row],[коэф]])))))))))))))),
(IF((G219="5/24"),((база!$M$6*2*Таблица1[[#This Row],[Столбец1]]*Таблица1[[#This Row],[коэф]])),
IF(OR(G219="4/24",G219="3/24"),((база!$M$5*2*Таблица1[[#This Row],[Столбец1]]*Таблица1[[#This Row],[коэф]])),
IF((G219="5/16"),((база!$L$6*2*Таблица1[[#This Row],[Столбец1]]*Таблица1[[#This Row],[коэф]])),
IF(OR(G219="4/16",G219="3/16"),((база!$L$5*2*Таблица1[[#This Row],[Столбец1]]*Таблица1[[#This Row],[коэф]])),
IF(OR(G219="2/4",G219="3/4",G219="4/4"),((база!$I$5*2*Таблица1[[#This Row],[Столбец1]]*Таблица1[[#This Row],[коэф]])),
IF((G219="5/8"),((база!$J$6*2*Таблица1[[#This Row],[Столбец1]]*Таблица1[[#This Row],[коэф]])),
IF(OR(G219="4/8",G219="3/8",G219="2/8"),((база!$J$5*2*Таблица1[[#This Row],[Столбец1]]*Таблица1[[#This Row],[коэф]])))))))))))</f>
        <v>0</v>
      </c>
      <c r="AQ219" s="678" t="str">
        <f>IFERROR(INDEX(база!T:T, MATCH(F219,база!Q:Q,0)),"")</f>
        <v/>
      </c>
      <c r="AR219" s="193">
        <f>IFERROR(INDEX(база!D:D, MATCH(F219,база!B:B,0)),"")</f>
        <v>0</v>
      </c>
    </row>
    <row r="220" spans="1:44" ht="15">
      <c r="A220" s="59"/>
      <c r="B220" s="215"/>
      <c r="C220" s="277"/>
      <c r="D220" s="55"/>
      <c r="E220" s="196"/>
      <c r="F220" s="651"/>
      <c r="G220" s="42"/>
      <c r="H220" s="539"/>
      <c r="I220" s="539"/>
      <c r="J220" s="539"/>
      <c r="K220" s="539"/>
      <c r="L220" s="539"/>
      <c r="M220" s="539"/>
      <c r="N220" s="539"/>
      <c r="O220" s="539"/>
      <c r="P220" s="539"/>
      <c r="Q220" s="539"/>
      <c r="R220" s="539"/>
      <c r="S220" s="539"/>
      <c r="T220" s="539"/>
      <c r="U220" s="539"/>
      <c r="V220" s="539"/>
      <c r="W220" s="539"/>
      <c r="X220" s="539"/>
      <c r="Y220" s="539"/>
      <c r="Z220" s="539"/>
      <c r="AA220" s="539"/>
      <c r="AB220" s="539"/>
      <c r="AC220" s="539"/>
      <c r="AD220" s="43"/>
      <c r="AE220" s="43"/>
      <c r="AF220" s="238"/>
      <c r="AG220" s="43"/>
      <c r="AH220" s="43"/>
      <c r="AI220" s="43"/>
      <c r="AJ220" s="43"/>
      <c r="AK220" s="43"/>
      <c r="AL220" s="45"/>
      <c r="AM220" s="197">
        <f>IF(AQ220=1,SUM(H220:I220,L220:O220,R220:U220,X220:AA220,AD220:AG220,AI220:AK220),
IF(AQ220=2,SUM(H220:K220,N220:Q220,T220:W220,Z220:AC220,AF220:AI220),
IF(AQ220=3,SUM(J220:M220,P220:S220,V220:Y220,AB220:AE220,AH220:AK220),SUM(Таблица1[[#This Row],[1]:[31]])-Таблица1[[#This Row],[Столбец1]])))</f>
        <v>0</v>
      </c>
      <c r="AN220" s="269">
        <f t="array" ref="AN220">IF(AQ220=1,SUM(J220:K220,P220:Q220,V220:W220,AB220:AC220,AH220:AI220),
IF(AQ220=2,SUM(L220:M220,R220:S220,X220:Y220,AD220:AE220),
IF(AQ220=3,SUM(H220:I220,N220:O220,T220:U220,Z220:AA220,AF220:AG220),
SUM(IFERROR(WEEKDAY($H$2:$AL$2,2)&gt;5,)*H220:AL220))))</f>
        <v>0</v>
      </c>
      <c r="AO220" s="271" t="b">
        <f>IF(AR220&lt;=3,(IF((G220="5/24"),((база!$M$6*Таблица1[[#This Row],[сумма]]*Таблица1[[#This Row],[коэф]])),
IF((G220="4/24"),((база!$M$5*Таблица1[[#This Row],[сумма]]*Таблица1[[#This Row],[коэф]])),
IF((G220="3/24"),((база!$M$4*Таблица1[[#This Row],[сумма]]*Таблица1[[#This Row],[коэф]])),
IF((G220="5/16"),((база!$L$6*Таблица1[[#This Row],[сумма]]*Таблица1[[#This Row],[коэф]])),
IF((G220="4/16"),((база!$L$5*Таблица1[[#This Row],[сумма]]*Таблица1[[#This Row],[коэф]])),
IF((G220="3/16"),((база!$L$4*Таблица1[[#This Row],[сумма]]*Таблица1[[#This Row],[коэф]])),
IF((G220="4/4"),((база!$I$5*Таблица1[[#This Row],[сумма]]*Таблица1[[#This Row],[коэф]])),
IF(OR(G220="2/4",G220="3/4"),((база!$I$4*Таблица1[[#This Row],[сумма]]*Таблица1[[#This Row],[коэф]])),
IF((G220="5/8"),((база!$J$6*Таблица1[[#This Row],[сумма]]*Таблица1[[#This Row],[коэф]])),
IF((G220="4/8"),((база!$J$5*Таблица1[[#This Row],[сумма]]*Таблица1[[#This Row],[коэф]])),
IF(OR(G220="3/8",G220="2/8"),((база!$J$4*Таблица1[[#This Row],[сумма]]*Таблица1[[#This Row],[коэф]])))))))))))))),
(IF((G220="5/24"),((база!$M$6*Таблица1[[#This Row],[сумма]]*Таблица1[[#This Row],[коэф]])),
IF(OR(G220="4/24",G220="3/24"),((база!$M$5*Таблица1[[#This Row],[сумма]]*Таблица1[[#This Row],[коэф]])),
IF((G220="5/16"),((база!$L$6*Таблица1[[#This Row],[сумма]]*Таблица1[[#This Row],[коэф]])),
IF(OR(G220="4/16",G220="3/16"),((база!$L$5*Таблица1[[#This Row],[сумма]]*Таблица1[[#This Row],[коэф]])),
IF(OR(G220="2/4",G220="3/4",G220="4/4"),((база!$I$5*Таблица1[[#This Row],[сумма]]*Таблица1[[#This Row],[коэф]])),
IF((G220="5/8"),((база!$J$6*Таблица1[[#This Row],[сумма]]*Таблица1[[#This Row],[коэф]])),
IF(OR(G220="4/8",G220="3/8",G220="2/8"),((база!$J$5*Таблица1[[#This Row],[сумма]]*Таблица1[[#This Row],[коэф]])))))))))))</f>
        <v>0</v>
      </c>
      <c r="AP220" s="696" t="b">
        <f>IF(AR220&lt;=3,(IF((G220="5/24"),((база!$M$6*2*Таблица1[[#This Row],[Столбец1]]*Таблица1[[#This Row],[коэф]])),
IF((G220="4/24"),((база!$M$5*2*Таблица1[[#This Row],[Столбец1]]*Таблица1[[#This Row],[коэф]])),
IF((G220="3/24"),((база!$M$4*2*Таблица1[[#This Row],[Столбец1]]*Таблица1[[#This Row],[коэф]])),
IF((G220="5/16"),((база!$L$6*2*Таблица1[[#This Row],[Столбец1]]*Таблица1[[#This Row],[коэф]])),
IF((G220="4/16"),((база!$L$5*2*Таблица1[[#This Row],[Столбец1]]*Таблица1[[#This Row],[коэф]])),
IF((G220="3/16"),((база!$L$4*2*Таблица1[[#This Row],[Столбец1]]*Таблица1[[#This Row],[коэф]])),
IF((G220="4/4"),((база!$I$5*2*Таблица1[[#This Row],[Столбец1]]*Таблица1[[#This Row],[коэф]])),
IF(OR(G220="2/4",G220="3/4"),((база!$I$4*2*Таблица1[[#This Row],[Столбец1]]*Таблица1[[#This Row],[коэф]])),
IF((G220="5/8"),((база!$J$6*2*Таблица1[[#This Row],[Столбец1]]*Таблица1[[#This Row],[коэф]])),
IF((G220="4/8"),((база!$J$5*2*Таблица1[[#This Row],[Столбец1]]*Таблица1[[#This Row],[коэф]])),
IF(OR(G220="3/8",G220="2/8"),((база!$J$4*2*Таблица1[[#This Row],[Столбец1]]*Таблица1[[#This Row],[коэф]])))))))))))))),
(IF((G220="5/24"),((база!$M$6*2*Таблица1[[#This Row],[Столбец1]]*Таблица1[[#This Row],[коэф]])),
IF(OR(G220="4/24",G220="3/24"),((база!$M$5*2*Таблица1[[#This Row],[Столбец1]]*Таблица1[[#This Row],[коэф]])),
IF((G220="5/16"),((база!$L$6*2*Таблица1[[#This Row],[Столбец1]]*Таблица1[[#This Row],[коэф]])),
IF(OR(G220="4/16",G220="3/16"),((база!$L$5*2*Таблица1[[#This Row],[Столбец1]]*Таблица1[[#This Row],[коэф]])),
IF(OR(G220="2/4",G220="3/4",G220="4/4"),((база!$I$5*2*Таблица1[[#This Row],[Столбец1]]*Таблица1[[#This Row],[коэф]])),
IF((G220="5/8"),((база!$J$6*2*Таблица1[[#This Row],[Столбец1]]*Таблица1[[#This Row],[коэф]])),
IF(OR(G220="4/8",G220="3/8",G220="2/8"),((база!$J$5*2*Таблица1[[#This Row],[Столбец1]]*Таблица1[[#This Row],[коэф]])))))))))))</f>
        <v>0</v>
      </c>
      <c r="AQ220" s="678" t="str">
        <f>IFERROR(INDEX(база!T:T, MATCH(F220,база!Q:Q,0)),"")</f>
        <v/>
      </c>
      <c r="AR220" s="193">
        <f>IFERROR(INDEX(база!D:D, MATCH(F220,база!B:B,0)),"")</f>
        <v>0</v>
      </c>
    </row>
    <row r="221" spans="1:44" ht="15">
      <c r="A221" s="59"/>
      <c r="B221" s="215"/>
      <c r="C221" s="277"/>
      <c r="D221" s="55"/>
      <c r="E221" s="196"/>
      <c r="F221" s="651"/>
      <c r="G221" s="42"/>
      <c r="H221" s="539"/>
      <c r="I221" s="539"/>
      <c r="J221" s="539"/>
      <c r="K221" s="539"/>
      <c r="L221" s="539"/>
      <c r="M221" s="539"/>
      <c r="N221" s="539"/>
      <c r="O221" s="539"/>
      <c r="P221" s="278"/>
      <c r="Q221" s="539"/>
      <c r="R221" s="539"/>
      <c r="S221" s="539"/>
      <c r="T221" s="539"/>
      <c r="U221" s="539"/>
      <c r="V221" s="539"/>
      <c r="W221" s="539"/>
      <c r="X221" s="539"/>
      <c r="Y221" s="539"/>
      <c r="Z221" s="539"/>
      <c r="AA221" s="539"/>
      <c r="AB221" s="539"/>
      <c r="AC221" s="539"/>
      <c r="AD221" s="43"/>
      <c r="AE221" s="43"/>
      <c r="AF221" s="238"/>
      <c r="AG221" s="43"/>
      <c r="AH221" s="43"/>
      <c r="AI221" s="238"/>
      <c r="AJ221" s="238"/>
      <c r="AK221" s="238"/>
      <c r="AL221" s="238"/>
      <c r="AM221" s="197">
        <f>IF(AQ221=1,SUM(H221:I221,L221:O221,R221:U221,X221:AA221,AD221:AG221,AI221:AK221),
IF(AQ221=2,SUM(H221:K221,N221:Q221,T221:W221,Z221:AC221,AF221:AI221),
IF(AQ221=3,SUM(J221:M221,P221:S221,V221:Y221,AB221:AE221,AH221:AK221),SUM(Таблица1[[#This Row],[1]:[31]])-Таблица1[[#This Row],[Столбец1]])))</f>
        <v>0</v>
      </c>
      <c r="AN221" s="269">
        <f t="array" ref="AN221">IF(AQ221=1,SUM(J221:K221,P221:Q221,V221:W221,AB221:AC221,AH221:AI221),
IF(AQ221=2,SUM(L221:M221,R221:S221,X221:Y221,AD221:AE221),
IF(AQ221=3,SUM(H221:I221,N221:O221,T221:U221,Z221:AA221,AF221:AG221),
SUM(IFERROR(WEEKDAY($H$2:$AL$2,2)&gt;5,)*H221:AL221))))</f>
        <v>0</v>
      </c>
      <c r="AO221" s="271" t="b">
        <f>IF(AR221&lt;=3,(IF((G221="5/24"),((база!$M$6*Таблица1[[#This Row],[сумма]]*Таблица1[[#This Row],[коэф]])),
IF((G221="4/24"),((база!$M$5*Таблица1[[#This Row],[сумма]]*Таблица1[[#This Row],[коэф]])),
IF((G221="3/24"),((база!$M$4*Таблица1[[#This Row],[сумма]]*Таблица1[[#This Row],[коэф]])),
IF((G221="5/16"),((база!$L$6*Таблица1[[#This Row],[сумма]]*Таблица1[[#This Row],[коэф]])),
IF((G221="4/16"),((база!$L$5*Таблица1[[#This Row],[сумма]]*Таблица1[[#This Row],[коэф]])),
IF((G221="3/16"),((база!$L$4*Таблица1[[#This Row],[сумма]]*Таблица1[[#This Row],[коэф]])),
IF((G221="4/4"),((база!$I$5*Таблица1[[#This Row],[сумма]]*Таблица1[[#This Row],[коэф]])),
IF(OR(G221="2/4",G221="3/4"),((база!$I$4*Таблица1[[#This Row],[сумма]]*Таблица1[[#This Row],[коэф]])),
IF((G221="5/8"),((база!$J$6*Таблица1[[#This Row],[сумма]]*Таблица1[[#This Row],[коэф]])),
IF((G221="4/8"),((база!$J$5*Таблица1[[#This Row],[сумма]]*Таблица1[[#This Row],[коэф]])),
IF(OR(G221="3/8",G221="2/8"),((база!$J$4*Таблица1[[#This Row],[сумма]]*Таблица1[[#This Row],[коэф]])))))))))))))),
(IF((G221="5/24"),((база!$M$6*Таблица1[[#This Row],[сумма]]*Таблица1[[#This Row],[коэф]])),
IF(OR(G221="4/24",G221="3/24"),((база!$M$5*Таблица1[[#This Row],[сумма]]*Таблица1[[#This Row],[коэф]])),
IF((G221="5/16"),((база!$L$6*Таблица1[[#This Row],[сумма]]*Таблица1[[#This Row],[коэф]])),
IF(OR(G221="4/16",G221="3/16"),((база!$L$5*Таблица1[[#This Row],[сумма]]*Таблица1[[#This Row],[коэф]])),
IF(OR(G221="2/4",G221="3/4",G221="4/4"),((база!$I$5*Таблица1[[#This Row],[сумма]]*Таблица1[[#This Row],[коэф]])),
IF((G221="5/8"),((база!$J$6*Таблица1[[#This Row],[сумма]]*Таблица1[[#This Row],[коэф]])),
IF(OR(G221="4/8",G221="3/8",G221="2/8"),((база!$J$5*Таблица1[[#This Row],[сумма]]*Таблица1[[#This Row],[коэф]])))))))))))</f>
        <v>0</v>
      </c>
      <c r="AP221" s="696" t="b">
        <f>IF(AR221&lt;=3,(IF((G221="5/24"),((база!$M$6*2*Таблица1[[#This Row],[Столбец1]]*Таблица1[[#This Row],[коэф]])),
IF((G221="4/24"),((база!$M$5*2*Таблица1[[#This Row],[Столбец1]]*Таблица1[[#This Row],[коэф]])),
IF((G221="3/24"),((база!$M$4*2*Таблица1[[#This Row],[Столбец1]]*Таблица1[[#This Row],[коэф]])),
IF((G221="5/16"),((база!$L$6*2*Таблица1[[#This Row],[Столбец1]]*Таблица1[[#This Row],[коэф]])),
IF((G221="4/16"),((база!$L$5*2*Таблица1[[#This Row],[Столбец1]]*Таблица1[[#This Row],[коэф]])),
IF((G221="3/16"),((база!$L$4*2*Таблица1[[#This Row],[Столбец1]]*Таблица1[[#This Row],[коэф]])),
IF((G221="4/4"),((база!$I$5*2*Таблица1[[#This Row],[Столбец1]]*Таблица1[[#This Row],[коэф]])),
IF(OR(G221="2/4",G221="3/4"),((база!$I$4*2*Таблица1[[#This Row],[Столбец1]]*Таблица1[[#This Row],[коэф]])),
IF((G221="5/8"),((база!$J$6*2*Таблица1[[#This Row],[Столбец1]]*Таблица1[[#This Row],[коэф]])),
IF((G221="4/8"),((база!$J$5*2*Таблица1[[#This Row],[Столбец1]]*Таблица1[[#This Row],[коэф]])),
IF(OR(G221="3/8",G221="2/8"),((база!$J$4*2*Таблица1[[#This Row],[Столбец1]]*Таблица1[[#This Row],[коэф]])))))))))))))),
(IF((G221="5/24"),((база!$M$6*2*Таблица1[[#This Row],[Столбец1]]*Таблица1[[#This Row],[коэф]])),
IF(OR(G221="4/24",G221="3/24"),((база!$M$5*2*Таблица1[[#This Row],[Столбец1]]*Таблица1[[#This Row],[коэф]])),
IF((G221="5/16"),((база!$L$6*2*Таблица1[[#This Row],[Столбец1]]*Таблица1[[#This Row],[коэф]])),
IF(OR(G221="4/16",G221="3/16"),((база!$L$5*2*Таблица1[[#This Row],[Столбец1]]*Таблица1[[#This Row],[коэф]])),
IF(OR(G221="2/4",G221="3/4",G221="4/4"),((база!$I$5*2*Таблица1[[#This Row],[Столбец1]]*Таблица1[[#This Row],[коэф]])),
IF((G221="5/8"),((база!$J$6*2*Таблица1[[#This Row],[Столбец1]]*Таблица1[[#This Row],[коэф]])),
IF(OR(G221="4/8",G221="3/8",G221="2/8"),((база!$J$5*2*Таблица1[[#This Row],[Столбец1]]*Таблица1[[#This Row],[коэф]])))))))))))</f>
        <v>0</v>
      </c>
      <c r="AQ221" s="678" t="str">
        <f>IFERROR(INDEX(база!T:T, MATCH(F221,база!Q:Q,0)),"")</f>
        <v/>
      </c>
      <c r="AR221" s="193">
        <f>IFERROR(INDEX(база!D:D, MATCH(F221,база!B:B,0)),"")</f>
        <v>0</v>
      </c>
    </row>
    <row r="222" spans="1:44" ht="15" customHeight="1">
      <c r="A222" s="59"/>
      <c r="B222" s="215"/>
      <c r="C222" s="277"/>
      <c r="D222" s="55"/>
      <c r="E222" s="196"/>
      <c r="F222" s="651"/>
      <c r="G222" s="42"/>
      <c r="H222" s="539"/>
      <c r="I222" s="539"/>
      <c r="J222" s="539"/>
      <c r="K222" s="539"/>
      <c r="L222" s="539"/>
      <c r="M222" s="539"/>
      <c r="N222" s="539"/>
      <c r="O222" s="539"/>
      <c r="P222" s="278"/>
      <c r="Q222" s="539"/>
      <c r="R222" s="539"/>
      <c r="S222" s="539"/>
      <c r="T222" s="539"/>
      <c r="U222" s="539"/>
      <c r="V222" s="539"/>
      <c r="W222" s="539"/>
      <c r="X222" s="539"/>
      <c r="Y222" s="539"/>
      <c r="Z222" s="539"/>
      <c r="AA222" s="539"/>
      <c r="AB222" s="539"/>
      <c r="AC222" s="539"/>
      <c r="AD222" s="43"/>
      <c r="AE222" s="43"/>
      <c r="AF222" s="238"/>
      <c r="AG222" s="43"/>
      <c r="AH222" s="43"/>
      <c r="AI222" s="43"/>
      <c r="AJ222" s="43"/>
      <c r="AK222" s="43"/>
      <c r="AL222" s="45"/>
      <c r="AM222" s="197">
        <f>IF(AQ222=1,SUM(H222:I222,L222:O222,R222:U222,X222:AA222,AD222:AG222,AI222:AK222),
IF(AQ222=2,SUM(H222:K222,N222:Q222,T222:W222,Z222:AC222,AF222:AI222),
IF(AQ222=3,SUM(J222:M222,P222:S222,V222:Y222,AB222:AE222,AH222:AK222),SUM(Таблица1[[#This Row],[1]:[31]])-Таблица1[[#This Row],[Столбец1]])))</f>
        <v>0</v>
      </c>
      <c r="AN222" s="269">
        <f t="array" ref="AN222">IF(AQ222=1,SUM(J222:K222,P222:Q222,V222:W222,AB222:AC222,AH222:AI222),
IF(AQ222=2,SUM(L222:M222,R222:S222,X222:Y222,AD222:AE222),
IF(AQ222=3,SUM(H222:I222,N222:O222,T222:U222,Z222:AA222,AF222:AG222),
SUM(IFERROR(WEEKDAY($H$2:$AL$2,2)&gt;5,)*H222:AL222))))</f>
        <v>0</v>
      </c>
      <c r="AO222" s="271" t="b">
        <f>IF(AR222&lt;=3,(IF((G222="5/24"),((база!$M$6*Таблица1[[#This Row],[сумма]]*Таблица1[[#This Row],[коэф]])),
IF((G222="4/24"),((база!$M$5*Таблица1[[#This Row],[сумма]]*Таблица1[[#This Row],[коэф]])),
IF((G222="3/24"),((база!$M$4*Таблица1[[#This Row],[сумма]]*Таблица1[[#This Row],[коэф]])),
IF((G222="5/16"),((база!$L$6*Таблица1[[#This Row],[сумма]]*Таблица1[[#This Row],[коэф]])),
IF((G222="4/16"),((база!$L$5*Таблица1[[#This Row],[сумма]]*Таблица1[[#This Row],[коэф]])),
IF((G222="3/16"),((база!$L$4*Таблица1[[#This Row],[сумма]]*Таблица1[[#This Row],[коэф]])),
IF((G222="4/4"),((база!$I$5*Таблица1[[#This Row],[сумма]]*Таблица1[[#This Row],[коэф]])),
IF(OR(G222="2/4",G222="3/4"),((база!$I$4*Таблица1[[#This Row],[сумма]]*Таблица1[[#This Row],[коэф]])),
IF((G222="5/8"),((база!$J$6*Таблица1[[#This Row],[сумма]]*Таблица1[[#This Row],[коэф]])),
IF((G222="4/8"),((база!$J$5*Таблица1[[#This Row],[сумма]]*Таблица1[[#This Row],[коэф]])),
IF(OR(G222="3/8",G222="2/8"),((база!$J$4*Таблица1[[#This Row],[сумма]]*Таблица1[[#This Row],[коэф]])))))))))))))),
(IF((G222="5/24"),((база!$M$6*Таблица1[[#This Row],[сумма]]*Таблица1[[#This Row],[коэф]])),
IF(OR(G222="4/24",G222="3/24"),((база!$M$5*Таблица1[[#This Row],[сумма]]*Таблица1[[#This Row],[коэф]])),
IF((G222="5/16"),((база!$L$6*Таблица1[[#This Row],[сумма]]*Таблица1[[#This Row],[коэф]])),
IF(OR(G222="4/16",G222="3/16"),((база!$L$5*Таблица1[[#This Row],[сумма]]*Таблица1[[#This Row],[коэф]])),
IF(OR(G222="2/4",G222="3/4",G222="4/4"),((база!$I$5*Таблица1[[#This Row],[сумма]]*Таблица1[[#This Row],[коэф]])),
IF((G222="5/8"),((база!$J$6*Таблица1[[#This Row],[сумма]]*Таблица1[[#This Row],[коэф]])),
IF(OR(G222="4/8",G222="3/8",G222="2/8"),((база!$J$5*Таблица1[[#This Row],[сумма]]*Таблица1[[#This Row],[коэф]])))))))))))</f>
        <v>0</v>
      </c>
      <c r="AP222" s="696" t="b">
        <f>IF(AR222&lt;=3,(IF((G222="5/24"),((база!$M$6*2*Таблица1[[#This Row],[Столбец1]]*Таблица1[[#This Row],[коэф]])),
IF((G222="4/24"),((база!$M$5*2*Таблица1[[#This Row],[Столбец1]]*Таблица1[[#This Row],[коэф]])),
IF((G222="3/24"),((база!$M$4*2*Таблица1[[#This Row],[Столбец1]]*Таблица1[[#This Row],[коэф]])),
IF((G222="5/16"),((база!$L$6*2*Таблица1[[#This Row],[Столбец1]]*Таблица1[[#This Row],[коэф]])),
IF((G222="4/16"),((база!$L$5*2*Таблица1[[#This Row],[Столбец1]]*Таблица1[[#This Row],[коэф]])),
IF((G222="3/16"),((база!$L$4*2*Таблица1[[#This Row],[Столбец1]]*Таблица1[[#This Row],[коэф]])),
IF((G222="4/4"),((база!$I$5*2*Таблица1[[#This Row],[Столбец1]]*Таблица1[[#This Row],[коэф]])),
IF(OR(G222="2/4",G222="3/4"),((база!$I$4*2*Таблица1[[#This Row],[Столбец1]]*Таблица1[[#This Row],[коэф]])),
IF((G222="5/8"),((база!$J$6*2*Таблица1[[#This Row],[Столбец1]]*Таблица1[[#This Row],[коэф]])),
IF((G222="4/8"),((база!$J$5*2*Таблица1[[#This Row],[Столбец1]]*Таблица1[[#This Row],[коэф]])),
IF(OR(G222="3/8",G222="2/8"),((база!$J$4*2*Таблица1[[#This Row],[Столбец1]]*Таблица1[[#This Row],[коэф]])))))))))))))),
(IF((G222="5/24"),((база!$M$6*2*Таблица1[[#This Row],[Столбец1]]*Таблица1[[#This Row],[коэф]])),
IF(OR(G222="4/24",G222="3/24"),((база!$M$5*2*Таблица1[[#This Row],[Столбец1]]*Таблица1[[#This Row],[коэф]])),
IF((G222="5/16"),((база!$L$6*2*Таблица1[[#This Row],[Столбец1]]*Таблица1[[#This Row],[коэф]])),
IF(OR(G222="4/16",G222="3/16"),((база!$L$5*2*Таблица1[[#This Row],[Столбец1]]*Таблица1[[#This Row],[коэф]])),
IF(OR(G222="2/4",G222="3/4",G222="4/4"),((база!$I$5*2*Таблица1[[#This Row],[Столбец1]]*Таблица1[[#This Row],[коэф]])),
IF((G222="5/8"),((база!$J$6*2*Таблица1[[#This Row],[Столбец1]]*Таблица1[[#This Row],[коэф]])),
IF(OR(G222="4/8",G222="3/8",G222="2/8"),((база!$J$5*2*Таблица1[[#This Row],[Столбец1]]*Таблица1[[#This Row],[коэф]])))))))))))</f>
        <v>0</v>
      </c>
      <c r="AQ222" s="678" t="str">
        <f>IFERROR(INDEX(база!T:T, MATCH(F222,база!Q:Q,0)),"")</f>
        <v/>
      </c>
      <c r="AR222" s="193">
        <f>IFERROR(INDEX(база!D:D, MATCH(F222,база!B:B,0)),"")</f>
        <v>0</v>
      </c>
    </row>
    <row r="223" spans="1:44" ht="15" customHeight="1">
      <c r="A223" s="59"/>
      <c r="B223" s="215"/>
      <c r="C223" s="54"/>
      <c r="D223" s="55"/>
      <c r="E223" s="196"/>
      <c r="F223" s="651"/>
      <c r="G223" s="42"/>
      <c r="H223" s="539"/>
      <c r="I223" s="539"/>
      <c r="J223" s="539"/>
      <c r="K223" s="539"/>
      <c r="L223" s="539"/>
      <c r="M223" s="539"/>
      <c r="N223" s="539"/>
      <c r="O223" s="539"/>
      <c r="P223" s="539"/>
      <c r="Q223" s="539"/>
      <c r="R223" s="539"/>
      <c r="S223" s="539"/>
      <c r="T223" s="539"/>
      <c r="U223" s="539"/>
      <c r="V223" s="539"/>
      <c r="W223" s="539"/>
      <c r="X223" s="539"/>
      <c r="Y223" s="539"/>
      <c r="Z223" s="539"/>
      <c r="AA223" s="539"/>
      <c r="AB223" s="539"/>
      <c r="AC223" s="539"/>
      <c r="AD223" s="43"/>
      <c r="AE223" s="43"/>
      <c r="AF223" s="238"/>
      <c r="AG223" s="43"/>
      <c r="AH223" s="43"/>
      <c r="AI223" s="238"/>
      <c r="AJ223" s="238"/>
      <c r="AK223" s="238"/>
      <c r="AL223" s="238"/>
      <c r="AM223" s="197">
        <f>IF(AQ223=1,SUM(H223:I223,L223:O223,R223:U223,X223:AA223,AD223:AG223,AI223:AK223),
IF(AQ223=2,SUM(H223:K223,N223:Q223,T223:W223,Z223:AC223,AF223:AI223),
IF(AQ223=3,SUM(J223:M223,P223:S223,V223:Y223,AB223:AE223,AH223:AK223),SUM(Таблица1[[#This Row],[1]:[31]])-Таблица1[[#This Row],[Столбец1]])))</f>
        <v>0</v>
      </c>
      <c r="AN223" s="269">
        <f t="array" ref="AN223">IF(AQ223=1,SUM(J223:K223,P223:Q223,V223:W223,AB223:AC223,AH223:AI223),
IF(AQ223=2,SUM(L223:M223,R223:S223,X223:Y223,AD223:AE223),
IF(AQ223=3,SUM(H223:I223,N223:O223,T223:U223,Z223:AA223,AF223:AG223),
SUM(IFERROR(WEEKDAY($H$2:$AL$2,2)&gt;5,)*H223:AL223))))</f>
        <v>0</v>
      </c>
      <c r="AO223" s="271" t="b">
        <f>IF(AR223&lt;=3,(IF((G223="5/24"),((база!$M$6*Таблица1[[#This Row],[сумма]]*Таблица1[[#This Row],[коэф]])),
IF((G223="4/24"),((база!$M$5*Таблица1[[#This Row],[сумма]]*Таблица1[[#This Row],[коэф]])),
IF((G223="3/24"),((база!$M$4*Таблица1[[#This Row],[сумма]]*Таблица1[[#This Row],[коэф]])),
IF((G223="5/16"),((база!$L$6*Таблица1[[#This Row],[сумма]]*Таблица1[[#This Row],[коэф]])),
IF((G223="4/16"),((база!$L$5*Таблица1[[#This Row],[сумма]]*Таблица1[[#This Row],[коэф]])),
IF((G223="3/16"),((база!$L$4*Таблица1[[#This Row],[сумма]]*Таблица1[[#This Row],[коэф]])),
IF((G223="4/4"),((база!$I$5*Таблица1[[#This Row],[сумма]]*Таблица1[[#This Row],[коэф]])),
IF(OR(G223="2/4",G223="3/4"),((база!$I$4*Таблица1[[#This Row],[сумма]]*Таблица1[[#This Row],[коэф]])),
IF((G223="5/8"),((база!$J$6*Таблица1[[#This Row],[сумма]]*Таблица1[[#This Row],[коэф]])),
IF((G223="4/8"),((база!$J$5*Таблица1[[#This Row],[сумма]]*Таблица1[[#This Row],[коэф]])),
IF(OR(G223="3/8",G223="2/8"),((база!$J$4*Таблица1[[#This Row],[сумма]]*Таблица1[[#This Row],[коэф]])))))))))))))),
(IF((G223="5/24"),((база!$M$6*Таблица1[[#This Row],[сумма]]*Таблица1[[#This Row],[коэф]])),
IF(OR(G223="4/24",G223="3/24"),((база!$M$5*Таблица1[[#This Row],[сумма]]*Таблица1[[#This Row],[коэф]])),
IF((G223="5/16"),((база!$L$6*Таблица1[[#This Row],[сумма]]*Таблица1[[#This Row],[коэф]])),
IF(OR(G223="4/16",G223="3/16"),((база!$L$5*Таблица1[[#This Row],[сумма]]*Таблица1[[#This Row],[коэф]])),
IF(OR(G223="2/4",G223="3/4",G223="4/4"),((база!$I$5*Таблица1[[#This Row],[сумма]]*Таблица1[[#This Row],[коэф]])),
IF((G223="5/8"),((база!$J$6*Таблица1[[#This Row],[сумма]]*Таблица1[[#This Row],[коэф]])),
IF(OR(G223="4/8",G223="3/8",G223="2/8"),((база!$J$5*Таблица1[[#This Row],[сумма]]*Таблица1[[#This Row],[коэф]])))))))))))</f>
        <v>0</v>
      </c>
      <c r="AP223" s="696" t="b">
        <f>IF(AR223&lt;=3,(IF((G223="5/24"),((база!$M$6*2*Таблица1[[#This Row],[Столбец1]]*Таблица1[[#This Row],[коэф]])),
IF((G223="4/24"),((база!$M$5*2*Таблица1[[#This Row],[Столбец1]]*Таблица1[[#This Row],[коэф]])),
IF((G223="3/24"),((база!$M$4*2*Таблица1[[#This Row],[Столбец1]]*Таблица1[[#This Row],[коэф]])),
IF((G223="5/16"),((база!$L$6*2*Таблица1[[#This Row],[Столбец1]]*Таблица1[[#This Row],[коэф]])),
IF((G223="4/16"),((база!$L$5*2*Таблица1[[#This Row],[Столбец1]]*Таблица1[[#This Row],[коэф]])),
IF((G223="3/16"),((база!$L$4*2*Таблица1[[#This Row],[Столбец1]]*Таблица1[[#This Row],[коэф]])),
IF((G223="4/4"),((база!$I$5*2*Таблица1[[#This Row],[Столбец1]]*Таблица1[[#This Row],[коэф]])),
IF(OR(G223="2/4",G223="3/4"),((база!$I$4*2*Таблица1[[#This Row],[Столбец1]]*Таблица1[[#This Row],[коэф]])),
IF((G223="5/8"),((база!$J$6*2*Таблица1[[#This Row],[Столбец1]]*Таблица1[[#This Row],[коэф]])),
IF((G223="4/8"),((база!$J$5*2*Таблица1[[#This Row],[Столбец1]]*Таблица1[[#This Row],[коэф]])),
IF(OR(G223="3/8",G223="2/8"),((база!$J$4*2*Таблица1[[#This Row],[Столбец1]]*Таблица1[[#This Row],[коэф]])))))))))))))),
(IF((G223="5/24"),((база!$M$6*2*Таблица1[[#This Row],[Столбец1]]*Таблица1[[#This Row],[коэф]])),
IF(OR(G223="4/24",G223="3/24"),((база!$M$5*2*Таблица1[[#This Row],[Столбец1]]*Таблица1[[#This Row],[коэф]])),
IF((G223="5/16"),((база!$L$6*2*Таблица1[[#This Row],[Столбец1]]*Таблица1[[#This Row],[коэф]])),
IF(OR(G223="4/16",G223="3/16"),((база!$L$5*2*Таблица1[[#This Row],[Столбец1]]*Таблица1[[#This Row],[коэф]])),
IF(OR(G223="2/4",G223="3/4",G223="4/4"),((база!$I$5*2*Таблица1[[#This Row],[Столбец1]]*Таблица1[[#This Row],[коэф]])),
IF((G223="5/8"),((база!$J$6*2*Таблица1[[#This Row],[Столбец1]]*Таблица1[[#This Row],[коэф]])),
IF(OR(G223="4/8",G223="3/8",G223="2/8"),((база!$J$5*2*Таблица1[[#This Row],[Столбец1]]*Таблица1[[#This Row],[коэф]])))))))))))</f>
        <v>0</v>
      </c>
      <c r="AQ223" s="678" t="str">
        <f>IFERROR(INDEX(база!T:T, MATCH(F223,база!Q:Q,0)),"")</f>
        <v/>
      </c>
      <c r="AR223" s="193">
        <f>IFERROR(INDEX(база!D:D, MATCH(F223,база!B:B,0)),"")</f>
        <v>0</v>
      </c>
    </row>
    <row r="224" spans="1:44" ht="15">
      <c r="A224" s="59"/>
      <c r="B224" s="215"/>
      <c r="C224" s="277"/>
      <c r="D224" s="55"/>
      <c r="E224" s="196"/>
      <c r="F224" s="651"/>
      <c r="G224" s="42"/>
      <c r="H224" s="539"/>
      <c r="I224" s="539"/>
      <c r="J224" s="539"/>
      <c r="K224" s="539"/>
      <c r="L224" s="539"/>
      <c r="M224" s="539"/>
      <c r="N224" s="539"/>
      <c r="O224" s="539"/>
      <c r="P224" s="278"/>
      <c r="Q224" s="539"/>
      <c r="R224" s="539"/>
      <c r="S224" s="539"/>
      <c r="T224" s="539"/>
      <c r="U224" s="539"/>
      <c r="V224" s="539"/>
      <c r="W224" s="539"/>
      <c r="X224" s="539"/>
      <c r="Y224" s="539"/>
      <c r="Z224" s="539"/>
      <c r="AA224" s="539"/>
      <c r="AB224" s="539"/>
      <c r="AC224" s="539"/>
      <c r="AD224" s="43"/>
      <c r="AE224" s="43"/>
      <c r="AF224" s="43"/>
      <c r="AG224" s="43"/>
      <c r="AH224" s="43"/>
      <c r="AI224" s="43"/>
      <c r="AJ224" s="43"/>
      <c r="AK224" s="43"/>
      <c r="AL224" s="43"/>
      <c r="AM224" s="197">
        <f>IF(AQ224=1,SUM(H224:I224,L224:O224,R224:U224,X224:AA224,AD224:AG224,AI224:AK224),
IF(AQ224=2,SUM(H224:K224,N224:Q224,T224:W224,Z224:AC224,AF224:AI224),
IF(AQ224=3,SUM(J224:M224,P224:S224,V224:Y224,AB224:AE224,AH224:AK224),SUM(Таблица1[[#This Row],[1]:[31]])-Таблица1[[#This Row],[Столбец1]])))</f>
        <v>0</v>
      </c>
      <c r="AN224" s="269">
        <f t="array" ref="AN224">IF(AQ224=1,SUM(J224:K224,P224:Q224,V224:W224,AB224:AC224,AH224:AI224),
IF(AQ224=2,SUM(L224:M224,R224:S224,X224:Y224,AD224:AE224),
IF(AQ224=3,SUM(H224:I224,N224:O224,T224:U224,Z224:AA224,AF224:AG224),
SUM(IFERROR(WEEKDAY($H$2:$AL$2,2)&gt;5,)*H224:AL224))))</f>
        <v>0</v>
      </c>
      <c r="AO224" s="271" t="b">
        <f>IF(AR224&lt;=3,(IF((G224="5/24"),((база!$M$6*Таблица1[[#This Row],[сумма]]*Таблица1[[#This Row],[коэф]])),
IF((G224="4/24"),((база!$M$5*Таблица1[[#This Row],[сумма]]*Таблица1[[#This Row],[коэф]])),
IF((G224="3/24"),((база!$M$4*Таблица1[[#This Row],[сумма]]*Таблица1[[#This Row],[коэф]])),
IF((G224="5/16"),((база!$L$6*Таблица1[[#This Row],[сумма]]*Таблица1[[#This Row],[коэф]])),
IF((G224="4/16"),((база!$L$5*Таблица1[[#This Row],[сумма]]*Таблица1[[#This Row],[коэф]])),
IF((G224="3/16"),((база!$L$4*Таблица1[[#This Row],[сумма]]*Таблица1[[#This Row],[коэф]])),
IF((G224="4/4"),((база!$I$5*Таблица1[[#This Row],[сумма]]*Таблица1[[#This Row],[коэф]])),
IF(OR(G224="2/4",G224="3/4"),((база!$I$4*Таблица1[[#This Row],[сумма]]*Таблица1[[#This Row],[коэф]])),
IF((G224="5/8"),((база!$J$6*Таблица1[[#This Row],[сумма]]*Таблица1[[#This Row],[коэф]])),
IF((G224="4/8"),((база!$J$5*Таблица1[[#This Row],[сумма]]*Таблица1[[#This Row],[коэф]])),
IF(OR(G224="3/8",G224="2/8"),((база!$J$4*Таблица1[[#This Row],[сумма]]*Таблица1[[#This Row],[коэф]])))))))))))))),
(IF((G224="5/24"),((база!$M$6*Таблица1[[#This Row],[сумма]]*Таблица1[[#This Row],[коэф]])),
IF(OR(G224="4/24",G224="3/24"),((база!$M$5*Таблица1[[#This Row],[сумма]]*Таблица1[[#This Row],[коэф]])),
IF((G224="5/16"),((база!$L$6*Таблица1[[#This Row],[сумма]]*Таблица1[[#This Row],[коэф]])),
IF(OR(G224="4/16",G224="3/16"),((база!$L$5*Таблица1[[#This Row],[сумма]]*Таблица1[[#This Row],[коэф]])),
IF(OR(G224="2/4",G224="3/4",G224="4/4"),((база!$I$5*Таблица1[[#This Row],[сумма]]*Таблица1[[#This Row],[коэф]])),
IF((G224="5/8"),((база!$J$6*Таблица1[[#This Row],[сумма]]*Таблица1[[#This Row],[коэф]])),
IF(OR(G224="4/8",G224="3/8",G224="2/8"),((база!$J$5*Таблица1[[#This Row],[сумма]]*Таблица1[[#This Row],[коэф]])))))))))))</f>
        <v>0</v>
      </c>
      <c r="AP224" s="696" t="b">
        <f>IF(AR224&lt;=3,(IF((G224="5/24"),((база!$M$6*2*Таблица1[[#This Row],[Столбец1]]*Таблица1[[#This Row],[коэф]])),
IF((G224="4/24"),((база!$M$5*2*Таблица1[[#This Row],[Столбец1]]*Таблица1[[#This Row],[коэф]])),
IF((G224="3/24"),((база!$M$4*2*Таблица1[[#This Row],[Столбец1]]*Таблица1[[#This Row],[коэф]])),
IF((G224="5/16"),((база!$L$6*2*Таблица1[[#This Row],[Столбец1]]*Таблица1[[#This Row],[коэф]])),
IF((G224="4/16"),((база!$L$5*2*Таблица1[[#This Row],[Столбец1]]*Таблица1[[#This Row],[коэф]])),
IF((G224="3/16"),((база!$L$4*2*Таблица1[[#This Row],[Столбец1]]*Таблица1[[#This Row],[коэф]])),
IF((G224="4/4"),((база!$I$5*2*Таблица1[[#This Row],[Столбец1]]*Таблица1[[#This Row],[коэф]])),
IF(OR(G224="2/4",G224="3/4"),((база!$I$4*2*Таблица1[[#This Row],[Столбец1]]*Таблица1[[#This Row],[коэф]])),
IF((G224="5/8"),((база!$J$6*2*Таблица1[[#This Row],[Столбец1]]*Таблица1[[#This Row],[коэф]])),
IF((G224="4/8"),((база!$J$5*2*Таблица1[[#This Row],[Столбец1]]*Таблица1[[#This Row],[коэф]])),
IF(OR(G224="3/8",G224="2/8"),((база!$J$4*2*Таблица1[[#This Row],[Столбец1]]*Таблица1[[#This Row],[коэф]])))))))))))))),
(IF((G224="5/24"),((база!$M$6*2*Таблица1[[#This Row],[Столбец1]]*Таблица1[[#This Row],[коэф]])),
IF(OR(G224="4/24",G224="3/24"),((база!$M$5*2*Таблица1[[#This Row],[Столбец1]]*Таблица1[[#This Row],[коэф]])),
IF((G224="5/16"),((база!$L$6*2*Таблица1[[#This Row],[Столбец1]]*Таблица1[[#This Row],[коэф]])),
IF(OR(G224="4/16",G224="3/16"),((база!$L$5*2*Таблица1[[#This Row],[Столбец1]]*Таблица1[[#This Row],[коэф]])),
IF(OR(G224="2/4",G224="3/4",G224="4/4"),((база!$I$5*2*Таблица1[[#This Row],[Столбец1]]*Таблица1[[#This Row],[коэф]])),
IF((G224="5/8"),((база!$J$6*2*Таблица1[[#This Row],[Столбец1]]*Таблица1[[#This Row],[коэф]])),
IF(OR(G224="4/8",G224="3/8",G224="2/8"),((база!$J$5*2*Таблица1[[#This Row],[Столбец1]]*Таблица1[[#This Row],[коэф]])))))))))))</f>
        <v>0</v>
      </c>
      <c r="AQ224" s="678" t="str">
        <f>IFERROR(INDEX(база!T:T, MATCH(F224,база!Q:Q,0)),"")</f>
        <v/>
      </c>
      <c r="AR224" s="193">
        <f>IFERROR(INDEX(база!D:D, MATCH(F224,база!B:B,0)),"")</f>
        <v>0</v>
      </c>
    </row>
    <row r="225" spans="1:44" ht="15">
      <c r="A225" s="59"/>
      <c r="B225" s="215"/>
      <c r="C225" s="277"/>
      <c r="D225" s="55"/>
      <c r="E225" s="196"/>
      <c r="F225" s="651"/>
      <c r="G225" s="42"/>
      <c r="H225" s="539"/>
      <c r="I225" s="539"/>
      <c r="J225" s="539"/>
      <c r="K225" s="539"/>
      <c r="L225" s="539"/>
      <c r="M225" s="539"/>
      <c r="N225" s="539"/>
      <c r="O225" s="539"/>
      <c r="P225" s="278"/>
      <c r="Q225" s="539"/>
      <c r="R225" s="539"/>
      <c r="S225" s="539"/>
      <c r="T225" s="539"/>
      <c r="U225" s="539"/>
      <c r="V225" s="539"/>
      <c r="W225" s="539"/>
      <c r="X225" s="539"/>
      <c r="Y225" s="539"/>
      <c r="Z225" s="539"/>
      <c r="AA225" s="539"/>
      <c r="AB225" s="539"/>
      <c r="AC225" s="539"/>
      <c r="AD225" s="43"/>
      <c r="AE225" s="43"/>
      <c r="AF225" s="238"/>
      <c r="AG225" s="43"/>
      <c r="AH225" s="43"/>
      <c r="AI225" s="238"/>
      <c r="AJ225" s="238"/>
      <c r="AK225" s="238"/>
      <c r="AL225" s="238"/>
      <c r="AM225" s="197">
        <f>IF(AQ225=1,SUM(H225:I225,L225:O225,R225:U225,X225:AA225,AD225:AG225,AI225:AK225),
IF(AQ225=2,SUM(H225:K225,N225:Q225,T225:W225,Z225:AC225,AF225:AI225),
IF(AQ225=3,SUM(J225:M225,P225:S225,V225:Y225,AB225:AE225,AH225:AK225),SUM(Таблица1[[#This Row],[1]:[31]])-Таблица1[[#This Row],[Столбец1]])))</f>
        <v>0</v>
      </c>
      <c r="AN225" s="269">
        <f t="array" ref="AN225">IF(AQ225=1,SUM(J225:K225,P225:Q225,V225:W225,AB225:AC225,AH225:AI225),
IF(AQ225=2,SUM(L225:M225,R225:S225,X225:Y225,AD225:AE225),
IF(AQ225=3,SUM(H225:I225,N225:O225,T225:U225,Z225:AA225,AF225:AG225),
SUM(IFERROR(WEEKDAY($H$2:$AL$2,2)&gt;5,)*H225:AL225))))</f>
        <v>0</v>
      </c>
      <c r="AO225" s="271" t="b">
        <f>IF(AR225&lt;=3,(IF((G225="5/24"),((база!$M$6*Таблица1[[#This Row],[сумма]]*Таблица1[[#This Row],[коэф]])),
IF((G225="4/24"),((база!$M$5*Таблица1[[#This Row],[сумма]]*Таблица1[[#This Row],[коэф]])),
IF((G225="3/24"),((база!$M$4*Таблица1[[#This Row],[сумма]]*Таблица1[[#This Row],[коэф]])),
IF((G225="5/16"),((база!$L$6*Таблица1[[#This Row],[сумма]]*Таблица1[[#This Row],[коэф]])),
IF((G225="4/16"),((база!$L$5*Таблица1[[#This Row],[сумма]]*Таблица1[[#This Row],[коэф]])),
IF((G225="3/16"),((база!$L$4*Таблица1[[#This Row],[сумма]]*Таблица1[[#This Row],[коэф]])),
IF((G225="4/4"),((база!$I$5*Таблица1[[#This Row],[сумма]]*Таблица1[[#This Row],[коэф]])),
IF(OR(G225="2/4",G225="3/4"),((база!$I$4*Таблица1[[#This Row],[сумма]]*Таблица1[[#This Row],[коэф]])),
IF((G225="5/8"),((база!$J$6*Таблица1[[#This Row],[сумма]]*Таблица1[[#This Row],[коэф]])),
IF((G225="4/8"),((база!$J$5*Таблица1[[#This Row],[сумма]]*Таблица1[[#This Row],[коэф]])),
IF(OR(G225="3/8",G225="2/8"),((база!$J$4*Таблица1[[#This Row],[сумма]]*Таблица1[[#This Row],[коэф]])))))))))))))),
(IF((G225="5/24"),((база!$M$6*Таблица1[[#This Row],[сумма]]*Таблица1[[#This Row],[коэф]])),
IF(OR(G225="4/24",G225="3/24"),((база!$M$5*Таблица1[[#This Row],[сумма]]*Таблица1[[#This Row],[коэф]])),
IF((G225="5/16"),((база!$L$6*Таблица1[[#This Row],[сумма]]*Таблица1[[#This Row],[коэф]])),
IF(OR(G225="4/16",G225="3/16"),((база!$L$5*Таблица1[[#This Row],[сумма]]*Таблица1[[#This Row],[коэф]])),
IF(OR(G225="2/4",G225="3/4",G225="4/4"),((база!$I$5*Таблица1[[#This Row],[сумма]]*Таблица1[[#This Row],[коэф]])),
IF((G225="5/8"),((база!$J$6*Таблица1[[#This Row],[сумма]]*Таблица1[[#This Row],[коэф]])),
IF(OR(G225="4/8",G225="3/8",G225="2/8"),((база!$J$5*Таблица1[[#This Row],[сумма]]*Таблица1[[#This Row],[коэф]])))))))))))</f>
        <v>0</v>
      </c>
      <c r="AP225" s="696" t="b">
        <f>IF(AR225&lt;=3,(IF((G225="5/24"),((база!$M$6*2*Таблица1[[#This Row],[Столбец1]]*Таблица1[[#This Row],[коэф]])),
IF((G225="4/24"),((база!$M$5*2*Таблица1[[#This Row],[Столбец1]]*Таблица1[[#This Row],[коэф]])),
IF((G225="3/24"),((база!$M$4*2*Таблица1[[#This Row],[Столбец1]]*Таблица1[[#This Row],[коэф]])),
IF((G225="5/16"),((база!$L$6*2*Таблица1[[#This Row],[Столбец1]]*Таблица1[[#This Row],[коэф]])),
IF((G225="4/16"),((база!$L$5*2*Таблица1[[#This Row],[Столбец1]]*Таблица1[[#This Row],[коэф]])),
IF((G225="3/16"),((база!$L$4*2*Таблица1[[#This Row],[Столбец1]]*Таблица1[[#This Row],[коэф]])),
IF((G225="4/4"),((база!$I$5*2*Таблица1[[#This Row],[Столбец1]]*Таблица1[[#This Row],[коэф]])),
IF(OR(G225="2/4",G225="3/4"),((база!$I$4*2*Таблица1[[#This Row],[Столбец1]]*Таблица1[[#This Row],[коэф]])),
IF((G225="5/8"),((база!$J$6*2*Таблица1[[#This Row],[Столбец1]]*Таблица1[[#This Row],[коэф]])),
IF((G225="4/8"),((база!$J$5*2*Таблица1[[#This Row],[Столбец1]]*Таблица1[[#This Row],[коэф]])),
IF(OR(G225="3/8",G225="2/8"),((база!$J$4*2*Таблица1[[#This Row],[Столбец1]]*Таблица1[[#This Row],[коэф]])))))))))))))),
(IF((G225="5/24"),((база!$M$6*2*Таблица1[[#This Row],[Столбец1]]*Таблица1[[#This Row],[коэф]])),
IF(OR(G225="4/24",G225="3/24"),((база!$M$5*2*Таблица1[[#This Row],[Столбец1]]*Таблица1[[#This Row],[коэф]])),
IF((G225="5/16"),((база!$L$6*2*Таблица1[[#This Row],[Столбец1]]*Таблица1[[#This Row],[коэф]])),
IF(OR(G225="4/16",G225="3/16"),((база!$L$5*2*Таблица1[[#This Row],[Столбец1]]*Таблица1[[#This Row],[коэф]])),
IF(OR(G225="2/4",G225="3/4",G225="4/4"),((база!$I$5*2*Таблица1[[#This Row],[Столбец1]]*Таблица1[[#This Row],[коэф]])),
IF((G225="5/8"),((база!$J$6*2*Таблица1[[#This Row],[Столбец1]]*Таблица1[[#This Row],[коэф]])),
IF(OR(G225="4/8",G225="3/8",G225="2/8"),((база!$J$5*2*Таблица1[[#This Row],[Столбец1]]*Таблица1[[#This Row],[коэф]])))))))))))</f>
        <v>0</v>
      </c>
      <c r="AQ225" s="678" t="str">
        <f>IFERROR(INDEX(база!T:T, MATCH(F225,база!Q:Q,0)),"")</f>
        <v/>
      </c>
      <c r="AR225" s="193">
        <f>IFERROR(INDEX(база!D:D, MATCH(F225,база!B:B,0)),"")</f>
        <v>0</v>
      </c>
    </row>
    <row r="226" spans="1:44" ht="15">
      <c r="A226" s="59"/>
      <c r="B226" s="215"/>
      <c r="C226" s="277"/>
      <c r="D226" s="55"/>
      <c r="E226" s="196"/>
      <c r="F226" s="651"/>
      <c r="G226" s="42"/>
      <c r="H226" s="539"/>
      <c r="I226" s="539"/>
      <c r="J226" s="539"/>
      <c r="K226" s="539"/>
      <c r="L226" s="539"/>
      <c r="M226" s="539"/>
      <c r="N226" s="539"/>
      <c r="O226" s="539"/>
      <c r="P226" s="278"/>
      <c r="Q226" s="539"/>
      <c r="R226" s="539"/>
      <c r="S226" s="539"/>
      <c r="T226" s="539"/>
      <c r="U226" s="539"/>
      <c r="V226" s="539"/>
      <c r="W226" s="539"/>
      <c r="X226" s="539"/>
      <c r="Y226" s="539"/>
      <c r="Z226" s="539"/>
      <c r="AA226" s="539"/>
      <c r="AB226" s="539"/>
      <c r="AC226" s="539"/>
      <c r="AD226" s="238"/>
      <c r="AE226" s="238"/>
      <c r="AF226" s="238"/>
      <c r="AG226" s="43"/>
      <c r="AH226" s="43"/>
      <c r="AI226" s="43"/>
      <c r="AJ226" s="43"/>
      <c r="AK226" s="43"/>
      <c r="AL226" s="45"/>
      <c r="AM226" s="197">
        <f>IF(AQ226=1,SUM(H226:I226,L226:O226,R226:U226,X226:AA226,AD226:AG226,AI226:AK226),
IF(AQ226=2,SUM(H226:K226,N226:Q226,T226:W226,Z226:AC226,AF226:AI226),
IF(AQ226=3,SUM(J226:M226,P226:S226,V226:Y226,AB226:AE226,AH226:AK226),SUM(Таблица1[[#This Row],[1]:[31]])-Таблица1[[#This Row],[Столбец1]])))</f>
        <v>0</v>
      </c>
      <c r="AN226" s="269">
        <f t="array" ref="AN226">IF(AQ226=1,SUM(J226:K226,P226:Q226,V226:W226,AB226:AC226,AH226:AI226),
IF(AQ226=2,SUM(L226:M226,R226:S226,X226:Y226,AD226:AE226),
IF(AQ226=3,SUM(H226:I226,N226:O226,T226:U226,Z226:AA226,AF226:AG226),
SUM(IFERROR(WEEKDAY($H$2:$AL$2,2)&gt;5,)*H226:AL226))))</f>
        <v>0</v>
      </c>
      <c r="AO226" s="271" t="b">
        <f>IF(AR226&lt;=3,(IF((G226="5/24"),((база!$M$6*Таблица1[[#This Row],[сумма]]*Таблица1[[#This Row],[коэф]])),
IF((G226="4/24"),((база!$M$5*Таблица1[[#This Row],[сумма]]*Таблица1[[#This Row],[коэф]])),
IF((G226="3/24"),((база!$M$4*Таблица1[[#This Row],[сумма]]*Таблица1[[#This Row],[коэф]])),
IF((G226="5/16"),((база!$L$6*Таблица1[[#This Row],[сумма]]*Таблица1[[#This Row],[коэф]])),
IF((G226="4/16"),((база!$L$5*Таблица1[[#This Row],[сумма]]*Таблица1[[#This Row],[коэф]])),
IF((G226="3/16"),((база!$L$4*Таблица1[[#This Row],[сумма]]*Таблица1[[#This Row],[коэф]])),
IF((G226="4/4"),((база!$I$5*Таблица1[[#This Row],[сумма]]*Таблица1[[#This Row],[коэф]])),
IF(OR(G226="2/4",G226="3/4"),((база!$I$4*Таблица1[[#This Row],[сумма]]*Таблица1[[#This Row],[коэф]])),
IF((G226="5/8"),((база!$J$6*Таблица1[[#This Row],[сумма]]*Таблица1[[#This Row],[коэф]])),
IF((G226="4/8"),((база!$J$5*Таблица1[[#This Row],[сумма]]*Таблица1[[#This Row],[коэф]])),
IF(OR(G226="3/8",G226="2/8"),((база!$J$4*Таблица1[[#This Row],[сумма]]*Таблица1[[#This Row],[коэф]])))))))))))))),
(IF((G226="5/24"),((база!$M$6*Таблица1[[#This Row],[сумма]]*Таблица1[[#This Row],[коэф]])),
IF(OR(G226="4/24",G226="3/24"),((база!$M$5*Таблица1[[#This Row],[сумма]]*Таблица1[[#This Row],[коэф]])),
IF((G226="5/16"),((база!$L$6*Таблица1[[#This Row],[сумма]]*Таблица1[[#This Row],[коэф]])),
IF(OR(G226="4/16",G226="3/16"),((база!$L$5*Таблица1[[#This Row],[сумма]]*Таблица1[[#This Row],[коэф]])),
IF(OR(G226="2/4",G226="3/4",G226="4/4"),((база!$I$5*Таблица1[[#This Row],[сумма]]*Таблица1[[#This Row],[коэф]])),
IF((G226="5/8"),((база!$J$6*Таблица1[[#This Row],[сумма]]*Таблица1[[#This Row],[коэф]])),
IF(OR(G226="4/8",G226="3/8",G226="2/8"),((база!$J$5*Таблица1[[#This Row],[сумма]]*Таблица1[[#This Row],[коэф]])))))))))))</f>
        <v>0</v>
      </c>
      <c r="AP226" s="696" t="b">
        <f>IF(AR226&lt;=3,(IF((G226="5/24"),((база!$M$6*2*Таблица1[[#This Row],[Столбец1]]*Таблица1[[#This Row],[коэф]])),
IF((G226="4/24"),((база!$M$5*2*Таблица1[[#This Row],[Столбец1]]*Таблица1[[#This Row],[коэф]])),
IF((G226="3/24"),((база!$M$4*2*Таблица1[[#This Row],[Столбец1]]*Таблица1[[#This Row],[коэф]])),
IF((G226="5/16"),((база!$L$6*2*Таблица1[[#This Row],[Столбец1]]*Таблица1[[#This Row],[коэф]])),
IF((G226="4/16"),((база!$L$5*2*Таблица1[[#This Row],[Столбец1]]*Таблица1[[#This Row],[коэф]])),
IF((G226="3/16"),((база!$L$4*2*Таблица1[[#This Row],[Столбец1]]*Таблица1[[#This Row],[коэф]])),
IF((G226="4/4"),((база!$I$5*2*Таблица1[[#This Row],[Столбец1]]*Таблица1[[#This Row],[коэф]])),
IF(OR(G226="2/4",G226="3/4"),((база!$I$4*2*Таблица1[[#This Row],[Столбец1]]*Таблица1[[#This Row],[коэф]])),
IF((G226="5/8"),((база!$J$6*2*Таблица1[[#This Row],[Столбец1]]*Таблица1[[#This Row],[коэф]])),
IF((G226="4/8"),((база!$J$5*2*Таблица1[[#This Row],[Столбец1]]*Таблица1[[#This Row],[коэф]])),
IF(OR(G226="3/8",G226="2/8"),((база!$J$4*2*Таблица1[[#This Row],[Столбец1]]*Таблица1[[#This Row],[коэф]])))))))))))))),
(IF((G226="5/24"),((база!$M$6*2*Таблица1[[#This Row],[Столбец1]]*Таблица1[[#This Row],[коэф]])),
IF(OR(G226="4/24",G226="3/24"),((база!$M$5*2*Таблица1[[#This Row],[Столбец1]]*Таблица1[[#This Row],[коэф]])),
IF((G226="5/16"),((база!$L$6*2*Таблица1[[#This Row],[Столбец1]]*Таблица1[[#This Row],[коэф]])),
IF(OR(G226="4/16",G226="3/16"),((база!$L$5*2*Таблица1[[#This Row],[Столбец1]]*Таблица1[[#This Row],[коэф]])),
IF(OR(G226="2/4",G226="3/4",G226="4/4"),((база!$I$5*2*Таблица1[[#This Row],[Столбец1]]*Таблица1[[#This Row],[коэф]])),
IF((G226="5/8"),((база!$J$6*2*Таблица1[[#This Row],[Столбец1]]*Таблица1[[#This Row],[коэф]])),
IF(OR(G226="4/8",G226="3/8",G226="2/8"),((база!$J$5*2*Таблица1[[#This Row],[Столбец1]]*Таблица1[[#This Row],[коэф]])))))))))))</f>
        <v>0</v>
      </c>
      <c r="AQ226" s="678" t="str">
        <f>IFERROR(INDEX(база!T:T, MATCH(F226,база!Q:Q,0)),"")</f>
        <v/>
      </c>
      <c r="AR226" s="193">
        <f>IFERROR(INDEX(база!D:D, MATCH(F226,база!B:B,0)),"")</f>
        <v>0</v>
      </c>
    </row>
    <row r="227" spans="1:44" ht="15">
      <c r="A227" s="59"/>
      <c r="B227" s="215"/>
      <c r="C227" s="54"/>
      <c r="D227" s="55"/>
      <c r="E227" s="196"/>
      <c r="F227" s="651"/>
      <c r="G227" s="42"/>
      <c r="H227" s="539"/>
      <c r="I227" s="539"/>
      <c r="J227" s="539"/>
      <c r="K227" s="539"/>
      <c r="L227" s="539"/>
      <c r="M227" s="539"/>
      <c r="N227" s="539"/>
      <c r="O227" s="539"/>
      <c r="P227" s="278"/>
      <c r="Q227" s="539"/>
      <c r="R227" s="539"/>
      <c r="S227" s="539"/>
      <c r="T227" s="539"/>
      <c r="U227" s="539"/>
      <c r="V227" s="539"/>
      <c r="W227" s="539"/>
      <c r="X227" s="539"/>
      <c r="Y227" s="539"/>
      <c r="Z227" s="539"/>
      <c r="AA227" s="539"/>
      <c r="AB227" s="539"/>
      <c r="AC227" s="539"/>
      <c r="AD227" s="43"/>
      <c r="AE227" s="43"/>
      <c r="AF227" s="238"/>
      <c r="AG227" s="43"/>
      <c r="AH227" s="43"/>
      <c r="AI227" s="43"/>
      <c r="AJ227" s="43"/>
      <c r="AK227" s="43"/>
      <c r="AL227" s="45"/>
      <c r="AM227" s="197">
        <f>IF(AQ227=1,SUM(H227:I227,L227:O227,R227:U227,X227:AA227,AD227:AG227,AI227:AK227),
IF(AQ227=2,SUM(H227:K227,N227:Q227,T227:W227,Z227:AC227,AF227:AI227),
IF(AQ227=3,SUM(J227:M227,P227:S227,V227:Y227,AB227:AE227,AH227:AK227),SUM(Таблица1[[#This Row],[1]:[31]])-Таблица1[[#This Row],[Столбец1]])))</f>
        <v>0</v>
      </c>
      <c r="AN227" s="269">
        <f t="array" ref="AN227">IF(AQ227=1,SUM(J227:K227,P227:Q227,V227:W227,AB227:AC227,AH227:AI227),
IF(AQ227=2,SUM(L227:M227,R227:S227,X227:Y227,AD227:AE227),
IF(AQ227=3,SUM(H227:I227,N227:O227,T227:U227,Z227:AA227,AF227:AG227),
SUM(IFERROR(WEEKDAY($H$2:$AL$2,2)&gt;5,)*H227:AL227))))</f>
        <v>0</v>
      </c>
      <c r="AO227" s="271" t="b">
        <f>IF(AR227&lt;=3,(IF((G227="5/24"),((база!$M$6*Таблица1[[#This Row],[сумма]]*Таблица1[[#This Row],[коэф]])),
IF((G227="4/24"),((база!$M$5*Таблица1[[#This Row],[сумма]]*Таблица1[[#This Row],[коэф]])),
IF((G227="3/24"),((база!$M$4*Таблица1[[#This Row],[сумма]]*Таблица1[[#This Row],[коэф]])),
IF((G227="5/16"),((база!$L$6*Таблица1[[#This Row],[сумма]]*Таблица1[[#This Row],[коэф]])),
IF((G227="4/16"),((база!$L$5*Таблица1[[#This Row],[сумма]]*Таблица1[[#This Row],[коэф]])),
IF((G227="3/16"),((база!$L$4*Таблица1[[#This Row],[сумма]]*Таблица1[[#This Row],[коэф]])),
IF((G227="4/4"),((база!$I$5*Таблица1[[#This Row],[сумма]]*Таблица1[[#This Row],[коэф]])),
IF(OR(G227="2/4",G227="3/4"),((база!$I$4*Таблица1[[#This Row],[сумма]]*Таблица1[[#This Row],[коэф]])),
IF((G227="5/8"),((база!$J$6*Таблица1[[#This Row],[сумма]]*Таблица1[[#This Row],[коэф]])),
IF((G227="4/8"),((база!$J$5*Таблица1[[#This Row],[сумма]]*Таблица1[[#This Row],[коэф]])),
IF(OR(G227="3/8",G227="2/8"),((база!$J$4*Таблица1[[#This Row],[сумма]]*Таблица1[[#This Row],[коэф]])))))))))))))),
(IF((G227="5/24"),((база!$M$6*Таблица1[[#This Row],[сумма]]*Таблица1[[#This Row],[коэф]])),
IF(OR(G227="4/24",G227="3/24"),((база!$M$5*Таблица1[[#This Row],[сумма]]*Таблица1[[#This Row],[коэф]])),
IF((G227="5/16"),((база!$L$6*Таблица1[[#This Row],[сумма]]*Таблица1[[#This Row],[коэф]])),
IF(OR(G227="4/16",G227="3/16"),((база!$L$5*Таблица1[[#This Row],[сумма]]*Таблица1[[#This Row],[коэф]])),
IF(OR(G227="2/4",G227="3/4",G227="4/4"),((база!$I$5*Таблица1[[#This Row],[сумма]]*Таблица1[[#This Row],[коэф]])),
IF((G227="5/8"),((база!$J$6*Таблица1[[#This Row],[сумма]]*Таблица1[[#This Row],[коэф]])),
IF(OR(G227="4/8",G227="3/8",G227="2/8"),((база!$J$5*Таблица1[[#This Row],[сумма]]*Таблица1[[#This Row],[коэф]])))))))))))</f>
        <v>0</v>
      </c>
      <c r="AP227" s="696" t="b">
        <f>IF(AR227&lt;=3,(IF((G227="5/24"),((база!$M$6*2*Таблица1[[#This Row],[Столбец1]]*Таблица1[[#This Row],[коэф]])),
IF((G227="4/24"),((база!$M$5*2*Таблица1[[#This Row],[Столбец1]]*Таблица1[[#This Row],[коэф]])),
IF((G227="3/24"),((база!$M$4*2*Таблица1[[#This Row],[Столбец1]]*Таблица1[[#This Row],[коэф]])),
IF((G227="5/16"),((база!$L$6*2*Таблица1[[#This Row],[Столбец1]]*Таблица1[[#This Row],[коэф]])),
IF((G227="4/16"),((база!$L$5*2*Таблица1[[#This Row],[Столбец1]]*Таблица1[[#This Row],[коэф]])),
IF((G227="3/16"),((база!$L$4*2*Таблица1[[#This Row],[Столбец1]]*Таблица1[[#This Row],[коэф]])),
IF((G227="4/4"),((база!$I$5*2*Таблица1[[#This Row],[Столбец1]]*Таблица1[[#This Row],[коэф]])),
IF(OR(G227="2/4",G227="3/4"),((база!$I$4*2*Таблица1[[#This Row],[Столбец1]]*Таблица1[[#This Row],[коэф]])),
IF((G227="5/8"),((база!$J$6*2*Таблица1[[#This Row],[Столбец1]]*Таблица1[[#This Row],[коэф]])),
IF((G227="4/8"),((база!$J$5*2*Таблица1[[#This Row],[Столбец1]]*Таблица1[[#This Row],[коэф]])),
IF(OR(G227="3/8",G227="2/8"),((база!$J$4*2*Таблица1[[#This Row],[Столбец1]]*Таблица1[[#This Row],[коэф]])))))))))))))),
(IF((G227="5/24"),((база!$M$6*2*Таблица1[[#This Row],[Столбец1]]*Таблица1[[#This Row],[коэф]])),
IF(OR(G227="4/24",G227="3/24"),((база!$M$5*2*Таблица1[[#This Row],[Столбец1]]*Таблица1[[#This Row],[коэф]])),
IF((G227="5/16"),((база!$L$6*2*Таблица1[[#This Row],[Столбец1]]*Таблица1[[#This Row],[коэф]])),
IF(OR(G227="4/16",G227="3/16"),((база!$L$5*2*Таблица1[[#This Row],[Столбец1]]*Таблица1[[#This Row],[коэф]])),
IF(OR(G227="2/4",G227="3/4",G227="4/4"),((база!$I$5*2*Таблица1[[#This Row],[Столбец1]]*Таблица1[[#This Row],[коэф]])),
IF((G227="5/8"),((база!$J$6*2*Таблица1[[#This Row],[Столбец1]]*Таблица1[[#This Row],[коэф]])),
IF(OR(G227="4/8",G227="3/8",G227="2/8"),((база!$J$5*2*Таблица1[[#This Row],[Столбец1]]*Таблица1[[#This Row],[коэф]])))))))))))</f>
        <v>0</v>
      </c>
      <c r="AQ227" s="678" t="str">
        <f>IFERROR(INDEX(база!T:T, MATCH(F227,база!Q:Q,0)),"")</f>
        <v/>
      </c>
      <c r="AR227" s="193">
        <f>IFERROR(INDEX(база!D:D, MATCH(F227,база!B:B,0)),"")</f>
        <v>0</v>
      </c>
    </row>
    <row r="228" spans="1:44" ht="15">
      <c r="A228" s="59"/>
      <c r="B228" s="215"/>
      <c r="C228" s="54"/>
      <c r="D228" s="55"/>
      <c r="E228" s="196"/>
      <c r="F228" s="651"/>
      <c r="G228" s="42"/>
      <c r="H228" s="539"/>
      <c r="I228" s="539"/>
      <c r="J228" s="539"/>
      <c r="K228" s="539"/>
      <c r="L228" s="539"/>
      <c r="M228" s="539"/>
      <c r="N228" s="539"/>
      <c r="O228" s="539"/>
      <c r="P228" s="278"/>
      <c r="Q228" s="539"/>
      <c r="R228" s="539"/>
      <c r="S228" s="539"/>
      <c r="T228" s="539"/>
      <c r="U228" s="539"/>
      <c r="V228" s="539"/>
      <c r="W228" s="539"/>
      <c r="X228" s="539"/>
      <c r="Y228" s="539"/>
      <c r="Z228" s="539"/>
      <c r="AA228" s="539"/>
      <c r="AB228" s="539"/>
      <c r="AC228" s="539"/>
      <c r="AD228" s="238"/>
      <c r="AE228" s="238"/>
      <c r="AF228" s="238"/>
      <c r="AG228" s="43"/>
      <c r="AH228" s="43"/>
      <c r="AI228" s="43"/>
      <c r="AJ228" s="43"/>
      <c r="AK228" s="43"/>
      <c r="AL228" s="45"/>
      <c r="AM228" s="197">
        <f>IF(AQ228=1,SUM(H228:I228,L228:O228,R228:U228,X228:AA228,AD228:AG228,AI228:AK228),
IF(AQ228=2,SUM(H228:K228,N228:Q228,T228:W228,Z228:AC228,AF228:AI228),
IF(AQ228=3,SUM(J228:M228,P228:S228,V228:Y228,AB228:AE228,AH228:AK228),SUM(Таблица1[[#This Row],[1]:[31]])-Таблица1[[#This Row],[Столбец1]])))</f>
        <v>0</v>
      </c>
      <c r="AN228" s="269">
        <f t="array" ref="AN228">IF(AQ228=1,SUM(J228:K228,P228:Q228,V228:W228,AB228:AC228,AH228:AI228),
IF(AQ228=2,SUM(L228:M228,R228:S228,X228:Y228,AD228:AE228),
IF(AQ228=3,SUM(H228:I228,N228:O228,T228:U228,Z228:AA228,AF228:AG228),
SUM(IFERROR(WEEKDAY($H$2:$AL$2,2)&gt;5,)*H228:AL228))))</f>
        <v>0</v>
      </c>
      <c r="AO228" s="271" t="b">
        <f>IF(AR228&lt;=3,(IF((G228="5/24"),((база!$M$6*Таблица1[[#This Row],[сумма]]*Таблица1[[#This Row],[коэф]])),
IF((G228="4/24"),((база!$M$5*Таблица1[[#This Row],[сумма]]*Таблица1[[#This Row],[коэф]])),
IF((G228="3/24"),((база!$M$4*Таблица1[[#This Row],[сумма]]*Таблица1[[#This Row],[коэф]])),
IF((G228="5/16"),((база!$L$6*Таблица1[[#This Row],[сумма]]*Таблица1[[#This Row],[коэф]])),
IF((G228="4/16"),((база!$L$5*Таблица1[[#This Row],[сумма]]*Таблица1[[#This Row],[коэф]])),
IF((G228="3/16"),((база!$L$4*Таблица1[[#This Row],[сумма]]*Таблица1[[#This Row],[коэф]])),
IF((G228="4/4"),((база!$I$5*Таблица1[[#This Row],[сумма]]*Таблица1[[#This Row],[коэф]])),
IF(OR(G228="2/4",G228="3/4"),((база!$I$4*Таблица1[[#This Row],[сумма]]*Таблица1[[#This Row],[коэф]])),
IF((G228="5/8"),((база!$J$6*Таблица1[[#This Row],[сумма]]*Таблица1[[#This Row],[коэф]])),
IF((G228="4/8"),((база!$J$5*Таблица1[[#This Row],[сумма]]*Таблица1[[#This Row],[коэф]])),
IF(OR(G228="3/8",G228="2/8"),((база!$J$4*Таблица1[[#This Row],[сумма]]*Таблица1[[#This Row],[коэф]])))))))))))))),
(IF((G228="5/24"),((база!$M$6*Таблица1[[#This Row],[сумма]]*Таблица1[[#This Row],[коэф]])),
IF(OR(G228="4/24",G228="3/24"),((база!$M$5*Таблица1[[#This Row],[сумма]]*Таблица1[[#This Row],[коэф]])),
IF((G228="5/16"),((база!$L$6*Таблица1[[#This Row],[сумма]]*Таблица1[[#This Row],[коэф]])),
IF(OR(G228="4/16",G228="3/16"),((база!$L$5*Таблица1[[#This Row],[сумма]]*Таблица1[[#This Row],[коэф]])),
IF(OR(G228="2/4",G228="3/4",G228="4/4"),((база!$I$5*Таблица1[[#This Row],[сумма]]*Таблица1[[#This Row],[коэф]])),
IF((G228="5/8"),((база!$J$6*Таблица1[[#This Row],[сумма]]*Таблица1[[#This Row],[коэф]])),
IF(OR(G228="4/8",G228="3/8",G228="2/8"),((база!$J$5*Таблица1[[#This Row],[сумма]]*Таблица1[[#This Row],[коэф]])))))))))))</f>
        <v>0</v>
      </c>
      <c r="AP228" s="696" t="b">
        <f>IF(AR228&lt;=3,(IF((G228="5/24"),((база!$M$6*2*Таблица1[[#This Row],[Столбец1]]*Таблица1[[#This Row],[коэф]])),
IF((G228="4/24"),((база!$M$5*2*Таблица1[[#This Row],[Столбец1]]*Таблица1[[#This Row],[коэф]])),
IF((G228="3/24"),((база!$M$4*2*Таблица1[[#This Row],[Столбец1]]*Таблица1[[#This Row],[коэф]])),
IF((G228="5/16"),((база!$L$6*2*Таблица1[[#This Row],[Столбец1]]*Таблица1[[#This Row],[коэф]])),
IF((G228="4/16"),((база!$L$5*2*Таблица1[[#This Row],[Столбец1]]*Таблица1[[#This Row],[коэф]])),
IF((G228="3/16"),((база!$L$4*2*Таблица1[[#This Row],[Столбец1]]*Таблица1[[#This Row],[коэф]])),
IF((G228="4/4"),((база!$I$5*2*Таблица1[[#This Row],[Столбец1]]*Таблица1[[#This Row],[коэф]])),
IF(OR(G228="2/4",G228="3/4"),((база!$I$4*2*Таблица1[[#This Row],[Столбец1]]*Таблица1[[#This Row],[коэф]])),
IF((G228="5/8"),((база!$J$6*2*Таблица1[[#This Row],[Столбец1]]*Таблица1[[#This Row],[коэф]])),
IF((G228="4/8"),((база!$J$5*2*Таблица1[[#This Row],[Столбец1]]*Таблица1[[#This Row],[коэф]])),
IF(OR(G228="3/8",G228="2/8"),((база!$J$4*2*Таблица1[[#This Row],[Столбец1]]*Таблица1[[#This Row],[коэф]])))))))))))))),
(IF((G228="5/24"),((база!$M$6*2*Таблица1[[#This Row],[Столбец1]]*Таблица1[[#This Row],[коэф]])),
IF(OR(G228="4/24",G228="3/24"),((база!$M$5*2*Таблица1[[#This Row],[Столбец1]]*Таблица1[[#This Row],[коэф]])),
IF((G228="5/16"),((база!$L$6*2*Таблица1[[#This Row],[Столбец1]]*Таблица1[[#This Row],[коэф]])),
IF(OR(G228="4/16",G228="3/16"),((база!$L$5*2*Таблица1[[#This Row],[Столбец1]]*Таблица1[[#This Row],[коэф]])),
IF(OR(G228="2/4",G228="3/4",G228="4/4"),((база!$I$5*2*Таблица1[[#This Row],[Столбец1]]*Таблица1[[#This Row],[коэф]])),
IF((G228="5/8"),((база!$J$6*2*Таблица1[[#This Row],[Столбец1]]*Таблица1[[#This Row],[коэф]])),
IF(OR(G228="4/8",G228="3/8",G228="2/8"),((база!$J$5*2*Таблица1[[#This Row],[Столбец1]]*Таблица1[[#This Row],[коэф]])))))))))))</f>
        <v>0</v>
      </c>
      <c r="AQ228" s="678" t="str">
        <f>IFERROR(INDEX(база!T:T, MATCH(F228,база!Q:Q,0)),"")</f>
        <v/>
      </c>
      <c r="AR228" s="193">
        <f>IFERROR(INDEX(база!D:D, MATCH(F228,база!B:B,0)),"")</f>
        <v>0</v>
      </c>
    </row>
    <row r="229" spans="1:44" ht="15">
      <c r="A229" s="59"/>
      <c r="B229" s="215"/>
      <c r="C229" s="277"/>
      <c r="D229" s="55"/>
      <c r="E229" s="196"/>
      <c r="F229" s="651"/>
      <c r="G229" s="42"/>
      <c r="H229" s="539"/>
      <c r="I229" s="539"/>
      <c r="J229" s="539"/>
      <c r="K229" s="539"/>
      <c r="L229" s="539"/>
      <c r="M229" s="539"/>
      <c r="N229" s="539"/>
      <c r="O229" s="539"/>
      <c r="P229" s="278"/>
      <c r="Q229" s="539"/>
      <c r="R229" s="539"/>
      <c r="S229" s="539"/>
      <c r="T229" s="539"/>
      <c r="U229" s="539"/>
      <c r="V229" s="539"/>
      <c r="W229" s="539"/>
      <c r="X229" s="539"/>
      <c r="Y229" s="539"/>
      <c r="Z229" s="539"/>
      <c r="AA229" s="539"/>
      <c r="AB229" s="539"/>
      <c r="AC229" s="539"/>
      <c r="AD229" s="43"/>
      <c r="AE229" s="43"/>
      <c r="AF229" s="238"/>
      <c r="AG229" s="43"/>
      <c r="AH229" s="43"/>
      <c r="AI229" s="238"/>
      <c r="AJ229" s="238"/>
      <c r="AK229" s="238"/>
      <c r="AL229" s="238"/>
      <c r="AM229" s="197">
        <f>IF(AQ229=1,SUM(H229:I229,L229:O229,R229:U229,X229:AA229,AD229:AG229,AI229:AK229),
IF(AQ229=2,SUM(H229:K229,N229:Q229,T229:W229,Z229:AC229,AF229:AI229),
IF(AQ229=3,SUM(J229:M229,P229:S229,V229:Y229,AB229:AE229,AH229:AK229),SUM(Таблица1[[#This Row],[1]:[31]])-Таблица1[[#This Row],[Столбец1]])))</f>
        <v>0</v>
      </c>
      <c r="AN229" s="269">
        <f t="array" ref="AN229">IF(AQ229=1,SUM(J229:K229,P229:Q229,V229:W229,AB229:AC229,AH229:AI229),
IF(AQ229=2,SUM(L229:M229,R229:S229,X229:Y229,AD229:AE229),
IF(AQ229=3,SUM(H229:I229,N229:O229,T229:U229,Z229:AA229,AF229:AG229),
SUM(IFERROR(WEEKDAY($H$2:$AL$2,2)&gt;5,)*H229:AL229))))</f>
        <v>0</v>
      </c>
      <c r="AO229" s="271" t="b">
        <f>IF(AR229&lt;=3,(IF((G229="5/24"),((база!$M$6*Таблица1[[#This Row],[сумма]]*Таблица1[[#This Row],[коэф]])),
IF((G229="4/24"),((база!$M$5*Таблица1[[#This Row],[сумма]]*Таблица1[[#This Row],[коэф]])),
IF((G229="3/24"),((база!$M$4*Таблица1[[#This Row],[сумма]]*Таблица1[[#This Row],[коэф]])),
IF((G229="5/16"),((база!$L$6*Таблица1[[#This Row],[сумма]]*Таблица1[[#This Row],[коэф]])),
IF((G229="4/16"),((база!$L$5*Таблица1[[#This Row],[сумма]]*Таблица1[[#This Row],[коэф]])),
IF((G229="3/16"),((база!$L$4*Таблица1[[#This Row],[сумма]]*Таблица1[[#This Row],[коэф]])),
IF((G229="4/4"),((база!$I$5*Таблица1[[#This Row],[сумма]]*Таблица1[[#This Row],[коэф]])),
IF(OR(G229="2/4",G229="3/4"),((база!$I$4*Таблица1[[#This Row],[сумма]]*Таблица1[[#This Row],[коэф]])),
IF((G229="5/8"),((база!$J$6*Таблица1[[#This Row],[сумма]]*Таблица1[[#This Row],[коэф]])),
IF((G229="4/8"),((база!$J$5*Таблица1[[#This Row],[сумма]]*Таблица1[[#This Row],[коэф]])),
IF(OR(G229="3/8",G229="2/8"),((база!$J$4*Таблица1[[#This Row],[сумма]]*Таблица1[[#This Row],[коэф]])))))))))))))),
(IF((G229="5/24"),((база!$M$6*Таблица1[[#This Row],[сумма]]*Таблица1[[#This Row],[коэф]])),
IF(OR(G229="4/24",G229="3/24"),((база!$M$5*Таблица1[[#This Row],[сумма]]*Таблица1[[#This Row],[коэф]])),
IF((G229="5/16"),((база!$L$6*Таблица1[[#This Row],[сумма]]*Таблица1[[#This Row],[коэф]])),
IF(OR(G229="4/16",G229="3/16"),((база!$L$5*Таблица1[[#This Row],[сумма]]*Таблица1[[#This Row],[коэф]])),
IF(OR(G229="2/4",G229="3/4",G229="4/4"),((база!$I$5*Таблица1[[#This Row],[сумма]]*Таблица1[[#This Row],[коэф]])),
IF((G229="5/8"),((база!$J$6*Таблица1[[#This Row],[сумма]]*Таблица1[[#This Row],[коэф]])),
IF(OR(G229="4/8",G229="3/8",G229="2/8"),((база!$J$5*Таблица1[[#This Row],[сумма]]*Таблица1[[#This Row],[коэф]])))))))))))</f>
        <v>0</v>
      </c>
      <c r="AP229" s="696" t="b">
        <f>IF(AR229&lt;=3,(IF((G229="5/24"),((база!$M$6*2*Таблица1[[#This Row],[Столбец1]]*Таблица1[[#This Row],[коэф]])),
IF((G229="4/24"),((база!$M$5*2*Таблица1[[#This Row],[Столбец1]]*Таблица1[[#This Row],[коэф]])),
IF((G229="3/24"),((база!$M$4*2*Таблица1[[#This Row],[Столбец1]]*Таблица1[[#This Row],[коэф]])),
IF((G229="5/16"),((база!$L$6*2*Таблица1[[#This Row],[Столбец1]]*Таблица1[[#This Row],[коэф]])),
IF((G229="4/16"),((база!$L$5*2*Таблица1[[#This Row],[Столбец1]]*Таблица1[[#This Row],[коэф]])),
IF((G229="3/16"),((база!$L$4*2*Таблица1[[#This Row],[Столбец1]]*Таблица1[[#This Row],[коэф]])),
IF((G229="4/4"),((база!$I$5*2*Таблица1[[#This Row],[Столбец1]]*Таблица1[[#This Row],[коэф]])),
IF(OR(G229="2/4",G229="3/4"),((база!$I$4*2*Таблица1[[#This Row],[Столбец1]]*Таблица1[[#This Row],[коэф]])),
IF((G229="5/8"),((база!$J$6*2*Таблица1[[#This Row],[Столбец1]]*Таблица1[[#This Row],[коэф]])),
IF((G229="4/8"),((база!$J$5*2*Таблица1[[#This Row],[Столбец1]]*Таблица1[[#This Row],[коэф]])),
IF(OR(G229="3/8",G229="2/8"),((база!$J$4*2*Таблица1[[#This Row],[Столбец1]]*Таблица1[[#This Row],[коэф]])))))))))))))),
(IF((G229="5/24"),((база!$M$6*2*Таблица1[[#This Row],[Столбец1]]*Таблица1[[#This Row],[коэф]])),
IF(OR(G229="4/24",G229="3/24"),((база!$M$5*2*Таблица1[[#This Row],[Столбец1]]*Таблица1[[#This Row],[коэф]])),
IF((G229="5/16"),((база!$L$6*2*Таблица1[[#This Row],[Столбец1]]*Таблица1[[#This Row],[коэф]])),
IF(OR(G229="4/16",G229="3/16"),((база!$L$5*2*Таблица1[[#This Row],[Столбец1]]*Таблица1[[#This Row],[коэф]])),
IF(OR(G229="2/4",G229="3/4",G229="4/4"),((база!$I$5*2*Таблица1[[#This Row],[Столбец1]]*Таблица1[[#This Row],[коэф]])),
IF((G229="5/8"),((база!$J$6*2*Таблица1[[#This Row],[Столбец1]]*Таблица1[[#This Row],[коэф]])),
IF(OR(G229="4/8",G229="3/8",G229="2/8"),((база!$J$5*2*Таблица1[[#This Row],[Столбец1]]*Таблица1[[#This Row],[коэф]])))))))))))</f>
        <v>0</v>
      </c>
      <c r="AQ229" s="678" t="str">
        <f>IFERROR(INDEX(база!T:T, MATCH(F229,база!Q:Q,0)),"")</f>
        <v/>
      </c>
      <c r="AR229" s="193">
        <f>IFERROR(INDEX(база!D:D, MATCH(F229,база!B:B,0)),"")</f>
        <v>0</v>
      </c>
    </row>
    <row r="230" spans="1:44" ht="15">
      <c r="A230" s="59"/>
      <c r="B230" s="215"/>
      <c r="C230" s="54"/>
      <c r="D230" s="55"/>
      <c r="E230" s="196"/>
      <c r="F230" s="651"/>
      <c r="G230" s="42"/>
      <c r="H230" s="539"/>
      <c r="I230" s="539"/>
      <c r="J230" s="539"/>
      <c r="K230" s="539"/>
      <c r="L230" s="539"/>
      <c r="M230" s="539"/>
      <c r="N230" s="539"/>
      <c r="O230" s="539"/>
      <c r="P230" s="278"/>
      <c r="Q230" s="539"/>
      <c r="R230" s="539"/>
      <c r="S230" s="539"/>
      <c r="T230" s="539"/>
      <c r="U230" s="539"/>
      <c r="V230" s="539"/>
      <c r="W230" s="539"/>
      <c r="X230" s="539"/>
      <c r="Y230" s="539"/>
      <c r="Z230" s="539"/>
      <c r="AA230" s="539"/>
      <c r="AB230" s="539"/>
      <c r="AC230" s="539"/>
      <c r="AD230" s="43"/>
      <c r="AE230" s="43"/>
      <c r="AF230" s="238"/>
      <c r="AG230" s="43"/>
      <c r="AH230" s="43"/>
      <c r="AI230" s="43"/>
      <c r="AJ230" s="43"/>
      <c r="AK230" s="43"/>
      <c r="AL230" s="45"/>
      <c r="AM230" s="197">
        <f>IF(AQ230=1,SUM(H230:I230,L230:O230,R230:U230,X230:AA230,AD230:AG230,AI230:AK230),
IF(AQ230=2,SUM(H230:K230,N230:Q230,T230:W230,Z230:AC230,AF230:AI230),
IF(AQ230=3,SUM(J230:M230,P230:S230,V230:Y230,AB230:AE230,AH230:AK230),SUM(Таблица1[[#This Row],[1]:[31]])-Таблица1[[#This Row],[Столбец1]])))</f>
        <v>0</v>
      </c>
      <c r="AN230" s="269">
        <f t="array" ref="AN230">IF(AQ230=1,SUM(J230:K230,P230:Q230,V230:W230,AB230:AC230,AH230:AI230),
IF(AQ230=2,SUM(L230:M230,R230:S230,X230:Y230,AD230:AE230),
IF(AQ230=3,SUM(H230:I230,N230:O230,T230:U230,Z230:AA230,AF230:AG230),
SUM(IFERROR(WEEKDAY($H$2:$AL$2,2)&gt;5,)*H230:AL230))))</f>
        <v>0</v>
      </c>
      <c r="AO230" s="271" t="b">
        <f>IF(AR230&lt;=3,(IF((G230="5/24"),((база!$M$6*Таблица1[[#This Row],[сумма]]*Таблица1[[#This Row],[коэф]])),
IF((G230="4/24"),((база!$M$5*Таблица1[[#This Row],[сумма]]*Таблица1[[#This Row],[коэф]])),
IF((G230="3/24"),((база!$M$4*Таблица1[[#This Row],[сумма]]*Таблица1[[#This Row],[коэф]])),
IF((G230="5/16"),((база!$L$6*Таблица1[[#This Row],[сумма]]*Таблица1[[#This Row],[коэф]])),
IF((G230="4/16"),((база!$L$5*Таблица1[[#This Row],[сумма]]*Таблица1[[#This Row],[коэф]])),
IF((G230="3/16"),((база!$L$4*Таблица1[[#This Row],[сумма]]*Таблица1[[#This Row],[коэф]])),
IF((G230="4/4"),((база!$I$5*Таблица1[[#This Row],[сумма]]*Таблица1[[#This Row],[коэф]])),
IF(OR(G230="2/4",G230="3/4"),((база!$I$4*Таблица1[[#This Row],[сумма]]*Таблица1[[#This Row],[коэф]])),
IF((G230="5/8"),((база!$J$6*Таблица1[[#This Row],[сумма]]*Таблица1[[#This Row],[коэф]])),
IF((G230="4/8"),((база!$J$5*Таблица1[[#This Row],[сумма]]*Таблица1[[#This Row],[коэф]])),
IF(OR(G230="3/8",G230="2/8"),((база!$J$4*Таблица1[[#This Row],[сумма]]*Таблица1[[#This Row],[коэф]])))))))))))))),
(IF((G230="5/24"),((база!$M$6*Таблица1[[#This Row],[сумма]]*Таблица1[[#This Row],[коэф]])),
IF(OR(G230="4/24",G230="3/24"),((база!$M$5*Таблица1[[#This Row],[сумма]]*Таблица1[[#This Row],[коэф]])),
IF((G230="5/16"),((база!$L$6*Таблица1[[#This Row],[сумма]]*Таблица1[[#This Row],[коэф]])),
IF(OR(G230="4/16",G230="3/16"),((база!$L$5*Таблица1[[#This Row],[сумма]]*Таблица1[[#This Row],[коэф]])),
IF(OR(G230="2/4",G230="3/4",G230="4/4"),((база!$I$5*Таблица1[[#This Row],[сумма]]*Таблица1[[#This Row],[коэф]])),
IF((G230="5/8"),((база!$J$6*Таблица1[[#This Row],[сумма]]*Таблица1[[#This Row],[коэф]])),
IF(OR(G230="4/8",G230="3/8",G230="2/8"),((база!$J$5*Таблица1[[#This Row],[сумма]]*Таблица1[[#This Row],[коэф]])))))))))))</f>
        <v>0</v>
      </c>
      <c r="AP230" s="696" t="b">
        <f>IF(AR230&lt;=3,(IF((G230="5/24"),((база!$M$6*2*Таблица1[[#This Row],[Столбец1]]*Таблица1[[#This Row],[коэф]])),
IF((G230="4/24"),((база!$M$5*2*Таблица1[[#This Row],[Столбец1]]*Таблица1[[#This Row],[коэф]])),
IF((G230="3/24"),((база!$M$4*2*Таблица1[[#This Row],[Столбец1]]*Таблица1[[#This Row],[коэф]])),
IF((G230="5/16"),((база!$L$6*2*Таблица1[[#This Row],[Столбец1]]*Таблица1[[#This Row],[коэф]])),
IF((G230="4/16"),((база!$L$5*2*Таблица1[[#This Row],[Столбец1]]*Таблица1[[#This Row],[коэф]])),
IF((G230="3/16"),((база!$L$4*2*Таблица1[[#This Row],[Столбец1]]*Таблица1[[#This Row],[коэф]])),
IF((G230="4/4"),((база!$I$5*2*Таблица1[[#This Row],[Столбец1]]*Таблица1[[#This Row],[коэф]])),
IF(OR(G230="2/4",G230="3/4"),((база!$I$4*2*Таблица1[[#This Row],[Столбец1]]*Таблица1[[#This Row],[коэф]])),
IF((G230="5/8"),((база!$J$6*2*Таблица1[[#This Row],[Столбец1]]*Таблица1[[#This Row],[коэф]])),
IF((G230="4/8"),((база!$J$5*2*Таблица1[[#This Row],[Столбец1]]*Таблица1[[#This Row],[коэф]])),
IF(OR(G230="3/8",G230="2/8"),((база!$J$4*2*Таблица1[[#This Row],[Столбец1]]*Таблица1[[#This Row],[коэф]])))))))))))))),
(IF((G230="5/24"),((база!$M$6*2*Таблица1[[#This Row],[Столбец1]]*Таблица1[[#This Row],[коэф]])),
IF(OR(G230="4/24",G230="3/24"),((база!$M$5*2*Таблица1[[#This Row],[Столбец1]]*Таблица1[[#This Row],[коэф]])),
IF((G230="5/16"),((база!$L$6*2*Таблица1[[#This Row],[Столбец1]]*Таблица1[[#This Row],[коэф]])),
IF(OR(G230="4/16",G230="3/16"),((база!$L$5*2*Таблица1[[#This Row],[Столбец1]]*Таблица1[[#This Row],[коэф]])),
IF(OR(G230="2/4",G230="3/4",G230="4/4"),((база!$I$5*2*Таблица1[[#This Row],[Столбец1]]*Таблица1[[#This Row],[коэф]])),
IF((G230="5/8"),((база!$J$6*2*Таблица1[[#This Row],[Столбец1]]*Таблица1[[#This Row],[коэф]])),
IF(OR(G230="4/8",G230="3/8",G230="2/8"),((база!$J$5*2*Таблица1[[#This Row],[Столбец1]]*Таблица1[[#This Row],[коэф]])))))))))))</f>
        <v>0</v>
      </c>
      <c r="AQ230" s="678" t="str">
        <f>IFERROR(INDEX(база!T:T, MATCH(F230,база!Q:Q,0)),"")</f>
        <v/>
      </c>
      <c r="AR230" s="193">
        <f>IFERROR(INDEX(база!D:D, MATCH(F230,база!B:B,0)),"")</f>
        <v>0</v>
      </c>
    </row>
    <row r="231" spans="1:44" ht="15">
      <c r="A231" s="59"/>
      <c r="B231" s="215"/>
      <c r="C231" s="277"/>
      <c r="D231" s="55"/>
      <c r="E231" s="196"/>
      <c r="F231" s="651"/>
      <c r="G231" s="42"/>
      <c r="H231" s="539"/>
      <c r="I231" s="539"/>
      <c r="J231" s="539"/>
      <c r="K231" s="539"/>
      <c r="L231" s="539"/>
      <c r="M231" s="539"/>
      <c r="N231" s="539"/>
      <c r="O231" s="539"/>
      <c r="P231" s="278"/>
      <c r="Q231" s="539"/>
      <c r="R231" s="539"/>
      <c r="S231" s="539"/>
      <c r="T231" s="539"/>
      <c r="U231" s="539"/>
      <c r="V231" s="539"/>
      <c r="W231" s="539"/>
      <c r="X231" s="539"/>
      <c r="Y231" s="539"/>
      <c r="Z231" s="539"/>
      <c r="AA231" s="539"/>
      <c r="AB231" s="539"/>
      <c r="AC231" s="539"/>
      <c r="AD231" s="43"/>
      <c r="AE231" s="43"/>
      <c r="AF231" s="238"/>
      <c r="AG231" s="43"/>
      <c r="AH231" s="43"/>
      <c r="AI231" s="238"/>
      <c r="AJ231" s="238"/>
      <c r="AK231" s="238"/>
      <c r="AL231" s="238"/>
      <c r="AM231" s="197">
        <f>IF(AQ231=1,SUM(H231:I231,L231:O231,R231:U231,X231:AA231,AD231:AG231,AI231:AK231),
IF(AQ231=2,SUM(H231:K231,N231:Q231,T231:W231,Z231:AC231,AF231:AI231),
IF(AQ231=3,SUM(J231:M231,P231:S231,V231:Y231,AB231:AE231,AH231:AK231),SUM(Таблица1[[#This Row],[1]:[31]])-Таблица1[[#This Row],[Столбец1]])))</f>
        <v>0</v>
      </c>
      <c r="AN231" s="269">
        <f t="array" ref="AN231">IF(AQ231=1,SUM(J231:K231,P231:Q231,V231:W231,AB231:AC231,AH231:AI231),
IF(AQ231=2,SUM(L231:M231,R231:S231,X231:Y231,AD231:AE231),
IF(AQ231=3,SUM(H231:I231,N231:O231,T231:U231,Z231:AA231,AF231:AG231),
SUM(IFERROR(WEEKDAY($H$2:$AL$2,2)&gt;5,)*H231:AL231))))</f>
        <v>0</v>
      </c>
      <c r="AO231" s="271" t="b">
        <f>IF(AR231&lt;=3,(IF((G231="5/24"),((база!$M$6*Таблица1[[#This Row],[сумма]]*Таблица1[[#This Row],[коэф]])),
IF((G231="4/24"),((база!$M$5*Таблица1[[#This Row],[сумма]]*Таблица1[[#This Row],[коэф]])),
IF((G231="3/24"),((база!$M$4*Таблица1[[#This Row],[сумма]]*Таблица1[[#This Row],[коэф]])),
IF((G231="5/16"),((база!$L$6*Таблица1[[#This Row],[сумма]]*Таблица1[[#This Row],[коэф]])),
IF((G231="4/16"),((база!$L$5*Таблица1[[#This Row],[сумма]]*Таблица1[[#This Row],[коэф]])),
IF((G231="3/16"),((база!$L$4*Таблица1[[#This Row],[сумма]]*Таблица1[[#This Row],[коэф]])),
IF((G231="4/4"),((база!$I$5*Таблица1[[#This Row],[сумма]]*Таблица1[[#This Row],[коэф]])),
IF(OR(G231="2/4",G231="3/4"),((база!$I$4*Таблица1[[#This Row],[сумма]]*Таблица1[[#This Row],[коэф]])),
IF((G231="5/8"),((база!$J$6*Таблица1[[#This Row],[сумма]]*Таблица1[[#This Row],[коэф]])),
IF((G231="4/8"),((база!$J$5*Таблица1[[#This Row],[сумма]]*Таблица1[[#This Row],[коэф]])),
IF(OR(G231="3/8",G231="2/8"),((база!$J$4*Таблица1[[#This Row],[сумма]]*Таблица1[[#This Row],[коэф]])))))))))))))),
(IF((G231="5/24"),((база!$M$6*Таблица1[[#This Row],[сумма]]*Таблица1[[#This Row],[коэф]])),
IF(OR(G231="4/24",G231="3/24"),((база!$M$5*Таблица1[[#This Row],[сумма]]*Таблица1[[#This Row],[коэф]])),
IF((G231="5/16"),((база!$L$6*Таблица1[[#This Row],[сумма]]*Таблица1[[#This Row],[коэф]])),
IF(OR(G231="4/16",G231="3/16"),((база!$L$5*Таблица1[[#This Row],[сумма]]*Таблица1[[#This Row],[коэф]])),
IF(OR(G231="2/4",G231="3/4",G231="4/4"),((база!$I$5*Таблица1[[#This Row],[сумма]]*Таблица1[[#This Row],[коэф]])),
IF((G231="5/8"),((база!$J$6*Таблица1[[#This Row],[сумма]]*Таблица1[[#This Row],[коэф]])),
IF(OR(G231="4/8",G231="3/8",G231="2/8"),((база!$J$5*Таблица1[[#This Row],[сумма]]*Таблица1[[#This Row],[коэф]])))))))))))</f>
        <v>0</v>
      </c>
      <c r="AP231" s="696" t="b">
        <f>IF(AR231&lt;=3,(IF((G231="5/24"),((база!$M$6*2*Таблица1[[#This Row],[Столбец1]]*Таблица1[[#This Row],[коэф]])),
IF((G231="4/24"),((база!$M$5*2*Таблица1[[#This Row],[Столбец1]]*Таблица1[[#This Row],[коэф]])),
IF((G231="3/24"),((база!$M$4*2*Таблица1[[#This Row],[Столбец1]]*Таблица1[[#This Row],[коэф]])),
IF((G231="5/16"),((база!$L$6*2*Таблица1[[#This Row],[Столбец1]]*Таблица1[[#This Row],[коэф]])),
IF((G231="4/16"),((база!$L$5*2*Таблица1[[#This Row],[Столбец1]]*Таблица1[[#This Row],[коэф]])),
IF((G231="3/16"),((база!$L$4*2*Таблица1[[#This Row],[Столбец1]]*Таблица1[[#This Row],[коэф]])),
IF((G231="4/4"),((база!$I$5*2*Таблица1[[#This Row],[Столбец1]]*Таблица1[[#This Row],[коэф]])),
IF(OR(G231="2/4",G231="3/4"),((база!$I$4*2*Таблица1[[#This Row],[Столбец1]]*Таблица1[[#This Row],[коэф]])),
IF((G231="5/8"),((база!$J$6*2*Таблица1[[#This Row],[Столбец1]]*Таблица1[[#This Row],[коэф]])),
IF((G231="4/8"),((база!$J$5*2*Таблица1[[#This Row],[Столбец1]]*Таблица1[[#This Row],[коэф]])),
IF(OR(G231="3/8",G231="2/8"),((база!$J$4*2*Таблица1[[#This Row],[Столбец1]]*Таблица1[[#This Row],[коэф]])))))))))))))),
(IF((G231="5/24"),((база!$M$6*2*Таблица1[[#This Row],[Столбец1]]*Таблица1[[#This Row],[коэф]])),
IF(OR(G231="4/24",G231="3/24"),((база!$M$5*2*Таблица1[[#This Row],[Столбец1]]*Таблица1[[#This Row],[коэф]])),
IF((G231="5/16"),((база!$L$6*2*Таблица1[[#This Row],[Столбец1]]*Таблица1[[#This Row],[коэф]])),
IF(OR(G231="4/16",G231="3/16"),((база!$L$5*2*Таблица1[[#This Row],[Столбец1]]*Таблица1[[#This Row],[коэф]])),
IF(OR(G231="2/4",G231="3/4",G231="4/4"),((база!$I$5*2*Таблица1[[#This Row],[Столбец1]]*Таблица1[[#This Row],[коэф]])),
IF((G231="5/8"),((база!$J$6*2*Таблица1[[#This Row],[Столбец1]]*Таблица1[[#This Row],[коэф]])),
IF(OR(G231="4/8",G231="3/8",G231="2/8"),((база!$J$5*2*Таблица1[[#This Row],[Столбец1]]*Таблица1[[#This Row],[коэф]])))))))))))</f>
        <v>0</v>
      </c>
      <c r="AQ231" s="678" t="str">
        <f>IFERROR(INDEX(база!T:T, MATCH(F231,база!Q:Q,0)),"")</f>
        <v/>
      </c>
      <c r="AR231" s="193">
        <f>IFERROR(INDEX(база!D:D, MATCH(F231,база!B:B,0)),"")</f>
        <v>0</v>
      </c>
    </row>
    <row r="232" spans="1:44" ht="15">
      <c r="A232" s="59"/>
      <c r="B232" s="215"/>
      <c r="C232" s="54"/>
      <c r="D232" s="55"/>
      <c r="E232" s="196"/>
      <c r="F232" s="651"/>
      <c r="G232" s="42"/>
      <c r="H232" s="539"/>
      <c r="I232" s="539"/>
      <c r="J232" s="539"/>
      <c r="K232" s="539"/>
      <c r="L232" s="539"/>
      <c r="M232" s="539"/>
      <c r="N232" s="539"/>
      <c r="O232" s="539"/>
      <c r="P232" s="278"/>
      <c r="Q232" s="539"/>
      <c r="R232" s="539"/>
      <c r="S232" s="539"/>
      <c r="T232" s="539"/>
      <c r="U232" s="539"/>
      <c r="V232" s="539"/>
      <c r="W232" s="539"/>
      <c r="X232" s="539"/>
      <c r="Y232" s="539"/>
      <c r="Z232" s="539"/>
      <c r="AA232" s="539"/>
      <c r="AB232" s="539"/>
      <c r="AC232" s="539"/>
      <c r="AD232" s="43"/>
      <c r="AE232" s="43"/>
      <c r="AF232" s="238"/>
      <c r="AG232" s="43"/>
      <c r="AH232" s="43"/>
      <c r="AI232" s="43"/>
      <c r="AJ232" s="43"/>
      <c r="AK232" s="43"/>
      <c r="AL232" s="45"/>
      <c r="AM232" s="197">
        <f>IF(AQ232=1,SUM(H232:I232,L232:O232,R232:U232,X232:AA232,AD232:AG232,AI232:AK232),
IF(AQ232=2,SUM(H232:K232,N232:Q232,T232:W232,Z232:AC232,AF232:AI232),
IF(AQ232=3,SUM(J232:M232,P232:S232,V232:Y232,AB232:AE232,AH232:AK232),SUM(Таблица1[[#This Row],[1]:[31]])-Таблица1[[#This Row],[Столбец1]])))</f>
        <v>0</v>
      </c>
      <c r="AN232" s="269">
        <f t="array" ref="AN232">IF(AQ232=1,SUM(J232:K232,P232:Q232,V232:W232,AB232:AC232,AH232:AI232),
IF(AQ232=2,SUM(L232:M232,R232:S232,X232:Y232,AD232:AE232),
IF(AQ232=3,SUM(H232:I232,N232:O232,T232:U232,Z232:AA232,AF232:AG232),
SUM(IFERROR(WEEKDAY($H$2:$AL$2,2)&gt;5,)*H232:AL232))))</f>
        <v>0</v>
      </c>
      <c r="AO232" s="271" t="b">
        <f>IF(AR232&lt;=3,(IF((G232="5/24"),((база!$M$6*Таблица1[[#This Row],[сумма]]*Таблица1[[#This Row],[коэф]])),
IF((G232="4/24"),((база!$M$5*Таблица1[[#This Row],[сумма]]*Таблица1[[#This Row],[коэф]])),
IF((G232="3/24"),((база!$M$4*Таблица1[[#This Row],[сумма]]*Таблица1[[#This Row],[коэф]])),
IF((G232="5/16"),((база!$L$6*Таблица1[[#This Row],[сумма]]*Таблица1[[#This Row],[коэф]])),
IF((G232="4/16"),((база!$L$5*Таблица1[[#This Row],[сумма]]*Таблица1[[#This Row],[коэф]])),
IF((G232="3/16"),((база!$L$4*Таблица1[[#This Row],[сумма]]*Таблица1[[#This Row],[коэф]])),
IF((G232="4/4"),((база!$I$5*Таблица1[[#This Row],[сумма]]*Таблица1[[#This Row],[коэф]])),
IF(OR(G232="2/4",G232="3/4"),((база!$I$4*Таблица1[[#This Row],[сумма]]*Таблица1[[#This Row],[коэф]])),
IF((G232="5/8"),((база!$J$6*Таблица1[[#This Row],[сумма]]*Таблица1[[#This Row],[коэф]])),
IF((G232="4/8"),((база!$J$5*Таблица1[[#This Row],[сумма]]*Таблица1[[#This Row],[коэф]])),
IF(OR(G232="3/8",G232="2/8"),((база!$J$4*Таблица1[[#This Row],[сумма]]*Таблица1[[#This Row],[коэф]])))))))))))))),
(IF((G232="5/24"),((база!$M$6*Таблица1[[#This Row],[сумма]]*Таблица1[[#This Row],[коэф]])),
IF(OR(G232="4/24",G232="3/24"),((база!$M$5*Таблица1[[#This Row],[сумма]]*Таблица1[[#This Row],[коэф]])),
IF((G232="5/16"),((база!$L$6*Таблица1[[#This Row],[сумма]]*Таблица1[[#This Row],[коэф]])),
IF(OR(G232="4/16",G232="3/16"),((база!$L$5*Таблица1[[#This Row],[сумма]]*Таблица1[[#This Row],[коэф]])),
IF(OR(G232="2/4",G232="3/4",G232="4/4"),((база!$I$5*Таблица1[[#This Row],[сумма]]*Таблица1[[#This Row],[коэф]])),
IF((G232="5/8"),((база!$J$6*Таблица1[[#This Row],[сумма]]*Таблица1[[#This Row],[коэф]])),
IF(OR(G232="4/8",G232="3/8",G232="2/8"),((база!$J$5*Таблица1[[#This Row],[сумма]]*Таблица1[[#This Row],[коэф]])))))))))))</f>
        <v>0</v>
      </c>
      <c r="AP232" s="696" t="b">
        <f>IF(AR232&lt;=3,(IF((G232="5/24"),((база!$M$6*2*Таблица1[[#This Row],[Столбец1]]*Таблица1[[#This Row],[коэф]])),
IF((G232="4/24"),((база!$M$5*2*Таблица1[[#This Row],[Столбец1]]*Таблица1[[#This Row],[коэф]])),
IF((G232="3/24"),((база!$M$4*2*Таблица1[[#This Row],[Столбец1]]*Таблица1[[#This Row],[коэф]])),
IF((G232="5/16"),((база!$L$6*2*Таблица1[[#This Row],[Столбец1]]*Таблица1[[#This Row],[коэф]])),
IF((G232="4/16"),((база!$L$5*2*Таблица1[[#This Row],[Столбец1]]*Таблица1[[#This Row],[коэф]])),
IF((G232="3/16"),((база!$L$4*2*Таблица1[[#This Row],[Столбец1]]*Таблица1[[#This Row],[коэф]])),
IF((G232="4/4"),((база!$I$5*2*Таблица1[[#This Row],[Столбец1]]*Таблица1[[#This Row],[коэф]])),
IF(OR(G232="2/4",G232="3/4"),((база!$I$4*2*Таблица1[[#This Row],[Столбец1]]*Таблица1[[#This Row],[коэф]])),
IF((G232="5/8"),((база!$J$6*2*Таблица1[[#This Row],[Столбец1]]*Таблица1[[#This Row],[коэф]])),
IF((G232="4/8"),((база!$J$5*2*Таблица1[[#This Row],[Столбец1]]*Таблица1[[#This Row],[коэф]])),
IF(OR(G232="3/8",G232="2/8"),((база!$J$4*2*Таблица1[[#This Row],[Столбец1]]*Таблица1[[#This Row],[коэф]])))))))))))))),
(IF((G232="5/24"),((база!$M$6*2*Таблица1[[#This Row],[Столбец1]]*Таблица1[[#This Row],[коэф]])),
IF(OR(G232="4/24",G232="3/24"),((база!$M$5*2*Таблица1[[#This Row],[Столбец1]]*Таблица1[[#This Row],[коэф]])),
IF((G232="5/16"),((база!$L$6*2*Таблица1[[#This Row],[Столбец1]]*Таблица1[[#This Row],[коэф]])),
IF(OR(G232="4/16",G232="3/16"),((база!$L$5*2*Таблица1[[#This Row],[Столбец1]]*Таблица1[[#This Row],[коэф]])),
IF(OR(G232="2/4",G232="3/4",G232="4/4"),((база!$I$5*2*Таблица1[[#This Row],[Столбец1]]*Таблица1[[#This Row],[коэф]])),
IF((G232="5/8"),((база!$J$6*2*Таблица1[[#This Row],[Столбец1]]*Таблица1[[#This Row],[коэф]])),
IF(OR(G232="4/8",G232="3/8",G232="2/8"),((база!$J$5*2*Таблица1[[#This Row],[Столбец1]]*Таблица1[[#This Row],[коэф]])))))))))))</f>
        <v>0</v>
      </c>
      <c r="AQ232" s="678" t="str">
        <f>IFERROR(INDEX(база!T:T, MATCH(F232,база!Q:Q,0)),"")</f>
        <v/>
      </c>
      <c r="AR232" s="193">
        <f>IFERROR(INDEX(база!D:D, MATCH(F232,база!B:B,0)),"")</f>
        <v>0</v>
      </c>
    </row>
    <row r="233" spans="1:44" ht="15">
      <c r="A233" s="59"/>
      <c r="B233" s="215"/>
      <c r="C233" s="277"/>
      <c r="D233" s="55"/>
      <c r="E233" s="196"/>
      <c r="F233" s="651"/>
      <c r="G233" s="42"/>
      <c r="H233" s="539"/>
      <c r="I233" s="539"/>
      <c r="J233" s="539"/>
      <c r="K233" s="539"/>
      <c r="L233" s="539"/>
      <c r="M233" s="539"/>
      <c r="N233" s="539"/>
      <c r="O233" s="539"/>
      <c r="P233" s="278"/>
      <c r="Q233" s="539"/>
      <c r="R233" s="539"/>
      <c r="S233" s="539"/>
      <c r="T233" s="539"/>
      <c r="U233" s="539"/>
      <c r="V233" s="539"/>
      <c r="W233" s="539"/>
      <c r="X233" s="539"/>
      <c r="Y233" s="539"/>
      <c r="Z233" s="539"/>
      <c r="AA233" s="539"/>
      <c r="AB233" s="539"/>
      <c r="AC233" s="539"/>
      <c r="AD233" s="43"/>
      <c r="AE233" s="43"/>
      <c r="AF233" s="238"/>
      <c r="AG233" s="43"/>
      <c r="AH233" s="43"/>
      <c r="AI233" s="43"/>
      <c r="AJ233" s="43"/>
      <c r="AK233" s="43"/>
      <c r="AL233" s="45"/>
      <c r="AM233" s="197">
        <f>IF(AQ233=1,SUM(H233:I233,L233:O233,R233:U233,X233:AA233,AD233:AG233,AI233:AK233),
IF(AQ233=2,SUM(H233:K233,N233:Q233,T233:W233,Z233:AC233,AF233:AI233),
IF(AQ233=3,SUM(J233:M233,P233:S233,V233:Y233,AB233:AE233,AH233:AK233),SUM(Таблица1[[#This Row],[1]:[31]])-Таблица1[[#This Row],[Столбец1]])))</f>
        <v>0</v>
      </c>
      <c r="AN233" s="269">
        <f t="array" ref="AN233">IF(AQ233=1,SUM(J233:K233,P233:Q233,V233:W233,AB233:AC233,AH233:AI233),
IF(AQ233=2,SUM(L233:M233,R233:S233,X233:Y233,AD233:AE233),
IF(AQ233=3,SUM(H233:I233,N233:O233,T233:U233,Z233:AA233,AF233:AG233),
SUM(IFERROR(WEEKDAY($H$2:$AL$2,2)&gt;5,)*H233:AL233))))</f>
        <v>0</v>
      </c>
      <c r="AO233" s="271" t="b">
        <f>IF(AR233&lt;=3,(IF((G233="5/24"),((база!$M$6*Таблица1[[#This Row],[сумма]]*Таблица1[[#This Row],[коэф]])),
IF((G233="4/24"),((база!$M$5*Таблица1[[#This Row],[сумма]]*Таблица1[[#This Row],[коэф]])),
IF((G233="3/24"),((база!$M$4*Таблица1[[#This Row],[сумма]]*Таблица1[[#This Row],[коэф]])),
IF((G233="5/16"),((база!$L$6*Таблица1[[#This Row],[сумма]]*Таблица1[[#This Row],[коэф]])),
IF((G233="4/16"),((база!$L$5*Таблица1[[#This Row],[сумма]]*Таблица1[[#This Row],[коэф]])),
IF((G233="3/16"),((база!$L$4*Таблица1[[#This Row],[сумма]]*Таблица1[[#This Row],[коэф]])),
IF((G233="4/4"),((база!$I$5*Таблица1[[#This Row],[сумма]]*Таблица1[[#This Row],[коэф]])),
IF(OR(G233="2/4",G233="3/4"),((база!$I$4*Таблица1[[#This Row],[сумма]]*Таблица1[[#This Row],[коэф]])),
IF((G233="5/8"),((база!$J$6*Таблица1[[#This Row],[сумма]]*Таблица1[[#This Row],[коэф]])),
IF((G233="4/8"),((база!$J$5*Таблица1[[#This Row],[сумма]]*Таблица1[[#This Row],[коэф]])),
IF(OR(G233="3/8",G233="2/8"),((база!$J$4*Таблица1[[#This Row],[сумма]]*Таблица1[[#This Row],[коэф]])))))))))))))),
(IF((G233="5/24"),((база!$M$6*Таблица1[[#This Row],[сумма]]*Таблица1[[#This Row],[коэф]])),
IF(OR(G233="4/24",G233="3/24"),((база!$M$5*Таблица1[[#This Row],[сумма]]*Таблица1[[#This Row],[коэф]])),
IF((G233="5/16"),((база!$L$6*Таблица1[[#This Row],[сумма]]*Таблица1[[#This Row],[коэф]])),
IF(OR(G233="4/16",G233="3/16"),((база!$L$5*Таблица1[[#This Row],[сумма]]*Таблица1[[#This Row],[коэф]])),
IF(OR(G233="2/4",G233="3/4",G233="4/4"),((база!$I$5*Таблица1[[#This Row],[сумма]]*Таблица1[[#This Row],[коэф]])),
IF((G233="5/8"),((база!$J$6*Таблица1[[#This Row],[сумма]]*Таблица1[[#This Row],[коэф]])),
IF(OR(G233="4/8",G233="3/8",G233="2/8"),((база!$J$5*Таблица1[[#This Row],[сумма]]*Таблица1[[#This Row],[коэф]])))))))))))</f>
        <v>0</v>
      </c>
      <c r="AP233" s="696" t="b">
        <f>IF(AR233&lt;=3,(IF((G233="5/24"),((база!$M$6*2*Таблица1[[#This Row],[Столбец1]]*Таблица1[[#This Row],[коэф]])),
IF((G233="4/24"),((база!$M$5*2*Таблица1[[#This Row],[Столбец1]]*Таблица1[[#This Row],[коэф]])),
IF((G233="3/24"),((база!$M$4*2*Таблица1[[#This Row],[Столбец1]]*Таблица1[[#This Row],[коэф]])),
IF((G233="5/16"),((база!$L$6*2*Таблица1[[#This Row],[Столбец1]]*Таблица1[[#This Row],[коэф]])),
IF((G233="4/16"),((база!$L$5*2*Таблица1[[#This Row],[Столбец1]]*Таблица1[[#This Row],[коэф]])),
IF((G233="3/16"),((база!$L$4*2*Таблица1[[#This Row],[Столбец1]]*Таблица1[[#This Row],[коэф]])),
IF((G233="4/4"),((база!$I$5*2*Таблица1[[#This Row],[Столбец1]]*Таблица1[[#This Row],[коэф]])),
IF(OR(G233="2/4",G233="3/4"),((база!$I$4*2*Таблица1[[#This Row],[Столбец1]]*Таблица1[[#This Row],[коэф]])),
IF((G233="5/8"),((база!$J$6*2*Таблица1[[#This Row],[Столбец1]]*Таблица1[[#This Row],[коэф]])),
IF((G233="4/8"),((база!$J$5*2*Таблица1[[#This Row],[Столбец1]]*Таблица1[[#This Row],[коэф]])),
IF(OR(G233="3/8",G233="2/8"),((база!$J$4*2*Таблица1[[#This Row],[Столбец1]]*Таблица1[[#This Row],[коэф]])))))))))))))),
(IF((G233="5/24"),((база!$M$6*2*Таблица1[[#This Row],[Столбец1]]*Таблица1[[#This Row],[коэф]])),
IF(OR(G233="4/24",G233="3/24"),((база!$M$5*2*Таблица1[[#This Row],[Столбец1]]*Таблица1[[#This Row],[коэф]])),
IF((G233="5/16"),((база!$L$6*2*Таблица1[[#This Row],[Столбец1]]*Таблица1[[#This Row],[коэф]])),
IF(OR(G233="4/16",G233="3/16"),((база!$L$5*2*Таблица1[[#This Row],[Столбец1]]*Таблица1[[#This Row],[коэф]])),
IF(OR(G233="2/4",G233="3/4",G233="4/4"),((база!$I$5*2*Таблица1[[#This Row],[Столбец1]]*Таблица1[[#This Row],[коэф]])),
IF((G233="5/8"),((база!$J$6*2*Таблица1[[#This Row],[Столбец1]]*Таблица1[[#This Row],[коэф]])),
IF(OR(G233="4/8",G233="3/8",G233="2/8"),((база!$J$5*2*Таблица1[[#This Row],[Столбец1]]*Таблица1[[#This Row],[коэф]])))))))))))</f>
        <v>0</v>
      </c>
      <c r="AQ233" s="678" t="str">
        <f>IFERROR(INDEX(база!T:T, MATCH(F233,база!Q:Q,0)),"")</f>
        <v/>
      </c>
      <c r="AR233" s="193">
        <f>IFERROR(INDEX(база!D:D, MATCH(F233,база!B:B,0)),"")</f>
        <v>0</v>
      </c>
    </row>
    <row r="234" spans="1:44" ht="15">
      <c r="A234" s="59"/>
      <c r="B234" s="215"/>
      <c r="C234" s="277"/>
      <c r="D234" s="55"/>
      <c r="E234" s="196"/>
      <c r="F234" s="651"/>
      <c r="G234" s="42"/>
      <c r="H234" s="539"/>
      <c r="I234" s="539"/>
      <c r="J234" s="539"/>
      <c r="K234" s="539"/>
      <c r="L234" s="539"/>
      <c r="M234" s="539"/>
      <c r="N234" s="539"/>
      <c r="O234" s="539"/>
      <c r="P234" s="278"/>
      <c r="Q234" s="539"/>
      <c r="R234" s="539"/>
      <c r="S234" s="539"/>
      <c r="T234" s="539"/>
      <c r="U234" s="539"/>
      <c r="V234" s="539"/>
      <c r="W234" s="539"/>
      <c r="X234" s="539"/>
      <c r="Y234" s="539"/>
      <c r="Z234" s="539"/>
      <c r="AA234" s="539"/>
      <c r="AB234" s="539"/>
      <c r="AC234" s="539"/>
      <c r="AD234" s="43"/>
      <c r="AE234" s="43"/>
      <c r="AF234" s="238"/>
      <c r="AG234" s="43"/>
      <c r="AH234" s="43"/>
      <c r="AI234" s="43"/>
      <c r="AJ234" s="43"/>
      <c r="AK234" s="43"/>
      <c r="AL234" s="45"/>
      <c r="AM234" s="197">
        <f>IF(AQ234=1,SUM(H234:I234,L234:O234,R234:U234,X234:AA234,AD234:AG234,AI234:AK234),
IF(AQ234=2,SUM(H234:K234,N234:Q234,T234:W234,Z234:AC234,AF234:AI234),
IF(AQ234=3,SUM(J234:M234,P234:S234,V234:Y234,AB234:AE234,AH234:AK234),SUM(Таблица1[[#This Row],[1]:[31]])-Таблица1[[#This Row],[Столбец1]])))</f>
        <v>0</v>
      </c>
      <c r="AN234" s="269">
        <f t="array" ref="AN234">IF(AQ234=1,SUM(J234:K234,P234:Q234,V234:W234,AB234:AC234,AH234:AI234),
IF(AQ234=2,SUM(L234:M234,R234:S234,X234:Y234,AD234:AE234),
IF(AQ234=3,SUM(H234:I234,N234:O234,T234:U234,Z234:AA234,AF234:AG234),
SUM(IFERROR(WEEKDAY($H$2:$AL$2,2)&gt;5,)*H234:AL234))))</f>
        <v>0</v>
      </c>
      <c r="AO234" s="271" t="b">
        <f>IF(AR234&lt;=3,(IF((G234="5/24"),((база!$M$6*Таблица1[[#This Row],[сумма]]*Таблица1[[#This Row],[коэф]])),
IF((G234="4/24"),((база!$M$5*Таблица1[[#This Row],[сумма]]*Таблица1[[#This Row],[коэф]])),
IF((G234="3/24"),((база!$M$4*Таблица1[[#This Row],[сумма]]*Таблица1[[#This Row],[коэф]])),
IF((G234="5/16"),((база!$L$6*Таблица1[[#This Row],[сумма]]*Таблица1[[#This Row],[коэф]])),
IF((G234="4/16"),((база!$L$5*Таблица1[[#This Row],[сумма]]*Таблица1[[#This Row],[коэф]])),
IF((G234="3/16"),((база!$L$4*Таблица1[[#This Row],[сумма]]*Таблица1[[#This Row],[коэф]])),
IF((G234="4/4"),((база!$I$5*Таблица1[[#This Row],[сумма]]*Таблица1[[#This Row],[коэф]])),
IF(OR(G234="2/4",G234="3/4"),((база!$I$4*Таблица1[[#This Row],[сумма]]*Таблица1[[#This Row],[коэф]])),
IF((G234="5/8"),((база!$J$6*Таблица1[[#This Row],[сумма]]*Таблица1[[#This Row],[коэф]])),
IF((G234="4/8"),((база!$J$5*Таблица1[[#This Row],[сумма]]*Таблица1[[#This Row],[коэф]])),
IF(OR(G234="3/8",G234="2/8"),((база!$J$4*Таблица1[[#This Row],[сумма]]*Таблица1[[#This Row],[коэф]])))))))))))))),
(IF((G234="5/24"),((база!$M$6*Таблица1[[#This Row],[сумма]]*Таблица1[[#This Row],[коэф]])),
IF(OR(G234="4/24",G234="3/24"),((база!$M$5*Таблица1[[#This Row],[сумма]]*Таблица1[[#This Row],[коэф]])),
IF((G234="5/16"),((база!$L$6*Таблица1[[#This Row],[сумма]]*Таблица1[[#This Row],[коэф]])),
IF(OR(G234="4/16",G234="3/16"),((база!$L$5*Таблица1[[#This Row],[сумма]]*Таблица1[[#This Row],[коэф]])),
IF(OR(G234="2/4",G234="3/4",G234="4/4"),((база!$I$5*Таблица1[[#This Row],[сумма]]*Таблица1[[#This Row],[коэф]])),
IF((G234="5/8"),((база!$J$6*Таблица1[[#This Row],[сумма]]*Таблица1[[#This Row],[коэф]])),
IF(OR(G234="4/8",G234="3/8",G234="2/8"),((база!$J$5*Таблица1[[#This Row],[сумма]]*Таблица1[[#This Row],[коэф]])))))))))))</f>
        <v>0</v>
      </c>
      <c r="AP234" s="696" t="b">
        <f>IF(AR234&lt;=3,(IF((G234="5/24"),((база!$M$6*2*Таблица1[[#This Row],[Столбец1]]*Таблица1[[#This Row],[коэф]])),
IF((G234="4/24"),((база!$M$5*2*Таблица1[[#This Row],[Столбец1]]*Таблица1[[#This Row],[коэф]])),
IF((G234="3/24"),((база!$M$4*2*Таблица1[[#This Row],[Столбец1]]*Таблица1[[#This Row],[коэф]])),
IF((G234="5/16"),((база!$L$6*2*Таблица1[[#This Row],[Столбец1]]*Таблица1[[#This Row],[коэф]])),
IF((G234="4/16"),((база!$L$5*2*Таблица1[[#This Row],[Столбец1]]*Таблица1[[#This Row],[коэф]])),
IF((G234="3/16"),((база!$L$4*2*Таблица1[[#This Row],[Столбец1]]*Таблица1[[#This Row],[коэф]])),
IF((G234="4/4"),((база!$I$5*2*Таблица1[[#This Row],[Столбец1]]*Таблица1[[#This Row],[коэф]])),
IF(OR(G234="2/4",G234="3/4"),((база!$I$4*2*Таблица1[[#This Row],[Столбец1]]*Таблица1[[#This Row],[коэф]])),
IF((G234="5/8"),((база!$J$6*2*Таблица1[[#This Row],[Столбец1]]*Таблица1[[#This Row],[коэф]])),
IF((G234="4/8"),((база!$J$5*2*Таблица1[[#This Row],[Столбец1]]*Таблица1[[#This Row],[коэф]])),
IF(OR(G234="3/8",G234="2/8"),((база!$J$4*2*Таблица1[[#This Row],[Столбец1]]*Таблица1[[#This Row],[коэф]])))))))))))))),
(IF((G234="5/24"),((база!$M$6*2*Таблица1[[#This Row],[Столбец1]]*Таблица1[[#This Row],[коэф]])),
IF(OR(G234="4/24",G234="3/24"),((база!$M$5*2*Таблица1[[#This Row],[Столбец1]]*Таблица1[[#This Row],[коэф]])),
IF((G234="5/16"),((база!$L$6*2*Таблица1[[#This Row],[Столбец1]]*Таблица1[[#This Row],[коэф]])),
IF(OR(G234="4/16",G234="3/16"),((база!$L$5*2*Таблица1[[#This Row],[Столбец1]]*Таблица1[[#This Row],[коэф]])),
IF(OR(G234="2/4",G234="3/4",G234="4/4"),((база!$I$5*2*Таблица1[[#This Row],[Столбец1]]*Таблица1[[#This Row],[коэф]])),
IF((G234="5/8"),((база!$J$6*2*Таблица1[[#This Row],[Столбец1]]*Таблица1[[#This Row],[коэф]])),
IF(OR(G234="4/8",G234="3/8",G234="2/8"),((база!$J$5*2*Таблица1[[#This Row],[Столбец1]]*Таблица1[[#This Row],[коэф]])))))))))))</f>
        <v>0</v>
      </c>
      <c r="AQ234" s="678" t="str">
        <f>IFERROR(INDEX(база!T:T, MATCH(F234,база!Q:Q,0)),"")</f>
        <v/>
      </c>
      <c r="AR234" s="193">
        <f>IFERROR(INDEX(база!D:D, MATCH(F234,база!B:B,0)),"")</f>
        <v>0</v>
      </c>
    </row>
    <row r="235" spans="1:44" ht="15">
      <c r="A235" s="59"/>
      <c r="B235" s="215"/>
      <c r="C235" s="54"/>
      <c r="D235" s="55"/>
      <c r="E235" s="196"/>
      <c r="F235" s="651"/>
      <c r="G235" s="42"/>
      <c r="H235" s="539"/>
      <c r="I235" s="539"/>
      <c r="J235" s="539"/>
      <c r="K235" s="539"/>
      <c r="L235" s="539"/>
      <c r="M235" s="539"/>
      <c r="N235" s="539"/>
      <c r="O235" s="539"/>
      <c r="P235" s="539"/>
      <c r="Q235" s="539"/>
      <c r="R235" s="539"/>
      <c r="S235" s="539"/>
      <c r="T235" s="539"/>
      <c r="U235" s="539"/>
      <c r="V235" s="539"/>
      <c r="W235" s="539"/>
      <c r="X235" s="539"/>
      <c r="Y235" s="539"/>
      <c r="Z235" s="539"/>
      <c r="AA235" s="539"/>
      <c r="AB235" s="539"/>
      <c r="AC235" s="539"/>
      <c r="AD235" s="43"/>
      <c r="AE235" s="43"/>
      <c r="AF235" s="43"/>
      <c r="AG235" s="43"/>
      <c r="AH235" s="43"/>
      <c r="AI235" s="238"/>
      <c r="AJ235" s="238"/>
      <c r="AK235" s="238"/>
      <c r="AL235" s="238"/>
      <c r="AM235" s="197">
        <f>IF(AQ235=1,SUM(H235:I235,L235:O235,R235:U235,X235:AA235,AD235:AG235,AI235:AK235),
IF(AQ235=2,SUM(H235:K235,N235:Q235,T235:W235,Z235:AC235,AF235:AI235),
IF(AQ235=3,SUM(J235:M235,P235:S235,V235:Y235,AB235:AE235,AH235:AK235),SUM(Таблица1[[#This Row],[1]:[31]])-Таблица1[[#This Row],[Столбец1]])))</f>
        <v>0</v>
      </c>
      <c r="AN235" s="269">
        <f t="array" ref="AN235">IF(AQ235=1,SUM(J235:K235,P235:Q235,V235:W235,AB235:AC235,AH235:AI235),
IF(AQ235=2,SUM(L235:M235,R235:S235,X235:Y235,AD235:AE235),
IF(AQ235=3,SUM(H235:I235,N235:O235,T235:U235,Z235:AA235,AF235:AG235),
SUM(IFERROR(WEEKDAY($H$2:$AL$2,2)&gt;5,)*H235:AL235))))</f>
        <v>0</v>
      </c>
      <c r="AO235" s="271" t="b">
        <f>IF(AR235&lt;=3,(IF((G235="5/24"),((база!$M$6*Таблица1[[#This Row],[сумма]]*Таблица1[[#This Row],[коэф]])),
IF((G235="4/24"),((база!$M$5*Таблица1[[#This Row],[сумма]]*Таблица1[[#This Row],[коэф]])),
IF((G235="3/24"),((база!$M$4*Таблица1[[#This Row],[сумма]]*Таблица1[[#This Row],[коэф]])),
IF((G235="5/16"),((база!$L$6*Таблица1[[#This Row],[сумма]]*Таблица1[[#This Row],[коэф]])),
IF((G235="4/16"),((база!$L$5*Таблица1[[#This Row],[сумма]]*Таблица1[[#This Row],[коэф]])),
IF((G235="3/16"),((база!$L$4*Таблица1[[#This Row],[сумма]]*Таблица1[[#This Row],[коэф]])),
IF((G235="4/4"),((база!$I$5*Таблица1[[#This Row],[сумма]]*Таблица1[[#This Row],[коэф]])),
IF(OR(G235="2/4",G235="3/4"),((база!$I$4*Таблица1[[#This Row],[сумма]]*Таблица1[[#This Row],[коэф]])),
IF((G235="5/8"),((база!$J$6*Таблица1[[#This Row],[сумма]]*Таблица1[[#This Row],[коэф]])),
IF((G235="4/8"),((база!$J$5*Таблица1[[#This Row],[сумма]]*Таблица1[[#This Row],[коэф]])),
IF(OR(G235="3/8",G235="2/8"),((база!$J$4*Таблица1[[#This Row],[сумма]]*Таблица1[[#This Row],[коэф]])))))))))))))),
(IF((G235="5/24"),((база!$M$6*Таблица1[[#This Row],[сумма]]*Таблица1[[#This Row],[коэф]])),
IF(OR(G235="4/24",G235="3/24"),((база!$M$5*Таблица1[[#This Row],[сумма]]*Таблица1[[#This Row],[коэф]])),
IF((G235="5/16"),((база!$L$6*Таблица1[[#This Row],[сумма]]*Таблица1[[#This Row],[коэф]])),
IF(OR(G235="4/16",G235="3/16"),((база!$L$5*Таблица1[[#This Row],[сумма]]*Таблица1[[#This Row],[коэф]])),
IF(OR(G235="2/4",G235="3/4",G235="4/4"),((база!$I$5*Таблица1[[#This Row],[сумма]]*Таблица1[[#This Row],[коэф]])),
IF((G235="5/8"),((база!$J$6*Таблица1[[#This Row],[сумма]]*Таблица1[[#This Row],[коэф]])),
IF(OR(G235="4/8",G235="3/8",G235="2/8"),((база!$J$5*Таблица1[[#This Row],[сумма]]*Таблица1[[#This Row],[коэф]])))))))))))</f>
        <v>0</v>
      </c>
      <c r="AP235" s="696" t="b">
        <f>IF(AR235&lt;=3,(IF((G235="5/24"),((база!$M$6*2*Таблица1[[#This Row],[Столбец1]]*Таблица1[[#This Row],[коэф]])),
IF((G235="4/24"),((база!$M$5*2*Таблица1[[#This Row],[Столбец1]]*Таблица1[[#This Row],[коэф]])),
IF((G235="3/24"),((база!$M$4*2*Таблица1[[#This Row],[Столбец1]]*Таблица1[[#This Row],[коэф]])),
IF((G235="5/16"),((база!$L$6*2*Таблица1[[#This Row],[Столбец1]]*Таблица1[[#This Row],[коэф]])),
IF((G235="4/16"),((база!$L$5*2*Таблица1[[#This Row],[Столбец1]]*Таблица1[[#This Row],[коэф]])),
IF((G235="3/16"),((база!$L$4*2*Таблица1[[#This Row],[Столбец1]]*Таблица1[[#This Row],[коэф]])),
IF((G235="4/4"),((база!$I$5*2*Таблица1[[#This Row],[Столбец1]]*Таблица1[[#This Row],[коэф]])),
IF(OR(G235="2/4",G235="3/4"),((база!$I$4*2*Таблица1[[#This Row],[Столбец1]]*Таблица1[[#This Row],[коэф]])),
IF((G235="5/8"),((база!$J$6*2*Таблица1[[#This Row],[Столбец1]]*Таблица1[[#This Row],[коэф]])),
IF((G235="4/8"),((база!$J$5*2*Таблица1[[#This Row],[Столбец1]]*Таблица1[[#This Row],[коэф]])),
IF(OR(G235="3/8",G235="2/8"),((база!$J$4*2*Таблица1[[#This Row],[Столбец1]]*Таблица1[[#This Row],[коэф]])))))))))))))),
(IF((G235="5/24"),((база!$M$6*2*Таблица1[[#This Row],[Столбец1]]*Таблица1[[#This Row],[коэф]])),
IF(OR(G235="4/24",G235="3/24"),((база!$M$5*2*Таблица1[[#This Row],[Столбец1]]*Таблица1[[#This Row],[коэф]])),
IF((G235="5/16"),((база!$L$6*2*Таблица1[[#This Row],[Столбец1]]*Таблица1[[#This Row],[коэф]])),
IF(OR(G235="4/16",G235="3/16"),((база!$L$5*2*Таблица1[[#This Row],[Столбец1]]*Таблица1[[#This Row],[коэф]])),
IF(OR(G235="2/4",G235="3/4",G235="4/4"),((база!$I$5*2*Таблица1[[#This Row],[Столбец1]]*Таблица1[[#This Row],[коэф]])),
IF((G235="5/8"),((база!$J$6*2*Таблица1[[#This Row],[Столбец1]]*Таблица1[[#This Row],[коэф]])),
IF(OR(G235="4/8",G235="3/8",G235="2/8"),((база!$J$5*2*Таблица1[[#This Row],[Столбец1]]*Таблица1[[#This Row],[коэф]])))))))))))</f>
        <v>0</v>
      </c>
      <c r="AQ235" s="678" t="str">
        <f>IFERROR(INDEX(база!T:T, MATCH(F235,база!Q:Q,0)),"")</f>
        <v/>
      </c>
      <c r="AR235" s="193">
        <f>IFERROR(INDEX(база!D:D, MATCH(F235,база!B:B,0)),"")</f>
        <v>0</v>
      </c>
    </row>
    <row r="236" spans="1:44" ht="15">
      <c r="A236" s="59"/>
      <c r="B236" s="215"/>
      <c r="C236" s="277"/>
      <c r="D236" s="55"/>
      <c r="E236" s="196"/>
      <c r="F236" s="651"/>
      <c r="G236" s="42"/>
      <c r="H236" s="539"/>
      <c r="I236" s="539"/>
      <c r="J236" s="539"/>
      <c r="K236" s="539"/>
      <c r="L236" s="539"/>
      <c r="M236" s="539"/>
      <c r="N236" s="539"/>
      <c r="O236" s="539"/>
      <c r="P236" s="278"/>
      <c r="Q236" s="539"/>
      <c r="R236" s="539"/>
      <c r="S236" s="539"/>
      <c r="T236" s="539"/>
      <c r="U236" s="539"/>
      <c r="V236" s="539"/>
      <c r="W236" s="539"/>
      <c r="X236" s="539"/>
      <c r="Y236" s="539"/>
      <c r="Z236" s="539"/>
      <c r="AA236" s="539"/>
      <c r="AB236" s="539"/>
      <c r="AC236" s="539"/>
      <c r="AD236" s="43"/>
      <c r="AE236" s="43"/>
      <c r="AF236" s="238"/>
      <c r="AG236" s="43"/>
      <c r="AH236" s="43"/>
      <c r="AI236" s="43"/>
      <c r="AJ236" s="43"/>
      <c r="AK236" s="43"/>
      <c r="AL236" s="45"/>
      <c r="AM236" s="197">
        <f>IF(AQ236=1,SUM(H236:I236,L236:O236,R236:U236,X236:AA236,AD236:AG236,AI236:AK236),
IF(AQ236=2,SUM(H236:K236,N236:Q236,T236:W236,Z236:AC236,AF236:AI236),
IF(AQ236=3,SUM(J236:M236,P236:S236,V236:Y236,AB236:AE236,AH236:AK236),SUM(Таблица1[[#This Row],[1]:[31]])-Таблица1[[#This Row],[Столбец1]])))</f>
        <v>0</v>
      </c>
      <c r="AN236" s="269">
        <f t="array" ref="AN236">IF(AQ236=1,SUM(J236:K236,P236:Q236,V236:W236,AB236:AC236,AH236:AI236),
IF(AQ236=2,SUM(L236:M236,R236:S236,X236:Y236,AD236:AE236),
IF(AQ236=3,SUM(H236:I236,N236:O236,T236:U236,Z236:AA236,AF236:AG236),
SUM(IFERROR(WEEKDAY($H$2:$AL$2,2)&gt;5,)*H236:AL236))))</f>
        <v>0</v>
      </c>
      <c r="AO236" s="271" t="b">
        <f>IF(AR236&lt;=3,(IF((G236="5/24"),((база!$M$6*Таблица1[[#This Row],[сумма]]*Таблица1[[#This Row],[коэф]])),
IF((G236="4/24"),((база!$M$5*Таблица1[[#This Row],[сумма]]*Таблица1[[#This Row],[коэф]])),
IF((G236="3/24"),((база!$M$4*Таблица1[[#This Row],[сумма]]*Таблица1[[#This Row],[коэф]])),
IF((G236="5/16"),((база!$L$6*Таблица1[[#This Row],[сумма]]*Таблица1[[#This Row],[коэф]])),
IF((G236="4/16"),((база!$L$5*Таблица1[[#This Row],[сумма]]*Таблица1[[#This Row],[коэф]])),
IF((G236="3/16"),((база!$L$4*Таблица1[[#This Row],[сумма]]*Таблица1[[#This Row],[коэф]])),
IF((G236="4/4"),((база!$I$5*Таблица1[[#This Row],[сумма]]*Таблица1[[#This Row],[коэф]])),
IF(OR(G236="2/4",G236="3/4"),((база!$I$4*Таблица1[[#This Row],[сумма]]*Таблица1[[#This Row],[коэф]])),
IF((G236="5/8"),((база!$J$6*Таблица1[[#This Row],[сумма]]*Таблица1[[#This Row],[коэф]])),
IF((G236="4/8"),((база!$J$5*Таблица1[[#This Row],[сумма]]*Таблица1[[#This Row],[коэф]])),
IF(OR(G236="3/8",G236="2/8"),((база!$J$4*Таблица1[[#This Row],[сумма]]*Таблица1[[#This Row],[коэф]])))))))))))))),
(IF((G236="5/24"),((база!$M$6*Таблица1[[#This Row],[сумма]]*Таблица1[[#This Row],[коэф]])),
IF(OR(G236="4/24",G236="3/24"),((база!$M$5*Таблица1[[#This Row],[сумма]]*Таблица1[[#This Row],[коэф]])),
IF((G236="5/16"),((база!$L$6*Таблица1[[#This Row],[сумма]]*Таблица1[[#This Row],[коэф]])),
IF(OR(G236="4/16",G236="3/16"),((база!$L$5*Таблица1[[#This Row],[сумма]]*Таблица1[[#This Row],[коэф]])),
IF(OR(G236="2/4",G236="3/4",G236="4/4"),((база!$I$5*Таблица1[[#This Row],[сумма]]*Таблица1[[#This Row],[коэф]])),
IF((G236="5/8"),((база!$J$6*Таблица1[[#This Row],[сумма]]*Таблица1[[#This Row],[коэф]])),
IF(OR(G236="4/8",G236="3/8",G236="2/8"),((база!$J$5*Таблица1[[#This Row],[сумма]]*Таблица1[[#This Row],[коэф]])))))))))))</f>
        <v>0</v>
      </c>
      <c r="AP236" s="696" t="b">
        <f>IF(AR236&lt;=3,(IF((G236="5/24"),((база!$M$6*2*Таблица1[[#This Row],[Столбец1]]*Таблица1[[#This Row],[коэф]])),
IF((G236="4/24"),((база!$M$5*2*Таблица1[[#This Row],[Столбец1]]*Таблица1[[#This Row],[коэф]])),
IF((G236="3/24"),((база!$M$4*2*Таблица1[[#This Row],[Столбец1]]*Таблица1[[#This Row],[коэф]])),
IF((G236="5/16"),((база!$L$6*2*Таблица1[[#This Row],[Столбец1]]*Таблица1[[#This Row],[коэф]])),
IF((G236="4/16"),((база!$L$5*2*Таблица1[[#This Row],[Столбец1]]*Таблица1[[#This Row],[коэф]])),
IF((G236="3/16"),((база!$L$4*2*Таблица1[[#This Row],[Столбец1]]*Таблица1[[#This Row],[коэф]])),
IF((G236="4/4"),((база!$I$5*2*Таблица1[[#This Row],[Столбец1]]*Таблица1[[#This Row],[коэф]])),
IF(OR(G236="2/4",G236="3/4"),((база!$I$4*2*Таблица1[[#This Row],[Столбец1]]*Таблица1[[#This Row],[коэф]])),
IF((G236="5/8"),((база!$J$6*2*Таблица1[[#This Row],[Столбец1]]*Таблица1[[#This Row],[коэф]])),
IF((G236="4/8"),((база!$J$5*2*Таблица1[[#This Row],[Столбец1]]*Таблица1[[#This Row],[коэф]])),
IF(OR(G236="3/8",G236="2/8"),((база!$J$4*2*Таблица1[[#This Row],[Столбец1]]*Таблица1[[#This Row],[коэф]])))))))))))))),
(IF((G236="5/24"),((база!$M$6*2*Таблица1[[#This Row],[Столбец1]]*Таблица1[[#This Row],[коэф]])),
IF(OR(G236="4/24",G236="3/24"),((база!$M$5*2*Таблица1[[#This Row],[Столбец1]]*Таблица1[[#This Row],[коэф]])),
IF((G236="5/16"),((база!$L$6*2*Таблица1[[#This Row],[Столбец1]]*Таблица1[[#This Row],[коэф]])),
IF(OR(G236="4/16",G236="3/16"),((база!$L$5*2*Таблица1[[#This Row],[Столбец1]]*Таблица1[[#This Row],[коэф]])),
IF(OR(G236="2/4",G236="3/4",G236="4/4"),((база!$I$5*2*Таблица1[[#This Row],[Столбец1]]*Таблица1[[#This Row],[коэф]])),
IF((G236="5/8"),((база!$J$6*2*Таблица1[[#This Row],[Столбец1]]*Таблица1[[#This Row],[коэф]])),
IF(OR(G236="4/8",G236="3/8",G236="2/8"),((база!$J$5*2*Таблица1[[#This Row],[Столбец1]]*Таблица1[[#This Row],[коэф]])))))))))))</f>
        <v>0</v>
      </c>
      <c r="AQ236" s="678" t="str">
        <f>IFERROR(INDEX(база!T:T, MATCH(F236,база!Q:Q,0)),"")</f>
        <v/>
      </c>
      <c r="AR236" s="193">
        <f>IFERROR(INDEX(база!D:D, MATCH(F236,база!B:B,0)),"")</f>
        <v>0</v>
      </c>
    </row>
    <row r="237" spans="1:44" ht="15">
      <c r="A237" s="59"/>
      <c r="B237" s="215"/>
      <c r="C237" s="277"/>
      <c r="D237" s="55"/>
      <c r="E237" s="196"/>
      <c r="F237" s="651"/>
      <c r="G237" s="42"/>
      <c r="H237" s="539"/>
      <c r="I237" s="539"/>
      <c r="J237" s="539"/>
      <c r="K237" s="539"/>
      <c r="L237" s="539"/>
      <c r="M237" s="539"/>
      <c r="N237" s="539"/>
      <c r="O237" s="539"/>
      <c r="P237" s="278"/>
      <c r="Q237" s="539"/>
      <c r="R237" s="539"/>
      <c r="S237" s="539"/>
      <c r="T237" s="539"/>
      <c r="U237" s="539"/>
      <c r="V237" s="539"/>
      <c r="W237" s="539"/>
      <c r="X237" s="539"/>
      <c r="Y237" s="539"/>
      <c r="Z237" s="539"/>
      <c r="AA237" s="539"/>
      <c r="AB237" s="539"/>
      <c r="AC237" s="539"/>
      <c r="AD237" s="43"/>
      <c r="AE237" s="43"/>
      <c r="AF237" s="238"/>
      <c r="AG237" s="43"/>
      <c r="AH237" s="43"/>
      <c r="AI237" s="238"/>
      <c r="AJ237" s="238"/>
      <c r="AK237" s="238"/>
      <c r="AL237" s="238"/>
      <c r="AM237" s="197">
        <f>IF(AQ237=1,SUM(H237:I237,L237:O237,R237:U237,X237:AA237,AD237:AG237,AI237:AK237),
IF(AQ237=2,SUM(H237:K237,N237:Q237,T237:W237,Z237:AC237,AF237:AI237),
IF(AQ237=3,SUM(J237:M237,P237:S237,V237:Y237,AB237:AE237,AH237:AK237),SUM(Таблица1[[#This Row],[1]:[31]])-Таблица1[[#This Row],[Столбец1]])))</f>
        <v>0</v>
      </c>
      <c r="AN237" s="269">
        <f t="array" ref="AN237">IF(AQ237=1,SUM(J237:K237,P237:Q237,V237:W237,AB237:AC237,AH237:AI237),
IF(AQ237=2,SUM(L237:M237,R237:S237,X237:Y237,AD237:AE237),
IF(AQ237=3,SUM(H237:I237,N237:O237,T237:U237,Z237:AA237,AF237:AG237),
SUM(IFERROR(WEEKDAY($H$2:$AL$2,2)&gt;5,)*H237:AL237))))</f>
        <v>0</v>
      </c>
      <c r="AO237" s="271" t="b">
        <f>IF(AR237&lt;=3,(IF((G237="5/24"),((база!$M$6*Таблица1[[#This Row],[сумма]]*Таблица1[[#This Row],[коэф]])),
IF((G237="4/24"),((база!$M$5*Таблица1[[#This Row],[сумма]]*Таблица1[[#This Row],[коэф]])),
IF((G237="3/24"),((база!$M$4*Таблица1[[#This Row],[сумма]]*Таблица1[[#This Row],[коэф]])),
IF((G237="5/16"),((база!$L$6*Таблица1[[#This Row],[сумма]]*Таблица1[[#This Row],[коэф]])),
IF((G237="4/16"),((база!$L$5*Таблица1[[#This Row],[сумма]]*Таблица1[[#This Row],[коэф]])),
IF((G237="3/16"),((база!$L$4*Таблица1[[#This Row],[сумма]]*Таблица1[[#This Row],[коэф]])),
IF((G237="4/4"),((база!$I$5*Таблица1[[#This Row],[сумма]]*Таблица1[[#This Row],[коэф]])),
IF(OR(G237="2/4",G237="3/4"),((база!$I$4*Таблица1[[#This Row],[сумма]]*Таблица1[[#This Row],[коэф]])),
IF((G237="5/8"),((база!$J$6*Таблица1[[#This Row],[сумма]]*Таблица1[[#This Row],[коэф]])),
IF((G237="4/8"),((база!$J$5*Таблица1[[#This Row],[сумма]]*Таблица1[[#This Row],[коэф]])),
IF(OR(G237="3/8",G237="2/8"),((база!$J$4*Таблица1[[#This Row],[сумма]]*Таблица1[[#This Row],[коэф]])))))))))))))),
(IF((G237="5/24"),((база!$M$6*Таблица1[[#This Row],[сумма]]*Таблица1[[#This Row],[коэф]])),
IF(OR(G237="4/24",G237="3/24"),((база!$M$5*Таблица1[[#This Row],[сумма]]*Таблица1[[#This Row],[коэф]])),
IF((G237="5/16"),((база!$L$6*Таблица1[[#This Row],[сумма]]*Таблица1[[#This Row],[коэф]])),
IF(OR(G237="4/16",G237="3/16"),((база!$L$5*Таблица1[[#This Row],[сумма]]*Таблица1[[#This Row],[коэф]])),
IF(OR(G237="2/4",G237="3/4",G237="4/4"),((база!$I$5*Таблица1[[#This Row],[сумма]]*Таблица1[[#This Row],[коэф]])),
IF((G237="5/8"),((база!$J$6*Таблица1[[#This Row],[сумма]]*Таблица1[[#This Row],[коэф]])),
IF(OR(G237="4/8",G237="3/8",G237="2/8"),((база!$J$5*Таблица1[[#This Row],[сумма]]*Таблица1[[#This Row],[коэф]])))))))))))</f>
        <v>0</v>
      </c>
      <c r="AP237" s="696" t="b">
        <f>IF(AR237&lt;=3,(IF((G237="5/24"),((база!$M$6*2*Таблица1[[#This Row],[Столбец1]]*Таблица1[[#This Row],[коэф]])),
IF((G237="4/24"),((база!$M$5*2*Таблица1[[#This Row],[Столбец1]]*Таблица1[[#This Row],[коэф]])),
IF((G237="3/24"),((база!$M$4*2*Таблица1[[#This Row],[Столбец1]]*Таблица1[[#This Row],[коэф]])),
IF((G237="5/16"),((база!$L$6*2*Таблица1[[#This Row],[Столбец1]]*Таблица1[[#This Row],[коэф]])),
IF((G237="4/16"),((база!$L$5*2*Таблица1[[#This Row],[Столбец1]]*Таблица1[[#This Row],[коэф]])),
IF((G237="3/16"),((база!$L$4*2*Таблица1[[#This Row],[Столбец1]]*Таблица1[[#This Row],[коэф]])),
IF((G237="4/4"),((база!$I$5*2*Таблица1[[#This Row],[Столбец1]]*Таблица1[[#This Row],[коэф]])),
IF(OR(G237="2/4",G237="3/4"),((база!$I$4*2*Таблица1[[#This Row],[Столбец1]]*Таблица1[[#This Row],[коэф]])),
IF((G237="5/8"),((база!$J$6*2*Таблица1[[#This Row],[Столбец1]]*Таблица1[[#This Row],[коэф]])),
IF((G237="4/8"),((база!$J$5*2*Таблица1[[#This Row],[Столбец1]]*Таблица1[[#This Row],[коэф]])),
IF(OR(G237="3/8",G237="2/8"),((база!$J$4*2*Таблица1[[#This Row],[Столбец1]]*Таблица1[[#This Row],[коэф]])))))))))))))),
(IF((G237="5/24"),((база!$M$6*2*Таблица1[[#This Row],[Столбец1]]*Таблица1[[#This Row],[коэф]])),
IF(OR(G237="4/24",G237="3/24"),((база!$M$5*2*Таблица1[[#This Row],[Столбец1]]*Таблица1[[#This Row],[коэф]])),
IF((G237="5/16"),((база!$L$6*2*Таблица1[[#This Row],[Столбец1]]*Таблица1[[#This Row],[коэф]])),
IF(OR(G237="4/16",G237="3/16"),((база!$L$5*2*Таблица1[[#This Row],[Столбец1]]*Таблица1[[#This Row],[коэф]])),
IF(OR(G237="2/4",G237="3/4",G237="4/4"),((база!$I$5*2*Таблица1[[#This Row],[Столбец1]]*Таблица1[[#This Row],[коэф]])),
IF((G237="5/8"),((база!$J$6*2*Таблица1[[#This Row],[Столбец1]]*Таблица1[[#This Row],[коэф]])),
IF(OR(G237="4/8",G237="3/8",G237="2/8"),((база!$J$5*2*Таблица1[[#This Row],[Столбец1]]*Таблица1[[#This Row],[коэф]])))))))))))</f>
        <v>0</v>
      </c>
      <c r="AQ237" s="678" t="str">
        <f>IFERROR(INDEX(база!T:T, MATCH(F237,база!Q:Q,0)),"")</f>
        <v/>
      </c>
      <c r="AR237" s="193">
        <f>IFERROR(INDEX(база!D:D, MATCH(F237,база!B:B,0)),"")</f>
        <v>0</v>
      </c>
    </row>
    <row r="238" spans="1:44" ht="15">
      <c r="A238" s="59"/>
      <c r="B238" s="215"/>
      <c r="C238" s="277"/>
      <c r="D238" s="55"/>
      <c r="E238" s="196"/>
      <c r="F238" s="651"/>
      <c r="G238" s="42"/>
      <c r="H238" s="539"/>
      <c r="I238" s="539"/>
      <c r="J238" s="539"/>
      <c r="K238" s="539"/>
      <c r="L238" s="539"/>
      <c r="M238" s="539"/>
      <c r="N238" s="539"/>
      <c r="O238" s="539"/>
      <c r="P238" s="278"/>
      <c r="Q238" s="539"/>
      <c r="R238" s="539"/>
      <c r="S238" s="539"/>
      <c r="T238" s="539"/>
      <c r="U238" s="539"/>
      <c r="V238" s="539"/>
      <c r="W238" s="539"/>
      <c r="X238" s="539"/>
      <c r="Y238" s="539"/>
      <c r="Z238" s="539"/>
      <c r="AA238" s="539"/>
      <c r="AB238" s="539"/>
      <c r="AC238" s="539"/>
      <c r="AD238" s="43"/>
      <c r="AE238" s="43"/>
      <c r="AF238" s="238"/>
      <c r="AG238" s="43"/>
      <c r="AH238" s="43"/>
      <c r="AI238" s="43"/>
      <c r="AJ238" s="43"/>
      <c r="AK238" s="43"/>
      <c r="AL238" s="45"/>
      <c r="AM238" s="197">
        <f>IF(AQ238=1,SUM(H238:I238,L238:O238,R238:U238,X238:AA238,AD238:AG238,AI238:AK238),
IF(AQ238=2,SUM(H238:K238,N238:Q238,T238:W238,Z238:AC238,AF238:AI238),
IF(AQ238=3,SUM(J238:M238,P238:S238,V238:Y238,AB238:AE238,AH238:AK238),SUM(Таблица1[[#This Row],[1]:[31]])-Таблица1[[#This Row],[Столбец1]])))</f>
        <v>0</v>
      </c>
      <c r="AN238" s="269">
        <f t="array" ref="AN238">IF(AQ238=1,SUM(J238:K238,P238:Q238,V238:W238,AB238:AC238,AH238:AI238),
IF(AQ238=2,SUM(L238:M238,R238:S238,X238:Y238,AD238:AE238),
IF(AQ238=3,SUM(H238:I238,N238:O238,T238:U238,Z238:AA238,AF238:AG238),
SUM(IFERROR(WEEKDAY($H$2:$AL$2,2)&gt;5,)*H238:AL238))))</f>
        <v>0</v>
      </c>
      <c r="AO238" s="271" t="b">
        <f>IF(AR238&lt;=3,(IF((G238="5/24"),((база!$M$6*Таблица1[[#This Row],[сумма]]*Таблица1[[#This Row],[коэф]])),
IF((G238="4/24"),((база!$M$5*Таблица1[[#This Row],[сумма]]*Таблица1[[#This Row],[коэф]])),
IF((G238="3/24"),((база!$M$4*Таблица1[[#This Row],[сумма]]*Таблица1[[#This Row],[коэф]])),
IF((G238="5/16"),((база!$L$6*Таблица1[[#This Row],[сумма]]*Таблица1[[#This Row],[коэф]])),
IF((G238="4/16"),((база!$L$5*Таблица1[[#This Row],[сумма]]*Таблица1[[#This Row],[коэф]])),
IF((G238="3/16"),((база!$L$4*Таблица1[[#This Row],[сумма]]*Таблица1[[#This Row],[коэф]])),
IF((G238="4/4"),((база!$I$5*Таблица1[[#This Row],[сумма]]*Таблица1[[#This Row],[коэф]])),
IF(OR(G238="2/4",G238="3/4"),((база!$I$4*Таблица1[[#This Row],[сумма]]*Таблица1[[#This Row],[коэф]])),
IF((G238="5/8"),((база!$J$6*Таблица1[[#This Row],[сумма]]*Таблица1[[#This Row],[коэф]])),
IF((G238="4/8"),((база!$J$5*Таблица1[[#This Row],[сумма]]*Таблица1[[#This Row],[коэф]])),
IF(OR(G238="3/8",G238="2/8"),((база!$J$4*Таблица1[[#This Row],[сумма]]*Таблица1[[#This Row],[коэф]])))))))))))))),
(IF((G238="5/24"),((база!$M$6*Таблица1[[#This Row],[сумма]]*Таблица1[[#This Row],[коэф]])),
IF(OR(G238="4/24",G238="3/24"),((база!$M$5*Таблица1[[#This Row],[сумма]]*Таблица1[[#This Row],[коэф]])),
IF((G238="5/16"),((база!$L$6*Таблица1[[#This Row],[сумма]]*Таблица1[[#This Row],[коэф]])),
IF(OR(G238="4/16",G238="3/16"),((база!$L$5*Таблица1[[#This Row],[сумма]]*Таблица1[[#This Row],[коэф]])),
IF(OR(G238="2/4",G238="3/4",G238="4/4"),((база!$I$5*Таблица1[[#This Row],[сумма]]*Таблица1[[#This Row],[коэф]])),
IF((G238="5/8"),((база!$J$6*Таблица1[[#This Row],[сумма]]*Таблица1[[#This Row],[коэф]])),
IF(OR(G238="4/8",G238="3/8",G238="2/8"),((база!$J$5*Таблица1[[#This Row],[сумма]]*Таблица1[[#This Row],[коэф]])))))))))))</f>
        <v>0</v>
      </c>
      <c r="AP238" s="696" t="b">
        <f>IF(AR238&lt;=3,(IF((G238="5/24"),((база!$M$6*2*Таблица1[[#This Row],[Столбец1]]*Таблица1[[#This Row],[коэф]])),
IF((G238="4/24"),((база!$M$5*2*Таблица1[[#This Row],[Столбец1]]*Таблица1[[#This Row],[коэф]])),
IF((G238="3/24"),((база!$M$4*2*Таблица1[[#This Row],[Столбец1]]*Таблица1[[#This Row],[коэф]])),
IF((G238="5/16"),((база!$L$6*2*Таблица1[[#This Row],[Столбец1]]*Таблица1[[#This Row],[коэф]])),
IF((G238="4/16"),((база!$L$5*2*Таблица1[[#This Row],[Столбец1]]*Таблица1[[#This Row],[коэф]])),
IF((G238="3/16"),((база!$L$4*2*Таблица1[[#This Row],[Столбец1]]*Таблица1[[#This Row],[коэф]])),
IF((G238="4/4"),((база!$I$5*2*Таблица1[[#This Row],[Столбец1]]*Таблица1[[#This Row],[коэф]])),
IF(OR(G238="2/4",G238="3/4"),((база!$I$4*2*Таблица1[[#This Row],[Столбец1]]*Таблица1[[#This Row],[коэф]])),
IF((G238="5/8"),((база!$J$6*2*Таблица1[[#This Row],[Столбец1]]*Таблица1[[#This Row],[коэф]])),
IF((G238="4/8"),((база!$J$5*2*Таблица1[[#This Row],[Столбец1]]*Таблица1[[#This Row],[коэф]])),
IF(OR(G238="3/8",G238="2/8"),((база!$J$4*2*Таблица1[[#This Row],[Столбец1]]*Таблица1[[#This Row],[коэф]])))))))))))))),
(IF((G238="5/24"),((база!$M$6*2*Таблица1[[#This Row],[Столбец1]]*Таблица1[[#This Row],[коэф]])),
IF(OR(G238="4/24",G238="3/24"),((база!$M$5*2*Таблица1[[#This Row],[Столбец1]]*Таблица1[[#This Row],[коэф]])),
IF((G238="5/16"),((база!$L$6*2*Таблица1[[#This Row],[Столбец1]]*Таблица1[[#This Row],[коэф]])),
IF(OR(G238="4/16",G238="3/16"),((база!$L$5*2*Таблица1[[#This Row],[Столбец1]]*Таблица1[[#This Row],[коэф]])),
IF(OR(G238="2/4",G238="3/4",G238="4/4"),((база!$I$5*2*Таблица1[[#This Row],[Столбец1]]*Таблица1[[#This Row],[коэф]])),
IF((G238="5/8"),((база!$J$6*2*Таблица1[[#This Row],[Столбец1]]*Таблица1[[#This Row],[коэф]])),
IF(OR(G238="4/8",G238="3/8",G238="2/8"),((база!$J$5*2*Таблица1[[#This Row],[Столбец1]]*Таблица1[[#This Row],[коэф]])))))))))))</f>
        <v>0</v>
      </c>
      <c r="AQ238" s="678" t="str">
        <f>IFERROR(INDEX(база!T:T, MATCH(F238,база!Q:Q,0)),"")</f>
        <v/>
      </c>
      <c r="AR238" s="193">
        <f>IFERROR(INDEX(база!D:D, MATCH(F238,база!B:B,0)),"")</f>
        <v>0</v>
      </c>
    </row>
    <row r="239" spans="1:44" ht="15">
      <c r="A239" s="59"/>
      <c r="B239" s="215"/>
      <c r="C239" s="54"/>
      <c r="D239" s="55"/>
      <c r="E239" s="196"/>
      <c r="F239" s="651"/>
      <c r="G239" s="42"/>
      <c r="H239" s="539"/>
      <c r="I239" s="539"/>
      <c r="J239" s="539"/>
      <c r="K239" s="539"/>
      <c r="L239" s="539"/>
      <c r="M239" s="539"/>
      <c r="N239" s="539"/>
      <c r="O239" s="539"/>
      <c r="P239" s="278"/>
      <c r="Q239" s="539"/>
      <c r="R239" s="539"/>
      <c r="S239" s="539"/>
      <c r="T239" s="539"/>
      <c r="U239" s="539"/>
      <c r="V239" s="539"/>
      <c r="W239" s="539"/>
      <c r="X239" s="539"/>
      <c r="Y239" s="539"/>
      <c r="Z239" s="539"/>
      <c r="AA239" s="539"/>
      <c r="AB239" s="539"/>
      <c r="AC239" s="539"/>
      <c r="AD239" s="43"/>
      <c r="AE239" s="43"/>
      <c r="AF239" s="238"/>
      <c r="AG239" s="43"/>
      <c r="AH239" s="43"/>
      <c r="AI239" s="238"/>
      <c r="AJ239" s="238"/>
      <c r="AK239" s="238"/>
      <c r="AL239" s="238"/>
      <c r="AM239" s="197">
        <f>IF(AQ239=1,SUM(H239:I239,L239:O239,R239:U239,X239:AA239,AD239:AG239,AI239:AK239),
IF(AQ239=2,SUM(H239:K239,N239:Q239,T239:W239,Z239:AC239,AF239:AI239),
IF(AQ239=3,SUM(J239:M239,P239:S239,V239:Y239,AB239:AE239,AH239:AK239),SUM(Таблица1[[#This Row],[1]:[31]])-Таблица1[[#This Row],[Столбец1]])))</f>
        <v>0</v>
      </c>
      <c r="AN239" s="269">
        <f t="array" ref="AN239">IF(AQ239=1,SUM(J239:K239,P239:Q239,V239:W239,AB239:AC239,AH239:AI239),
IF(AQ239=2,SUM(L239:M239,R239:S239,X239:Y239,AD239:AE239),
IF(AQ239=3,SUM(H239:I239,N239:O239,T239:U239,Z239:AA239,AF239:AG239),
SUM(IFERROR(WEEKDAY($H$2:$AL$2,2)&gt;5,)*H239:AL239))))</f>
        <v>0</v>
      </c>
      <c r="AO239" s="271" t="b">
        <f>IF(AR239&lt;=3,(IF((G239="5/24"),((база!$M$6*Таблица1[[#This Row],[сумма]]*Таблица1[[#This Row],[коэф]])),
IF((G239="4/24"),((база!$M$5*Таблица1[[#This Row],[сумма]]*Таблица1[[#This Row],[коэф]])),
IF((G239="3/24"),((база!$M$4*Таблица1[[#This Row],[сумма]]*Таблица1[[#This Row],[коэф]])),
IF((G239="5/16"),((база!$L$6*Таблица1[[#This Row],[сумма]]*Таблица1[[#This Row],[коэф]])),
IF((G239="4/16"),((база!$L$5*Таблица1[[#This Row],[сумма]]*Таблица1[[#This Row],[коэф]])),
IF((G239="3/16"),((база!$L$4*Таблица1[[#This Row],[сумма]]*Таблица1[[#This Row],[коэф]])),
IF((G239="4/4"),((база!$I$5*Таблица1[[#This Row],[сумма]]*Таблица1[[#This Row],[коэф]])),
IF(OR(G239="2/4",G239="3/4"),((база!$I$4*Таблица1[[#This Row],[сумма]]*Таблица1[[#This Row],[коэф]])),
IF((G239="5/8"),((база!$J$6*Таблица1[[#This Row],[сумма]]*Таблица1[[#This Row],[коэф]])),
IF((G239="4/8"),((база!$J$5*Таблица1[[#This Row],[сумма]]*Таблица1[[#This Row],[коэф]])),
IF(OR(G239="3/8",G239="2/8"),((база!$J$4*Таблица1[[#This Row],[сумма]]*Таблица1[[#This Row],[коэф]])))))))))))))),
(IF((G239="5/24"),((база!$M$6*Таблица1[[#This Row],[сумма]]*Таблица1[[#This Row],[коэф]])),
IF(OR(G239="4/24",G239="3/24"),((база!$M$5*Таблица1[[#This Row],[сумма]]*Таблица1[[#This Row],[коэф]])),
IF((G239="5/16"),((база!$L$6*Таблица1[[#This Row],[сумма]]*Таблица1[[#This Row],[коэф]])),
IF(OR(G239="4/16",G239="3/16"),((база!$L$5*Таблица1[[#This Row],[сумма]]*Таблица1[[#This Row],[коэф]])),
IF(OR(G239="2/4",G239="3/4",G239="4/4"),((база!$I$5*Таблица1[[#This Row],[сумма]]*Таблица1[[#This Row],[коэф]])),
IF((G239="5/8"),((база!$J$6*Таблица1[[#This Row],[сумма]]*Таблица1[[#This Row],[коэф]])),
IF(OR(G239="4/8",G239="3/8",G239="2/8"),((база!$J$5*Таблица1[[#This Row],[сумма]]*Таблица1[[#This Row],[коэф]])))))))))))</f>
        <v>0</v>
      </c>
      <c r="AP239" s="696" t="b">
        <f>IF(AR239&lt;=3,(IF((G239="5/24"),((база!$M$6*2*Таблица1[[#This Row],[Столбец1]]*Таблица1[[#This Row],[коэф]])),
IF((G239="4/24"),((база!$M$5*2*Таблица1[[#This Row],[Столбец1]]*Таблица1[[#This Row],[коэф]])),
IF((G239="3/24"),((база!$M$4*2*Таблица1[[#This Row],[Столбец1]]*Таблица1[[#This Row],[коэф]])),
IF((G239="5/16"),((база!$L$6*2*Таблица1[[#This Row],[Столбец1]]*Таблица1[[#This Row],[коэф]])),
IF((G239="4/16"),((база!$L$5*2*Таблица1[[#This Row],[Столбец1]]*Таблица1[[#This Row],[коэф]])),
IF((G239="3/16"),((база!$L$4*2*Таблица1[[#This Row],[Столбец1]]*Таблица1[[#This Row],[коэф]])),
IF((G239="4/4"),((база!$I$5*2*Таблица1[[#This Row],[Столбец1]]*Таблица1[[#This Row],[коэф]])),
IF(OR(G239="2/4",G239="3/4"),((база!$I$4*2*Таблица1[[#This Row],[Столбец1]]*Таблица1[[#This Row],[коэф]])),
IF((G239="5/8"),((база!$J$6*2*Таблица1[[#This Row],[Столбец1]]*Таблица1[[#This Row],[коэф]])),
IF((G239="4/8"),((база!$J$5*2*Таблица1[[#This Row],[Столбец1]]*Таблица1[[#This Row],[коэф]])),
IF(OR(G239="3/8",G239="2/8"),((база!$J$4*2*Таблица1[[#This Row],[Столбец1]]*Таблица1[[#This Row],[коэф]])))))))))))))),
(IF((G239="5/24"),((база!$M$6*2*Таблица1[[#This Row],[Столбец1]]*Таблица1[[#This Row],[коэф]])),
IF(OR(G239="4/24",G239="3/24"),((база!$M$5*2*Таблица1[[#This Row],[Столбец1]]*Таблица1[[#This Row],[коэф]])),
IF((G239="5/16"),((база!$L$6*2*Таблица1[[#This Row],[Столбец1]]*Таблица1[[#This Row],[коэф]])),
IF(OR(G239="4/16",G239="3/16"),((база!$L$5*2*Таблица1[[#This Row],[Столбец1]]*Таблица1[[#This Row],[коэф]])),
IF(OR(G239="2/4",G239="3/4",G239="4/4"),((база!$I$5*2*Таблица1[[#This Row],[Столбец1]]*Таблица1[[#This Row],[коэф]])),
IF((G239="5/8"),((база!$J$6*2*Таблица1[[#This Row],[Столбец1]]*Таблица1[[#This Row],[коэф]])),
IF(OR(G239="4/8",G239="3/8",G239="2/8"),((база!$J$5*2*Таблица1[[#This Row],[Столбец1]]*Таблица1[[#This Row],[коэф]])))))))))))</f>
        <v>0</v>
      </c>
      <c r="AQ239" s="678" t="str">
        <f>IFERROR(INDEX(база!T:T, MATCH(F239,база!Q:Q,0)),"")</f>
        <v/>
      </c>
      <c r="AR239" s="193">
        <f>IFERROR(INDEX(база!D:D, MATCH(F239,база!B:B,0)),"")</f>
        <v>0</v>
      </c>
    </row>
    <row r="240" spans="1:44" ht="15">
      <c r="A240" s="59"/>
      <c r="B240" s="215"/>
      <c r="C240" s="54"/>
      <c r="D240" s="55"/>
      <c r="E240" s="196"/>
      <c r="F240" s="651"/>
      <c r="G240" s="42"/>
      <c r="H240" s="539"/>
      <c r="I240" s="539"/>
      <c r="J240" s="539"/>
      <c r="K240" s="539"/>
      <c r="L240" s="539"/>
      <c r="M240" s="539"/>
      <c r="N240" s="539"/>
      <c r="O240" s="539"/>
      <c r="P240" s="278"/>
      <c r="Q240" s="539"/>
      <c r="R240" s="539"/>
      <c r="S240" s="539"/>
      <c r="T240" s="539"/>
      <c r="U240" s="539"/>
      <c r="V240" s="539"/>
      <c r="W240" s="539"/>
      <c r="X240" s="539"/>
      <c r="Y240" s="539"/>
      <c r="Z240" s="539"/>
      <c r="AA240" s="539"/>
      <c r="AB240" s="539"/>
      <c r="AC240" s="539"/>
      <c r="AD240" s="238"/>
      <c r="AE240" s="238"/>
      <c r="AF240" s="238"/>
      <c r="AG240" s="43"/>
      <c r="AH240" s="43"/>
      <c r="AI240" s="43"/>
      <c r="AJ240" s="43"/>
      <c r="AK240" s="43"/>
      <c r="AL240" s="45"/>
      <c r="AM240" s="197">
        <f>IF(AQ240=1,SUM(H240:I240,L240:O240,R240:U240,X240:AA240,AD240:AG240,AI240:AK240),
IF(AQ240=2,SUM(H240:K240,N240:Q240,T240:W240,Z240:AC240,AF240:AI240),
IF(AQ240=3,SUM(J240:M240,P240:S240,V240:Y240,AB240:AE240,AH240:AK240),SUM(Таблица1[[#This Row],[1]:[31]])-Таблица1[[#This Row],[Столбец1]])))</f>
        <v>0</v>
      </c>
      <c r="AN240" s="269">
        <f t="array" ref="AN240">IF(AQ240=1,SUM(J240:K240,P240:Q240,V240:W240,AB240:AC240,AH240:AI240),
IF(AQ240=2,SUM(L240:M240,R240:S240,X240:Y240,AD240:AE240),
IF(AQ240=3,SUM(H240:I240,N240:O240,T240:U240,Z240:AA240,AF240:AG240),
SUM(IFERROR(WEEKDAY($H$2:$AL$2,2)&gt;5,)*H240:AL240))))</f>
        <v>0</v>
      </c>
      <c r="AO240" s="271" t="b">
        <f>IF(AR240&lt;=3,(IF((G240="5/24"),((база!$M$6*Таблица1[[#This Row],[сумма]]*Таблица1[[#This Row],[коэф]])),
IF((G240="4/24"),((база!$M$5*Таблица1[[#This Row],[сумма]]*Таблица1[[#This Row],[коэф]])),
IF((G240="3/24"),((база!$M$4*Таблица1[[#This Row],[сумма]]*Таблица1[[#This Row],[коэф]])),
IF((G240="5/16"),((база!$L$6*Таблица1[[#This Row],[сумма]]*Таблица1[[#This Row],[коэф]])),
IF((G240="4/16"),((база!$L$5*Таблица1[[#This Row],[сумма]]*Таблица1[[#This Row],[коэф]])),
IF((G240="3/16"),((база!$L$4*Таблица1[[#This Row],[сумма]]*Таблица1[[#This Row],[коэф]])),
IF((G240="4/4"),((база!$I$5*Таблица1[[#This Row],[сумма]]*Таблица1[[#This Row],[коэф]])),
IF(OR(G240="2/4",G240="3/4"),((база!$I$4*Таблица1[[#This Row],[сумма]]*Таблица1[[#This Row],[коэф]])),
IF((G240="5/8"),((база!$J$6*Таблица1[[#This Row],[сумма]]*Таблица1[[#This Row],[коэф]])),
IF((G240="4/8"),((база!$J$5*Таблица1[[#This Row],[сумма]]*Таблица1[[#This Row],[коэф]])),
IF(OR(G240="3/8",G240="2/8"),((база!$J$4*Таблица1[[#This Row],[сумма]]*Таблица1[[#This Row],[коэф]])))))))))))))),
(IF((G240="5/24"),((база!$M$6*Таблица1[[#This Row],[сумма]]*Таблица1[[#This Row],[коэф]])),
IF(OR(G240="4/24",G240="3/24"),((база!$M$5*Таблица1[[#This Row],[сумма]]*Таблица1[[#This Row],[коэф]])),
IF((G240="5/16"),((база!$L$6*Таблица1[[#This Row],[сумма]]*Таблица1[[#This Row],[коэф]])),
IF(OR(G240="4/16",G240="3/16"),((база!$L$5*Таблица1[[#This Row],[сумма]]*Таблица1[[#This Row],[коэф]])),
IF(OR(G240="2/4",G240="3/4",G240="4/4"),((база!$I$5*Таблица1[[#This Row],[сумма]]*Таблица1[[#This Row],[коэф]])),
IF((G240="5/8"),((база!$J$6*Таблица1[[#This Row],[сумма]]*Таблица1[[#This Row],[коэф]])),
IF(OR(G240="4/8",G240="3/8",G240="2/8"),((база!$J$5*Таблица1[[#This Row],[сумма]]*Таблица1[[#This Row],[коэф]])))))))))))</f>
        <v>0</v>
      </c>
      <c r="AP240" s="696" t="b">
        <f>IF(AR240&lt;=3,(IF((G240="5/24"),((база!$M$6*2*Таблица1[[#This Row],[Столбец1]]*Таблица1[[#This Row],[коэф]])),
IF((G240="4/24"),((база!$M$5*2*Таблица1[[#This Row],[Столбец1]]*Таблица1[[#This Row],[коэф]])),
IF((G240="3/24"),((база!$M$4*2*Таблица1[[#This Row],[Столбец1]]*Таблица1[[#This Row],[коэф]])),
IF((G240="5/16"),((база!$L$6*2*Таблица1[[#This Row],[Столбец1]]*Таблица1[[#This Row],[коэф]])),
IF((G240="4/16"),((база!$L$5*2*Таблица1[[#This Row],[Столбец1]]*Таблица1[[#This Row],[коэф]])),
IF((G240="3/16"),((база!$L$4*2*Таблица1[[#This Row],[Столбец1]]*Таблица1[[#This Row],[коэф]])),
IF((G240="4/4"),((база!$I$5*2*Таблица1[[#This Row],[Столбец1]]*Таблица1[[#This Row],[коэф]])),
IF(OR(G240="2/4",G240="3/4"),((база!$I$4*2*Таблица1[[#This Row],[Столбец1]]*Таблица1[[#This Row],[коэф]])),
IF((G240="5/8"),((база!$J$6*2*Таблица1[[#This Row],[Столбец1]]*Таблица1[[#This Row],[коэф]])),
IF((G240="4/8"),((база!$J$5*2*Таблица1[[#This Row],[Столбец1]]*Таблица1[[#This Row],[коэф]])),
IF(OR(G240="3/8",G240="2/8"),((база!$J$4*2*Таблица1[[#This Row],[Столбец1]]*Таблица1[[#This Row],[коэф]])))))))))))))),
(IF((G240="5/24"),((база!$M$6*2*Таблица1[[#This Row],[Столбец1]]*Таблица1[[#This Row],[коэф]])),
IF(OR(G240="4/24",G240="3/24"),((база!$M$5*2*Таблица1[[#This Row],[Столбец1]]*Таблица1[[#This Row],[коэф]])),
IF((G240="5/16"),((база!$L$6*2*Таблица1[[#This Row],[Столбец1]]*Таблица1[[#This Row],[коэф]])),
IF(OR(G240="4/16",G240="3/16"),((база!$L$5*2*Таблица1[[#This Row],[Столбец1]]*Таблица1[[#This Row],[коэф]])),
IF(OR(G240="2/4",G240="3/4",G240="4/4"),((база!$I$5*2*Таблица1[[#This Row],[Столбец1]]*Таблица1[[#This Row],[коэф]])),
IF((G240="5/8"),((база!$J$6*2*Таблица1[[#This Row],[Столбец1]]*Таблица1[[#This Row],[коэф]])),
IF(OR(G240="4/8",G240="3/8",G240="2/8"),((база!$J$5*2*Таблица1[[#This Row],[Столбец1]]*Таблица1[[#This Row],[коэф]])))))))))))</f>
        <v>0</v>
      </c>
      <c r="AQ240" s="678" t="str">
        <f>IFERROR(INDEX(база!T:T, MATCH(F240,база!Q:Q,0)),"")</f>
        <v/>
      </c>
      <c r="AR240" s="193">
        <f>IFERROR(INDEX(база!D:D, MATCH(F240,база!B:B,0)),"")</f>
        <v>0</v>
      </c>
    </row>
    <row r="241" spans="1:44" ht="15">
      <c r="A241" s="59"/>
      <c r="B241" s="215"/>
      <c r="C241" s="54"/>
      <c r="D241" s="55"/>
      <c r="E241" s="196"/>
      <c r="F241" s="651"/>
      <c r="G241" s="42"/>
      <c r="H241" s="539"/>
      <c r="I241" s="539"/>
      <c r="J241" s="539"/>
      <c r="K241" s="539"/>
      <c r="L241" s="539"/>
      <c r="M241" s="539"/>
      <c r="N241" s="539"/>
      <c r="O241" s="539"/>
      <c r="P241" s="278"/>
      <c r="Q241" s="539"/>
      <c r="R241" s="539"/>
      <c r="S241" s="539"/>
      <c r="T241" s="539"/>
      <c r="U241" s="539"/>
      <c r="V241" s="539"/>
      <c r="W241" s="539"/>
      <c r="X241" s="539"/>
      <c r="Y241" s="539"/>
      <c r="Z241" s="539"/>
      <c r="AA241" s="539"/>
      <c r="AB241" s="539"/>
      <c r="AC241" s="539"/>
      <c r="AD241" s="43"/>
      <c r="AE241" s="43"/>
      <c r="AF241" s="238"/>
      <c r="AG241" s="43"/>
      <c r="AH241" s="43"/>
      <c r="AI241" s="238"/>
      <c r="AJ241" s="238"/>
      <c r="AK241" s="238"/>
      <c r="AL241" s="238"/>
      <c r="AM241" s="197">
        <f>IF(AQ241=1,SUM(H241:I241,L241:O241,R241:U241,X241:AA241,AD241:AG241,AI241:AK241),
IF(AQ241=2,SUM(H241:K241,N241:Q241,T241:W241,Z241:AC241,AF241:AI241),
IF(AQ241=3,SUM(J241:M241,P241:S241,V241:Y241,AB241:AE241,AH241:AK241),SUM(Таблица1[[#This Row],[1]:[31]])-Таблица1[[#This Row],[Столбец1]])))</f>
        <v>0</v>
      </c>
      <c r="AN241" s="269">
        <f t="array" ref="AN241">IF(AQ241=1,SUM(J241:K241,P241:Q241,V241:W241,AB241:AC241,AH241:AI241),
IF(AQ241=2,SUM(L241:M241,R241:S241,X241:Y241,AD241:AE241),
IF(AQ241=3,SUM(H241:I241,N241:O241,T241:U241,Z241:AA241,AF241:AG241),
SUM(IFERROR(WEEKDAY($H$2:$AL$2,2)&gt;5,)*H241:AL241))))</f>
        <v>0</v>
      </c>
      <c r="AO241" s="271" t="b">
        <f>IF(AR241&lt;=3,(IF((G241="5/24"),((база!$M$6*Таблица1[[#This Row],[сумма]]*Таблица1[[#This Row],[коэф]])),
IF((G241="4/24"),((база!$M$5*Таблица1[[#This Row],[сумма]]*Таблица1[[#This Row],[коэф]])),
IF((G241="3/24"),((база!$M$4*Таблица1[[#This Row],[сумма]]*Таблица1[[#This Row],[коэф]])),
IF((G241="5/16"),((база!$L$6*Таблица1[[#This Row],[сумма]]*Таблица1[[#This Row],[коэф]])),
IF((G241="4/16"),((база!$L$5*Таблица1[[#This Row],[сумма]]*Таблица1[[#This Row],[коэф]])),
IF((G241="3/16"),((база!$L$4*Таблица1[[#This Row],[сумма]]*Таблица1[[#This Row],[коэф]])),
IF((G241="4/4"),((база!$I$5*Таблица1[[#This Row],[сумма]]*Таблица1[[#This Row],[коэф]])),
IF(OR(G241="2/4",G241="3/4"),((база!$I$4*Таблица1[[#This Row],[сумма]]*Таблица1[[#This Row],[коэф]])),
IF((G241="5/8"),((база!$J$6*Таблица1[[#This Row],[сумма]]*Таблица1[[#This Row],[коэф]])),
IF((G241="4/8"),((база!$J$5*Таблица1[[#This Row],[сумма]]*Таблица1[[#This Row],[коэф]])),
IF(OR(G241="3/8",G241="2/8"),((база!$J$4*Таблица1[[#This Row],[сумма]]*Таблица1[[#This Row],[коэф]])))))))))))))),
(IF((G241="5/24"),((база!$M$6*Таблица1[[#This Row],[сумма]]*Таблица1[[#This Row],[коэф]])),
IF(OR(G241="4/24",G241="3/24"),((база!$M$5*Таблица1[[#This Row],[сумма]]*Таблица1[[#This Row],[коэф]])),
IF((G241="5/16"),((база!$L$6*Таблица1[[#This Row],[сумма]]*Таблица1[[#This Row],[коэф]])),
IF(OR(G241="4/16",G241="3/16"),((база!$L$5*Таблица1[[#This Row],[сумма]]*Таблица1[[#This Row],[коэф]])),
IF(OR(G241="2/4",G241="3/4",G241="4/4"),((база!$I$5*Таблица1[[#This Row],[сумма]]*Таблица1[[#This Row],[коэф]])),
IF((G241="5/8"),((база!$J$6*Таблица1[[#This Row],[сумма]]*Таблица1[[#This Row],[коэф]])),
IF(OR(G241="4/8",G241="3/8",G241="2/8"),((база!$J$5*Таблица1[[#This Row],[сумма]]*Таблица1[[#This Row],[коэф]])))))))))))</f>
        <v>0</v>
      </c>
      <c r="AP241" s="696" t="b">
        <f>IF(AR241&lt;=3,(IF((G241="5/24"),((база!$M$6*2*Таблица1[[#This Row],[Столбец1]]*Таблица1[[#This Row],[коэф]])),
IF((G241="4/24"),((база!$M$5*2*Таблица1[[#This Row],[Столбец1]]*Таблица1[[#This Row],[коэф]])),
IF((G241="3/24"),((база!$M$4*2*Таблица1[[#This Row],[Столбец1]]*Таблица1[[#This Row],[коэф]])),
IF((G241="5/16"),((база!$L$6*2*Таблица1[[#This Row],[Столбец1]]*Таблица1[[#This Row],[коэф]])),
IF((G241="4/16"),((база!$L$5*2*Таблица1[[#This Row],[Столбец1]]*Таблица1[[#This Row],[коэф]])),
IF((G241="3/16"),((база!$L$4*2*Таблица1[[#This Row],[Столбец1]]*Таблица1[[#This Row],[коэф]])),
IF((G241="4/4"),((база!$I$5*2*Таблица1[[#This Row],[Столбец1]]*Таблица1[[#This Row],[коэф]])),
IF(OR(G241="2/4",G241="3/4"),((база!$I$4*2*Таблица1[[#This Row],[Столбец1]]*Таблица1[[#This Row],[коэф]])),
IF((G241="5/8"),((база!$J$6*2*Таблица1[[#This Row],[Столбец1]]*Таблица1[[#This Row],[коэф]])),
IF((G241="4/8"),((база!$J$5*2*Таблица1[[#This Row],[Столбец1]]*Таблица1[[#This Row],[коэф]])),
IF(OR(G241="3/8",G241="2/8"),((база!$J$4*2*Таблица1[[#This Row],[Столбец1]]*Таблица1[[#This Row],[коэф]])))))))))))))),
(IF((G241="5/24"),((база!$M$6*2*Таблица1[[#This Row],[Столбец1]]*Таблица1[[#This Row],[коэф]])),
IF(OR(G241="4/24",G241="3/24"),((база!$M$5*2*Таблица1[[#This Row],[Столбец1]]*Таблица1[[#This Row],[коэф]])),
IF((G241="5/16"),((база!$L$6*2*Таблица1[[#This Row],[Столбец1]]*Таблица1[[#This Row],[коэф]])),
IF(OR(G241="4/16",G241="3/16"),((база!$L$5*2*Таблица1[[#This Row],[Столбец1]]*Таблица1[[#This Row],[коэф]])),
IF(OR(G241="2/4",G241="3/4",G241="4/4"),((база!$I$5*2*Таблица1[[#This Row],[Столбец1]]*Таблица1[[#This Row],[коэф]])),
IF((G241="5/8"),((база!$J$6*2*Таблица1[[#This Row],[Столбец1]]*Таблица1[[#This Row],[коэф]])),
IF(OR(G241="4/8",G241="3/8",G241="2/8"),((база!$J$5*2*Таблица1[[#This Row],[Столбец1]]*Таблица1[[#This Row],[коэф]])))))))))))</f>
        <v>0</v>
      </c>
      <c r="AQ241" s="678" t="str">
        <f>IFERROR(INDEX(база!T:T, MATCH(F241,база!Q:Q,0)),"")</f>
        <v/>
      </c>
      <c r="AR241" s="193">
        <f>IFERROR(INDEX(база!D:D, MATCH(F241,база!B:B,0)),"")</f>
        <v>0</v>
      </c>
    </row>
    <row r="242" spans="1:44" ht="15">
      <c r="A242" s="59"/>
      <c r="B242" s="215"/>
      <c r="C242" s="54"/>
      <c r="D242" s="55"/>
      <c r="E242" s="196"/>
      <c r="F242" s="651"/>
      <c r="G242" s="42"/>
      <c r="H242" s="539"/>
      <c r="I242" s="539"/>
      <c r="J242" s="539"/>
      <c r="K242" s="539"/>
      <c r="L242" s="539"/>
      <c r="M242" s="539"/>
      <c r="N242" s="539"/>
      <c r="O242" s="539"/>
      <c r="P242" s="278"/>
      <c r="Q242" s="539"/>
      <c r="R242" s="539"/>
      <c r="S242" s="539"/>
      <c r="T242" s="539"/>
      <c r="U242" s="539"/>
      <c r="V242" s="539"/>
      <c r="W242" s="539"/>
      <c r="X242" s="539"/>
      <c r="Y242" s="539"/>
      <c r="Z242" s="539"/>
      <c r="AA242" s="539"/>
      <c r="AB242" s="539"/>
      <c r="AC242" s="539"/>
      <c r="AD242" s="43"/>
      <c r="AE242" s="43"/>
      <c r="AF242" s="238"/>
      <c r="AG242" s="43"/>
      <c r="AH242" s="43"/>
      <c r="AI242" s="43"/>
      <c r="AJ242" s="43"/>
      <c r="AK242" s="43"/>
      <c r="AL242" s="45"/>
      <c r="AM242" s="197">
        <f>IF(AQ242=1,SUM(H242:I242,L242:O242,R242:U242,X242:AA242,AD242:AG242,AI242:AK242),
IF(AQ242=2,SUM(H242:K242,N242:Q242,T242:W242,Z242:AC242,AF242:AI242),
IF(AQ242=3,SUM(J242:M242,P242:S242,V242:Y242,AB242:AE242,AH242:AK242),SUM(Таблица1[[#This Row],[1]:[31]])-Таблица1[[#This Row],[Столбец1]])))</f>
        <v>0</v>
      </c>
      <c r="AN242" s="269">
        <f t="array" ref="AN242">IF(AQ242=1,SUM(J242:K242,P242:Q242,V242:W242,AB242:AC242,AH242:AI242),
IF(AQ242=2,SUM(L242:M242,R242:S242,X242:Y242,AD242:AE242),
IF(AQ242=3,SUM(H242:I242,N242:O242,T242:U242,Z242:AA242,AF242:AG242),
SUM(IFERROR(WEEKDAY($H$2:$AL$2,2)&gt;5,)*H242:AL242))))</f>
        <v>0</v>
      </c>
      <c r="AO242" s="271" t="b">
        <f>IF(AR242&lt;=3,(IF((G242="5/24"),((база!$M$6*Таблица1[[#This Row],[сумма]]*Таблица1[[#This Row],[коэф]])),
IF((G242="4/24"),((база!$M$5*Таблица1[[#This Row],[сумма]]*Таблица1[[#This Row],[коэф]])),
IF((G242="3/24"),((база!$M$4*Таблица1[[#This Row],[сумма]]*Таблица1[[#This Row],[коэф]])),
IF((G242="5/16"),((база!$L$6*Таблица1[[#This Row],[сумма]]*Таблица1[[#This Row],[коэф]])),
IF((G242="4/16"),((база!$L$5*Таблица1[[#This Row],[сумма]]*Таблица1[[#This Row],[коэф]])),
IF((G242="3/16"),((база!$L$4*Таблица1[[#This Row],[сумма]]*Таблица1[[#This Row],[коэф]])),
IF((G242="4/4"),((база!$I$5*Таблица1[[#This Row],[сумма]]*Таблица1[[#This Row],[коэф]])),
IF(OR(G242="2/4",G242="3/4"),((база!$I$4*Таблица1[[#This Row],[сумма]]*Таблица1[[#This Row],[коэф]])),
IF((G242="5/8"),((база!$J$6*Таблица1[[#This Row],[сумма]]*Таблица1[[#This Row],[коэф]])),
IF((G242="4/8"),((база!$J$5*Таблица1[[#This Row],[сумма]]*Таблица1[[#This Row],[коэф]])),
IF(OR(G242="3/8",G242="2/8"),((база!$J$4*Таблица1[[#This Row],[сумма]]*Таблица1[[#This Row],[коэф]])))))))))))))),
(IF((G242="5/24"),((база!$M$6*Таблица1[[#This Row],[сумма]]*Таблица1[[#This Row],[коэф]])),
IF(OR(G242="4/24",G242="3/24"),((база!$M$5*Таблица1[[#This Row],[сумма]]*Таблица1[[#This Row],[коэф]])),
IF((G242="5/16"),((база!$L$6*Таблица1[[#This Row],[сумма]]*Таблица1[[#This Row],[коэф]])),
IF(OR(G242="4/16",G242="3/16"),((база!$L$5*Таблица1[[#This Row],[сумма]]*Таблица1[[#This Row],[коэф]])),
IF(OR(G242="2/4",G242="3/4",G242="4/4"),((база!$I$5*Таблица1[[#This Row],[сумма]]*Таблица1[[#This Row],[коэф]])),
IF((G242="5/8"),((база!$J$6*Таблица1[[#This Row],[сумма]]*Таблица1[[#This Row],[коэф]])),
IF(OR(G242="4/8",G242="3/8",G242="2/8"),((база!$J$5*Таблица1[[#This Row],[сумма]]*Таблица1[[#This Row],[коэф]])))))))))))</f>
        <v>0</v>
      </c>
      <c r="AP242" s="696" t="b">
        <f>IF(AR242&lt;=3,(IF((G242="5/24"),((база!$M$6*2*Таблица1[[#This Row],[Столбец1]]*Таблица1[[#This Row],[коэф]])),
IF((G242="4/24"),((база!$M$5*2*Таблица1[[#This Row],[Столбец1]]*Таблица1[[#This Row],[коэф]])),
IF((G242="3/24"),((база!$M$4*2*Таблица1[[#This Row],[Столбец1]]*Таблица1[[#This Row],[коэф]])),
IF((G242="5/16"),((база!$L$6*2*Таблица1[[#This Row],[Столбец1]]*Таблица1[[#This Row],[коэф]])),
IF((G242="4/16"),((база!$L$5*2*Таблица1[[#This Row],[Столбец1]]*Таблица1[[#This Row],[коэф]])),
IF((G242="3/16"),((база!$L$4*2*Таблица1[[#This Row],[Столбец1]]*Таблица1[[#This Row],[коэф]])),
IF((G242="4/4"),((база!$I$5*2*Таблица1[[#This Row],[Столбец1]]*Таблица1[[#This Row],[коэф]])),
IF(OR(G242="2/4",G242="3/4"),((база!$I$4*2*Таблица1[[#This Row],[Столбец1]]*Таблица1[[#This Row],[коэф]])),
IF((G242="5/8"),((база!$J$6*2*Таблица1[[#This Row],[Столбец1]]*Таблица1[[#This Row],[коэф]])),
IF((G242="4/8"),((база!$J$5*2*Таблица1[[#This Row],[Столбец1]]*Таблица1[[#This Row],[коэф]])),
IF(OR(G242="3/8",G242="2/8"),((база!$J$4*2*Таблица1[[#This Row],[Столбец1]]*Таблица1[[#This Row],[коэф]])))))))))))))),
(IF((G242="5/24"),((база!$M$6*2*Таблица1[[#This Row],[Столбец1]]*Таблица1[[#This Row],[коэф]])),
IF(OR(G242="4/24",G242="3/24"),((база!$M$5*2*Таблица1[[#This Row],[Столбец1]]*Таблица1[[#This Row],[коэф]])),
IF((G242="5/16"),((база!$L$6*2*Таблица1[[#This Row],[Столбец1]]*Таблица1[[#This Row],[коэф]])),
IF(OR(G242="4/16",G242="3/16"),((база!$L$5*2*Таблица1[[#This Row],[Столбец1]]*Таблица1[[#This Row],[коэф]])),
IF(OR(G242="2/4",G242="3/4",G242="4/4"),((база!$I$5*2*Таблица1[[#This Row],[Столбец1]]*Таблица1[[#This Row],[коэф]])),
IF((G242="5/8"),((база!$J$6*2*Таблица1[[#This Row],[Столбец1]]*Таблица1[[#This Row],[коэф]])),
IF(OR(G242="4/8",G242="3/8",G242="2/8"),((база!$J$5*2*Таблица1[[#This Row],[Столбец1]]*Таблица1[[#This Row],[коэф]])))))))))))</f>
        <v>0</v>
      </c>
      <c r="AQ242" s="678" t="str">
        <f>IFERROR(INDEX(база!T:T, MATCH(F242,база!Q:Q,0)),"")</f>
        <v/>
      </c>
      <c r="AR242" s="193">
        <f>IFERROR(INDEX(база!D:D, MATCH(F242,база!B:B,0)),"")</f>
        <v>0</v>
      </c>
    </row>
    <row r="243" spans="1:44" ht="15">
      <c r="A243" s="59"/>
      <c r="B243" s="215"/>
      <c r="C243" s="54"/>
      <c r="D243" s="55"/>
      <c r="E243" s="196"/>
      <c r="F243" s="651"/>
      <c r="G243" s="42"/>
      <c r="H243" s="539"/>
      <c r="I243" s="539"/>
      <c r="J243" s="539"/>
      <c r="K243" s="539"/>
      <c r="L243" s="539"/>
      <c r="M243" s="539"/>
      <c r="N243" s="539"/>
      <c r="O243" s="539"/>
      <c r="P243" s="278"/>
      <c r="Q243" s="539"/>
      <c r="R243" s="539"/>
      <c r="S243" s="539"/>
      <c r="T243" s="539"/>
      <c r="U243" s="539"/>
      <c r="V243" s="539"/>
      <c r="W243" s="539"/>
      <c r="X243" s="539"/>
      <c r="Y243" s="539"/>
      <c r="Z243" s="539"/>
      <c r="AA243" s="539"/>
      <c r="AB243" s="539"/>
      <c r="AC243" s="539"/>
      <c r="AD243" s="43"/>
      <c r="AE243" s="43"/>
      <c r="AF243" s="238"/>
      <c r="AG243" s="43"/>
      <c r="AH243" s="43"/>
      <c r="AI243" s="238"/>
      <c r="AJ243" s="238"/>
      <c r="AK243" s="238"/>
      <c r="AL243" s="238"/>
      <c r="AM243" s="197">
        <f>IF(AQ243=1,SUM(H243:I243,L243:O243,R243:U243,X243:AA243,AD243:AG243,AI243:AK243),
IF(AQ243=2,SUM(H243:K243,N243:Q243,T243:W243,Z243:AC243,AF243:AI243),
IF(AQ243=3,SUM(J243:M243,P243:S243,V243:Y243,AB243:AE243,AH243:AK243),SUM(Таблица1[[#This Row],[1]:[31]])-Таблица1[[#This Row],[Столбец1]])))</f>
        <v>0</v>
      </c>
      <c r="AN243" s="269">
        <f t="array" ref="AN243">IF(AQ243=1,SUM(J243:K243,P243:Q243,V243:W243,AB243:AC243,AH243:AI243),
IF(AQ243=2,SUM(L243:M243,R243:S243,X243:Y243,AD243:AE243),
IF(AQ243=3,SUM(H243:I243,N243:O243,T243:U243,Z243:AA243,AF243:AG243),
SUM(IFERROR(WEEKDAY($H$2:$AL$2,2)&gt;5,)*H243:AL243))))</f>
        <v>0</v>
      </c>
      <c r="AO243" s="271" t="b">
        <f>IF(AR243&lt;=3,(IF((G243="5/24"),((база!$M$6*Таблица1[[#This Row],[сумма]]*Таблица1[[#This Row],[коэф]])),
IF((G243="4/24"),((база!$M$5*Таблица1[[#This Row],[сумма]]*Таблица1[[#This Row],[коэф]])),
IF((G243="3/24"),((база!$M$4*Таблица1[[#This Row],[сумма]]*Таблица1[[#This Row],[коэф]])),
IF((G243="5/16"),((база!$L$6*Таблица1[[#This Row],[сумма]]*Таблица1[[#This Row],[коэф]])),
IF((G243="4/16"),((база!$L$5*Таблица1[[#This Row],[сумма]]*Таблица1[[#This Row],[коэф]])),
IF((G243="3/16"),((база!$L$4*Таблица1[[#This Row],[сумма]]*Таблица1[[#This Row],[коэф]])),
IF((G243="4/4"),((база!$I$5*Таблица1[[#This Row],[сумма]]*Таблица1[[#This Row],[коэф]])),
IF(OR(G243="2/4",G243="3/4"),((база!$I$4*Таблица1[[#This Row],[сумма]]*Таблица1[[#This Row],[коэф]])),
IF((G243="5/8"),((база!$J$6*Таблица1[[#This Row],[сумма]]*Таблица1[[#This Row],[коэф]])),
IF((G243="4/8"),((база!$J$5*Таблица1[[#This Row],[сумма]]*Таблица1[[#This Row],[коэф]])),
IF(OR(G243="3/8",G243="2/8"),((база!$J$4*Таблица1[[#This Row],[сумма]]*Таблица1[[#This Row],[коэф]])))))))))))))),
(IF((G243="5/24"),((база!$M$6*Таблица1[[#This Row],[сумма]]*Таблица1[[#This Row],[коэф]])),
IF(OR(G243="4/24",G243="3/24"),((база!$M$5*Таблица1[[#This Row],[сумма]]*Таблица1[[#This Row],[коэф]])),
IF((G243="5/16"),((база!$L$6*Таблица1[[#This Row],[сумма]]*Таблица1[[#This Row],[коэф]])),
IF(OR(G243="4/16",G243="3/16"),((база!$L$5*Таблица1[[#This Row],[сумма]]*Таблица1[[#This Row],[коэф]])),
IF(OR(G243="2/4",G243="3/4",G243="4/4"),((база!$I$5*Таблица1[[#This Row],[сумма]]*Таблица1[[#This Row],[коэф]])),
IF((G243="5/8"),((база!$J$6*Таблица1[[#This Row],[сумма]]*Таблица1[[#This Row],[коэф]])),
IF(OR(G243="4/8",G243="3/8",G243="2/8"),((база!$J$5*Таблица1[[#This Row],[сумма]]*Таблица1[[#This Row],[коэф]])))))))))))</f>
        <v>0</v>
      </c>
      <c r="AP243" s="696" t="b">
        <f>IF(AR243&lt;=3,(IF((G243="5/24"),((база!$M$6*2*Таблица1[[#This Row],[Столбец1]]*Таблица1[[#This Row],[коэф]])),
IF((G243="4/24"),((база!$M$5*2*Таблица1[[#This Row],[Столбец1]]*Таблица1[[#This Row],[коэф]])),
IF((G243="3/24"),((база!$M$4*2*Таблица1[[#This Row],[Столбец1]]*Таблица1[[#This Row],[коэф]])),
IF((G243="5/16"),((база!$L$6*2*Таблица1[[#This Row],[Столбец1]]*Таблица1[[#This Row],[коэф]])),
IF((G243="4/16"),((база!$L$5*2*Таблица1[[#This Row],[Столбец1]]*Таблица1[[#This Row],[коэф]])),
IF((G243="3/16"),((база!$L$4*2*Таблица1[[#This Row],[Столбец1]]*Таблица1[[#This Row],[коэф]])),
IF((G243="4/4"),((база!$I$5*2*Таблица1[[#This Row],[Столбец1]]*Таблица1[[#This Row],[коэф]])),
IF(OR(G243="2/4",G243="3/4"),((база!$I$4*2*Таблица1[[#This Row],[Столбец1]]*Таблица1[[#This Row],[коэф]])),
IF((G243="5/8"),((база!$J$6*2*Таблица1[[#This Row],[Столбец1]]*Таблица1[[#This Row],[коэф]])),
IF((G243="4/8"),((база!$J$5*2*Таблица1[[#This Row],[Столбец1]]*Таблица1[[#This Row],[коэф]])),
IF(OR(G243="3/8",G243="2/8"),((база!$J$4*2*Таблица1[[#This Row],[Столбец1]]*Таблица1[[#This Row],[коэф]])))))))))))))),
(IF((G243="5/24"),((база!$M$6*2*Таблица1[[#This Row],[Столбец1]]*Таблица1[[#This Row],[коэф]])),
IF(OR(G243="4/24",G243="3/24"),((база!$M$5*2*Таблица1[[#This Row],[Столбец1]]*Таблица1[[#This Row],[коэф]])),
IF((G243="5/16"),((база!$L$6*2*Таблица1[[#This Row],[Столбец1]]*Таблица1[[#This Row],[коэф]])),
IF(OR(G243="4/16",G243="3/16"),((база!$L$5*2*Таблица1[[#This Row],[Столбец1]]*Таблица1[[#This Row],[коэф]])),
IF(OR(G243="2/4",G243="3/4",G243="4/4"),((база!$I$5*2*Таблица1[[#This Row],[Столбец1]]*Таблица1[[#This Row],[коэф]])),
IF((G243="5/8"),((база!$J$6*2*Таблица1[[#This Row],[Столбец1]]*Таблица1[[#This Row],[коэф]])),
IF(OR(G243="4/8",G243="3/8",G243="2/8"),((база!$J$5*2*Таблица1[[#This Row],[Столбец1]]*Таблица1[[#This Row],[коэф]])))))))))))</f>
        <v>0</v>
      </c>
      <c r="AQ243" s="678" t="str">
        <f>IFERROR(INDEX(база!T:T, MATCH(F243,база!Q:Q,0)),"")</f>
        <v/>
      </c>
      <c r="AR243" s="193">
        <f>IFERROR(INDEX(база!D:D, MATCH(F243,база!B:B,0)),"")</f>
        <v>0</v>
      </c>
    </row>
    <row r="244" spans="1:44" ht="15">
      <c r="A244" s="59"/>
      <c r="B244" s="215"/>
      <c r="C244" s="54"/>
      <c r="D244" s="55"/>
      <c r="E244" s="196"/>
      <c r="F244" s="651"/>
      <c r="G244" s="42"/>
      <c r="H244" s="539"/>
      <c r="I244" s="539"/>
      <c r="J244" s="539"/>
      <c r="K244" s="539"/>
      <c r="L244" s="539"/>
      <c r="M244" s="539"/>
      <c r="N244" s="539"/>
      <c r="O244" s="539"/>
      <c r="P244" s="278"/>
      <c r="Q244" s="539"/>
      <c r="R244" s="539"/>
      <c r="S244" s="539"/>
      <c r="T244" s="539"/>
      <c r="U244" s="539"/>
      <c r="V244" s="539"/>
      <c r="W244" s="539"/>
      <c r="X244" s="539"/>
      <c r="Y244" s="539"/>
      <c r="Z244" s="539"/>
      <c r="AA244" s="539"/>
      <c r="AB244" s="539"/>
      <c r="AC244" s="539"/>
      <c r="AD244" s="43"/>
      <c r="AE244" s="43"/>
      <c r="AF244" s="238"/>
      <c r="AG244" s="43"/>
      <c r="AH244" s="43"/>
      <c r="AI244" s="43"/>
      <c r="AJ244" s="43"/>
      <c r="AK244" s="43"/>
      <c r="AL244" s="45"/>
      <c r="AM244" s="197">
        <f>IF(AQ244=1,SUM(H244:I244,L244:O244,R244:U244,X244:AA244,AD244:AG244,AI244:AK244),
IF(AQ244=2,SUM(H244:K244,N244:Q244,T244:W244,Z244:AC244,AF244:AI244),
IF(AQ244=3,SUM(J244:M244,P244:S244,V244:Y244,AB244:AE244,AH244:AK244),SUM(Таблица1[[#This Row],[1]:[31]])-Таблица1[[#This Row],[Столбец1]])))</f>
        <v>0</v>
      </c>
      <c r="AN244" s="269">
        <f t="array" ref="AN244">IF(AQ244=1,SUM(J244:K244,P244:Q244,V244:W244,AB244:AC244,AH244:AI244),
IF(AQ244=2,SUM(L244:M244,R244:S244,X244:Y244,AD244:AE244),
IF(AQ244=3,SUM(H244:I244,N244:O244,T244:U244,Z244:AA244,AF244:AG244),
SUM(IFERROR(WEEKDAY($H$2:$AL$2,2)&gt;5,)*H244:AL244))))</f>
        <v>0</v>
      </c>
      <c r="AO244" s="271" t="b">
        <f>IF(AR244&lt;=3,(IF((G244="5/24"),((база!$M$6*Таблица1[[#This Row],[сумма]]*Таблица1[[#This Row],[коэф]])),
IF((G244="4/24"),((база!$M$5*Таблица1[[#This Row],[сумма]]*Таблица1[[#This Row],[коэф]])),
IF((G244="3/24"),((база!$M$4*Таблица1[[#This Row],[сумма]]*Таблица1[[#This Row],[коэф]])),
IF((G244="5/16"),((база!$L$6*Таблица1[[#This Row],[сумма]]*Таблица1[[#This Row],[коэф]])),
IF((G244="4/16"),((база!$L$5*Таблица1[[#This Row],[сумма]]*Таблица1[[#This Row],[коэф]])),
IF((G244="3/16"),((база!$L$4*Таблица1[[#This Row],[сумма]]*Таблица1[[#This Row],[коэф]])),
IF((G244="4/4"),((база!$I$5*Таблица1[[#This Row],[сумма]]*Таблица1[[#This Row],[коэф]])),
IF(OR(G244="2/4",G244="3/4"),((база!$I$4*Таблица1[[#This Row],[сумма]]*Таблица1[[#This Row],[коэф]])),
IF((G244="5/8"),((база!$J$6*Таблица1[[#This Row],[сумма]]*Таблица1[[#This Row],[коэф]])),
IF((G244="4/8"),((база!$J$5*Таблица1[[#This Row],[сумма]]*Таблица1[[#This Row],[коэф]])),
IF(OR(G244="3/8",G244="2/8"),((база!$J$4*Таблица1[[#This Row],[сумма]]*Таблица1[[#This Row],[коэф]])))))))))))))),
(IF((G244="5/24"),((база!$M$6*Таблица1[[#This Row],[сумма]]*Таблица1[[#This Row],[коэф]])),
IF(OR(G244="4/24",G244="3/24"),((база!$M$5*Таблица1[[#This Row],[сумма]]*Таблица1[[#This Row],[коэф]])),
IF((G244="5/16"),((база!$L$6*Таблица1[[#This Row],[сумма]]*Таблица1[[#This Row],[коэф]])),
IF(OR(G244="4/16",G244="3/16"),((база!$L$5*Таблица1[[#This Row],[сумма]]*Таблица1[[#This Row],[коэф]])),
IF(OR(G244="2/4",G244="3/4",G244="4/4"),((база!$I$5*Таблица1[[#This Row],[сумма]]*Таблица1[[#This Row],[коэф]])),
IF((G244="5/8"),((база!$J$6*Таблица1[[#This Row],[сумма]]*Таблица1[[#This Row],[коэф]])),
IF(OR(G244="4/8",G244="3/8",G244="2/8"),((база!$J$5*Таблица1[[#This Row],[сумма]]*Таблица1[[#This Row],[коэф]])))))))))))</f>
        <v>0</v>
      </c>
      <c r="AP244" s="696" t="b">
        <f>IF(AR244&lt;=3,(IF((G244="5/24"),((база!$M$6*2*Таблица1[[#This Row],[Столбец1]]*Таблица1[[#This Row],[коэф]])),
IF((G244="4/24"),((база!$M$5*2*Таблица1[[#This Row],[Столбец1]]*Таблица1[[#This Row],[коэф]])),
IF((G244="3/24"),((база!$M$4*2*Таблица1[[#This Row],[Столбец1]]*Таблица1[[#This Row],[коэф]])),
IF((G244="5/16"),((база!$L$6*2*Таблица1[[#This Row],[Столбец1]]*Таблица1[[#This Row],[коэф]])),
IF((G244="4/16"),((база!$L$5*2*Таблица1[[#This Row],[Столбец1]]*Таблица1[[#This Row],[коэф]])),
IF((G244="3/16"),((база!$L$4*2*Таблица1[[#This Row],[Столбец1]]*Таблица1[[#This Row],[коэф]])),
IF((G244="4/4"),((база!$I$5*2*Таблица1[[#This Row],[Столбец1]]*Таблица1[[#This Row],[коэф]])),
IF(OR(G244="2/4",G244="3/4"),((база!$I$4*2*Таблица1[[#This Row],[Столбец1]]*Таблица1[[#This Row],[коэф]])),
IF((G244="5/8"),((база!$J$6*2*Таблица1[[#This Row],[Столбец1]]*Таблица1[[#This Row],[коэф]])),
IF((G244="4/8"),((база!$J$5*2*Таблица1[[#This Row],[Столбец1]]*Таблица1[[#This Row],[коэф]])),
IF(OR(G244="3/8",G244="2/8"),((база!$J$4*2*Таблица1[[#This Row],[Столбец1]]*Таблица1[[#This Row],[коэф]])))))))))))))),
(IF((G244="5/24"),((база!$M$6*2*Таблица1[[#This Row],[Столбец1]]*Таблица1[[#This Row],[коэф]])),
IF(OR(G244="4/24",G244="3/24"),((база!$M$5*2*Таблица1[[#This Row],[Столбец1]]*Таблица1[[#This Row],[коэф]])),
IF((G244="5/16"),((база!$L$6*2*Таблица1[[#This Row],[Столбец1]]*Таблица1[[#This Row],[коэф]])),
IF(OR(G244="4/16",G244="3/16"),((база!$L$5*2*Таблица1[[#This Row],[Столбец1]]*Таблица1[[#This Row],[коэф]])),
IF(OR(G244="2/4",G244="3/4",G244="4/4"),((база!$I$5*2*Таблица1[[#This Row],[Столбец1]]*Таблица1[[#This Row],[коэф]])),
IF((G244="5/8"),((база!$J$6*2*Таблица1[[#This Row],[Столбец1]]*Таблица1[[#This Row],[коэф]])),
IF(OR(G244="4/8",G244="3/8",G244="2/8"),((база!$J$5*2*Таблица1[[#This Row],[Столбец1]]*Таблица1[[#This Row],[коэф]])))))))))))</f>
        <v>0</v>
      </c>
      <c r="AQ244" s="678" t="str">
        <f>IFERROR(INDEX(база!T:T, MATCH(F244,база!Q:Q,0)),"")</f>
        <v/>
      </c>
      <c r="AR244" s="193">
        <f>IFERROR(INDEX(база!D:D, MATCH(F244,база!B:B,0)),"")</f>
        <v>0</v>
      </c>
    </row>
    <row r="245" spans="1:44" ht="15">
      <c r="A245" s="59"/>
      <c r="B245" s="215"/>
      <c r="C245" s="54"/>
      <c r="D245" s="55"/>
      <c r="E245" s="196"/>
      <c r="F245" s="651"/>
      <c r="G245" s="42"/>
      <c r="H245" s="539"/>
      <c r="I245" s="539"/>
      <c r="J245" s="539"/>
      <c r="K245" s="539"/>
      <c r="L245" s="539"/>
      <c r="M245" s="539"/>
      <c r="N245" s="539"/>
      <c r="O245" s="539"/>
      <c r="P245" s="278"/>
      <c r="Q245" s="539"/>
      <c r="R245" s="539"/>
      <c r="S245" s="539"/>
      <c r="T245" s="539"/>
      <c r="U245" s="539"/>
      <c r="V245" s="539"/>
      <c r="W245" s="539"/>
      <c r="X245" s="539"/>
      <c r="Y245" s="539"/>
      <c r="Z245" s="539"/>
      <c r="AA245" s="539"/>
      <c r="AB245" s="539"/>
      <c r="AC245" s="539"/>
      <c r="AD245" s="43"/>
      <c r="AE245" s="43"/>
      <c r="AF245" s="238"/>
      <c r="AG245" s="43"/>
      <c r="AH245" s="43"/>
      <c r="AI245" s="238"/>
      <c r="AJ245" s="238"/>
      <c r="AK245" s="238"/>
      <c r="AL245" s="238"/>
      <c r="AM245" s="197">
        <f>IF(AQ245=1,SUM(H245:I245,L245:O245,R245:U245,X245:AA245,AD245:AG245,AI245:AK245),
IF(AQ245=2,SUM(H245:K245,N245:Q245,T245:W245,Z245:AC245,AF245:AI245),
IF(AQ245=3,SUM(J245:M245,P245:S245,V245:Y245,AB245:AE245,AH245:AK245),SUM(Таблица1[[#This Row],[1]:[31]])-Таблица1[[#This Row],[Столбец1]])))</f>
        <v>0</v>
      </c>
      <c r="AN245" s="269">
        <f t="array" ref="AN245">IF(AQ245=1,SUM(J245:K245,P245:Q245,V245:W245,AB245:AC245,AH245:AI245),
IF(AQ245=2,SUM(L245:M245,R245:S245,X245:Y245,AD245:AE245),
IF(AQ245=3,SUM(H245:I245,N245:O245,T245:U245,Z245:AA245,AF245:AG245),
SUM(IFERROR(WEEKDAY($H$2:$AL$2,2)&gt;5,)*H245:AL245))))</f>
        <v>0</v>
      </c>
      <c r="AO245" s="271" t="b">
        <f>IF(AR245&lt;=3,(IF((G245="5/24"),((база!$M$6*Таблица1[[#This Row],[сумма]]*Таблица1[[#This Row],[коэф]])),
IF((G245="4/24"),((база!$M$5*Таблица1[[#This Row],[сумма]]*Таблица1[[#This Row],[коэф]])),
IF((G245="3/24"),((база!$M$4*Таблица1[[#This Row],[сумма]]*Таблица1[[#This Row],[коэф]])),
IF((G245="5/16"),((база!$L$6*Таблица1[[#This Row],[сумма]]*Таблица1[[#This Row],[коэф]])),
IF((G245="4/16"),((база!$L$5*Таблица1[[#This Row],[сумма]]*Таблица1[[#This Row],[коэф]])),
IF((G245="3/16"),((база!$L$4*Таблица1[[#This Row],[сумма]]*Таблица1[[#This Row],[коэф]])),
IF((G245="4/4"),((база!$I$5*Таблица1[[#This Row],[сумма]]*Таблица1[[#This Row],[коэф]])),
IF(OR(G245="2/4",G245="3/4"),((база!$I$4*Таблица1[[#This Row],[сумма]]*Таблица1[[#This Row],[коэф]])),
IF((G245="5/8"),((база!$J$6*Таблица1[[#This Row],[сумма]]*Таблица1[[#This Row],[коэф]])),
IF((G245="4/8"),((база!$J$5*Таблица1[[#This Row],[сумма]]*Таблица1[[#This Row],[коэф]])),
IF(OR(G245="3/8",G245="2/8"),((база!$J$4*Таблица1[[#This Row],[сумма]]*Таблица1[[#This Row],[коэф]])))))))))))))),
(IF((G245="5/24"),((база!$M$6*Таблица1[[#This Row],[сумма]]*Таблица1[[#This Row],[коэф]])),
IF(OR(G245="4/24",G245="3/24"),((база!$M$5*Таблица1[[#This Row],[сумма]]*Таблица1[[#This Row],[коэф]])),
IF((G245="5/16"),((база!$L$6*Таблица1[[#This Row],[сумма]]*Таблица1[[#This Row],[коэф]])),
IF(OR(G245="4/16",G245="3/16"),((база!$L$5*Таблица1[[#This Row],[сумма]]*Таблица1[[#This Row],[коэф]])),
IF(OR(G245="2/4",G245="3/4",G245="4/4"),((база!$I$5*Таблица1[[#This Row],[сумма]]*Таблица1[[#This Row],[коэф]])),
IF((G245="5/8"),((база!$J$6*Таблица1[[#This Row],[сумма]]*Таблица1[[#This Row],[коэф]])),
IF(OR(G245="4/8",G245="3/8",G245="2/8"),((база!$J$5*Таблица1[[#This Row],[сумма]]*Таблица1[[#This Row],[коэф]])))))))))))</f>
        <v>0</v>
      </c>
      <c r="AP245" s="696" t="b">
        <f>IF(AR245&lt;=3,(IF((G245="5/24"),((база!$M$6*2*Таблица1[[#This Row],[Столбец1]]*Таблица1[[#This Row],[коэф]])),
IF((G245="4/24"),((база!$M$5*2*Таблица1[[#This Row],[Столбец1]]*Таблица1[[#This Row],[коэф]])),
IF((G245="3/24"),((база!$M$4*2*Таблица1[[#This Row],[Столбец1]]*Таблица1[[#This Row],[коэф]])),
IF((G245="5/16"),((база!$L$6*2*Таблица1[[#This Row],[Столбец1]]*Таблица1[[#This Row],[коэф]])),
IF((G245="4/16"),((база!$L$5*2*Таблица1[[#This Row],[Столбец1]]*Таблица1[[#This Row],[коэф]])),
IF((G245="3/16"),((база!$L$4*2*Таблица1[[#This Row],[Столбец1]]*Таблица1[[#This Row],[коэф]])),
IF((G245="4/4"),((база!$I$5*2*Таблица1[[#This Row],[Столбец1]]*Таблица1[[#This Row],[коэф]])),
IF(OR(G245="2/4",G245="3/4"),((база!$I$4*2*Таблица1[[#This Row],[Столбец1]]*Таблица1[[#This Row],[коэф]])),
IF((G245="5/8"),((база!$J$6*2*Таблица1[[#This Row],[Столбец1]]*Таблица1[[#This Row],[коэф]])),
IF((G245="4/8"),((база!$J$5*2*Таблица1[[#This Row],[Столбец1]]*Таблица1[[#This Row],[коэф]])),
IF(OR(G245="3/8",G245="2/8"),((база!$J$4*2*Таблица1[[#This Row],[Столбец1]]*Таблица1[[#This Row],[коэф]])))))))))))))),
(IF((G245="5/24"),((база!$M$6*2*Таблица1[[#This Row],[Столбец1]]*Таблица1[[#This Row],[коэф]])),
IF(OR(G245="4/24",G245="3/24"),((база!$M$5*2*Таблица1[[#This Row],[Столбец1]]*Таблица1[[#This Row],[коэф]])),
IF((G245="5/16"),((база!$L$6*2*Таблица1[[#This Row],[Столбец1]]*Таблица1[[#This Row],[коэф]])),
IF(OR(G245="4/16",G245="3/16"),((база!$L$5*2*Таблица1[[#This Row],[Столбец1]]*Таблица1[[#This Row],[коэф]])),
IF(OR(G245="2/4",G245="3/4",G245="4/4"),((база!$I$5*2*Таблица1[[#This Row],[Столбец1]]*Таблица1[[#This Row],[коэф]])),
IF((G245="5/8"),((база!$J$6*2*Таблица1[[#This Row],[Столбец1]]*Таблица1[[#This Row],[коэф]])),
IF(OR(G245="4/8",G245="3/8",G245="2/8"),((база!$J$5*2*Таблица1[[#This Row],[Столбец1]]*Таблица1[[#This Row],[коэф]])))))))))))</f>
        <v>0</v>
      </c>
      <c r="AQ245" s="678" t="str">
        <f>IFERROR(INDEX(база!T:T, MATCH(F245,база!Q:Q,0)),"")</f>
        <v/>
      </c>
      <c r="AR245" s="193">
        <f>IFERROR(INDEX(база!D:D, MATCH(F245,база!B:B,0)),"")</f>
        <v>0</v>
      </c>
    </row>
    <row r="246" spans="1:44" ht="15">
      <c r="A246" s="59"/>
      <c r="B246" s="215"/>
      <c r="C246" s="54"/>
      <c r="D246" s="55"/>
      <c r="E246" s="196"/>
      <c r="F246" s="651"/>
      <c r="G246" s="42"/>
      <c r="H246" s="539"/>
      <c r="I246" s="539"/>
      <c r="J246" s="539"/>
      <c r="K246" s="539"/>
      <c r="L246" s="539"/>
      <c r="M246" s="539"/>
      <c r="N246" s="539"/>
      <c r="O246" s="539"/>
      <c r="P246" s="278"/>
      <c r="Q246" s="539"/>
      <c r="R246" s="539"/>
      <c r="S246" s="539"/>
      <c r="T246" s="539"/>
      <c r="U246" s="539"/>
      <c r="V246" s="539"/>
      <c r="W246" s="539"/>
      <c r="X246" s="539"/>
      <c r="Y246" s="539"/>
      <c r="Z246" s="539"/>
      <c r="AA246" s="539"/>
      <c r="AB246" s="539"/>
      <c r="AC246" s="539"/>
      <c r="AD246" s="43"/>
      <c r="AE246" s="43"/>
      <c r="AF246" s="238"/>
      <c r="AG246" s="43"/>
      <c r="AH246" s="43"/>
      <c r="AI246" s="43"/>
      <c r="AJ246" s="43"/>
      <c r="AK246" s="43"/>
      <c r="AL246" s="45"/>
      <c r="AM246" s="197">
        <f>IF(AQ246=1,SUM(H246:I246,L246:O246,R246:U246,X246:AA246,AD246:AG246,AI246:AK246),
IF(AQ246=2,SUM(H246:K246,N246:Q246,T246:W246,Z246:AC246,AF246:AI246),
IF(AQ246=3,SUM(J246:M246,P246:S246,V246:Y246,AB246:AE246,AH246:AK246),SUM(Таблица1[[#This Row],[1]:[31]])-Таблица1[[#This Row],[Столбец1]])))</f>
        <v>0</v>
      </c>
      <c r="AN246" s="269">
        <f t="array" ref="AN246">IF(AQ246=1,SUM(J246:K246,P246:Q246,V246:W246,AB246:AC246,AH246:AI246),
IF(AQ246=2,SUM(L246:M246,R246:S246,X246:Y246,AD246:AE246),
IF(AQ246=3,SUM(H246:I246,N246:O246,T246:U246,Z246:AA246,AF246:AG246),
SUM(IFERROR(WEEKDAY($H$2:$AL$2,2)&gt;5,)*H246:AL246))))</f>
        <v>0</v>
      </c>
      <c r="AO246" s="271" t="b">
        <f>IF(AR246&lt;=3,(IF((G246="5/24"),((база!$M$6*Таблица1[[#This Row],[сумма]]*Таблица1[[#This Row],[коэф]])),
IF((G246="4/24"),((база!$M$5*Таблица1[[#This Row],[сумма]]*Таблица1[[#This Row],[коэф]])),
IF((G246="3/24"),((база!$M$4*Таблица1[[#This Row],[сумма]]*Таблица1[[#This Row],[коэф]])),
IF((G246="5/16"),((база!$L$6*Таблица1[[#This Row],[сумма]]*Таблица1[[#This Row],[коэф]])),
IF((G246="4/16"),((база!$L$5*Таблица1[[#This Row],[сумма]]*Таблица1[[#This Row],[коэф]])),
IF((G246="3/16"),((база!$L$4*Таблица1[[#This Row],[сумма]]*Таблица1[[#This Row],[коэф]])),
IF((G246="4/4"),((база!$I$5*Таблица1[[#This Row],[сумма]]*Таблица1[[#This Row],[коэф]])),
IF(OR(G246="2/4",G246="3/4"),((база!$I$4*Таблица1[[#This Row],[сумма]]*Таблица1[[#This Row],[коэф]])),
IF((G246="5/8"),((база!$J$6*Таблица1[[#This Row],[сумма]]*Таблица1[[#This Row],[коэф]])),
IF((G246="4/8"),((база!$J$5*Таблица1[[#This Row],[сумма]]*Таблица1[[#This Row],[коэф]])),
IF(OR(G246="3/8",G246="2/8"),((база!$J$4*Таблица1[[#This Row],[сумма]]*Таблица1[[#This Row],[коэф]])))))))))))))),
(IF((G246="5/24"),((база!$M$6*Таблица1[[#This Row],[сумма]]*Таблица1[[#This Row],[коэф]])),
IF(OR(G246="4/24",G246="3/24"),((база!$M$5*Таблица1[[#This Row],[сумма]]*Таблица1[[#This Row],[коэф]])),
IF((G246="5/16"),((база!$L$6*Таблица1[[#This Row],[сумма]]*Таблица1[[#This Row],[коэф]])),
IF(OR(G246="4/16",G246="3/16"),((база!$L$5*Таблица1[[#This Row],[сумма]]*Таблица1[[#This Row],[коэф]])),
IF(OR(G246="2/4",G246="3/4",G246="4/4"),((база!$I$5*Таблица1[[#This Row],[сумма]]*Таблица1[[#This Row],[коэф]])),
IF((G246="5/8"),((база!$J$6*Таблица1[[#This Row],[сумма]]*Таблица1[[#This Row],[коэф]])),
IF(OR(G246="4/8",G246="3/8",G246="2/8"),((база!$J$5*Таблица1[[#This Row],[сумма]]*Таблица1[[#This Row],[коэф]])))))))))))</f>
        <v>0</v>
      </c>
      <c r="AP246" s="696" t="b">
        <f>IF(AR246&lt;=3,(IF((G246="5/24"),((база!$M$6*2*Таблица1[[#This Row],[Столбец1]]*Таблица1[[#This Row],[коэф]])),
IF((G246="4/24"),((база!$M$5*2*Таблица1[[#This Row],[Столбец1]]*Таблица1[[#This Row],[коэф]])),
IF((G246="3/24"),((база!$M$4*2*Таблица1[[#This Row],[Столбец1]]*Таблица1[[#This Row],[коэф]])),
IF((G246="5/16"),((база!$L$6*2*Таблица1[[#This Row],[Столбец1]]*Таблица1[[#This Row],[коэф]])),
IF((G246="4/16"),((база!$L$5*2*Таблица1[[#This Row],[Столбец1]]*Таблица1[[#This Row],[коэф]])),
IF((G246="3/16"),((база!$L$4*2*Таблица1[[#This Row],[Столбец1]]*Таблица1[[#This Row],[коэф]])),
IF((G246="4/4"),((база!$I$5*2*Таблица1[[#This Row],[Столбец1]]*Таблица1[[#This Row],[коэф]])),
IF(OR(G246="2/4",G246="3/4"),((база!$I$4*2*Таблица1[[#This Row],[Столбец1]]*Таблица1[[#This Row],[коэф]])),
IF((G246="5/8"),((база!$J$6*2*Таблица1[[#This Row],[Столбец1]]*Таблица1[[#This Row],[коэф]])),
IF((G246="4/8"),((база!$J$5*2*Таблица1[[#This Row],[Столбец1]]*Таблица1[[#This Row],[коэф]])),
IF(OR(G246="3/8",G246="2/8"),((база!$J$4*2*Таблица1[[#This Row],[Столбец1]]*Таблица1[[#This Row],[коэф]])))))))))))))),
(IF((G246="5/24"),((база!$M$6*2*Таблица1[[#This Row],[Столбец1]]*Таблица1[[#This Row],[коэф]])),
IF(OR(G246="4/24",G246="3/24"),((база!$M$5*2*Таблица1[[#This Row],[Столбец1]]*Таблица1[[#This Row],[коэф]])),
IF((G246="5/16"),((база!$L$6*2*Таблица1[[#This Row],[Столбец1]]*Таблица1[[#This Row],[коэф]])),
IF(OR(G246="4/16",G246="3/16"),((база!$L$5*2*Таблица1[[#This Row],[Столбец1]]*Таблица1[[#This Row],[коэф]])),
IF(OR(G246="2/4",G246="3/4",G246="4/4"),((база!$I$5*2*Таблица1[[#This Row],[Столбец1]]*Таблица1[[#This Row],[коэф]])),
IF((G246="5/8"),((база!$J$6*2*Таблица1[[#This Row],[Столбец1]]*Таблица1[[#This Row],[коэф]])),
IF(OR(G246="4/8",G246="3/8",G246="2/8"),((база!$J$5*2*Таблица1[[#This Row],[Столбец1]]*Таблица1[[#This Row],[коэф]])))))))))))</f>
        <v>0</v>
      </c>
      <c r="AQ246" s="678" t="str">
        <f>IFERROR(INDEX(база!T:T, MATCH(F246,база!Q:Q,0)),"")</f>
        <v/>
      </c>
      <c r="AR246" s="193">
        <f>IFERROR(INDEX(база!D:D, MATCH(F246,база!B:B,0)),"")</f>
        <v>0</v>
      </c>
    </row>
    <row r="247" spans="1:44" ht="15">
      <c r="A247" s="59"/>
      <c r="B247" s="215"/>
      <c r="C247" s="54"/>
      <c r="D247" s="55"/>
      <c r="E247" s="196"/>
      <c r="F247" s="651"/>
      <c r="G247" s="42"/>
      <c r="H247" s="539"/>
      <c r="I247" s="539"/>
      <c r="J247" s="539"/>
      <c r="K247" s="539"/>
      <c r="L247" s="539"/>
      <c r="M247" s="539"/>
      <c r="N247" s="539"/>
      <c r="O247" s="539"/>
      <c r="P247" s="278"/>
      <c r="Q247" s="539"/>
      <c r="R247" s="539"/>
      <c r="S247" s="539"/>
      <c r="T247" s="539"/>
      <c r="U247" s="539"/>
      <c r="V247" s="539"/>
      <c r="W247" s="539"/>
      <c r="X247" s="539"/>
      <c r="Y247" s="539"/>
      <c r="Z247" s="539"/>
      <c r="AA247" s="539"/>
      <c r="AB247" s="539"/>
      <c r="AC247" s="539"/>
      <c r="AD247" s="43"/>
      <c r="AE247" s="43"/>
      <c r="AF247" s="238"/>
      <c r="AG247" s="43"/>
      <c r="AH247" s="43"/>
      <c r="AI247" s="238"/>
      <c r="AJ247" s="238"/>
      <c r="AK247" s="238"/>
      <c r="AL247" s="238"/>
      <c r="AM247" s="197">
        <f>IF(AQ247=1,SUM(H247:I247,L247:O247,R247:U247,X247:AA247,AD247:AG247,AI247:AK247),
IF(AQ247=2,SUM(H247:K247,N247:Q247,T247:W247,Z247:AC247,AF247:AI247),
IF(AQ247=3,SUM(J247:M247,P247:S247,V247:Y247,AB247:AE247,AH247:AK247),SUM(Таблица1[[#This Row],[1]:[31]])-Таблица1[[#This Row],[Столбец1]])))</f>
        <v>0</v>
      </c>
      <c r="AN247" s="269">
        <f t="array" ref="AN247">IF(AQ247=1,SUM(J247:K247,P247:Q247,V247:W247,AB247:AC247,AH247:AI247),
IF(AQ247=2,SUM(L247:M247,R247:S247,X247:Y247,AD247:AE247),
IF(AQ247=3,SUM(H247:I247,N247:O247,T247:U247,Z247:AA247,AF247:AG247),
SUM(IFERROR(WEEKDAY($H$2:$AL$2,2)&gt;5,)*H247:AL247))))</f>
        <v>0</v>
      </c>
      <c r="AO247" s="271" t="b">
        <f>IF(AR247&lt;=3,(IF((G247="5/24"),((база!$M$6*Таблица1[[#This Row],[сумма]]*Таблица1[[#This Row],[коэф]])),
IF((G247="4/24"),((база!$M$5*Таблица1[[#This Row],[сумма]]*Таблица1[[#This Row],[коэф]])),
IF((G247="3/24"),((база!$M$4*Таблица1[[#This Row],[сумма]]*Таблица1[[#This Row],[коэф]])),
IF((G247="5/16"),((база!$L$6*Таблица1[[#This Row],[сумма]]*Таблица1[[#This Row],[коэф]])),
IF((G247="4/16"),((база!$L$5*Таблица1[[#This Row],[сумма]]*Таблица1[[#This Row],[коэф]])),
IF((G247="3/16"),((база!$L$4*Таблица1[[#This Row],[сумма]]*Таблица1[[#This Row],[коэф]])),
IF((G247="4/4"),((база!$I$5*Таблица1[[#This Row],[сумма]]*Таблица1[[#This Row],[коэф]])),
IF(OR(G247="2/4",G247="3/4"),((база!$I$4*Таблица1[[#This Row],[сумма]]*Таблица1[[#This Row],[коэф]])),
IF((G247="5/8"),((база!$J$6*Таблица1[[#This Row],[сумма]]*Таблица1[[#This Row],[коэф]])),
IF((G247="4/8"),((база!$J$5*Таблица1[[#This Row],[сумма]]*Таблица1[[#This Row],[коэф]])),
IF(OR(G247="3/8",G247="2/8"),((база!$J$4*Таблица1[[#This Row],[сумма]]*Таблица1[[#This Row],[коэф]])))))))))))))),
(IF((G247="5/24"),((база!$M$6*Таблица1[[#This Row],[сумма]]*Таблица1[[#This Row],[коэф]])),
IF(OR(G247="4/24",G247="3/24"),((база!$M$5*Таблица1[[#This Row],[сумма]]*Таблица1[[#This Row],[коэф]])),
IF((G247="5/16"),((база!$L$6*Таблица1[[#This Row],[сумма]]*Таблица1[[#This Row],[коэф]])),
IF(OR(G247="4/16",G247="3/16"),((база!$L$5*Таблица1[[#This Row],[сумма]]*Таблица1[[#This Row],[коэф]])),
IF(OR(G247="2/4",G247="3/4",G247="4/4"),((база!$I$5*Таблица1[[#This Row],[сумма]]*Таблица1[[#This Row],[коэф]])),
IF((G247="5/8"),((база!$J$6*Таблица1[[#This Row],[сумма]]*Таблица1[[#This Row],[коэф]])),
IF(OR(G247="4/8",G247="3/8",G247="2/8"),((база!$J$5*Таблица1[[#This Row],[сумма]]*Таблица1[[#This Row],[коэф]])))))))))))</f>
        <v>0</v>
      </c>
      <c r="AP247" s="696" t="b">
        <f>IF(AR247&lt;=3,(IF((G247="5/24"),((база!$M$6*2*Таблица1[[#This Row],[Столбец1]]*Таблица1[[#This Row],[коэф]])),
IF((G247="4/24"),((база!$M$5*2*Таблица1[[#This Row],[Столбец1]]*Таблица1[[#This Row],[коэф]])),
IF((G247="3/24"),((база!$M$4*2*Таблица1[[#This Row],[Столбец1]]*Таблица1[[#This Row],[коэф]])),
IF((G247="5/16"),((база!$L$6*2*Таблица1[[#This Row],[Столбец1]]*Таблица1[[#This Row],[коэф]])),
IF((G247="4/16"),((база!$L$5*2*Таблица1[[#This Row],[Столбец1]]*Таблица1[[#This Row],[коэф]])),
IF((G247="3/16"),((база!$L$4*2*Таблица1[[#This Row],[Столбец1]]*Таблица1[[#This Row],[коэф]])),
IF((G247="4/4"),((база!$I$5*2*Таблица1[[#This Row],[Столбец1]]*Таблица1[[#This Row],[коэф]])),
IF(OR(G247="2/4",G247="3/4"),((база!$I$4*2*Таблица1[[#This Row],[Столбец1]]*Таблица1[[#This Row],[коэф]])),
IF((G247="5/8"),((база!$J$6*2*Таблица1[[#This Row],[Столбец1]]*Таблица1[[#This Row],[коэф]])),
IF((G247="4/8"),((база!$J$5*2*Таблица1[[#This Row],[Столбец1]]*Таблица1[[#This Row],[коэф]])),
IF(OR(G247="3/8",G247="2/8"),((база!$J$4*2*Таблица1[[#This Row],[Столбец1]]*Таблица1[[#This Row],[коэф]])))))))))))))),
(IF((G247="5/24"),((база!$M$6*2*Таблица1[[#This Row],[Столбец1]]*Таблица1[[#This Row],[коэф]])),
IF(OR(G247="4/24",G247="3/24"),((база!$M$5*2*Таблица1[[#This Row],[Столбец1]]*Таблица1[[#This Row],[коэф]])),
IF((G247="5/16"),((база!$L$6*2*Таблица1[[#This Row],[Столбец1]]*Таблица1[[#This Row],[коэф]])),
IF(OR(G247="4/16",G247="3/16"),((база!$L$5*2*Таблица1[[#This Row],[Столбец1]]*Таблица1[[#This Row],[коэф]])),
IF(OR(G247="2/4",G247="3/4",G247="4/4"),((база!$I$5*2*Таблица1[[#This Row],[Столбец1]]*Таблица1[[#This Row],[коэф]])),
IF((G247="5/8"),((база!$J$6*2*Таблица1[[#This Row],[Столбец1]]*Таблица1[[#This Row],[коэф]])),
IF(OR(G247="4/8",G247="3/8",G247="2/8"),((база!$J$5*2*Таблица1[[#This Row],[Столбец1]]*Таблица1[[#This Row],[коэф]])))))))))))</f>
        <v>0</v>
      </c>
      <c r="AQ247" s="678" t="str">
        <f>IFERROR(INDEX(база!T:T, MATCH(F247,база!Q:Q,0)),"")</f>
        <v/>
      </c>
      <c r="AR247" s="193">
        <f>IFERROR(INDEX(база!D:D, MATCH(F247,база!B:B,0)),"")</f>
        <v>0</v>
      </c>
    </row>
    <row r="248" spans="1:44" ht="15">
      <c r="A248" s="59"/>
      <c r="B248" s="215"/>
      <c r="C248" s="54"/>
      <c r="D248" s="55"/>
      <c r="E248" s="196"/>
      <c r="F248" s="651"/>
      <c r="G248" s="42"/>
      <c r="H248" s="539"/>
      <c r="I248" s="539"/>
      <c r="J248" s="539"/>
      <c r="K248" s="539"/>
      <c r="L248" s="539"/>
      <c r="M248" s="539"/>
      <c r="N248" s="539"/>
      <c r="O248" s="539"/>
      <c r="P248" s="278"/>
      <c r="Q248" s="539"/>
      <c r="R248" s="539"/>
      <c r="S248" s="539"/>
      <c r="T248" s="539"/>
      <c r="U248" s="539"/>
      <c r="V248" s="539"/>
      <c r="W248" s="539"/>
      <c r="X248" s="539"/>
      <c r="Y248" s="539"/>
      <c r="Z248" s="539"/>
      <c r="AA248" s="539"/>
      <c r="AB248" s="539"/>
      <c r="AC248" s="539"/>
      <c r="AD248" s="43"/>
      <c r="AE248" s="43"/>
      <c r="AF248" s="238"/>
      <c r="AG248" s="43"/>
      <c r="AH248" s="43"/>
      <c r="AI248" s="43"/>
      <c r="AJ248" s="43"/>
      <c r="AK248" s="43"/>
      <c r="AL248" s="45"/>
      <c r="AM248" s="197">
        <f>IF(AQ248=1,SUM(H248:I248,L248:O248,R248:U248,X248:AA248,AD248:AG248,AI248:AK248),
IF(AQ248=2,SUM(H248:K248,N248:Q248,T248:W248,Z248:AC248,AF248:AI248),
IF(AQ248=3,SUM(J248:M248,P248:S248,V248:Y248,AB248:AE248,AH248:AK248),SUM(Таблица1[[#This Row],[1]:[31]])-Таблица1[[#This Row],[Столбец1]])))</f>
        <v>0</v>
      </c>
      <c r="AN248" s="269">
        <f t="array" ref="AN248">IF(AQ248=1,SUM(J248:K248,P248:Q248,V248:W248,AB248:AC248,AH248:AI248),
IF(AQ248=2,SUM(L248:M248,R248:S248,X248:Y248,AD248:AE248),
IF(AQ248=3,SUM(H248:I248,N248:O248,T248:U248,Z248:AA248,AF248:AG248),
SUM(IFERROR(WEEKDAY($H$2:$AL$2,2)&gt;5,)*H248:AL248))))</f>
        <v>0</v>
      </c>
      <c r="AO248" s="271" t="b">
        <f>IF(AR248&lt;=3,(IF((G248="5/24"),((база!$M$6*Таблица1[[#This Row],[сумма]]*Таблица1[[#This Row],[коэф]])),
IF((G248="4/24"),((база!$M$5*Таблица1[[#This Row],[сумма]]*Таблица1[[#This Row],[коэф]])),
IF((G248="3/24"),((база!$M$4*Таблица1[[#This Row],[сумма]]*Таблица1[[#This Row],[коэф]])),
IF((G248="5/16"),((база!$L$6*Таблица1[[#This Row],[сумма]]*Таблица1[[#This Row],[коэф]])),
IF((G248="4/16"),((база!$L$5*Таблица1[[#This Row],[сумма]]*Таблица1[[#This Row],[коэф]])),
IF((G248="3/16"),((база!$L$4*Таблица1[[#This Row],[сумма]]*Таблица1[[#This Row],[коэф]])),
IF((G248="4/4"),((база!$I$5*Таблица1[[#This Row],[сумма]]*Таблица1[[#This Row],[коэф]])),
IF(OR(G248="2/4",G248="3/4"),((база!$I$4*Таблица1[[#This Row],[сумма]]*Таблица1[[#This Row],[коэф]])),
IF((G248="5/8"),((база!$J$6*Таблица1[[#This Row],[сумма]]*Таблица1[[#This Row],[коэф]])),
IF((G248="4/8"),((база!$J$5*Таблица1[[#This Row],[сумма]]*Таблица1[[#This Row],[коэф]])),
IF(OR(G248="3/8",G248="2/8"),((база!$J$4*Таблица1[[#This Row],[сумма]]*Таблица1[[#This Row],[коэф]])))))))))))))),
(IF((G248="5/24"),((база!$M$6*Таблица1[[#This Row],[сумма]]*Таблица1[[#This Row],[коэф]])),
IF(OR(G248="4/24",G248="3/24"),((база!$M$5*Таблица1[[#This Row],[сумма]]*Таблица1[[#This Row],[коэф]])),
IF((G248="5/16"),((база!$L$6*Таблица1[[#This Row],[сумма]]*Таблица1[[#This Row],[коэф]])),
IF(OR(G248="4/16",G248="3/16"),((база!$L$5*Таблица1[[#This Row],[сумма]]*Таблица1[[#This Row],[коэф]])),
IF(OR(G248="2/4",G248="3/4",G248="4/4"),((база!$I$5*Таблица1[[#This Row],[сумма]]*Таблица1[[#This Row],[коэф]])),
IF((G248="5/8"),((база!$J$6*Таблица1[[#This Row],[сумма]]*Таблица1[[#This Row],[коэф]])),
IF(OR(G248="4/8",G248="3/8",G248="2/8"),((база!$J$5*Таблица1[[#This Row],[сумма]]*Таблица1[[#This Row],[коэф]])))))))))))</f>
        <v>0</v>
      </c>
      <c r="AP248" s="696" t="b">
        <f>IF(AR248&lt;=3,(IF((G248="5/24"),((база!$M$6*2*Таблица1[[#This Row],[Столбец1]]*Таблица1[[#This Row],[коэф]])),
IF((G248="4/24"),((база!$M$5*2*Таблица1[[#This Row],[Столбец1]]*Таблица1[[#This Row],[коэф]])),
IF((G248="3/24"),((база!$M$4*2*Таблица1[[#This Row],[Столбец1]]*Таблица1[[#This Row],[коэф]])),
IF((G248="5/16"),((база!$L$6*2*Таблица1[[#This Row],[Столбец1]]*Таблица1[[#This Row],[коэф]])),
IF((G248="4/16"),((база!$L$5*2*Таблица1[[#This Row],[Столбец1]]*Таблица1[[#This Row],[коэф]])),
IF((G248="3/16"),((база!$L$4*2*Таблица1[[#This Row],[Столбец1]]*Таблица1[[#This Row],[коэф]])),
IF((G248="4/4"),((база!$I$5*2*Таблица1[[#This Row],[Столбец1]]*Таблица1[[#This Row],[коэф]])),
IF(OR(G248="2/4",G248="3/4"),((база!$I$4*2*Таблица1[[#This Row],[Столбец1]]*Таблица1[[#This Row],[коэф]])),
IF((G248="5/8"),((база!$J$6*2*Таблица1[[#This Row],[Столбец1]]*Таблица1[[#This Row],[коэф]])),
IF((G248="4/8"),((база!$J$5*2*Таблица1[[#This Row],[Столбец1]]*Таблица1[[#This Row],[коэф]])),
IF(OR(G248="3/8",G248="2/8"),((база!$J$4*2*Таблица1[[#This Row],[Столбец1]]*Таблица1[[#This Row],[коэф]])))))))))))))),
(IF((G248="5/24"),((база!$M$6*2*Таблица1[[#This Row],[Столбец1]]*Таблица1[[#This Row],[коэф]])),
IF(OR(G248="4/24",G248="3/24"),((база!$M$5*2*Таблица1[[#This Row],[Столбец1]]*Таблица1[[#This Row],[коэф]])),
IF((G248="5/16"),((база!$L$6*2*Таблица1[[#This Row],[Столбец1]]*Таблица1[[#This Row],[коэф]])),
IF(OR(G248="4/16",G248="3/16"),((база!$L$5*2*Таблица1[[#This Row],[Столбец1]]*Таблица1[[#This Row],[коэф]])),
IF(OR(G248="2/4",G248="3/4",G248="4/4"),((база!$I$5*2*Таблица1[[#This Row],[Столбец1]]*Таблица1[[#This Row],[коэф]])),
IF((G248="5/8"),((база!$J$6*2*Таблица1[[#This Row],[Столбец1]]*Таблица1[[#This Row],[коэф]])),
IF(OR(G248="4/8",G248="3/8",G248="2/8"),((база!$J$5*2*Таблица1[[#This Row],[Столбец1]]*Таблица1[[#This Row],[коэф]])))))))))))</f>
        <v>0</v>
      </c>
      <c r="AQ248" s="678" t="str">
        <f>IFERROR(INDEX(база!T:T, MATCH(F248,база!Q:Q,0)),"")</f>
        <v/>
      </c>
      <c r="AR248" s="193">
        <f>IFERROR(INDEX(база!D:D, MATCH(F248,база!B:B,0)),"")</f>
        <v>0</v>
      </c>
    </row>
    <row r="249" spans="1:44" ht="15">
      <c r="A249" s="59"/>
      <c r="B249" s="215"/>
      <c r="C249" s="54"/>
      <c r="D249" s="55"/>
      <c r="E249" s="196"/>
      <c r="F249" s="651"/>
      <c r="G249" s="42"/>
      <c r="H249" s="539"/>
      <c r="I249" s="539"/>
      <c r="J249" s="539"/>
      <c r="K249" s="539"/>
      <c r="L249" s="539"/>
      <c r="M249" s="539"/>
      <c r="N249" s="539"/>
      <c r="O249" s="539"/>
      <c r="P249" s="278"/>
      <c r="Q249" s="539"/>
      <c r="R249" s="539"/>
      <c r="S249" s="539"/>
      <c r="T249" s="539"/>
      <c r="U249" s="539"/>
      <c r="V249" s="539"/>
      <c r="W249" s="539"/>
      <c r="X249" s="539"/>
      <c r="Y249" s="539"/>
      <c r="Z249" s="539"/>
      <c r="AA249" s="539"/>
      <c r="AB249" s="539"/>
      <c r="AC249" s="539"/>
      <c r="AD249" s="43"/>
      <c r="AE249" s="43"/>
      <c r="AF249" s="238"/>
      <c r="AG249" s="238"/>
      <c r="AH249" s="238"/>
      <c r="AI249" s="238"/>
      <c r="AJ249" s="238"/>
      <c r="AK249" s="238"/>
      <c r="AL249" s="238"/>
      <c r="AM249" s="197">
        <f>IF(AQ249=1,SUM(H249:I249,L249:O249,R249:U249,X249:AA249,AD249:AG249,AI249:AK249),
IF(AQ249=2,SUM(H249:K249,N249:Q249,T249:W249,Z249:AC249,AF249:AI249),
IF(AQ249=3,SUM(J249:M249,P249:S249,V249:Y249,AB249:AE249,AH249:AK249),SUM(Таблица1[[#This Row],[1]:[31]])-Таблица1[[#This Row],[Столбец1]])))</f>
        <v>0</v>
      </c>
      <c r="AN249" s="269">
        <f t="array" ref="AN249">IF(AQ249=1,SUM(J249:K249,P249:Q249,V249:W249,AB249:AC249,AH249:AI249),
IF(AQ249=2,SUM(L249:M249,R249:S249,X249:Y249,AD249:AE249),
IF(AQ249=3,SUM(H249:I249,N249:O249,T249:U249,Z249:AA249,AF249:AG249),
SUM(IFERROR(WEEKDAY($H$2:$AL$2,2)&gt;5,)*H249:AL249))))</f>
        <v>0</v>
      </c>
      <c r="AO249" s="271" t="b">
        <f>IF(AR249&lt;=3,(IF((G249="5/24"),((база!$M$6*Таблица1[[#This Row],[сумма]]*Таблица1[[#This Row],[коэф]])),
IF((G249="4/24"),((база!$M$5*Таблица1[[#This Row],[сумма]]*Таблица1[[#This Row],[коэф]])),
IF((G249="3/24"),((база!$M$4*Таблица1[[#This Row],[сумма]]*Таблица1[[#This Row],[коэф]])),
IF((G249="5/16"),((база!$L$6*Таблица1[[#This Row],[сумма]]*Таблица1[[#This Row],[коэф]])),
IF((G249="4/16"),((база!$L$5*Таблица1[[#This Row],[сумма]]*Таблица1[[#This Row],[коэф]])),
IF((G249="3/16"),((база!$L$4*Таблица1[[#This Row],[сумма]]*Таблица1[[#This Row],[коэф]])),
IF((G249="4/4"),((база!$I$5*Таблица1[[#This Row],[сумма]]*Таблица1[[#This Row],[коэф]])),
IF(OR(G249="2/4",G249="3/4"),((база!$I$4*Таблица1[[#This Row],[сумма]]*Таблица1[[#This Row],[коэф]])),
IF((G249="5/8"),((база!$J$6*Таблица1[[#This Row],[сумма]]*Таблица1[[#This Row],[коэф]])),
IF((G249="4/8"),((база!$J$5*Таблица1[[#This Row],[сумма]]*Таблица1[[#This Row],[коэф]])),
IF(OR(G249="3/8",G249="2/8"),((база!$J$4*Таблица1[[#This Row],[сумма]]*Таблица1[[#This Row],[коэф]])))))))))))))),
(IF((G249="5/24"),((база!$M$6*Таблица1[[#This Row],[сумма]]*Таблица1[[#This Row],[коэф]])),
IF(OR(G249="4/24",G249="3/24"),((база!$M$5*Таблица1[[#This Row],[сумма]]*Таблица1[[#This Row],[коэф]])),
IF((G249="5/16"),((база!$L$6*Таблица1[[#This Row],[сумма]]*Таблица1[[#This Row],[коэф]])),
IF(OR(G249="4/16",G249="3/16"),((база!$L$5*Таблица1[[#This Row],[сумма]]*Таблица1[[#This Row],[коэф]])),
IF(OR(G249="2/4",G249="3/4",G249="4/4"),((база!$I$5*Таблица1[[#This Row],[сумма]]*Таблица1[[#This Row],[коэф]])),
IF((G249="5/8"),((база!$J$6*Таблица1[[#This Row],[сумма]]*Таблица1[[#This Row],[коэф]])),
IF(OR(G249="4/8",G249="3/8",G249="2/8"),((база!$J$5*Таблица1[[#This Row],[сумма]]*Таблица1[[#This Row],[коэф]])))))))))))</f>
        <v>0</v>
      </c>
      <c r="AP249" s="696" t="b">
        <f>IF(AR249&lt;=3,(IF((G249="5/24"),((база!$M$6*2*Таблица1[[#This Row],[Столбец1]]*Таблица1[[#This Row],[коэф]])),
IF((G249="4/24"),((база!$M$5*2*Таблица1[[#This Row],[Столбец1]]*Таблица1[[#This Row],[коэф]])),
IF((G249="3/24"),((база!$M$4*2*Таблица1[[#This Row],[Столбец1]]*Таблица1[[#This Row],[коэф]])),
IF((G249="5/16"),((база!$L$6*2*Таблица1[[#This Row],[Столбец1]]*Таблица1[[#This Row],[коэф]])),
IF((G249="4/16"),((база!$L$5*2*Таблица1[[#This Row],[Столбец1]]*Таблица1[[#This Row],[коэф]])),
IF((G249="3/16"),((база!$L$4*2*Таблица1[[#This Row],[Столбец1]]*Таблица1[[#This Row],[коэф]])),
IF((G249="4/4"),((база!$I$5*2*Таблица1[[#This Row],[Столбец1]]*Таблица1[[#This Row],[коэф]])),
IF(OR(G249="2/4",G249="3/4"),((база!$I$4*2*Таблица1[[#This Row],[Столбец1]]*Таблица1[[#This Row],[коэф]])),
IF((G249="5/8"),((база!$J$6*2*Таблица1[[#This Row],[Столбец1]]*Таблица1[[#This Row],[коэф]])),
IF((G249="4/8"),((база!$J$5*2*Таблица1[[#This Row],[Столбец1]]*Таблица1[[#This Row],[коэф]])),
IF(OR(G249="3/8",G249="2/8"),((база!$J$4*2*Таблица1[[#This Row],[Столбец1]]*Таблица1[[#This Row],[коэф]])))))))))))))),
(IF((G249="5/24"),((база!$M$6*2*Таблица1[[#This Row],[Столбец1]]*Таблица1[[#This Row],[коэф]])),
IF(OR(G249="4/24",G249="3/24"),((база!$M$5*2*Таблица1[[#This Row],[Столбец1]]*Таблица1[[#This Row],[коэф]])),
IF((G249="5/16"),((база!$L$6*2*Таблица1[[#This Row],[Столбец1]]*Таблица1[[#This Row],[коэф]])),
IF(OR(G249="4/16",G249="3/16"),((база!$L$5*2*Таблица1[[#This Row],[Столбец1]]*Таблица1[[#This Row],[коэф]])),
IF(OR(G249="2/4",G249="3/4",G249="4/4"),((база!$I$5*2*Таблица1[[#This Row],[Столбец1]]*Таблица1[[#This Row],[коэф]])),
IF((G249="5/8"),((база!$J$6*2*Таблица1[[#This Row],[Столбец1]]*Таблица1[[#This Row],[коэф]])),
IF(OR(G249="4/8",G249="3/8",G249="2/8"),((база!$J$5*2*Таблица1[[#This Row],[Столбец1]]*Таблица1[[#This Row],[коэф]])))))))))))</f>
        <v>0</v>
      </c>
      <c r="AQ249" s="678" t="str">
        <f>IFERROR(INDEX(база!T:T, MATCH(F249,база!Q:Q,0)),"")</f>
        <v/>
      </c>
      <c r="AR249" s="193">
        <f>IFERROR(INDEX(база!D:D, MATCH(F249,база!B:B,0)),"")</f>
        <v>0</v>
      </c>
    </row>
    <row r="250" spans="1:44" ht="15">
      <c r="A250" s="59"/>
      <c r="B250" s="215"/>
      <c r="C250" s="277"/>
      <c r="D250" s="55"/>
      <c r="E250" s="196"/>
      <c r="F250" s="651"/>
      <c r="G250" s="42"/>
      <c r="H250" s="539"/>
      <c r="I250" s="539"/>
      <c r="J250" s="539"/>
      <c r="K250" s="539"/>
      <c r="L250" s="539"/>
      <c r="M250" s="539"/>
      <c r="N250" s="539"/>
      <c r="O250" s="539"/>
      <c r="P250" s="539"/>
      <c r="Q250" s="539"/>
      <c r="R250" s="539"/>
      <c r="S250" s="539"/>
      <c r="T250" s="539"/>
      <c r="U250" s="539"/>
      <c r="V250" s="539"/>
      <c r="W250" s="539"/>
      <c r="X250" s="539"/>
      <c r="Y250" s="539"/>
      <c r="Z250" s="539"/>
      <c r="AA250" s="539"/>
      <c r="AB250" s="539"/>
      <c r="AC250" s="539"/>
      <c r="AD250" s="43"/>
      <c r="AE250" s="43"/>
      <c r="AF250" s="238"/>
      <c r="AG250" s="43"/>
      <c r="AH250" s="43"/>
      <c r="AI250" s="43"/>
      <c r="AJ250" s="43"/>
      <c r="AK250" s="43"/>
      <c r="AL250" s="45"/>
      <c r="AM250" s="197">
        <f>IF(AQ250=1,SUM(H250:I250,L250:O250,R250:U250,X250:AA250,AD250:AG250,AI250:AK250),
IF(AQ250=2,SUM(H250:K250,N250:Q250,T250:W250,Z250:AC250,AF250:AI250),
IF(AQ250=3,SUM(J250:M250,P250:S250,V250:Y250,AB250:AE250,AH250:AK250),SUM(Таблица1[[#This Row],[1]:[31]])-Таблица1[[#This Row],[Столбец1]])))</f>
        <v>0</v>
      </c>
      <c r="AN250" s="269">
        <f t="array" ref="AN250">IF(AQ250=1,SUM(J250:K250,P250:Q250,V250:W250,AB250:AC250,AH250:AI250),
IF(AQ250=2,SUM(L250:M250,R250:S250,X250:Y250,AD250:AE250),
IF(AQ250=3,SUM(H250:I250,N250:O250,T250:U250,Z250:AA250,AF250:AG250),
SUM(IFERROR(WEEKDAY($H$2:$AL$2,2)&gt;5,)*H250:AL250))))</f>
        <v>0</v>
      </c>
      <c r="AO250" s="271" t="b">
        <f>IF(AR250&lt;=3,(IF((G250="5/24"),((база!$M$6*Таблица1[[#This Row],[сумма]]*Таблица1[[#This Row],[коэф]])),
IF((G250="4/24"),((база!$M$5*Таблица1[[#This Row],[сумма]]*Таблица1[[#This Row],[коэф]])),
IF((G250="3/24"),((база!$M$4*Таблица1[[#This Row],[сумма]]*Таблица1[[#This Row],[коэф]])),
IF((G250="5/16"),((база!$L$6*Таблица1[[#This Row],[сумма]]*Таблица1[[#This Row],[коэф]])),
IF((G250="4/16"),((база!$L$5*Таблица1[[#This Row],[сумма]]*Таблица1[[#This Row],[коэф]])),
IF((G250="3/16"),((база!$L$4*Таблица1[[#This Row],[сумма]]*Таблица1[[#This Row],[коэф]])),
IF((G250="4/4"),((база!$I$5*Таблица1[[#This Row],[сумма]]*Таблица1[[#This Row],[коэф]])),
IF(OR(G250="2/4",G250="3/4"),((база!$I$4*Таблица1[[#This Row],[сумма]]*Таблица1[[#This Row],[коэф]])),
IF((G250="5/8"),((база!$J$6*Таблица1[[#This Row],[сумма]]*Таблица1[[#This Row],[коэф]])),
IF((G250="4/8"),((база!$J$5*Таблица1[[#This Row],[сумма]]*Таблица1[[#This Row],[коэф]])),
IF(OR(G250="3/8",G250="2/8"),((база!$J$4*Таблица1[[#This Row],[сумма]]*Таблица1[[#This Row],[коэф]])))))))))))))),
(IF((G250="5/24"),((база!$M$6*Таблица1[[#This Row],[сумма]]*Таблица1[[#This Row],[коэф]])),
IF(OR(G250="4/24",G250="3/24"),((база!$M$5*Таблица1[[#This Row],[сумма]]*Таблица1[[#This Row],[коэф]])),
IF((G250="5/16"),((база!$L$6*Таблица1[[#This Row],[сумма]]*Таблица1[[#This Row],[коэф]])),
IF(OR(G250="4/16",G250="3/16"),((база!$L$5*Таблица1[[#This Row],[сумма]]*Таблица1[[#This Row],[коэф]])),
IF(OR(G250="2/4",G250="3/4",G250="4/4"),((база!$I$5*Таблица1[[#This Row],[сумма]]*Таблица1[[#This Row],[коэф]])),
IF((G250="5/8"),((база!$J$6*Таблица1[[#This Row],[сумма]]*Таблица1[[#This Row],[коэф]])),
IF(OR(G250="4/8",G250="3/8",G250="2/8"),((база!$J$5*Таблица1[[#This Row],[сумма]]*Таблица1[[#This Row],[коэф]])))))))))))</f>
        <v>0</v>
      </c>
      <c r="AP250" s="696" t="b">
        <f>IF(AR250&lt;=3,(IF((G250="5/24"),((база!$M$6*2*Таблица1[[#This Row],[Столбец1]]*Таблица1[[#This Row],[коэф]])),
IF((G250="4/24"),((база!$M$5*2*Таблица1[[#This Row],[Столбец1]]*Таблица1[[#This Row],[коэф]])),
IF((G250="3/24"),((база!$M$4*2*Таблица1[[#This Row],[Столбец1]]*Таблица1[[#This Row],[коэф]])),
IF((G250="5/16"),((база!$L$6*2*Таблица1[[#This Row],[Столбец1]]*Таблица1[[#This Row],[коэф]])),
IF((G250="4/16"),((база!$L$5*2*Таблица1[[#This Row],[Столбец1]]*Таблица1[[#This Row],[коэф]])),
IF((G250="3/16"),((база!$L$4*2*Таблица1[[#This Row],[Столбец1]]*Таблица1[[#This Row],[коэф]])),
IF((G250="4/4"),((база!$I$5*2*Таблица1[[#This Row],[Столбец1]]*Таблица1[[#This Row],[коэф]])),
IF(OR(G250="2/4",G250="3/4"),((база!$I$4*2*Таблица1[[#This Row],[Столбец1]]*Таблица1[[#This Row],[коэф]])),
IF((G250="5/8"),((база!$J$6*2*Таблица1[[#This Row],[Столбец1]]*Таблица1[[#This Row],[коэф]])),
IF((G250="4/8"),((база!$J$5*2*Таблица1[[#This Row],[Столбец1]]*Таблица1[[#This Row],[коэф]])),
IF(OR(G250="3/8",G250="2/8"),((база!$J$4*2*Таблица1[[#This Row],[Столбец1]]*Таблица1[[#This Row],[коэф]])))))))))))))),
(IF((G250="5/24"),((база!$M$6*2*Таблица1[[#This Row],[Столбец1]]*Таблица1[[#This Row],[коэф]])),
IF(OR(G250="4/24",G250="3/24"),((база!$M$5*2*Таблица1[[#This Row],[Столбец1]]*Таблица1[[#This Row],[коэф]])),
IF((G250="5/16"),((база!$L$6*2*Таблица1[[#This Row],[Столбец1]]*Таблица1[[#This Row],[коэф]])),
IF(OR(G250="4/16",G250="3/16"),((база!$L$5*2*Таблица1[[#This Row],[Столбец1]]*Таблица1[[#This Row],[коэф]])),
IF(OR(G250="2/4",G250="3/4",G250="4/4"),((база!$I$5*2*Таблица1[[#This Row],[Столбец1]]*Таблица1[[#This Row],[коэф]])),
IF((G250="5/8"),((база!$J$6*2*Таблица1[[#This Row],[Столбец1]]*Таблица1[[#This Row],[коэф]])),
IF(OR(G250="4/8",G250="3/8",G250="2/8"),((база!$J$5*2*Таблица1[[#This Row],[Столбец1]]*Таблица1[[#This Row],[коэф]])))))))))))</f>
        <v>0</v>
      </c>
      <c r="AQ250" s="678" t="str">
        <f>IFERROR(INDEX(база!T:T, MATCH(F250,база!Q:Q,0)),"")</f>
        <v/>
      </c>
      <c r="AR250" s="193">
        <f>IFERROR(INDEX(база!D:D, MATCH(F250,база!B:B,0)),"")</f>
        <v>0</v>
      </c>
    </row>
    <row r="251" spans="1:44" ht="15">
      <c r="A251" s="59"/>
      <c r="B251" s="215"/>
      <c r="C251" s="54"/>
      <c r="D251" s="55"/>
      <c r="E251" s="196"/>
      <c r="F251" s="651"/>
      <c r="G251" s="42"/>
      <c r="H251" s="539"/>
      <c r="I251" s="539"/>
      <c r="J251" s="539"/>
      <c r="K251" s="539"/>
      <c r="L251" s="539"/>
      <c r="M251" s="539"/>
      <c r="N251" s="539"/>
      <c r="O251" s="539"/>
      <c r="P251" s="539"/>
      <c r="Q251" s="539"/>
      <c r="R251" s="539"/>
      <c r="S251" s="539"/>
      <c r="T251" s="539"/>
      <c r="U251" s="539"/>
      <c r="V251" s="539"/>
      <c r="W251" s="539"/>
      <c r="X251" s="539"/>
      <c r="Y251" s="539"/>
      <c r="Z251" s="539"/>
      <c r="AA251" s="539"/>
      <c r="AB251" s="539"/>
      <c r="AC251" s="539"/>
      <c r="AD251" s="43"/>
      <c r="AE251" s="43"/>
      <c r="AF251" s="238"/>
      <c r="AG251" s="43"/>
      <c r="AH251" s="43"/>
      <c r="AI251" s="238"/>
      <c r="AJ251" s="238"/>
      <c r="AK251" s="238"/>
      <c r="AL251" s="238"/>
      <c r="AM251" s="197">
        <f>IF(AQ251=1,SUM(H251:I251,L251:O251,R251:U251,X251:AA251,AD251:AG251,AI251:AK251),
IF(AQ251=2,SUM(H251:K251,N251:Q251,T251:W251,Z251:AC251,AF251:AI251),
IF(AQ251=3,SUM(J251:M251,P251:S251,V251:Y251,AB251:AE251,AH251:AK251),SUM(Таблица1[[#This Row],[1]:[31]])-Таблица1[[#This Row],[Столбец1]])))</f>
        <v>0</v>
      </c>
      <c r="AN251" s="269">
        <f t="array" ref="AN251">IF(AQ251=1,SUM(J251:K251,P251:Q251,V251:W251,AB251:AC251,AH251:AI251),
IF(AQ251=2,SUM(L251:M251,R251:S251,X251:Y251,AD251:AE251),
IF(AQ251=3,SUM(H251:I251,N251:O251,T251:U251,Z251:AA251,AF251:AG251),
SUM(IFERROR(WEEKDAY($H$2:$AL$2,2)&gt;5,)*H251:AL251))))</f>
        <v>0</v>
      </c>
      <c r="AO251" s="271" t="b">
        <f>IF(AR251&lt;=3,(IF((G251="5/24"),((база!$M$6*Таблица1[[#This Row],[сумма]]*Таблица1[[#This Row],[коэф]])),
IF((G251="4/24"),((база!$M$5*Таблица1[[#This Row],[сумма]]*Таблица1[[#This Row],[коэф]])),
IF((G251="3/24"),((база!$M$4*Таблица1[[#This Row],[сумма]]*Таблица1[[#This Row],[коэф]])),
IF((G251="5/16"),((база!$L$6*Таблица1[[#This Row],[сумма]]*Таблица1[[#This Row],[коэф]])),
IF((G251="4/16"),((база!$L$5*Таблица1[[#This Row],[сумма]]*Таблица1[[#This Row],[коэф]])),
IF((G251="3/16"),((база!$L$4*Таблица1[[#This Row],[сумма]]*Таблица1[[#This Row],[коэф]])),
IF((G251="4/4"),((база!$I$5*Таблица1[[#This Row],[сумма]]*Таблица1[[#This Row],[коэф]])),
IF(OR(G251="2/4",G251="3/4"),((база!$I$4*Таблица1[[#This Row],[сумма]]*Таблица1[[#This Row],[коэф]])),
IF((G251="5/8"),((база!$J$6*Таблица1[[#This Row],[сумма]]*Таблица1[[#This Row],[коэф]])),
IF((G251="4/8"),((база!$J$5*Таблица1[[#This Row],[сумма]]*Таблица1[[#This Row],[коэф]])),
IF(OR(G251="3/8",G251="2/8"),((база!$J$4*Таблица1[[#This Row],[сумма]]*Таблица1[[#This Row],[коэф]])))))))))))))),
(IF((G251="5/24"),((база!$M$6*Таблица1[[#This Row],[сумма]]*Таблица1[[#This Row],[коэф]])),
IF(OR(G251="4/24",G251="3/24"),((база!$M$5*Таблица1[[#This Row],[сумма]]*Таблица1[[#This Row],[коэф]])),
IF((G251="5/16"),((база!$L$6*Таблица1[[#This Row],[сумма]]*Таблица1[[#This Row],[коэф]])),
IF(OR(G251="4/16",G251="3/16"),((база!$L$5*Таблица1[[#This Row],[сумма]]*Таблица1[[#This Row],[коэф]])),
IF(OR(G251="2/4",G251="3/4",G251="4/4"),((база!$I$5*Таблица1[[#This Row],[сумма]]*Таблица1[[#This Row],[коэф]])),
IF((G251="5/8"),((база!$J$6*Таблица1[[#This Row],[сумма]]*Таблица1[[#This Row],[коэф]])),
IF(OR(G251="4/8",G251="3/8",G251="2/8"),((база!$J$5*Таблица1[[#This Row],[сумма]]*Таблица1[[#This Row],[коэф]])))))))))))</f>
        <v>0</v>
      </c>
      <c r="AP251" s="696" t="b">
        <f>IF(AR251&lt;=3,(IF((G251="5/24"),((база!$M$6*2*Таблица1[[#This Row],[Столбец1]]*Таблица1[[#This Row],[коэф]])),
IF((G251="4/24"),((база!$M$5*2*Таблица1[[#This Row],[Столбец1]]*Таблица1[[#This Row],[коэф]])),
IF((G251="3/24"),((база!$M$4*2*Таблица1[[#This Row],[Столбец1]]*Таблица1[[#This Row],[коэф]])),
IF((G251="5/16"),((база!$L$6*2*Таблица1[[#This Row],[Столбец1]]*Таблица1[[#This Row],[коэф]])),
IF((G251="4/16"),((база!$L$5*2*Таблица1[[#This Row],[Столбец1]]*Таблица1[[#This Row],[коэф]])),
IF((G251="3/16"),((база!$L$4*2*Таблица1[[#This Row],[Столбец1]]*Таблица1[[#This Row],[коэф]])),
IF((G251="4/4"),((база!$I$5*2*Таблица1[[#This Row],[Столбец1]]*Таблица1[[#This Row],[коэф]])),
IF(OR(G251="2/4",G251="3/4"),((база!$I$4*2*Таблица1[[#This Row],[Столбец1]]*Таблица1[[#This Row],[коэф]])),
IF((G251="5/8"),((база!$J$6*2*Таблица1[[#This Row],[Столбец1]]*Таблица1[[#This Row],[коэф]])),
IF((G251="4/8"),((база!$J$5*2*Таблица1[[#This Row],[Столбец1]]*Таблица1[[#This Row],[коэф]])),
IF(OR(G251="3/8",G251="2/8"),((база!$J$4*2*Таблица1[[#This Row],[Столбец1]]*Таблица1[[#This Row],[коэф]])))))))))))))),
(IF((G251="5/24"),((база!$M$6*2*Таблица1[[#This Row],[Столбец1]]*Таблица1[[#This Row],[коэф]])),
IF(OR(G251="4/24",G251="3/24"),((база!$M$5*2*Таблица1[[#This Row],[Столбец1]]*Таблица1[[#This Row],[коэф]])),
IF((G251="5/16"),((база!$L$6*2*Таблица1[[#This Row],[Столбец1]]*Таблица1[[#This Row],[коэф]])),
IF(OR(G251="4/16",G251="3/16"),((база!$L$5*2*Таблица1[[#This Row],[Столбец1]]*Таблица1[[#This Row],[коэф]])),
IF(OR(G251="2/4",G251="3/4",G251="4/4"),((база!$I$5*2*Таблица1[[#This Row],[Столбец1]]*Таблица1[[#This Row],[коэф]])),
IF((G251="5/8"),((база!$J$6*2*Таблица1[[#This Row],[Столбец1]]*Таблица1[[#This Row],[коэф]])),
IF(OR(G251="4/8",G251="3/8",G251="2/8"),((база!$J$5*2*Таблица1[[#This Row],[Столбец1]]*Таблица1[[#This Row],[коэф]])))))))))))</f>
        <v>0</v>
      </c>
      <c r="AQ251" s="678" t="str">
        <f>IFERROR(INDEX(база!T:T, MATCH(F251,база!Q:Q,0)),"")</f>
        <v/>
      </c>
      <c r="AR251" s="193">
        <f>IFERROR(INDEX(база!D:D, MATCH(F251,база!B:B,0)),"")</f>
        <v>0</v>
      </c>
    </row>
    <row r="252" spans="1:44" ht="15">
      <c r="A252" s="59"/>
      <c r="B252" s="215"/>
      <c r="C252" s="54"/>
      <c r="D252" s="55"/>
      <c r="E252" s="196"/>
      <c r="F252" s="651"/>
      <c r="G252" s="42"/>
      <c r="H252" s="539"/>
      <c r="I252" s="539"/>
      <c r="J252" s="539"/>
      <c r="K252" s="539"/>
      <c r="L252" s="539"/>
      <c r="M252" s="539"/>
      <c r="N252" s="539"/>
      <c r="O252" s="539"/>
      <c r="P252" s="278"/>
      <c r="Q252" s="539"/>
      <c r="R252" s="539"/>
      <c r="S252" s="539"/>
      <c r="T252" s="539"/>
      <c r="U252" s="539"/>
      <c r="V252" s="539"/>
      <c r="W252" s="539"/>
      <c r="X252" s="539"/>
      <c r="Y252" s="539"/>
      <c r="Z252" s="539"/>
      <c r="AA252" s="539"/>
      <c r="AB252" s="539"/>
      <c r="AC252" s="539"/>
      <c r="AD252" s="43"/>
      <c r="AE252" s="43"/>
      <c r="AF252" s="238"/>
      <c r="AG252" s="43"/>
      <c r="AH252" s="43"/>
      <c r="AI252" s="43"/>
      <c r="AJ252" s="43"/>
      <c r="AK252" s="43"/>
      <c r="AL252" s="45"/>
      <c r="AM252" s="197">
        <f>IF(AQ252=1,SUM(H252:I252,L252:O252,R252:U252,X252:AA252,AD252:AG252,AI252:AK252),
IF(AQ252=2,SUM(H252:K252,N252:Q252,T252:W252,Z252:AC252,AF252:AI252),
IF(AQ252=3,SUM(J252:M252,P252:S252,V252:Y252,AB252:AE252,AH252:AK252),SUM(Таблица1[[#This Row],[1]:[31]])-Таблица1[[#This Row],[Столбец1]])))</f>
        <v>0</v>
      </c>
      <c r="AN252" s="269">
        <f t="array" ref="AN252">IF(AQ252=1,SUM(J252:K252,P252:Q252,V252:W252,AB252:AC252,AH252:AI252),
IF(AQ252=2,SUM(L252:M252,R252:S252,X252:Y252,AD252:AE252),
IF(AQ252=3,SUM(H252:I252,N252:O252,T252:U252,Z252:AA252,AF252:AG252),
SUM(IFERROR(WEEKDAY($H$2:$AL$2,2)&gt;5,)*H252:AL252))))</f>
        <v>0</v>
      </c>
      <c r="AO252" s="271" t="b">
        <f>IF(AR252&lt;=3,(IF((G252="5/24"),((база!$M$6*Таблица1[[#This Row],[сумма]]*Таблица1[[#This Row],[коэф]])),
IF((G252="4/24"),((база!$M$5*Таблица1[[#This Row],[сумма]]*Таблица1[[#This Row],[коэф]])),
IF((G252="3/24"),((база!$M$4*Таблица1[[#This Row],[сумма]]*Таблица1[[#This Row],[коэф]])),
IF((G252="5/16"),((база!$L$6*Таблица1[[#This Row],[сумма]]*Таблица1[[#This Row],[коэф]])),
IF((G252="4/16"),((база!$L$5*Таблица1[[#This Row],[сумма]]*Таблица1[[#This Row],[коэф]])),
IF((G252="3/16"),((база!$L$4*Таблица1[[#This Row],[сумма]]*Таблица1[[#This Row],[коэф]])),
IF((G252="4/4"),((база!$I$5*Таблица1[[#This Row],[сумма]]*Таблица1[[#This Row],[коэф]])),
IF(OR(G252="2/4",G252="3/4"),((база!$I$4*Таблица1[[#This Row],[сумма]]*Таблица1[[#This Row],[коэф]])),
IF((G252="5/8"),((база!$J$6*Таблица1[[#This Row],[сумма]]*Таблица1[[#This Row],[коэф]])),
IF((G252="4/8"),((база!$J$5*Таблица1[[#This Row],[сумма]]*Таблица1[[#This Row],[коэф]])),
IF(OR(G252="3/8",G252="2/8"),((база!$J$4*Таблица1[[#This Row],[сумма]]*Таблица1[[#This Row],[коэф]])))))))))))))),
(IF((G252="5/24"),((база!$M$6*Таблица1[[#This Row],[сумма]]*Таблица1[[#This Row],[коэф]])),
IF(OR(G252="4/24",G252="3/24"),((база!$M$5*Таблица1[[#This Row],[сумма]]*Таблица1[[#This Row],[коэф]])),
IF((G252="5/16"),((база!$L$6*Таблица1[[#This Row],[сумма]]*Таблица1[[#This Row],[коэф]])),
IF(OR(G252="4/16",G252="3/16"),((база!$L$5*Таблица1[[#This Row],[сумма]]*Таблица1[[#This Row],[коэф]])),
IF(OR(G252="2/4",G252="3/4",G252="4/4"),((база!$I$5*Таблица1[[#This Row],[сумма]]*Таблица1[[#This Row],[коэф]])),
IF((G252="5/8"),((база!$J$6*Таблица1[[#This Row],[сумма]]*Таблица1[[#This Row],[коэф]])),
IF(OR(G252="4/8",G252="3/8",G252="2/8"),((база!$J$5*Таблица1[[#This Row],[сумма]]*Таблица1[[#This Row],[коэф]])))))))))))</f>
        <v>0</v>
      </c>
      <c r="AP252" s="696" t="b">
        <f>IF(AR252&lt;=3,(IF((G252="5/24"),((база!$M$6*2*Таблица1[[#This Row],[Столбец1]]*Таблица1[[#This Row],[коэф]])),
IF((G252="4/24"),((база!$M$5*2*Таблица1[[#This Row],[Столбец1]]*Таблица1[[#This Row],[коэф]])),
IF((G252="3/24"),((база!$M$4*2*Таблица1[[#This Row],[Столбец1]]*Таблица1[[#This Row],[коэф]])),
IF((G252="5/16"),((база!$L$6*2*Таблица1[[#This Row],[Столбец1]]*Таблица1[[#This Row],[коэф]])),
IF((G252="4/16"),((база!$L$5*2*Таблица1[[#This Row],[Столбец1]]*Таблица1[[#This Row],[коэф]])),
IF((G252="3/16"),((база!$L$4*2*Таблица1[[#This Row],[Столбец1]]*Таблица1[[#This Row],[коэф]])),
IF((G252="4/4"),((база!$I$5*2*Таблица1[[#This Row],[Столбец1]]*Таблица1[[#This Row],[коэф]])),
IF(OR(G252="2/4",G252="3/4"),((база!$I$4*2*Таблица1[[#This Row],[Столбец1]]*Таблица1[[#This Row],[коэф]])),
IF((G252="5/8"),((база!$J$6*2*Таблица1[[#This Row],[Столбец1]]*Таблица1[[#This Row],[коэф]])),
IF((G252="4/8"),((база!$J$5*2*Таблица1[[#This Row],[Столбец1]]*Таблица1[[#This Row],[коэф]])),
IF(OR(G252="3/8",G252="2/8"),((база!$J$4*2*Таблица1[[#This Row],[Столбец1]]*Таблица1[[#This Row],[коэф]])))))))))))))),
(IF((G252="5/24"),((база!$M$6*2*Таблица1[[#This Row],[Столбец1]]*Таблица1[[#This Row],[коэф]])),
IF(OR(G252="4/24",G252="3/24"),((база!$M$5*2*Таблица1[[#This Row],[Столбец1]]*Таблица1[[#This Row],[коэф]])),
IF((G252="5/16"),((база!$L$6*2*Таблица1[[#This Row],[Столбец1]]*Таблица1[[#This Row],[коэф]])),
IF(OR(G252="4/16",G252="3/16"),((база!$L$5*2*Таблица1[[#This Row],[Столбец1]]*Таблица1[[#This Row],[коэф]])),
IF(OR(G252="2/4",G252="3/4",G252="4/4"),((база!$I$5*2*Таблица1[[#This Row],[Столбец1]]*Таблица1[[#This Row],[коэф]])),
IF((G252="5/8"),((база!$J$6*2*Таблица1[[#This Row],[Столбец1]]*Таблица1[[#This Row],[коэф]])),
IF(OR(G252="4/8",G252="3/8",G252="2/8"),((база!$J$5*2*Таблица1[[#This Row],[Столбец1]]*Таблица1[[#This Row],[коэф]])))))))))))</f>
        <v>0</v>
      </c>
      <c r="AQ252" s="678" t="str">
        <f>IFERROR(INDEX(база!T:T, MATCH(F252,база!Q:Q,0)),"")</f>
        <v/>
      </c>
      <c r="AR252" s="193">
        <f>IFERROR(INDEX(база!D:D, MATCH(F252,база!B:B,0)),"")</f>
        <v>0</v>
      </c>
    </row>
    <row r="253" spans="1:44" ht="15">
      <c r="A253" s="59"/>
      <c r="B253" s="215"/>
      <c r="C253" s="54"/>
      <c r="D253" s="55"/>
      <c r="E253" s="196"/>
      <c r="F253" s="651"/>
      <c r="G253" s="42"/>
      <c r="H253" s="539"/>
      <c r="I253" s="539"/>
      <c r="J253" s="539"/>
      <c r="K253" s="539"/>
      <c r="L253" s="539"/>
      <c r="M253" s="539"/>
      <c r="N253" s="539"/>
      <c r="O253" s="539"/>
      <c r="P253" s="278"/>
      <c r="Q253" s="539"/>
      <c r="R253" s="539"/>
      <c r="S253" s="539"/>
      <c r="T253" s="539"/>
      <c r="U253" s="539"/>
      <c r="V253" s="539"/>
      <c r="W253" s="539"/>
      <c r="X253" s="539"/>
      <c r="Y253" s="539"/>
      <c r="Z253" s="539"/>
      <c r="AA253" s="539"/>
      <c r="AB253" s="539"/>
      <c r="AC253" s="539"/>
      <c r="AD253" s="43"/>
      <c r="AE253" s="43"/>
      <c r="AF253" s="238"/>
      <c r="AG253" s="43"/>
      <c r="AH253" s="43"/>
      <c r="AI253" s="238"/>
      <c r="AJ253" s="238"/>
      <c r="AK253" s="238"/>
      <c r="AL253" s="238"/>
      <c r="AM253" s="197">
        <f>IF(AQ253=1,SUM(H253:I253,L253:O253,R253:U253,X253:AA253,AD253:AG253,AI253:AK253),
IF(AQ253=2,SUM(H253:K253,N253:Q253,T253:W253,Z253:AC253,AF253:AI253),
IF(AQ253=3,SUM(J253:M253,P253:S253,V253:Y253,AB253:AE253,AH253:AK253),SUM(Таблица1[[#This Row],[1]:[31]])-Таблица1[[#This Row],[Столбец1]])))</f>
        <v>0</v>
      </c>
      <c r="AN253" s="269">
        <f t="array" ref="AN253">IF(AQ253=1,SUM(J253:K253,P253:Q253,V253:W253,AB253:AC253,AH253:AI253),
IF(AQ253=2,SUM(L253:M253,R253:S253,X253:Y253,AD253:AE253),
IF(AQ253=3,SUM(H253:I253,N253:O253,T253:U253,Z253:AA253,AF253:AG253),
SUM(IFERROR(WEEKDAY($H$2:$AL$2,2)&gt;5,)*H253:AL253))))</f>
        <v>0</v>
      </c>
      <c r="AO253" s="271" t="b">
        <f>IF(AR253&lt;=3,(IF((G253="5/24"),((база!$M$6*Таблица1[[#This Row],[сумма]]*Таблица1[[#This Row],[коэф]])),
IF((G253="4/24"),((база!$M$5*Таблица1[[#This Row],[сумма]]*Таблица1[[#This Row],[коэф]])),
IF((G253="3/24"),((база!$M$4*Таблица1[[#This Row],[сумма]]*Таблица1[[#This Row],[коэф]])),
IF((G253="5/16"),((база!$L$6*Таблица1[[#This Row],[сумма]]*Таблица1[[#This Row],[коэф]])),
IF((G253="4/16"),((база!$L$5*Таблица1[[#This Row],[сумма]]*Таблица1[[#This Row],[коэф]])),
IF((G253="3/16"),((база!$L$4*Таблица1[[#This Row],[сумма]]*Таблица1[[#This Row],[коэф]])),
IF((G253="4/4"),((база!$I$5*Таблица1[[#This Row],[сумма]]*Таблица1[[#This Row],[коэф]])),
IF(OR(G253="2/4",G253="3/4"),((база!$I$4*Таблица1[[#This Row],[сумма]]*Таблица1[[#This Row],[коэф]])),
IF((G253="5/8"),((база!$J$6*Таблица1[[#This Row],[сумма]]*Таблица1[[#This Row],[коэф]])),
IF((G253="4/8"),((база!$J$5*Таблица1[[#This Row],[сумма]]*Таблица1[[#This Row],[коэф]])),
IF(OR(G253="3/8",G253="2/8"),((база!$J$4*Таблица1[[#This Row],[сумма]]*Таблица1[[#This Row],[коэф]])))))))))))))),
(IF((G253="5/24"),((база!$M$6*Таблица1[[#This Row],[сумма]]*Таблица1[[#This Row],[коэф]])),
IF(OR(G253="4/24",G253="3/24"),((база!$M$5*Таблица1[[#This Row],[сумма]]*Таблица1[[#This Row],[коэф]])),
IF((G253="5/16"),((база!$L$6*Таблица1[[#This Row],[сумма]]*Таблица1[[#This Row],[коэф]])),
IF(OR(G253="4/16",G253="3/16"),((база!$L$5*Таблица1[[#This Row],[сумма]]*Таблица1[[#This Row],[коэф]])),
IF(OR(G253="2/4",G253="3/4",G253="4/4"),((база!$I$5*Таблица1[[#This Row],[сумма]]*Таблица1[[#This Row],[коэф]])),
IF((G253="5/8"),((база!$J$6*Таблица1[[#This Row],[сумма]]*Таблица1[[#This Row],[коэф]])),
IF(OR(G253="4/8",G253="3/8",G253="2/8"),((база!$J$5*Таблица1[[#This Row],[сумма]]*Таблица1[[#This Row],[коэф]])))))))))))</f>
        <v>0</v>
      </c>
      <c r="AP253" s="696" t="b">
        <f>IF(AR253&lt;=3,(IF((G253="5/24"),((база!$M$6*2*Таблица1[[#This Row],[Столбец1]]*Таблица1[[#This Row],[коэф]])),
IF((G253="4/24"),((база!$M$5*2*Таблица1[[#This Row],[Столбец1]]*Таблица1[[#This Row],[коэф]])),
IF((G253="3/24"),((база!$M$4*2*Таблица1[[#This Row],[Столбец1]]*Таблица1[[#This Row],[коэф]])),
IF((G253="5/16"),((база!$L$6*2*Таблица1[[#This Row],[Столбец1]]*Таблица1[[#This Row],[коэф]])),
IF((G253="4/16"),((база!$L$5*2*Таблица1[[#This Row],[Столбец1]]*Таблица1[[#This Row],[коэф]])),
IF((G253="3/16"),((база!$L$4*2*Таблица1[[#This Row],[Столбец1]]*Таблица1[[#This Row],[коэф]])),
IF((G253="4/4"),((база!$I$5*2*Таблица1[[#This Row],[Столбец1]]*Таблица1[[#This Row],[коэф]])),
IF(OR(G253="2/4",G253="3/4"),((база!$I$4*2*Таблица1[[#This Row],[Столбец1]]*Таблица1[[#This Row],[коэф]])),
IF((G253="5/8"),((база!$J$6*2*Таблица1[[#This Row],[Столбец1]]*Таблица1[[#This Row],[коэф]])),
IF((G253="4/8"),((база!$J$5*2*Таблица1[[#This Row],[Столбец1]]*Таблица1[[#This Row],[коэф]])),
IF(OR(G253="3/8",G253="2/8"),((база!$J$4*2*Таблица1[[#This Row],[Столбец1]]*Таблица1[[#This Row],[коэф]])))))))))))))),
(IF((G253="5/24"),((база!$M$6*2*Таблица1[[#This Row],[Столбец1]]*Таблица1[[#This Row],[коэф]])),
IF(OR(G253="4/24",G253="3/24"),((база!$M$5*2*Таблица1[[#This Row],[Столбец1]]*Таблица1[[#This Row],[коэф]])),
IF((G253="5/16"),((база!$L$6*2*Таблица1[[#This Row],[Столбец1]]*Таблица1[[#This Row],[коэф]])),
IF(OR(G253="4/16",G253="3/16"),((база!$L$5*2*Таблица1[[#This Row],[Столбец1]]*Таблица1[[#This Row],[коэф]])),
IF(OR(G253="2/4",G253="3/4",G253="4/4"),((база!$I$5*2*Таблица1[[#This Row],[Столбец1]]*Таблица1[[#This Row],[коэф]])),
IF((G253="5/8"),((база!$J$6*2*Таблица1[[#This Row],[Столбец1]]*Таблица1[[#This Row],[коэф]])),
IF(OR(G253="4/8",G253="3/8",G253="2/8"),((база!$J$5*2*Таблица1[[#This Row],[Столбец1]]*Таблица1[[#This Row],[коэф]])))))))))))</f>
        <v>0</v>
      </c>
      <c r="AQ253" s="678" t="str">
        <f>IFERROR(INDEX(база!T:T, MATCH(F253,база!Q:Q,0)),"")</f>
        <v/>
      </c>
      <c r="AR253" s="193">
        <f>IFERROR(INDEX(база!D:D, MATCH(F253,база!B:B,0)),"")</f>
        <v>0</v>
      </c>
    </row>
    <row r="254" spans="1:44" ht="15">
      <c r="A254" s="59"/>
      <c r="B254" s="215"/>
      <c r="C254" s="277"/>
      <c r="D254" s="55"/>
      <c r="E254" s="196"/>
      <c r="F254" s="651"/>
      <c r="G254" s="42"/>
      <c r="H254" s="539"/>
      <c r="I254" s="539"/>
      <c r="J254" s="539"/>
      <c r="K254" s="539"/>
      <c r="L254" s="539"/>
      <c r="M254" s="539"/>
      <c r="N254" s="539"/>
      <c r="O254" s="539"/>
      <c r="P254" s="278"/>
      <c r="Q254" s="539"/>
      <c r="R254" s="539"/>
      <c r="S254" s="539"/>
      <c r="T254" s="539"/>
      <c r="U254" s="539"/>
      <c r="V254" s="539"/>
      <c r="W254" s="539"/>
      <c r="X254" s="539"/>
      <c r="Y254" s="539"/>
      <c r="Z254" s="539"/>
      <c r="AA254" s="539"/>
      <c r="AB254" s="539"/>
      <c r="AC254" s="539"/>
      <c r="AD254" s="238"/>
      <c r="AE254" s="43"/>
      <c r="AF254" s="238"/>
      <c r="AG254" s="43"/>
      <c r="AH254" s="43"/>
      <c r="AI254" s="43"/>
      <c r="AJ254" s="43"/>
      <c r="AK254" s="43"/>
      <c r="AL254" s="45"/>
      <c r="AM254" s="197">
        <f>IF(AQ254=1,SUM(H254:I254,L254:O254,R254:U254,X254:AA254,AD254:AG254,AI254:AK254),
IF(AQ254=2,SUM(H254:K254,N254:Q254,T254:W254,Z254:AC254,AF254:AI254),
IF(AQ254=3,SUM(J254:M254,P254:S254,V254:Y254,AB254:AE254,AH254:AK254),SUM(Таблица1[[#This Row],[1]:[31]])-Таблица1[[#This Row],[Столбец1]])))</f>
        <v>0</v>
      </c>
      <c r="AN254" s="269">
        <f t="array" ref="AN254">IF(AQ254=1,SUM(J254:K254,P254:Q254,V254:W254,AB254:AC254,AH254:AI254),
IF(AQ254=2,SUM(L254:M254,R254:S254,X254:Y254,AD254:AE254),
IF(AQ254=3,SUM(H254:I254,N254:O254,T254:U254,Z254:AA254,AF254:AG254),
SUM(IFERROR(WEEKDAY($H$2:$AL$2,2)&gt;5,)*H254:AL254))))</f>
        <v>0</v>
      </c>
      <c r="AO254" s="271" t="b">
        <f>IF(AR254&lt;=3,(IF((G254="5/24"),((база!$M$6*Таблица1[[#This Row],[сумма]]*Таблица1[[#This Row],[коэф]])),
IF((G254="4/24"),((база!$M$5*Таблица1[[#This Row],[сумма]]*Таблица1[[#This Row],[коэф]])),
IF((G254="3/24"),((база!$M$4*Таблица1[[#This Row],[сумма]]*Таблица1[[#This Row],[коэф]])),
IF((G254="5/16"),((база!$L$6*Таблица1[[#This Row],[сумма]]*Таблица1[[#This Row],[коэф]])),
IF((G254="4/16"),((база!$L$5*Таблица1[[#This Row],[сумма]]*Таблица1[[#This Row],[коэф]])),
IF((G254="3/16"),((база!$L$4*Таблица1[[#This Row],[сумма]]*Таблица1[[#This Row],[коэф]])),
IF((G254="4/4"),((база!$I$5*Таблица1[[#This Row],[сумма]]*Таблица1[[#This Row],[коэф]])),
IF(OR(G254="2/4",G254="3/4"),((база!$I$4*Таблица1[[#This Row],[сумма]]*Таблица1[[#This Row],[коэф]])),
IF((G254="5/8"),((база!$J$6*Таблица1[[#This Row],[сумма]]*Таблица1[[#This Row],[коэф]])),
IF((G254="4/8"),((база!$J$5*Таблица1[[#This Row],[сумма]]*Таблица1[[#This Row],[коэф]])),
IF(OR(G254="3/8",G254="2/8"),((база!$J$4*Таблица1[[#This Row],[сумма]]*Таблица1[[#This Row],[коэф]])))))))))))))),
(IF((G254="5/24"),((база!$M$6*Таблица1[[#This Row],[сумма]]*Таблица1[[#This Row],[коэф]])),
IF(OR(G254="4/24",G254="3/24"),((база!$M$5*Таблица1[[#This Row],[сумма]]*Таблица1[[#This Row],[коэф]])),
IF((G254="5/16"),((база!$L$6*Таблица1[[#This Row],[сумма]]*Таблица1[[#This Row],[коэф]])),
IF(OR(G254="4/16",G254="3/16"),((база!$L$5*Таблица1[[#This Row],[сумма]]*Таблица1[[#This Row],[коэф]])),
IF(OR(G254="2/4",G254="3/4",G254="4/4"),((база!$I$5*Таблица1[[#This Row],[сумма]]*Таблица1[[#This Row],[коэф]])),
IF((G254="5/8"),((база!$J$6*Таблица1[[#This Row],[сумма]]*Таблица1[[#This Row],[коэф]])),
IF(OR(G254="4/8",G254="3/8",G254="2/8"),((база!$J$5*Таблица1[[#This Row],[сумма]]*Таблица1[[#This Row],[коэф]])))))))))))</f>
        <v>0</v>
      </c>
      <c r="AP254" s="696" t="b">
        <f>IF(AR254&lt;=3,(IF((G254="5/24"),((база!$M$6*2*Таблица1[[#This Row],[Столбец1]]*Таблица1[[#This Row],[коэф]])),
IF((G254="4/24"),((база!$M$5*2*Таблица1[[#This Row],[Столбец1]]*Таблица1[[#This Row],[коэф]])),
IF((G254="3/24"),((база!$M$4*2*Таблица1[[#This Row],[Столбец1]]*Таблица1[[#This Row],[коэф]])),
IF((G254="5/16"),((база!$L$6*2*Таблица1[[#This Row],[Столбец1]]*Таблица1[[#This Row],[коэф]])),
IF((G254="4/16"),((база!$L$5*2*Таблица1[[#This Row],[Столбец1]]*Таблица1[[#This Row],[коэф]])),
IF((G254="3/16"),((база!$L$4*2*Таблица1[[#This Row],[Столбец1]]*Таблица1[[#This Row],[коэф]])),
IF((G254="4/4"),((база!$I$5*2*Таблица1[[#This Row],[Столбец1]]*Таблица1[[#This Row],[коэф]])),
IF(OR(G254="2/4",G254="3/4"),((база!$I$4*2*Таблица1[[#This Row],[Столбец1]]*Таблица1[[#This Row],[коэф]])),
IF((G254="5/8"),((база!$J$6*2*Таблица1[[#This Row],[Столбец1]]*Таблица1[[#This Row],[коэф]])),
IF((G254="4/8"),((база!$J$5*2*Таблица1[[#This Row],[Столбец1]]*Таблица1[[#This Row],[коэф]])),
IF(OR(G254="3/8",G254="2/8"),((база!$J$4*2*Таблица1[[#This Row],[Столбец1]]*Таблица1[[#This Row],[коэф]])))))))))))))),
(IF((G254="5/24"),((база!$M$6*2*Таблица1[[#This Row],[Столбец1]]*Таблица1[[#This Row],[коэф]])),
IF(OR(G254="4/24",G254="3/24"),((база!$M$5*2*Таблица1[[#This Row],[Столбец1]]*Таблица1[[#This Row],[коэф]])),
IF((G254="5/16"),((база!$L$6*2*Таблица1[[#This Row],[Столбец1]]*Таблица1[[#This Row],[коэф]])),
IF(OR(G254="4/16",G254="3/16"),((база!$L$5*2*Таблица1[[#This Row],[Столбец1]]*Таблица1[[#This Row],[коэф]])),
IF(OR(G254="2/4",G254="3/4",G254="4/4"),((база!$I$5*2*Таблица1[[#This Row],[Столбец1]]*Таблица1[[#This Row],[коэф]])),
IF((G254="5/8"),((база!$J$6*2*Таблица1[[#This Row],[Столбец1]]*Таблица1[[#This Row],[коэф]])),
IF(OR(G254="4/8",G254="3/8",G254="2/8"),((база!$J$5*2*Таблица1[[#This Row],[Столбец1]]*Таблица1[[#This Row],[коэф]])))))))))))</f>
        <v>0</v>
      </c>
      <c r="AQ254" s="678" t="str">
        <f>IFERROR(INDEX(база!T:T, MATCH(F254,база!Q:Q,0)),"")</f>
        <v/>
      </c>
      <c r="AR254" s="193">
        <f>IFERROR(INDEX(база!D:D, MATCH(F254,база!B:B,0)),"")</f>
        <v>0</v>
      </c>
    </row>
    <row r="255" spans="1:44" ht="15">
      <c r="A255" s="59"/>
      <c r="B255" s="215"/>
      <c r="C255" s="54"/>
      <c r="D255" s="55"/>
      <c r="E255" s="196"/>
      <c r="F255" s="651"/>
      <c r="G255" s="42"/>
      <c r="H255" s="539"/>
      <c r="I255" s="539"/>
      <c r="J255" s="539"/>
      <c r="K255" s="539"/>
      <c r="L255" s="539"/>
      <c r="M255" s="539"/>
      <c r="N255" s="539"/>
      <c r="O255" s="539"/>
      <c r="P255" s="278"/>
      <c r="Q255" s="539"/>
      <c r="R255" s="539"/>
      <c r="S255" s="539"/>
      <c r="T255" s="539"/>
      <c r="U255" s="539"/>
      <c r="V255" s="539"/>
      <c r="W255" s="539"/>
      <c r="X255" s="539"/>
      <c r="Y255" s="539"/>
      <c r="Z255" s="539"/>
      <c r="AA255" s="539"/>
      <c r="AB255" s="539"/>
      <c r="AC255" s="539"/>
      <c r="AD255" s="43"/>
      <c r="AE255" s="43"/>
      <c r="AF255" s="238"/>
      <c r="AG255" s="43"/>
      <c r="AH255" s="43"/>
      <c r="AI255" s="238"/>
      <c r="AJ255" s="238"/>
      <c r="AK255" s="238"/>
      <c r="AL255" s="238"/>
      <c r="AM255" s="197">
        <f>IF(AQ255=1,SUM(H255:I255,L255:O255,R255:U255,X255:AA255,AD255:AG255,AI255:AK255),
IF(AQ255=2,SUM(H255:K255,N255:Q255,T255:W255,Z255:AC255,AF255:AI255),
IF(AQ255=3,SUM(J255:M255,P255:S255,V255:Y255,AB255:AE255,AH255:AK255),SUM(Таблица1[[#This Row],[1]:[31]])-Таблица1[[#This Row],[Столбец1]])))</f>
        <v>0</v>
      </c>
      <c r="AN255" s="269">
        <f t="array" ref="AN255">IF(AQ255=1,SUM(J255:K255,P255:Q255,V255:W255,AB255:AC255,AH255:AI255),
IF(AQ255=2,SUM(L255:M255,R255:S255,X255:Y255,AD255:AE255),
IF(AQ255=3,SUM(H255:I255,N255:O255,T255:U255,Z255:AA255,AF255:AG255),
SUM(IFERROR(WEEKDAY($H$2:$AL$2,2)&gt;5,)*H255:AL255))))</f>
        <v>0</v>
      </c>
      <c r="AO255" s="271" t="b">
        <f>IF(AR255&lt;=3,(IF((G255="5/24"),((база!$M$6*Таблица1[[#This Row],[сумма]]*Таблица1[[#This Row],[коэф]])),
IF((G255="4/24"),((база!$M$5*Таблица1[[#This Row],[сумма]]*Таблица1[[#This Row],[коэф]])),
IF((G255="3/24"),((база!$M$4*Таблица1[[#This Row],[сумма]]*Таблица1[[#This Row],[коэф]])),
IF((G255="5/16"),((база!$L$6*Таблица1[[#This Row],[сумма]]*Таблица1[[#This Row],[коэф]])),
IF((G255="4/16"),((база!$L$5*Таблица1[[#This Row],[сумма]]*Таблица1[[#This Row],[коэф]])),
IF((G255="3/16"),((база!$L$4*Таблица1[[#This Row],[сумма]]*Таблица1[[#This Row],[коэф]])),
IF((G255="4/4"),((база!$I$5*Таблица1[[#This Row],[сумма]]*Таблица1[[#This Row],[коэф]])),
IF(OR(G255="2/4",G255="3/4"),((база!$I$4*Таблица1[[#This Row],[сумма]]*Таблица1[[#This Row],[коэф]])),
IF((G255="5/8"),((база!$J$6*Таблица1[[#This Row],[сумма]]*Таблица1[[#This Row],[коэф]])),
IF((G255="4/8"),((база!$J$5*Таблица1[[#This Row],[сумма]]*Таблица1[[#This Row],[коэф]])),
IF(OR(G255="3/8",G255="2/8"),((база!$J$4*Таблица1[[#This Row],[сумма]]*Таблица1[[#This Row],[коэф]])))))))))))))),
(IF((G255="5/24"),((база!$M$6*Таблица1[[#This Row],[сумма]]*Таблица1[[#This Row],[коэф]])),
IF(OR(G255="4/24",G255="3/24"),((база!$M$5*Таблица1[[#This Row],[сумма]]*Таблица1[[#This Row],[коэф]])),
IF((G255="5/16"),((база!$L$6*Таблица1[[#This Row],[сумма]]*Таблица1[[#This Row],[коэф]])),
IF(OR(G255="4/16",G255="3/16"),((база!$L$5*Таблица1[[#This Row],[сумма]]*Таблица1[[#This Row],[коэф]])),
IF(OR(G255="2/4",G255="3/4",G255="4/4"),((база!$I$5*Таблица1[[#This Row],[сумма]]*Таблица1[[#This Row],[коэф]])),
IF((G255="5/8"),((база!$J$6*Таблица1[[#This Row],[сумма]]*Таблица1[[#This Row],[коэф]])),
IF(OR(G255="4/8",G255="3/8",G255="2/8"),((база!$J$5*Таблица1[[#This Row],[сумма]]*Таблица1[[#This Row],[коэф]])))))))))))</f>
        <v>0</v>
      </c>
      <c r="AP255" s="696" t="b">
        <f>IF(AR255&lt;=3,(IF((G255="5/24"),((база!$M$6*2*Таблица1[[#This Row],[Столбец1]]*Таблица1[[#This Row],[коэф]])),
IF((G255="4/24"),((база!$M$5*2*Таблица1[[#This Row],[Столбец1]]*Таблица1[[#This Row],[коэф]])),
IF((G255="3/24"),((база!$M$4*2*Таблица1[[#This Row],[Столбец1]]*Таблица1[[#This Row],[коэф]])),
IF((G255="5/16"),((база!$L$6*2*Таблица1[[#This Row],[Столбец1]]*Таблица1[[#This Row],[коэф]])),
IF((G255="4/16"),((база!$L$5*2*Таблица1[[#This Row],[Столбец1]]*Таблица1[[#This Row],[коэф]])),
IF((G255="3/16"),((база!$L$4*2*Таблица1[[#This Row],[Столбец1]]*Таблица1[[#This Row],[коэф]])),
IF((G255="4/4"),((база!$I$5*2*Таблица1[[#This Row],[Столбец1]]*Таблица1[[#This Row],[коэф]])),
IF(OR(G255="2/4",G255="3/4"),((база!$I$4*2*Таблица1[[#This Row],[Столбец1]]*Таблица1[[#This Row],[коэф]])),
IF((G255="5/8"),((база!$J$6*2*Таблица1[[#This Row],[Столбец1]]*Таблица1[[#This Row],[коэф]])),
IF((G255="4/8"),((база!$J$5*2*Таблица1[[#This Row],[Столбец1]]*Таблица1[[#This Row],[коэф]])),
IF(OR(G255="3/8",G255="2/8"),((база!$J$4*2*Таблица1[[#This Row],[Столбец1]]*Таблица1[[#This Row],[коэф]])))))))))))))),
(IF((G255="5/24"),((база!$M$6*2*Таблица1[[#This Row],[Столбец1]]*Таблица1[[#This Row],[коэф]])),
IF(OR(G255="4/24",G255="3/24"),((база!$M$5*2*Таблица1[[#This Row],[Столбец1]]*Таблица1[[#This Row],[коэф]])),
IF((G255="5/16"),((база!$L$6*2*Таблица1[[#This Row],[Столбец1]]*Таблица1[[#This Row],[коэф]])),
IF(OR(G255="4/16",G255="3/16"),((база!$L$5*2*Таблица1[[#This Row],[Столбец1]]*Таблица1[[#This Row],[коэф]])),
IF(OR(G255="2/4",G255="3/4",G255="4/4"),((база!$I$5*2*Таблица1[[#This Row],[Столбец1]]*Таблица1[[#This Row],[коэф]])),
IF((G255="5/8"),((база!$J$6*2*Таблица1[[#This Row],[Столбец1]]*Таблица1[[#This Row],[коэф]])),
IF(OR(G255="4/8",G255="3/8",G255="2/8"),((база!$J$5*2*Таблица1[[#This Row],[Столбец1]]*Таблица1[[#This Row],[коэф]])))))))))))</f>
        <v>0</v>
      </c>
      <c r="AQ255" s="678" t="str">
        <f>IFERROR(INDEX(база!T:T, MATCH(F255,база!Q:Q,0)),"")</f>
        <v/>
      </c>
      <c r="AR255" s="193">
        <f>IFERROR(INDEX(база!D:D, MATCH(F255,база!B:B,0)),"")</f>
        <v>0</v>
      </c>
    </row>
    <row r="256" spans="1:44" ht="15">
      <c r="A256" s="59"/>
      <c r="B256" s="215"/>
      <c r="C256" s="54"/>
      <c r="D256" s="55"/>
      <c r="E256" s="196"/>
      <c r="F256" s="651"/>
      <c r="G256" s="42"/>
      <c r="H256" s="539"/>
      <c r="I256" s="539"/>
      <c r="J256" s="539"/>
      <c r="K256" s="539"/>
      <c r="L256" s="539"/>
      <c r="M256" s="539"/>
      <c r="N256" s="539"/>
      <c r="O256" s="539"/>
      <c r="P256" s="278"/>
      <c r="Q256" s="539"/>
      <c r="R256" s="539"/>
      <c r="S256" s="539"/>
      <c r="T256" s="539"/>
      <c r="U256" s="539"/>
      <c r="V256" s="539"/>
      <c r="W256" s="539"/>
      <c r="X256" s="539"/>
      <c r="Y256" s="539"/>
      <c r="Z256" s="539"/>
      <c r="AA256" s="539"/>
      <c r="AB256" s="539"/>
      <c r="AC256" s="539"/>
      <c r="AD256" s="43"/>
      <c r="AE256" s="43"/>
      <c r="AF256" s="238"/>
      <c r="AG256" s="43"/>
      <c r="AH256" s="43"/>
      <c r="AI256" s="43"/>
      <c r="AJ256" s="43"/>
      <c r="AK256" s="43"/>
      <c r="AL256" s="45"/>
      <c r="AM256" s="197">
        <f>IF(AQ256=1,SUM(H256:I256,L256:O256,R256:U256,X256:AA256,AD256:AG256,AI256:AK256),
IF(AQ256=2,SUM(H256:K256,N256:Q256,T256:W256,Z256:AC256,AF256:AI256),
IF(AQ256=3,SUM(J256:M256,P256:S256,V256:Y256,AB256:AE256,AH256:AK256),SUM(Таблица1[[#This Row],[1]:[31]])-Таблица1[[#This Row],[Столбец1]])))</f>
        <v>0</v>
      </c>
      <c r="AN256" s="269">
        <f t="array" ref="AN256">IF(AQ256=1,SUM(J256:K256,P256:Q256,V256:W256,AB256:AC256,AH256:AI256),
IF(AQ256=2,SUM(L256:M256,R256:S256,X256:Y256,AD256:AE256),
IF(AQ256=3,SUM(H256:I256,N256:O256,T256:U256,Z256:AA256,AF256:AG256),
SUM(IFERROR(WEEKDAY($H$2:$AL$2,2)&gt;5,)*H256:AL256))))</f>
        <v>0</v>
      </c>
      <c r="AO256" s="271" t="b">
        <f>IF(AR256&lt;=3,(IF((G256="5/24"),((база!$M$6*Таблица1[[#This Row],[сумма]]*Таблица1[[#This Row],[коэф]])),
IF((G256="4/24"),((база!$M$5*Таблица1[[#This Row],[сумма]]*Таблица1[[#This Row],[коэф]])),
IF((G256="3/24"),((база!$M$4*Таблица1[[#This Row],[сумма]]*Таблица1[[#This Row],[коэф]])),
IF((G256="5/16"),((база!$L$6*Таблица1[[#This Row],[сумма]]*Таблица1[[#This Row],[коэф]])),
IF((G256="4/16"),((база!$L$5*Таблица1[[#This Row],[сумма]]*Таблица1[[#This Row],[коэф]])),
IF((G256="3/16"),((база!$L$4*Таблица1[[#This Row],[сумма]]*Таблица1[[#This Row],[коэф]])),
IF((G256="4/4"),((база!$I$5*Таблица1[[#This Row],[сумма]]*Таблица1[[#This Row],[коэф]])),
IF(OR(G256="2/4",G256="3/4"),((база!$I$4*Таблица1[[#This Row],[сумма]]*Таблица1[[#This Row],[коэф]])),
IF((G256="5/8"),((база!$J$6*Таблица1[[#This Row],[сумма]]*Таблица1[[#This Row],[коэф]])),
IF((G256="4/8"),((база!$J$5*Таблица1[[#This Row],[сумма]]*Таблица1[[#This Row],[коэф]])),
IF(OR(G256="3/8",G256="2/8"),((база!$J$4*Таблица1[[#This Row],[сумма]]*Таблица1[[#This Row],[коэф]])))))))))))))),
(IF((G256="5/24"),((база!$M$6*Таблица1[[#This Row],[сумма]]*Таблица1[[#This Row],[коэф]])),
IF(OR(G256="4/24",G256="3/24"),((база!$M$5*Таблица1[[#This Row],[сумма]]*Таблица1[[#This Row],[коэф]])),
IF((G256="5/16"),((база!$L$6*Таблица1[[#This Row],[сумма]]*Таблица1[[#This Row],[коэф]])),
IF(OR(G256="4/16",G256="3/16"),((база!$L$5*Таблица1[[#This Row],[сумма]]*Таблица1[[#This Row],[коэф]])),
IF(OR(G256="2/4",G256="3/4",G256="4/4"),((база!$I$5*Таблица1[[#This Row],[сумма]]*Таблица1[[#This Row],[коэф]])),
IF((G256="5/8"),((база!$J$6*Таблица1[[#This Row],[сумма]]*Таблица1[[#This Row],[коэф]])),
IF(OR(G256="4/8",G256="3/8",G256="2/8"),((база!$J$5*Таблица1[[#This Row],[сумма]]*Таблица1[[#This Row],[коэф]])))))))))))</f>
        <v>0</v>
      </c>
      <c r="AP256" s="696" t="b">
        <f>IF(AR256&lt;=3,(IF((G256="5/24"),((база!$M$6*2*Таблица1[[#This Row],[Столбец1]]*Таблица1[[#This Row],[коэф]])),
IF((G256="4/24"),((база!$M$5*2*Таблица1[[#This Row],[Столбец1]]*Таблица1[[#This Row],[коэф]])),
IF((G256="3/24"),((база!$M$4*2*Таблица1[[#This Row],[Столбец1]]*Таблица1[[#This Row],[коэф]])),
IF((G256="5/16"),((база!$L$6*2*Таблица1[[#This Row],[Столбец1]]*Таблица1[[#This Row],[коэф]])),
IF((G256="4/16"),((база!$L$5*2*Таблица1[[#This Row],[Столбец1]]*Таблица1[[#This Row],[коэф]])),
IF((G256="3/16"),((база!$L$4*2*Таблица1[[#This Row],[Столбец1]]*Таблица1[[#This Row],[коэф]])),
IF((G256="4/4"),((база!$I$5*2*Таблица1[[#This Row],[Столбец1]]*Таблица1[[#This Row],[коэф]])),
IF(OR(G256="2/4",G256="3/4"),((база!$I$4*2*Таблица1[[#This Row],[Столбец1]]*Таблица1[[#This Row],[коэф]])),
IF((G256="5/8"),((база!$J$6*2*Таблица1[[#This Row],[Столбец1]]*Таблица1[[#This Row],[коэф]])),
IF((G256="4/8"),((база!$J$5*2*Таблица1[[#This Row],[Столбец1]]*Таблица1[[#This Row],[коэф]])),
IF(OR(G256="3/8",G256="2/8"),((база!$J$4*2*Таблица1[[#This Row],[Столбец1]]*Таблица1[[#This Row],[коэф]])))))))))))))),
(IF((G256="5/24"),((база!$M$6*2*Таблица1[[#This Row],[Столбец1]]*Таблица1[[#This Row],[коэф]])),
IF(OR(G256="4/24",G256="3/24"),((база!$M$5*2*Таблица1[[#This Row],[Столбец1]]*Таблица1[[#This Row],[коэф]])),
IF((G256="5/16"),((база!$L$6*2*Таблица1[[#This Row],[Столбец1]]*Таблица1[[#This Row],[коэф]])),
IF(OR(G256="4/16",G256="3/16"),((база!$L$5*2*Таблица1[[#This Row],[Столбец1]]*Таблица1[[#This Row],[коэф]])),
IF(OR(G256="2/4",G256="3/4",G256="4/4"),((база!$I$5*2*Таблица1[[#This Row],[Столбец1]]*Таблица1[[#This Row],[коэф]])),
IF((G256="5/8"),((база!$J$6*2*Таблица1[[#This Row],[Столбец1]]*Таблица1[[#This Row],[коэф]])),
IF(OR(G256="4/8",G256="3/8",G256="2/8"),((база!$J$5*2*Таблица1[[#This Row],[Столбец1]]*Таблица1[[#This Row],[коэф]])))))))))))</f>
        <v>0</v>
      </c>
      <c r="AQ256" s="678" t="str">
        <f>IFERROR(INDEX(база!T:T, MATCH(F256,база!Q:Q,0)),"")</f>
        <v/>
      </c>
      <c r="AR256" s="193">
        <f>IFERROR(INDEX(база!D:D, MATCH(F256,база!B:B,0)),"")</f>
        <v>0</v>
      </c>
    </row>
    <row r="257" spans="1:44" ht="15">
      <c r="A257" s="59"/>
      <c r="B257" s="215"/>
      <c r="C257" s="54"/>
      <c r="D257" s="55"/>
      <c r="E257" s="196"/>
      <c r="F257" s="651"/>
      <c r="G257" s="42"/>
      <c r="H257" s="539"/>
      <c r="I257" s="539"/>
      <c r="J257" s="539"/>
      <c r="K257" s="539"/>
      <c r="L257" s="539"/>
      <c r="M257" s="539"/>
      <c r="N257" s="539"/>
      <c r="O257" s="539"/>
      <c r="P257" s="278"/>
      <c r="Q257" s="539"/>
      <c r="R257" s="539"/>
      <c r="S257" s="539"/>
      <c r="T257" s="539"/>
      <c r="U257" s="539"/>
      <c r="V257" s="539"/>
      <c r="W257" s="539"/>
      <c r="X257" s="539"/>
      <c r="Y257" s="539"/>
      <c r="Z257" s="539"/>
      <c r="AA257" s="539"/>
      <c r="AB257" s="539"/>
      <c r="AC257" s="539"/>
      <c r="AD257" s="43"/>
      <c r="AE257" s="43"/>
      <c r="AF257" s="238"/>
      <c r="AG257" s="43"/>
      <c r="AH257" s="43"/>
      <c r="AI257" s="238"/>
      <c r="AJ257" s="238"/>
      <c r="AK257" s="238"/>
      <c r="AL257" s="238"/>
      <c r="AM257" s="197">
        <f>IF(AQ257=1,SUM(H257:I257,L257:O257,R257:U257,X257:AA257,AD257:AG257,AI257:AK257),
IF(AQ257=2,SUM(H257:K257,N257:Q257,T257:W257,Z257:AC257,AF257:AI257),
IF(AQ257=3,SUM(J257:M257,P257:S257,V257:Y257,AB257:AE257,AH257:AK257),SUM(Таблица1[[#This Row],[1]:[31]])-Таблица1[[#This Row],[Столбец1]])))</f>
        <v>0</v>
      </c>
      <c r="AN257" s="269">
        <f t="array" ref="AN257">IF(AQ257=1,SUM(J257:K257,P257:Q257,V257:W257,AB257:AC257,AH257:AI257),
IF(AQ257=2,SUM(L257:M257,R257:S257,X257:Y257,AD257:AE257),
IF(AQ257=3,SUM(H257:I257,N257:O257,T257:U257,Z257:AA257,AF257:AG257),
SUM(IFERROR(WEEKDAY($H$2:$AL$2,2)&gt;5,)*H257:AL257))))</f>
        <v>0</v>
      </c>
      <c r="AO257" s="271" t="b">
        <f>IF(AR257&lt;=3,(IF((G257="5/24"),((база!$M$6*Таблица1[[#This Row],[сумма]]*Таблица1[[#This Row],[коэф]])),
IF((G257="4/24"),((база!$M$5*Таблица1[[#This Row],[сумма]]*Таблица1[[#This Row],[коэф]])),
IF((G257="3/24"),((база!$M$4*Таблица1[[#This Row],[сумма]]*Таблица1[[#This Row],[коэф]])),
IF((G257="5/16"),((база!$L$6*Таблица1[[#This Row],[сумма]]*Таблица1[[#This Row],[коэф]])),
IF((G257="4/16"),((база!$L$5*Таблица1[[#This Row],[сумма]]*Таблица1[[#This Row],[коэф]])),
IF((G257="3/16"),((база!$L$4*Таблица1[[#This Row],[сумма]]*Таблица1[[#This Row],[коэф]])),
IF((G257="4/4"),((база!$I$5*Таблица1[[#This Row],[сумма]]*Таблица1[[#This Row],[коэф]])),
IF(OR(G257="2/4",G257="3/4"),((база!$I$4*Таблица1[[#This Row],[сумма]]*Таблица1[[#This Row],[коэф]])),
IF((G257="5/8"),((база!$J$6*Таблица1[[#This Row],[сумма]]*Таблица1[[#This Row],[коэф]])),
IF((G257="4/8"),((база!$J$5*Таблица1[[#This Row],[сумма]]*Таблица1[[#This Row],[коэф]])),
IF(OR(G257="3/8",G257="2/8"),((база!$J$4*Таблица1[[#This Row],[сумма]]*Таблица1[[#This Row],[коэф]])))))))))))))),
(IF((G257="5/24"),((база!$M$6*Таблица1[[#This Row],[сумма]]*Таблица1[[#This Row],[коэф]])),
IF(OR(G257="4/24",G257="3/24"),((база!$M$5*Таблица1[[#This Row],[сумма]]*Таблица1[[#This Row],[коэф]])),
IF((G257="5/16"),((база!$L$6*Таблица1[[#This Row],[сумма]]*Таблица1[[#This Row],[коэф]])),
IF(OR(G257="4/16",G257="3/16"),((база!$L$5*Таблица1[[#This Row],[сумма]]*Таблица1[[#This Row],[коэф]])),
IF(OR(G257="2/4",G257="3/4",G257="4/4"),((база!$I$5*Таблица1[[#This Row],[сумма]]*Таблица1[[#This Row],[коэф]])),
IF((G257="5/8"),((база!$J$6*Таблица1[[#This Row],[сумма]]*Таблица1[[#This Row],[коэф]])),
IF(OR(G257="4/8",G257="3/8",G257="2/8"),((база!$J$5*Таблица1[[#This Row],[сумма]]*Таблица1[[#This Row],[коэф]])))))))))))</f>
        <v>0</v>
      </c>
      <c r="AP257" s="696" t="b">
        <f>IF(AR257&lt;=3,(IF((G257="5/24"),((база!$M$6*2*Таблица1[[#This Row],[Столбец1]]*Таблица1[[#This Row],[коэф]])),
IF((G257="4/24"),((база!$M$5*2*Таблица1[[#This Row],[Столбец1]]*Таблица1[[#This Row],[коэф]])),
IF((G257="3/24"),((база!$M$4*2*Таблица1[[#This Row],[Столбец1]]*Таблица1[[#This Row],[коэф]])),
IF((G257="5/16"),((база!$L$6*2*Таблица1[[#This Row],[Столбец1]]*Таблица1[[#This Row],[коэф]])),
IF((G257="4/16"),((база!$L$5*2*Таблица1[[#This Row],[Столбец1]]*Таблица1[[#This Row],[коэф]])),
IF((G257="3/16"),((база!$L$4*2*Таблица1[[#This Row],[Столбец1]]*Таблица1[[#This Row],[коэф]])),
IF((G257="4/4"),((база!$I$5*2*Таблица1[[#This Row],[Столбец1]]*Таблица1[[#This Row],[коэф]])),
IF(OR(G257="2/4",G257="3/4"),((база!$I$4*2*Таблица1[[#This Row],[Столбец1]]*Таблица1[[#This Row],[коэф]])),
IF((G257="5/8"),((база!$J$6*2*Таблица1[[#This Row],[Столбец1]]*Таблица1[[#This Row],[коэф]])),
IF((G257="4/8"),((база!$J$5*2*Таблица1[[#This Row],[Столбец1]]*Таблица1[[#This Row],[коэф]])),
IF(OR(G257="3/8",G257="2/8"),((база!$J$4*2*Таблица1[[#This Row],[Столбец1]]*Таблица1[[#This Row],[коэф]])))))))))))))),
(IF((G257="5/24"),((база!$M$6*2*Таблица1[[#This Row],[Столбец1]]*Таблица1[[#This Row],[коэф]])),
IF(OR(G257="4/24",G257="3/24"),((база!$M$5*2*Таблица1[[#This Row],[Столбец1]]*Таблица1[[#This Row],[коэф]])),
IF((G257="5/16"),((база!$L$6*2*Таблица1[[#This Row],[Столбец1]]*Таблица1[[#This Row],[коэф]])),
IF(OR(G257="4/16",G257="3/16"),((база!$L$5*2*Таблица1[[#This Row],[Столбец1]]*Таблица1[[#This Row],[коэф]])),
IF(OR(G257="2/4",G257="3/4",G257="4/4"),((база!$I$5*2*Таблица1[[#This Row],[Столбец1]]*Таблица1[[#This Row],[коэф]])),
IF((G257="5/8"),((база!$J$6*2*Таблица1[[#This Row],[Столбец1]]*Таблица1[[#This Row],[коэф]])),
IF(OR(G257="4/8",G257="3/8",G257="2/8"),((база!$J$5*2*Таблица1[[#This Row],[Столбец1]]*Таблица1[[#This Row],[коэф]])))))))))))</f>
        <v>0</v>
      </c>
      <c r="AQ257" s="678" t="str">
        <f>IFERROR(INDEX(база!T:T, MATCH(F257,база!Q:Q,0)),"")</f>
        <v/>
      </c>
      <c r="AR257" s="193">
        <f>IFERROR(INDEX(база!D:D, MATCH(F257,база!B:B,0)),"")</f>
        <v>0</v>
      </c>
    </row>
    <row r="258" spans="1:44" ht="15">
      <c r="A258" s="59"/>
      <c r="B258" s="215"/>
      <c r="C258" s="277"/>
      <c r="D258" s="55"/>
      <c r="E258" s="196"/>
      <c r="F258" s="651"/>
      <c r="G258" s="42"/>
      <c r="H258" s="539"/>
      <c r="I258" s="539"/>
      <c r="J258" s="539"/>
      <c r="K258" s="539"/>
      <c r="L258" s="539"/>
      <c r="M258" s="539"/>
      <c r="N258" s="539"/>
      <c r="O258" s="539"/>
      <c r="P258" s="278"/>
      <c r="Q258" s="539"/>
      <c r="R258" s="539"/>
      <c r="S258" s="539"/>
      <c r="T258" s="539"/>
      <c r="U258" s="539"/>
      <c r="V258" s="539"/>
      <c r="W258" s="539"/>
      <c r="X258" s="539"/>
      <c r="Y258" s="539"/>
      <c r="Z258" s="539"/>
      <c r="AA258" s="539"/>
      <c r="AB258" s="539"/>
      <c r="AC258" s="539"/>
      <c r="AD258" s="43"/>
      <c r="AE258" s="43"/>
      <c r="AF258" s="238"/>
      <c r="AG258" s="43"/>
      <c r="AH258" s="43"/>
      <c r="AI258" s="43"/>
      <c r="AJ258" s="43"/>
      <c r="AK258" s="43"/>
      <c r="AL258" s="45"/>
      <c r="AM258" s="197">
        <f>IF(AQ258=1,SUM(H258:I258,L258:O258,R258:U258,X258:AA258,AD258:AG258,AI258:AK258),
IF(AQ258=2,SUM(H258:K258,N258:Q258,T258:W258,Z258:AC258,AF258:AI258),
IF(AQ258=3,SUM(J258:M258,P258:S258,V258:Y258,AB258:AE258,AH258:AK258),SUM(Таблица1[[#This Row],[1]:[31]])-Таблица1[[#This Row],[Столбец1]])))</f>
        <v>0</v>
      </c>
      <c r="AN258" s="269">
        <f t="array" ref="AN258">IF(AQ258=1,SUM(J258:K258,P258:Q258,V258:W258,AB258:AC258,AH258:AI258),
IF(AQ258=2,SUM(L258:M258,R258:S258,X258:Y258,AD258:AE258),
IF(AQ258=3,SUM(H258:I258,N258:O258,T258:U258,Z258:AA258,AF258:AG258),
SUM(IFERROR(WEEKDAY($H$2:$AL$2,2)&gt;5,)*H258:AL258))))</f>
        <v>0</v>
      </c>
      <c r="AO258" s="271" t="b">
        <f>IF(AR258&lt;=3,(IF((G258="5/24"),((база!$M$6*Таблица1[[#This Row],[сумма]]*Таблица1[[#This Row],[коэф]])),
IF((G258="4/24"),((база!$M$5*Таблица1[[#This Row],[сумма]]*Таблица1[[#This Row],[коэф]])),
IF((G258="3/24"),((база!$M$4*Таблица1[[#This Row],[сумма]]*Таблица1[[#This Row],[коэф]])),
IF((G258="5/16"),((база!$L$6*Таблица1[[#This Row],[сумма]]*Таблица1[[#This Row],[коэф]])),
IF((G258="4/16"),((база!$L$5*Таблица1[[#This Row],[сумма]]*Таблица1[[#This Row],[коэф]])),
IF((G258="3/16"),((база!$L$4*Таблица1[[#This Row],[сумма]]*Таблица1[[#This Row],[коэф]])),
IF((G258="4/4"),((база!$I$5*Таблица1[[#This Row],[сумма]]*Таблица1[[#This Row],[коэф]])),
IF(OR(G258="2/4",G258="3/4"),((база!$I$4*Таблица1[[#This Row],[сумма]]*Таблица1[[#This Row],[коэф]])),
IF((G258="5/8"),((база!$J$6*Таблица1[[#This Row],[сумма]]*Таблица1[[#This Row],[коэф]])),
IF((G258="4/8"),((база!$J$5*Таблица1[[#This Row],[сумма]]*Таблица1[[#This Row],[коэф]])),
IF(OR(G258="3/8",G258="2/8"),((база!$J$4*Таблица1[[#This Row],[сумма]]*Таблица1[[#This Row],[коэф]])))))))))))))),
(IF((G258="5/24"),((база!$M$6*Таблица1[[#This Row],[сумма]]*Таблица1[[#This Row],[коэф]])),
IF(OR(G258="4/24",G258="3/24"),((база!$M$5*Таблица1[[#This Row],[сумма]]*Таблица1[[#This Row],[коэф]])),
IF((G258="5/16"),((база!$L$6*Таблица1[[#This Row],[сумма]]*Таблица1[[#This Row],[коэф]])),
IF(OR(G258="4/16",G258="3/16"),((база!$L$5*Таблица1[[#This Row],[сумма]]*Таблица1[[#This Row],[коэф]])),
IF(OR(G258="2/4",G258="3/4",G258="4/4"),((база!$I$5*Таблица1[[#This Row],[сумма]]*Таблица1[[#This Row],[коэф]])),
IF((G258="5/8"),((база!$J$6*Таблица1[[#This Row],[сумма]]*Таблица1[[#This Row],[коэф]])),
IF(OR(G258="4/8",G258="3/8",G258="2/8"),((база!$J$5*Таблица1[[#This Row],[сумма]]*Таблица1[[#This Row],[коэф]])))))))))))</f>
        <v>0</v>
      </c>
      <c r="AP258" s="696" t="b">
        <f>IF(AR258&lt;=3,(IF((G258="5/24"),((база!$M$6*2*Таблица1[[#This Row],[Столбец1]]*Таблица1[[#This Row],[коэф]])),
IF((G258="4/24"),((база!$M$5*2*Таблица1[[#This Row],[Столбец1]]*Таблица1[[#This Row],[коэф]])),
IF((G258="3/24"),((база!$M$4*2*Таблица1[[#This Row],[Столбец1]]*Таблица1[[#This Row],[коэф]])),
IF((G258="5/16"),((база!$L$6*2*Таблица1[[#This Row],[Столбец1]]*Таблица1[[#This Row],[коэф]])),
IF((G258="4/16"),((база!$L$5*2*Таблица1[[#This Row],[Столбец1]]*Таблица1[[#This Row],[коэф]])),
IF((G258="3/16"),((база!$L$4*2*Таблица1[[#This Row],[Столбец1]]*Таблица1[[#This Row],[коэф]])),
IF((G258="4/4"),((база!$I$5*2*Таблица1[[#This Row],[Столбец1]]*Таблица1[[#This Row],[коэф]])),
IF(OR(G258="2/4",G258="3/4"),((база!$I$4*2*Таблица1[[#This Row],[Столбец1]]*Таблица1[[#This Row],[коэф]])),
IF((G258="5/8"),((база!$J$6*2*Таблица1[[#This Row],[Столбец1]]*Таблица1[[#This Row],[коэф]])),
IF((G258="4/8"),((база!$J$5*2*Таблица1[[#This Row],[Столбец1]]*Таблица1[[#This Row],[коэф]])),
IF(OR(G258="3/8",G258="2/8"),((база!$J$4*2*Таблица1[[#This Row],[Столбец1]]*Таблица1[[#This Row],[коэф]])))))))))))))),
(IF((G258="5/24"),((база!$M$6*2*Таблица1[[#This Row],[Столбец1]]*Таблица1[[#This Row],[коэф]])),
IF(OR(G258="4/24",G258="3/24"),((база!$M$5*2*Таблица1[[#This Row],[Столбец1]]*Таблица1[[#This Row],[коэф]])),
IF((G258="5/16"),((база!$L$6*2*Таблица1[[#This Row],[Столбец1]]*Таблица1[[#This Row],[коэф]])),
IF(OR(G258="4/16",G258="3/16"),((база!$L$5*2*Таблица1[[#This Row],[Столбец1]]*Таблица1[[#This Row],[коэф]])),
IF(OR(G258="2/4",G258="3/4",G258="4/4"),((база!$I$5*2*Таблица1[[#This Row],[Столбец1]]*Таблица1[[#This Row],[коэф]])),
IF((G258="5/8"),((база!$J$6*2*Таблица1[[#This Row],[Столбец1]]*Таблица1[[#This Row],[коэф]])),
IF(OR(G258="4/8",G258="3/8",G258="2/8"),((база!$J$5*2*Таблица1[[#This Row],[Столбец1]]*Таблица1[[#This Row],[коэф]])))))))))))</f>
        <v>0</v>
      </c>
      <c r="AQ258" s="678" t="str">
        <f>IFERROR(INDEX(база!T:T, MATCH(F258,база!Q:Q,0)),"")</f>
        <v/>
      </c>
      <c r="AR258" s="193">
        <f>IFERROR(INDEX(база!D:D, MATCH(F258,база!B:B,0)),"")</f>
        <v>0</v>
      </c>
    </row>
    <row r="259" spans="1:44" ht="15">
      <c r="A259" s="59"/>
      <c r="B259" s="215"/>
      <c r="C259" s="277"/>
      <c r="D259" s="55"/>
      <c r="E259" s="196"/>
      <c r="F259" s="651"/>
      <c r="G259" s="42"/>
      <c r="H259" s="539"/>
      <c r="I259" s="539"/>
      <c r="J259" s="539"/>
      <c r="K259" s="539"/>
      <c r="L259" s="539"/>
      <c r="M259" s="539"/>
      <c r="N259" s="539"/>
      <c r="O259" s="539"/>
      <c r="P259" s="278"/>
      <c r="Q259" s="539"/>
      <c r="R259" s="539"/>
      <c r="S259" s="539"/>
      <c r="T259" s="539"/>
      <c r="U259" s="539"/>
      <c r="V259" s="539"/>
      <c r="W259" s="539"/>
      <c r="X259" s="539"/>
      <c r="Y259" s="539"/>
      <c r="Z259" s="539"/>
      <c r="AA259" s="539"/>
      <c r="AB259" s="539"/>
      <c r="AC259" s="539"/>
      <c r="AD259" s="43"/>
      <c r="AE259" s="43"/>
      <c r="AF259" s="43"/>
      <c r="AG259" s="43"/>
      <c r="AH259" s="43"/>
      <c r="AI259" s="238"/>
      <c r="AJ259" s="238"/>
      <c r="AK259" s="238"/>
      <c r="AL259" s="238"/>
      <c r="AM259" s="197">
        <f>IF(AQ259=1,SUM(H259:I259,L259:O259,R259:U259,X259:AA259,AD259:AG259,AI259:AK259),
IF(AQ259=2,SUM(H259:K259,N259:Q259,T259:W259,Z259:AC259,AF259:AI259),
IF(AQ259=3,SUM(J259:M259,P259:S259,V259:Y259,AB259:AE259,AH259:AK259),SUM(Таблица1[[#This Row],[1]:[31]])-Таблица1[[#This Row],[Столбец1]])))</f>
        <v>0</v>
      </c>
      <c r="AN259" s="269">
        <f t="array" ref="AN259">IF(AQ259=1,SUM(J259:K259,P259:Q259,V259:W259,AB259:AC259,AH259:AI259),
IF(AQ259=2,SUM(L259:M259,R259:S259,X259:Y259,AD259:AE259),
IF(AQ259=3,SUM(H259:I259,N259:O259,T259:U259,Z259:AA259,AF259:AG259),
SUM(IFERROR(WEEKDAY($H$2:$AL$2,2)&gt;5,)*H259:AL259))))</f>
        <v>0</v>
      </c>
      <c r="AO259" s="271" t="b">
        <f>IF(AR259&lt;=3,(IF((G259="5/24"),((база!$M$6*Таблица1[[#This Row],[сумма]]*Таблица1[[#This Row],[коэф]])),
IF((G259="4/24"),((база!$M$5*Таблица1[[#This Row],[сумма]]*Таблица1[[#This Row],[коэф]])),
IF((G259="3/24"),((база!$M$4*Таблица1[[#This Row],[сумма]]*Таблица1[[#This Row],[коэф]])),
IF((G259="5/16"),((база!$L$6*Таблица1[[#This Row],[сумма]]*Таблица1[[#This Row],[коэф]])),
IF((G259="4/16"),((база!$L$5*Таблица1[[#This Row],[сумма]]*Таблица1[[#This Row],[коэф]])),
IF((G259="3/16"),((база!$L$4*Таблица1[[#This Row],[сумма]]*Таблица1[[#This Row],[коэф]])),
IF((G259="4/4"),((база!$I$5*Таблица1[[#This Row],[сумма]]*Таблица1[[#This Row],[коэф]])),
IF(OR(G259="2/4",G259="3/4"),((база!$I$4*Таблица1[[#This Row],[сумма]]*Таблица1[[#This Row],[коэф]])),
IF((G259="5/8"),((база!$J$6*Таблица1[[#This Row],[сумма]]*Таблица1[[#This Row],[коэф]])),
IF((G259="4/8"),((база!$J$5*Таблица1[[#This Row],[сумма]]*Таблица1[[#This Row],[коэф]])),
IF(OR(G259="3/8",G259="2/8"),((база!$J$4*Таблица1[[#This Row],[сумма]]*Таблица1[[#This Row],[коэф]])))))))))))))),
(IF((G259="5/24"),((база!$M$6*Таблица1[[#This Row],[сумма]]*Таблица1[[#This Row],[коэф]])),
IF(OR(G259="4/24",G259="3/24"),((база!$M$5*Таблица1[[#This Row],[сумма]]*Таблица1[[#This Row],[коэф]])),
IF((G259="5/16"),((база!$L$6*Таблица1[[#This Row],[сумма]]*Таблица1[[#This Row],[коэф]])),
IF(OR(G259="4/16",G259="3/16"),((база!$L$5*Таблица1[[#This Row],[сумма]]*Таблица1[[#This Row],[коэф]])),
IF(OR(G259="2/4",G259="3/4",G259="4/4"),((база!$I$5*Таблица1[[#This Row],[сумма]]*Таблица1[[#This Row],[коэф]])),
IF((G259="5/8"),((база!$J$6*Таблица1[[#This Row],[сумма]]*Таблица1[[#This Row],[коэф]])),
IF(OR(G259="4/8",G259="3/8",G259="2/8"),((база!$J$5*Таблица1[[#This Row],[сумма]]*Таблица1[[#This Row],[коэф]])))))))))))</f>
        <v>0</v>
      </c>
      <c r="AP259" s="696" t="b">
        <f>IF(AR259&lt;=3,(IF((G259="5/24"),((база!$M$6*2*Таблица1[[#This Row],[Столбец1]]*Таблица1[[#This Row],[коэф]])),
IF((G259="4/24"),((база!$M$5*2*Таблица1[[#This Row],[Столбец1]]*Таблица1[[#This Row],[коэф]])),
IF((G259="3/24"),((база!$M$4*2*Таблица1[[#This Row],[Столбец1]]*Таблица1[[#This Row],[коэф]])),
IF((G259="5/16"),((база!$L$6*2*Таблица1[[#This Row],[Столбец1]]*Таблица1[[#This Row],[коэф]])),
IF((G259="4/16"),((база!$L$5*2*Таблица1[[#This Row],[Столбец1]]*Таблица1[[#This Row],[коэф]])),
IF((G259="3/16"),((база!$L$4*2*Таблица1[[#This Row],[Столбец1]]*Таблица1[[#This Row],[коэф]])),
IF((G259="4/4"),((база!$I$5*2*Таблица1[[#This Row],[Столбец1]]*Таблица1[[#This Row],[коэф]])),
IF(OR(G259="2/4",G259="3/4"),((база!$I$4*2*Таблица1[[#This Row],[Столбец1]]*Таблица1[[#This Row],[коэф]])),
IF((G259="5/8"),((база!$J$6*2*Таблица1[[#This Row],[Столбец1]]*Таблица1[[#This Row],[коэф]])),
IF((G259="4/8"),((база!$J$5*2*Таблица1[[#This Row],[Столбец1]]*Таблица1[[#This Row],[коэф]])),
IF(OR(G259="3/8",G259="2/8"),((база!$J$4*2*Таблица1[[#This Row],[Столбец1]]*Таблица1[[#This Row],[коэф]])))))))))))))),
(IF((G259="5/24"),((база!$M$6*2*Таблица1[[#This Row],[Столбец1]]*Таблица1[[#This Row],[коэф]])),
IF(OR(G259="4/24",G259="3/24"),((база!$M$5*2*Таблица1[[#This Row],[Столбец1]]*Таблица1[[#This Row],[коэф]])),
IF((G259="5/16"),((база!$L$6*2*Таблица1[[#This Row],[Столбец1]]*Таблица1[[#This Row],[коэф]])),
IF(OR(G259="4/16",G259="3/16"),((база!$L$5*2*Таблица1[[#This Row],[Столбец1]]*Таблица1[[#This Row],[коэф]])),
IF(OR(G259="2/4",G259="3/4",G259="4/4"),((база!$I$5*2*Таблица1[[#This Row],[Столбец1]]*Таблица1[[#This Row],[коэф]])),
IF((G259="5/8"),((база!$J$6*2*Таблица1[[#This Row],[Столбец1]]*Таблица1[[#This Row],[коэф]])),
IF(OR(G259="4/8",G259="3/8",G259="2/8"),((база!$J$5*2*Таблица1[[#This Row],[Столбец1]]*Таблица1[[#This Row],[коэф]])))))))))))</f>
        <v>0</v>
      </c>
      <c r="AQ259" s="678" t="str">
        <f>IFERROR(INDEX(база!T:T, MATCH(F259,база!Q:Q,0)),"")</f>
        <v/>
      </c>
      <c r="AR259" s="193">
        <f>IFERROR(INDEX(база!D:D, MATCH(F259,база!B:B,0)),"")</f>
        <v>0</v>
      </c>
    </row>
    <row r="260" spans="1:44" ht="15">
      <c r="A260" s="59"/>
      <c r="B260" s="215"/>
      <c r="C260" s="54"/>
      <c r="D260" s="55"/>
      <c r="E260" s="196"/>
      <c r="F260" s="651"/>
      <c r="G260" s="42"/>
      <c r="H260" s="539"/>
      <c r="I260" s="539"/>
      <c r="J260" s="539"/>
      <c r="K260" s="539"/>
      <c r="L260" s="539"/>
      <c r="M260" s="539"/>
      <c r="N260" s="539"/>
      <c r="O260" s="539"/>
      <c r="P260" s="278"/>
      <c r="Q260" s="539"/>
      <c r="R260" s="539"/>
      <c r="S260" s="539"/>
      <c r="T260" s="539"/>
      <c r="U260" s="539"/>
      <c r="V260" s="539"/>
      <c r="W260" s="539"/>
      <c r="X260" s="539"/>
      <c r="Y260" s="539"/>
      <c r="Z260" s="539"/>
      <c r="AA260" s="539"/>
      <c r="AB260" s="539"/>
      <c r="AC260" s="539"/>
      <c r="AD260" s="43"/>
      <c r="AE260" s="43"/>
      <c r="AF260" s="238"/>
      <c r="AG260" s="43"/>
      <c r="AH260" s="43"/>
      <c r="AI260" s="43"/>
      <c r="AJ260" s="43"/>
      <c r="AK260" s="43"/>
      <c r="AL260" s="45"/>
      <c r="AM260" s="197">
        <f>IF(AQ260=1,SUM(H260:I260,L260:O260,R260:U260,X260:AA260,AD260:AG260,AI260:AK260),
IF(AQ260=2,SUM(H260:K260,N260:Q260,T260:W260,Z260:AC260,AF260:AI260),
IF(AQ260=3,SUM(J260:M260,P260:S260,V260:Y260,AB260:AE260,AH260:AK260),SUM(Таблица1[[#This Row],[1]:[31]])-Таблица1[[#This Row],[Столбец1]])))</f>
        <v>0</v>
      </c>
      <c r="AN260" s="269">
        <f t="array" ref="AN260">IF(AQ260=1,SUM(J260:K260,P260:Q260,V260:W260,AB260:AC260,AH260:AI260),
IF(AQ260=2,SUM(L260:M260,R260:S260,X260:Y260,AD260:AE260),
IF(AQ260=3,SUM(H260:I260,N260:O260,T260:U260,Z260:AA260,AF260:AG260),
SUM(IFERROR(WEEKDAY($H$2:$AL$2,2)&gt;5,)*H260:AL260))))</f>
        <v>0</v>
      </c>
      <c r="AO260" s="271" t="b">
        <f>IF(AR260&lt;=3,(IF((G260="5/24"),((база!$M$6*Таблица1[[#This Row],[сумма]]*Таблица1[[#This Row],[коэф]])),
IF((G260="4/24"),((база!$M$5*Таблица1[[#This Row],[сумма]]*Таблица1[[#This Row],[коэф]])),
IF((G260="3/24"),((база!$M$4*Таблица1[[#This Row],[сумма]]*Таблица1[[#This Row],[коэф]])),
IF((G260="5/16"),((база!$L$6*Таблица1[[#This Row],[сумма]]*Таблица1[[#This Row],[коэф]])),
IF((G260="4/16"),((база!$L$5*Таблица1[[#This Row],[сумма]]*Таблица1[[#This Row],[коэф]])),
IF((G260="3/16"),((база!$L$4*Таблица1[[#This Row],[сумма]]*Таблица1[[#This Row],[коэф]])),
IF((G260="4/4"),((база!$I$5*Таблица1[[#This Row],[сумма]]*Таблица1[[#This Row],[коэф]])),
IF(OR(G260="2/4",G260="3/4"),((база!$I$4*Таблица1[[#This Row],[сумма]]*Таблица1[[#This Row],[коэф]])),
IF((G260="5/8"),((база!$J$6*Таблица1[[#This Row],[сумма]]*Таблица1[[#This Row],[коэф]])),
IF((G260="4/8"),((база!$J$5*Таблица1[[#This Row],[сумма]]*Таблица1[[#This Row],[коэф]])),
IF(OR(G260="3/8",G260="2/8"),((база!$J$4*Таблица1[[#This Row],[сумма]]*Таблица1[[#This Row],[коэф]])))))))))))))),
(IF((G260="5/24"),((база!$M$6*Таблица1[[#This Row],[сумма]]*Таблица1[[#This Row],[коэф]])),
IF(OR(G260="4/24",G260="3/24"),((база!$M$5*Таблица1[[#This Row],[сумма]]*Таблица1[[#This Row],[коэф]])),
IF((G260="5/16"),((база!$L$6*Таблица1[[#This Row],[сумма]]*Таблица1[[#This Row],[коэф]])),
IF(OR(G260="4/16",G260="3/16"),((база!$L$5*Таблица1[[#This Row],[сумма]]*Таблица1[[#This Row],[коэф]])),
IF(OR(G260="2/4",G260="3/4",G260="4/4"),((база!$I$5*Таблица1[[#This Row],[сумма]]*Таблица1[[#This Row],[коэф]])),
IF((G260="5/8"),((база!$J$6*Таблица1[[#This Row],[сумма]]*Таблица1[[#This Row],[коэф]])),
IF(OR(G260="4/8",G260="3/8",G260="2/8"),((база!$J$5*Таблица1[[#This Row],[сумма]]*Таблица1[[#This Row],[коэф]])))))))))))</f>
        <v>0</v>
      </c>
      <c r="AP260" s="696" t="b">
        <f>IF(AR260&lt;=3,(IF((G260="5/24"),((база!$M$6*2*Таблица1[[#This Row],[Столбец1]]*Таблица1[[#This Row],[коэф]])),
IF((G260="4/24"),((база!$M$5*2*Таблица1[[#This Row],[Столбец1]]*Таблица1[[#This Row],[коэф]])),
IF((G260="3/24"),((база!$M$4*2*Таблица1[[#This Row],[Столбец1]]*Таблица1[[#This Row],[коэф]])),
IF((G260="5/16"),((база!$L$6*2*Таблица1[[#This Row],[Столбец1]]*Таблица1[[#This Row],[коэф]])),
IF((G260="4/16"),((база!$L$5*2*Таблица1[[#This Row],[Столбец1]]*Таблица1[[#This Row],[коэф]])),
IF((G260="3/16"),((база!$L$4*2*Таблица1[[#This Row],[Столбец1]]*Таблица1[[#This Row],[коэф]])),
IF((G260="4/4"),((база!$I$5*2*Таблица1[[#This Row],[Столбец1]]*Таблица1[[#This Row],[коэф]])),
IF(OR(G260="2/4",G260="3/4"),((база!$I$4*2*Таблица1[[#This Row],[Столбец1]]*Таблица1[[#This Row],[коэф]])),
IF((G260="5/8"),((база!$J$6*2*Таблица1[[#This Row],[Столбец1]]*Таблица1[[#This Row],[коэф]])),
IF((G260="4/8"),((база!$J$5*2*Таблица1[[#This Row],[Столбец1]]*Таблица1[[#This Row],[коэф]])),
IF(OR(G260="3/8",G260="2/8"),((база!$J$4*2*Таблица1[[#This Row],[Столбец1]]*Таблица1[[#This Row],[коэф]])))))))))))))),
(IF((G260="5/24"),((база!$M$6*2*Таблица1[[#This Row],[Столбец1]]*Таблица1[[#This Row],[коэф]])),
IF(OR(G260="4/24",G260="3/24"),((база!$M$5*2*Таблица1[[#This Row],[Столбец1]]*Таблица1[[#This Row],[коэф]])),
IF((G260="5/16"),((база!$L$6*2*Таблица1[[#This Row],[Столбец1]]*Таблица1[[#This Row],[коэф]])),
IF(OR(G260="4/16",G260="3/16"),((база!$L$5*2*Таблица1[[#This Row],[Столбец1]]*Таблица1[[#This Row],[коэф]])),
IF(OR(G260="2/4",G260="3/4",G260="4/4"),((база!$I$5*2*Таблица1[[#This Row],[Столбец1]]*Таблица1[[#This Row],[коэф]])),
IF((G260="5/8"),((база!$J$6*2*Таблица1[[#This Row],[Столбец1]]*Таблица1[[#This Row],[коэф]])),
IF(OR(G260="4/8",G260="3/8",G260="2/8"),((база!$J$5*2*Таблица1[[#This Row],[Столбец1]]*Таблица1[[#This Row],[коэф]])))))))))))</f>
        <v>0</v>
      </c>
      <c r="AQ260" s="678" t="str">
        <f>IFERROR(INDEX(база!T:T, MATCH(F260,база!Q:Q,0)),"")</f>
        <v/>
      </c>
      <c r="AR260" s="193">
        <f>IFERROR(INDEX(база!D:D, MATCH(F260,база!B:B,0)),"")</f>
        <v>0</v>
      </c>
    </row>
    <row r="261" spans="1:44" ht="15">
      <c r="A261" s="59"/>
      <c r="B261" s="215"/>
      <c r="C261" s="54"/>
      <c r="D261" s="55"/>
      <c r="E261" s="196"/>
      <c r="F261" s="651"/>
      <c r="G261" s="42"/>
      <c r="H261" s="539"/>
      <c r="I261" s="539"/>
      <c r="J261" s="539"/>
      <c r="K261" s="539"/>
      <c r="L261" s="539"/>
      <c r="M261" s="539"/>
      <c r="N261" s="539"/>
      <c r="O261" s="539"/>
      <c r="P261" s="278"/>
      <c r="Q261" s="539"/>
      <c r="R261" s="539"/>
      <c r="S261" s="539"/>
      <c r="T261" s="539"/>
      <c r="U261" s="539"/>
      <c r="V261" s="539"/>
      <c r="W261" s="539"/>
      <c r="X261" s="539"/>
      <c r="Y261" s="539"/>
      <c r="Z261" s="539"/>
      <c r="AA261" s="539"/>
      <c r="AB261" s="539"/>
      <c r="AC261" s="539"/>
      <c r="AD261" s="43"/>
      <c r="AE261" s="43"/>
      <c r="AF261" s="238"/>
      <c r="AG261" s="43"/>
      <c r="AH261" s="43"/>
      <c r="AI261" s="238"/>
      <c r="AJ261" s="238"/>
      <c r="AK261" s="238"/>
      <c r="AL261" s="238"/>
      <c r="AM261" s="197">
        <f>IF(AQ261=1,SUM(H261:I261,L261:O261,R261:U261,X261:AA261,AD261:AG261,AI261:AK261),
IF(AQ261=2,SUM(H261:K261,N261:Q261,T261:W261,Z261:AC261,AF261:AI261),
IF(AQ261=3,SUM(J261:M261,P261:S261,V261:Y261,AB261:AE261,AH261:AK261),SUM(Таблица1[[#This Row],[1]:[31]])-Таблица1[[#This Row],[Столбец1]])))</f>
        <v>0</v>
      </c>
      <c r="AN261" s="269">
        <f t="array" ref="AN261">IF(AQ261=1,SUM(J261:K261,P261:Q261,V261:W261,AB261:AC261,AH261:AI261),
IF(AQ261=2,SUM(L261:M261,R261:S261,X261:Y261,AD261:AE261),
IF(AQ261=3,SUM(H261:I261,N261:O261,T261:U261,Z261:AA261,AF261:AG261),
SUM(IFERROR(WEEKDAY($H$2:$AL$2,2)&gt;5,)*H261:AL261))))</f>
        <v>0</v>
      </c>
      <c r="AO261" s="271" t="b">
        <f>IF(AR261&lt;=3,(IF((G261="5/24"),((база!$M$6*Таблица1[[#This Row],[сумма]]*Таблица1[[#This Row],[коэф]])),
IF((G261="4/24"),((база!$M$5*Таблица1[[#This Row],[сумма]]*Таблица1[[#This Row],[коэф]])),
IF((G261="3/24"),((база!$M$4*Таблица1[[#This Row],[сумма]]*Таблица1[[#This Row],[коэф]])),
IF((G261="5/16"),((база!$L$6*Таблица1[[#This Row],[сумма]]*Таблица1[[#This Row],[коэф]])),
IF((G261="4/16"),((база!$L$5*Таблица1[[#This Row],[сумма]]*Таблица1[[#This Row],[коэф]])),
IF((G261="3/16"),((база!$L$4*Таблица1[[#This Row],[сумма]]*Таблица1[[#This Row],[коэф]])),
IF((G261="4/4"),((база!$I$5*Таблица1[[#This Row],[сумма]]*Таблица1[[#This Row],[коэф]])),
IF(OR(G261="2/4",G261="3/4"),((база!$I$4*Таблица1[[#This Row],[сумма]]*Таблица1[[#This Row],[коэф]])),
IF((G261="5/8"),((база!$J$6*Таблица1[[#This Row],[сумма]]*Таблица1[[#This Row],[коэф]])),
IF((G261="4/8"),((база!$J$5*Таблица1[[#This Row],[сумма]]*Таблица1[[#This Row],[коэф]])),
IF(OR(G261="3/8",G261="2/8"),((база!$J$4*Таблица1[[#This Row],[сумма]]*Таблица1[[#This Row],[коэф]])))))))))))))),
(IF((G261="5/24"),((база!$M$6*Таблица1[[#This Row],[сумма]]*Таблица1[[#This Row],[коэф]])),
IF(OR(G261="4/24",G261="3/24"),((база!$M$5*Таблица1[[#This Row],[сумма]]*Таблица1[[#This Row],[коэф]])),
IF((G261="5/16"),((база!$L$6*Таблица1[[#This Row],[сумма]]*Таблица1[[#This Row],[коэф]])),
IF(OR(G261="4/16",G261="3/16"),((база!$L$5*Таблица1[[#This Row],[сумма]]*Таблица1[[#This Row],[коэф]])),
IF(OR(G261="2/4",G261="3/4",G261="4/4"),((база!$I$5*Таблица1[[#This Row],[сумма]]*Таблица1[[#This Row],[коэф]])),
IF((G261="5/8"),((база!$J$6*Таблица1[[#This Row],[сумма]]*Таблица1[[#This Row],[коэф]])),
IF(OR(G261="4/8",G261="3/8",G261="2/8"),((база!$J$5*Таблица1[[#This Row],[сумма]]*Таблица1[[#This Row],[коэф]])))))))))))</f>
        <v>0</v>
      </c>
      <c r="AP261" s="696" t="b">
        <f>IF(AR261&lt;=3,(IF((G261="5/24"),((база!$M$6*2*Таблица1[[#This Row],[Столбец1]]*Таблица1[[#This Row],[коэф]])),
IF((G261="4/24"),((база!$M$5*2*Таблица1[[#This Row],[Столбец1]]*Таблица1[[#This Row],[коэф]])),
IF((G261="3/24"),((база!$M$4*2*Таблица1[[#This Row],[Столбец1]]*Таблица1[[#This Row],[коэф]])),
IF((G261="5/16"),((база!$L$6*2*Таблица1[[#This Row],[Столбец1]]*Таблица1[[#This Row],[коэф]])),
IF((G261="4/16"),((база!$L$5*2*Таблица1[[#This Row],[Столбец1]]*Таблица1[[#This Row],[коэф]])),
IF((G261="3/16"),((база!$L$4*2*Таблица1[[#This Row],[Столбец1]]*Таблица1[[#This Row],[коэф]])),
IF((G261="4/4"),((база!$I$5*2*Таблица1[[#This Row],[Столбец1]]*Таблица1[[#This Row],[коэф]])),
IF(OR(G261="2/4",G261="3/4"),((база!$I$4*2*Таблица1[[#This Row],[Столбец1]]*Таблица1[[#This Row],[коэф]])),
IF((G261="5/8"),((база!$J$6*2*Таблица1[[#This Row],[Столбец1]]*Таблица1[[#This Row],[коэф]])),
IF((G261="4/8"),((база!$J$5*2*Таблица1[[#This Row],[Столбец1]]*Таблица1[[#This Row],[коэф]])),
IF(OR(G261="3/8",G261="2/8"),((база!$J$4*2*Таблица1[[#This Row],[Столбец1]]*Таблица1[[#This Row],[коэф]])))))))))))))),
(IF((G261="5/24"),((база!$M$6*2*Таблица1[[#This Row],[Столбец1]]*Таблица1[[#This Row],[коэф]])),
IF(OR(G261="4/24",G261="3/24"),((база!$M$5*2*Таблица1[[#This Row],[Столбец1]]*Таблица1[[#This Row],[коэф]])),
IF((G261="5/16"),((база!$L$6*2*Таблица1[[#This Row],[Столбец1]]*Таблица1[[#This Row],[коэф]])),
IF(OR(G261="4/16",G261="3/16"),((база!$L$5*2*Таблица1[[#This Row],[Столбец1]]*Таблица1[[#This Row],[коэф]])),
IF(OR(G261="2/4",G261="3/4",G261="4/4"),((база!$I$5*2*Таблица1[[#This Row],[Столбец1]]*Таблица1[[#This Row],[коэф]])),
IF((G261="5/8"),((база!$J$6*2*Таблица1[[#This Row],[Столбец1]]*Таблица1[[#This Row],[коэф]])),
IF(OR(G261="4/8",G261="3/8",G261="2/8"),((база!$J$5*2*Таблица1[[#This Row],[Столбец1]]*Таблица1[[#This Row],[коэф]])))))))))))</f>
        <v>0</v>
      </c>
      <c r="AQ261" s="678" t="str">
        <f>IFERROR(INDEX(база!T:T, MATCH(F261,база!Q:Q,0)),"")</f>
        <v/>
      </c>
      <c r="AR261" s="193">
        <f>IFERROR(INDEX(база!D:D, MATCH(F261,база!B:B,0)),"")</f>
        <v>0</v>
      </c>
    </row>
    <row r="262" spans="1:44" ht="15">
      <c r="A262" s="59"/>
      <c r="B262" s="215"/>
      <c r="C262" s="277"/>
      <c r="D262" s="55"/>
      <c r="E262" s="196"/>
      <c r="F262" s="651"/>
      <c r="G262" s="42"/>
      <c r="H262" s="539"/>
      <c r="I262" s="539"/>
      <c r="J262" s="539"/>
      <c r="K262" s="539"/>
      <c r="L262" s="539"/>
      <c r="M262" s="539"/>
      <c r="N262" s="539"/>
      <c r="O262" s="539"/>
      <c r="P262" s="278"/>
      <c r="Q262" s="539"/>
      <c r="R262" s="539"/>
      <c r="S262" s="539"/>
      <c r="T262" s="539"/>
      <c r="U262" s="539"/>
      <c r="V262" s="539"/>
      <c r="W262" s="539"/>
      <c r="X262" s="539"/>
      <c r="Y262" s="539"/>
      <c r="Z262" s="539"/>
      <c r="AA262" s="539"/>
      <c r="AB262" s="539"/>
      <c r="AC262" s="539"/>
      <c r="AD262" s="43"/>
      <c r="AE262" s="43"/>
      <c r="AF262" s="238"/>
      <c r="AG262" s="43"/>
      <c r="AH262" s="43"/>
      <c r="AI262" s="43"/>
      <c r="AJ262" s="43"/>
      <c r="AK262" s="43"/>
      <c r="AL262" s="45"/>
      <c r="AM262" s="197">
        <f>IF(AQ262=1,SUM(H262:I262,L262:O262,R262:U262,X262:AA262,AD262:AG262,AI262:AK262),
IF(AQ262=2,SUM(H262:K262,N262:Q262,T262:W262,Z262:AC262,AF262:AI262),
IF(AQ262=3,SUM(J262:M262,P262:S262,V262:Y262,AB262:AE262,AH262:AK262),SUM(Таблица1[[#This Row],[1]:[31]])-Таблица1[[#This Row],[Столбец1]])))</f>
        <v>0</v>
      </c>
      <c r="AN262" s="269">
        <f t="array" ref="AN262">IF(AQ262=1,SUM(J262:K262,P262:Q262,V262:W262,AB262:AC262,AH262:AI262),
IF(AQ262=2,SUM(L262:M262,R262:S262,X262:Y262,AD262:AE262),
IF(AQ262=3,SUM(H262:I262,N262:O262,T262:U262,Z262:AA262,AF262:AG262),
SUM(IFERROR(WEEKDAY($H$2:$AL$2,2)&gt;5,)*H262:AL262))))</f>
        <v>0</v>
      </c>
      <c r="AO262" s="271" t="b">
        <f>IF(AR262&lt;=3,(IF((G262="5/24"),((база!$M$6*Таблица1[[#This Row],[сумма]]*Таблица1[[#This Row],[коэф]])),
IF((G262="4/24"),((база!$M$5*Таблица1[[#This Row],[сумма]]*Таблица1[[#This Row],[коэф]])),
IF((G262="3/24"),((база!$M$4*Таблица1[[#This Row],[сумма]]*Таблица1[[#This Row],[коэф]])),
IF((G262="5/16"),((база!$L$6*Таблица1[[#This Row],[сумма]]*Таблица1[[#This Row],[коэф]])),
IF((G262="4/16"),((база!$L$5*Таблица1[[#This Row],[сумма]]*Таблица1[[#This Row],[коэф]])),
IF((G262="3/16"),((база!$L$4*Таблица1[[#This Row],[сумма]]*Таблица1[[#This Row],[коэф]])),
IF((G262="4/4"),((база!$I$5*Таблица1[[#This Row],[сумма]]*Таблица1[[#This Row],[коэф]])),
IF(OR(G262="2/4",G262="3/4"),((база!$I$4*Таблица1[[#This Row],[сумма]]*Таблица1[[#This Row],[коэф]])),
IF((G262="5/8"),((база!$J$6*Таблица1[[#This Row],[сумма]]*Таблица1[[#This Row],[коэф]])),
IF((G262="4/8"),((база!$J$5*Таблица1[[#This Row],[сумма]]*Таблица1[[#This Row],[коэф]])),
IF(OR(G262="3/8",G262="2/8"),((база!$J$4*Таблица1[[#This Row],[сумма]]*Таблица1[[#This Row],[коэф]])))))))))))))),
(IF((G262="5/24"),((база!$M$6*Таблица1[[#This Row],[сумма]]*Таблица1[[#This Row],[коэф]])),
IF(OR(G262="4/24",G262="3/24"),((база!$M$5*Таблица1[[#This Row],[сумма]]*Таблица1[[#This Row],[коэф]])),
IF((G262="5/16"),((база!$L$6*Таблица1[[#This Row],[сумма]]*Таблица1[[#This Row],[коэф]])),
IF(OR(G262="4/16",G262="3/16"),((база!$L$5*Таблица1[[#This Row],[сумма]]*Таблица1[[#This Row],[коэф]])),
IF(OR(G262="2/4",G262="3/4",G262="4/4"),((база!$I$5*Таблица1[[#This Row],[сумма]]*Таблица1[[#This Row],[коэф]])),
IF((G262="5/8"),((база!$J$6*Таблица1[[#This Row],[сумма]]*Таблица1[[#This Row],[коэф]])),
IF(OR(G262="4/8",G262="3/8",G262="2/8"),((база!$J$5*Таблица1[[#This Row],[сумма]]*Таблица1[[#This Row],[коэф]])))))))))))</f>
        <v>0</v>
      </c>
      <c r="AP262" s="696" t="b">
        <f>IF(AR262&lt;=3,(IF((G262="5/24"),((база!$M$6*2*Таблица1[[#This Row],[Столбец1]]*Таблица1[[#This Row],[коэф]])),
IF((G262="4/24"),((база!$M$5*2*Таблица1[[#This Row],[Столбец1]]*Таблица1[[#This Row],[коэф]])),
IF((G262="3/24"),((база!$M$4*2*Таблица1[[#This Row],[Столбец1]]*Таблица1[[#This Row],[коэф]])),
IF((G262="5/16"),((база!$L$6*2*Таблица1[[#This Row],[Столбец1]]*Таблица1[[#This Row],[коэф]])),
IF((G262="4/16"),((база!$L$5*2*Таблица1[[#This Row],[Столбец1]]*Таблица1[[#This Row],[коэф]])),
IF((G262="3/16"),((база!$L$4*2*Таблица1[[#This Row],[Столбец1]]*Таблица1[[#This Row],[коэф]])),
IF((G262="4/4"),((база!$I$5*2*Таблица1[[#This Row],[Столбец1]]*Таблица1[[#This Row],[коэф]])),
IF(OR(G262="2/4",G262="3/4"),((база!$I$4*2*Таблица1[[#This Row],[Столбец1]]*Таблица1[[#This Row],[коэф]])),
IF((G262="5/8"),((база!$J$6*2*Таблица1[[#This Row],[Столбец1]]*Таблица1[[#This Row],[коэф]])),
IF((G262="4/8"),((база!$J$5*2*Таблица1[[#This Row],[Столбец1]]*Таблица1[[#This Row],[коэф]])),
IF(OR(G262="3/8",G262="2/8"),((база!$J$4*2*Таблица1[[#This Row],[Столбец1]]*Таблица1[[#This Row],[коэф]])))))))))))))),
(IF((G262="5/24"),((база!$M$6*2*Таблица1[[#This Row],[Столбец1]]*Таблица1[[#This Row],[коэф]])),
IF(OR(G262="4/24",G262="3/24"),((база!$M$5*2*Таблица1[[#This Row],[Столбец1]]*Таблица1[[#This Row],[коэф]])),
IF((G262="5/16"),((база!$L$6*2*Таблица1[[#This Row],[Столбец1]]*Таблица1[[#This Row],[коэф]])),
IF(OR(G262="4/16",G262="3/16"),((база!$L$5*2*Таблица1[[#This Row],[Столбец1]]*Таблица1[[#This Row],[коэф]])),
IF(OR(G262="2/4",G262="3/4",G262="4/4"),((база!$I$5*2*Таблица1[[#This Row],[Столбец1]]*Таблица1[[#This Row],[коэф]])),
IF((G262="5/8"),((база!$J$6*2*Таблица1[[#This Row],[Столбец1]]*Таблица1[[#This Row],[коэф]])),
IF(OR(G262="4/8",G262="3/8",G262="2/8"),((база!$J$5*2*Таблица1[[#This Row],[Столбец1]]*Таблица1[[#This Row],[коэф]])))))))))))</f>
        <v>0</v>
      </c>
      <c r="AQ262" s="678" t="str">
        <f>IFERROR(INDEX(база!T:T, MATCH(F262,база!Q:Q,0)),"")</f>
        <v/>
      </c>
      <c r="AR262" s="193">
        <f>IFERROR(INDEX(база!D:D, MATCH(F262,база!B:B,0)),"")</f>
        <v>0</v>
      </c>
    </row>
    <row r="263" spans="1:44" ht="15">
      <c r="A263" s="59"/>
      <c r="B263" s="215"/>
      <c r="C263" s="54"/>
      <c r="D263" s="55"/>
      <c r="E263" s="196"/>
      <c r="F263" s="651"/>
      <c r="G263" s="42"/>
      <c r="H263" s="539"/>
      <c r="I263" s="539"/>
      <c r="J263" s="539"/>
      <c r="K263" s="539"/>
      <c r="L263" s="539"/>
      <c r="M263" s="539"/>
      <c r="N263" s="539"/>
      <c r="O263" s="539"/>
      <c r="P263" s="278"/>
      <c r="Q263" s="539"/>
      <c r="R263" s="539"/>
      <c r="S263" s="539"/>
      <c r="T263" s="539"/>
      <c r="U263" s="539"/>
      <c r="V263" s="539"/>
      <c r="W263" s="539"/>
      <c r="X263" s="539"/>
      <c r="Y263" s="539"/>
      <c r="Z263" s="539"/>
      <c r="AA263" s="539"/>
      <c r="AB263" s="539"/>
      <c r="AC263" s="539"/>
      <c r="AD263" s="43"/>
      <c r="AE263" s="43"/>
      <c r="AF263" s="238"/>
      <c r="AG263" s="43"/>
      <c r="AH263" s="43"/>
      <c r="AI263" s="43"/>
      <c r="AJ263" s="43"/>
      <c r="AK263" s="43"/>
      <c r="AL263" s="45"/>
      <c r="AM263" s="197">
        <f>IF(AQ263=1,SUM(H263:I263,L263:O263,R263:U263,X263:AA263,AD263:AG263,AI263:AK263),
IF(AQ263=2,SUM(H263:K263,N263:Q263,T263:W263,Z263:AC263,AF263:AI263),
IF(AQ263=3,SUM(J263:M263,P263:S263,V263:Y263,AB263:AE263,AH263:AK263),SUM(Таблица1[[#This Row],[1]:[31]])-Таблица1[[#This Row],[Столбец1]])))</f>
        <v>0</v>
      </c>
      <c r="AN263" s="269">
        <f t="array" ref="AN263">IF(AQ263=1,SUM(J263:K263,P263:Q263,V263:W263,AB263:AC263,AH263:AI263),
IF(AQ263=2,SUM(L263:M263,R263:S263,X263:Y263,AD263:AE263),
IF(AQ263=3,SUM(H263:I263,N263:O263,T263:U263,Z263:AA263,AF263:AG263),
SUM(IFERROR(WEEKDAY($H$2:$AL$2,2)&gt;5,)*H263:AL263))))</f>
        <v>0</v>
      </c>
      <c r="AO263" s="271" t="b">
        <f>IF(AR263&lt;=3,(IF((G263="5/24"),((база!$M$6*Таблица1[[#This Row],[сумма]]*Таблица1[[#This Row],[коэф]])),
IF((G263="4/24"),((база!$M$5*Таблица1[[#This Row],[сумма]]*Таблица1[[#This Row],[коэф]])),
IF((G263="3/24"),((база!$M$4*Таблица1[[#This Row],[сумма]]*Таблица1[[#This Row],[коэф]])),
IF((G263="5/16"),((база!$L$6*Таблица1[[#This Row],[сумма]]*Таблица1[[#This Row],[коэф]])),
IF((G263="4/16"),((база!$L$5*Таблица1[[#This Row],[сумма]]*Таблица1[[#This Row],[коэф]])),
IF((G263="3/16"),((база!$L$4*Таблица1[[#This Row],[сумма]]*Таблица1[[#This Row],[коэф]])),
IF((G263="4/4"),((база!$I$5*Таблица1[[#This Row],[сумма]]*Таблица1[[#This Row],[коэф]])),
IF(OR(G263="2/4",G263="3/4"),((база!$I$4*Таблица1[[#This Row],[сумма]]*Таблица1[[#This Row],[коэф]])),
IF((G263="5/8"),((база!$J$6*Таблица1[[#This Row],[сумма]]*Таблица1[[#This Row],[коэф]])),
IF((G263="4/8"),((база!$J$5*Таблица1[[#This Row],[сумма]]*Таблица1[[#This Row],[коэф]])),
IF(OR(G263="3/8",G263="2/8"),((база!$J$4*Таблица1[[#This Row],[сумма]]*Таблица1[[#This Row],[коэф]])))))))))))))),
(IF((G263="5/24"),((база!$M$6*Таблица1[[#This Row],[сумма]]*Таблица1[[#This Row],[коэф]])),
IF(OR(G263="4/24",G263="3/24"),((база!$M$5*Таблица1[[#This Row],[сумма]]*Таблица1[[#This Row],[коэф]])),
IF((G263="5/16"),((база!$L$6*Таблица1[[#This Row],[сумма]]*Таблица1[[#This Row],[коэф]])),
IF(OR(G263="4/16",G263="3/16"),((база!$L$5*Таблица1[[#This Row],[сумма]]*Таблица1[[#This Row],[коэф]])),
IF(OR(G263="2/4",G263="3/4",G263="4/4"),((база!$I$5*Таблица1[[#This Row],[сумма]]*Таблица1[[#This Row],[коэф]])),
IF((G263="5/8"),((база!$J$6*Таблица1[[#This Row],[сумма]]*Таблица1[[#This Row],[коэф]])),
IF(OR(G263="4/8",G263="3/8",G263="2/8"),((база!$J$5*Таблица1[[#This Row],[сумма]]*Таблица1[[#This Row],[коэф]])))))))))))</f>
        <v>0</v>
      </c>
      <c r="AP263" s="696" t="b">
        <f>IF(AR263&lt;=3,(IF((G263="5/24"),((база!$M$6*2*Таблица1[[#This Row],[Столбец1]]*Таблица1[[#This Row],[коэф]])),
IF((G263="4/24"),((база!$M$5*2*Таблица1[[#This Row],[Столбец1]]*Таблица1[[#This Row],[коэф]])),
IF((G263="3/24"),((база!$M$4*2*Таблица1[[#This Row],[Столбец1]]*Таблица1[[#This Row],[коэф]])),
IF((G263="5/16"),((база!$L$6*2*Таблица1[[#This Row],[Столбец1]]*Таблица1[[#This Row],[коэф]])),
IF((G263="4/16"),((база!$L$5*2*Таблица1[[#This Row],[Столбец1]]*Таблица1[[#This Row],[коэф]])),
IF((G263="3/16"),((база!$L$4*2*Таблица1[[#This Row],[Столбец1]]*Таблица1[[#This Row],[коэф]])),
IF((G263="4/4"),((база!$I$5*2*Таблица1[[#This Row],[Столбец1]]*Таблица1[[#This Row],[коэф]])),
IF(OR(G263="2/4",G263="3/4"),((база!$I$4*2*Таблица1[[#This Row],[Столбец1]]*Таблица1[[#This Row],[коэф]])),
IF((G263="5/8"),((база!$J$6*2*Таблица1[[#This Row],[Столбец1]]*Таблица1[[#This Row],[коэф]])),
IF((G263="4/8"),((база!$J$5*2*Таблица1[[#This Row],[Столбец1]]*Таблица1[[#This Row],[коэф]])),
IF(OR(G263="3/8",G263="2/8"),((база!$J$4*2*Таблица1[[#This Row],[Столбец1]]*Таблица1[[#This Row],[коэф]])))))))))))))),
(IF((G263="5/24"),((база!$M$6*2*Таблица1[[#This Row],[Столбец1]]*Таблица1[[#This Row],[коэф]])),
IF(OR(G263="4/24",G263="3/24"),((база!$M$5*2*Таблица1[[#This Row],[Столбец1]]*Таблица1[[#This Row],[коэф]])),
IF((G263="5/16"),((база!$L$6*2*Таблица1[[#This Row],[Столбец1]]*Таблица1[[#This Row],[коэф]])),
IF(OR(G263="4/16",G263="3/16"),((база!$L$5*2*Таблица1[[#This Row],[Столбец1]]*Таблица1[[#This Row],[коэф]])),
IF(OR(G263="2/4",G263="3/4",G263="4/4"),((база!$I$5*2*Таблица1[[#This Row],[Столбец1]]*Таблица1[[#This Row],[коэф]])),
IF((G263="5/8"),((база!$J$6*2*Таблица1[[#This Row],[Столбец1]]*Таблица1[[#This Row],[коэф]])),
IF(OR(G263="4/8",G263="3/8",G263="2/8"),((база!$J$5*2*Таблица1[[#This Row],[Столбец1]]*Таблица1[[#This Row],[коэф]])))))))))))</f>
        <v>0</v>
      </c>
      <c r="AQ263" s="678" t="str">
        <f>IFERROR(INDEX(база!T:T, MATCH(F263,база!Q:Q,0)),"")</f>
        <v/>
      </c>
      <c r="AR263" s="193">
        <f>IFERROR(INDEX(база!D:D, MATCH(F263,база!B:B,0)),"")</f>
        <v>0</v>
      </c>
    </row>
    <row r="264" spans="1:44" ht="15">
      <c r="A264" s="59"/>
      <c r="B264" s="215"/>
      <c r="C264" s="277"/>
      <c r="D264" s="55"/>
      <c r="E264" s="196"/>
      <c r="F264" s="651"/>
      <c r="G264" s="42"/>
      <c r="H264" s="539"/>
      <c r="I264" s="539"/>
      <c r="J264" s="539"/>
      <c r="K264" s="539"/>
      <c r="L264" s="539"/>
      <c r="M264" s="539"/>
      <c r="N264" s="539"/>
      <c r="O264" s="539"/>
      <c r="P264" s="278"/>
      <c r="Q264" s="539"/>
      <c r="R264" s="539"/>
      <c r="S264" s="539"/>
      <c r="T264" s="539"/>
      <c r="U264" s="539"/>
      <c r="V264" s="539"/>
      <c r="W264" s="539"/>
      <c r="X264" s="539"/>
      <c r="Y264" s="539"/>
      <c r="Z264" s="539"/>
      <c r="AA264" s="539"/>
      <c r="AB264" s="539"/>
      <c r="AC264" s="539"/>
      <c r="AD264" s="43"/>
      <c r="AE264" s="43"/>
      <c r="AF264" s="238"/>
      <c r="AG264" s="43"/>
      <c r="AH264" s="43"/>
      <c r="AI264" s="43"/>
      <c r="AJ264" s="43"/>
      <c r="AK264" s="43"/>
      <c r="AL264" s="45"/>
      <c r="AM264" s="197">
        <f>IF(AQ264=1,SUM(H264:I264,L264:O264,R264:U264,X264:AA264,AD264:AG264,AI264:AK264),
IF(AQ264=2,SUM(H264:K264,N264:Q264,T264:W264,Z264:AC264,AF264:AI264),
IF(AQ264=3,SUM(J264:M264,P264:S264,V264:Y264,AB264:AE264,AH264:AK264),SUM(Таблица1[[#This Row],[1]:[31]])-Таблица1[[#This Row],[Столбец1]])))</f>
        <v>0</v>
      </c>
      <c r="AN264" s="269">
        <f t="array" ref="AN264">IF(AQ264=1,SUM(J264:K264,P264:Q264,V264:W264,AB264:AC264,AH264:AI264),
IF(AQ264=2,SUM(L264:M264,R264:S264,X264:Y264,AD264:AE264),
IF(AQ264=3,SUM(H264:I264,N264:O264,T264:U264,Z264:AA264,AF264:AG264),
SUM(IFERROR(WEEKDAY($H$2:$AL$2,2)&gt;5,)*H264:AL264))))</f>
        <v>0</v>
      </c>
      <c r="AO264" s="271" t="b">
        <f>IF(AR264&lt;=3,(IF((G264="5/24"),((база!$M$6*Таблица1[[#This Row],[сумма]]*Таблица1[[#This Row],[коэф]])),
IF((G264="4/24"),((база!$M$5*Таблица1[[#This Row],[сумма]]*Таблица1[[#This Row],[коэф]])),
IF((G264="3/24"),((база!$M$4*Таблица1[[#This Row],[сумма]]*Таблица1[[#This Row],[коэф]])),
IF((G264="5/16"),((база!$L$6*Таблица1[[#This Row],[сумма]]*Таблица1[[#This Row],[коэф]])),
IF((G264="4/16"),((база!$L$5*Таблица1[[#This Row],[сумма]]*Таблица1[[#This Row],[коэф]])),
IF((G264="3/16"),((база!$L$4*Таблица1[[#This Row],[сумма]]*Таблица1[[#This Row],[коэф]])),
IF((G264="4/4"),((база!$I$5*Таблица1[[#This Row],[сумма]]*Таблица1[[#This Row],[коэф]])),
IF(OR(G264="2/4",G264="3/4"),((база!$I$4*Таблица1[[#This Row],[сумма]]*Таблица1[[#This Row],[коэф]])),
IF((G264="5/8"),((база!$J$6*Таблица1[[#This Row],[сумма]]*Таблица1[[#This Row],[коэф]])),
IF((G264="4/8"),((база!$J$5*Таблица1[[#This Row],[сумма]]*Таблица1[[#This Row],[коэф]])),
IF(OR(G264="3/8",G264="2/8"),((база!$J$4*Таблица1[[#This Row],[сумма]]*Таблица1[[#This Row],[коэф]])))))))))))))),
(IF((G264="5/24"),((база!$M$6*Таблица1[[#This Row],[сумма]]*Таблица1[[#This Row],[коэф]])),
IF(OR(G264="4/24",G264="3/24"),((база!$M$5*Таблица1[[#This Row],[сумма]]*Таблица1[[#This Row],[коэф]])),
IF((G264="5/16"),((база!$L$6*Таблица1[[#This Row],[сумма]]*Таблица1[[#This Row],[коэф]])),
IF(OR(G264="4/16",G264="3/16"),((база!$L$5*Таблица1[[#This Row],[сумма]]*Таблица1[[#This Row],[коэф]])),
IF(OR(G264="2/4",G264="3/4",G264="4/4"),((база!$I$5*Таблица1[[#This Row],[сумма]]*Таблица1[[#This Row],[коэф]])),
IF((G264="5/8"),((база!$J$6*Таблица1[[#This Row],[сумма]]*Таблица1[[#This Row],[коэф]])),
IF(OR(G264="4/8",G264="3/8",G264="2/8"),((база!$J$5*Таблица1[[#This Row],[сумма]]*Таблица1[[#This Row],[коэф]])))))))))))</f>
        <v>0</v>
      </c>
      <c r="AP264" s="696" t="b">
        <f>IF(AR264&lt;=3,(IF((G264="5/24"),((база!$M$6*2*Таблица1[[#This Row],[Столбец1]]*Таблица1[[#This Row],[коэф]])),
IF((G264="4/24"),((база!$M$5*2*Таблица1[[#This Row],[Столбец1]]*Таблица1[[#This Row],[коэф]])),
IF((G264="3/24"),((база!$M$4*2*Таблица1[[#This Row],[Столбец1]]*Таблица1[[#This Row],[коэф]])),
IF((G264="5/16"),((база!$L$6*2*Таблица1[[#This Row],[Столбец1]]*Таблица1[[#This Row],[коэф]])),
IF((G264="4/16"),((база!$L$5*2*Таблица1[[#This Row],[Столбец1]]*Таблица1[[#This Row],[коэф]])),
IF((G264="3/16"),((база!$L$4*2*Таблица1[[#This Row],[Столбец1]]*Таблица1[[#This Row],[коэф]])),
IF((G264="4/4"),((база!$I$5*2*Таблица1[[#This Row],[Столбец1]]*Таблица1[[#This Row],[коэф]])),
IF(OR(G264="2/4",G264="3/4"),((база!$I$4*2*Таблица1[[#This Row],[Столбец1]]*Таблица1[[#This Row],[коэф]])),
IF((G264="5/8"),((база!$J$6*2*Таблица1[[#This Row],[Столбец1]]*Таблица1[[#This Row],[коэф]])),
IF((G264="4/8"),((база!$J$5*2*Таблица1[[#This Row],[Столбец1]]*Таблица1[[#This Row],[коэф]])),
IF(OR(G264="3/8",G264="2/8"),((база!$J$4*2*Таблица1[[#This Row],[Столбец1]]*Таблица1[[#This Row],[коэф]])))))))))))))),
(IF((G264="5/24"),((база!$M$6*2*Таблица1[[#This Row],[Столбец1]]*Таблица1[[#This Row],[коэф]])),
IF(OR(G264="4/24",G264="3/24"),((база!$M$5*2*Таблица1[[#This Row],[Столбец1]]*Таблица1[[#This Row],[коэф]])),
IF((G264="5/16"),((база!$L$6*2*Таблица1[[#This Row],[Столбец1]]*Таблица1[[#This Row],[коэф]])),
IF(OR(G264="4/16",G264="3/16"),((база!$L$5*2*Таблица1[[#This Row],[Столбец1]]*Таблица1[[#This Row],[коэф]])),
IF(OR(G264="2/4",G264="3/4",G264="4/4"),((база!$I$5*2*Таблица1[[#This Row],[Столбец1]]*Таблица1[[#This Row],[коэф]])),
IF((G264="5/8"),((база!$J$6*2*Таблица1[[#This Row],[Столбец1]]*Таблица1[[#This Row],[коэф]])),
IF(OR(G264="4/8",G264="3/8",G264="2/8"),((база!$J$5*2*Таблица1[[#This Row],[Столбец1]]*Таблица1[[#This Row],[коэф]])))))))))))</f>
        <v>0</v>
      </c>
      <c r="AQ264" s="678" t="str">
        <f>IFERROR(INDEX(база!T:T, MATCH(F264,база!Q:Q,0)),"")</f>
        <v/>
      </c>
      <c r="AR264" s="193">
        <f>IFERROR(INDEX(база!D:D, MATCH(F264,база!B:B,0)),"")</f>
        <v>0</v>
      </c>
    </row>
    <row r="265" spans="1:44" ht="15">
      <c r="A265" s="59"/>
      <c r="B265" s="215"/>
      <c r="C265" s="54"/>
      <c r="D265" s="55"/>
      <c r="E265" s="196"/>
      <c r="F265" s="651"/>
      <c r="G265" s="42"/>
      <c r="H265" s="539"/>
      <c r="I265" s="539"/>
      <c r="J265" s="539"/>
      <c r="K265" s="539"/>
      <c r="L265" s="539"/>
      <c r="M265" s="539"/>
      <c r="N265" s="539"/>
      <c r="O265" s="539"/>
      <c r="P265" s="278"/>
      <c r="Q265" s="539"/>
      <c r="R265" s="539"/>
      <c r="S265" s="539"/>
      <c r="T265" s="539"/>
      <c r="U265" s="539"/>
      <c r="V265" s="539"/>
      <c r="W265" s="539"/>
      <c r="X265" s="539"/>
      <c r="Y265" s="539"/>
      <c r="Z265" s="539"/>
      <c r="AA265" s="539"/>
      <c r="AB265" s="539"/>
      <c r="AC265" s="539"/>
      <c r="AD265" s="43"/>
      <c r="AE265" s="43"/>
      <c r="AF265" s="238"/>
      <c r="AG265" s="43"/>
      <c r="AH265" s="43"/>
      <c r="AI265" s="238"/>
      <c r="AJ265" s="238"/>
      <c r="AK265" s="238"/>
      <c r="AL265" s="238"/>
      <c r="AM265" s="197">
        <f>IF(AQ265=1,SUM(H265:I265,L265:O265,R265:U265,X265:AA265,AD265:AG265,AI265:AK265),
IF(AQ265=2,SUM(H265:K265,N265:Q265,T265:W265,Z265:AC265,AF265:AI265),
IF(AQ265=3,SUM(J265:M265,P265:S265,V265:Y265,AB265:AE265,AH265:AK265),SUM(Таблица1[[#This Row],[1]:[31]])-Таблица1[[#This Row],[Столбец1]])))</f>
        <v>0</v>
      </c>
      <c r="AN265" s="269">
        <f t="array" ref="AN265">IF(AQ265=1,SUM(J265:K265,P265:Q265,V265:W265,AB265:AC265,AH265:AI265),
IF(AQ265=2,SUM(L265:M265,R265:S265,X265:Y265,AD265:AE265),
IF(AQ265=3,SUM(H265:I265,N265:O265,T265:U265,Z265:AA265,AF265:AG265),
SUM(IFERROR(WEEKDAY($H$2:$AL$2,2)&gt;5,)*H265:AL265))))</f>
        <v>0</v>
      </c>
      <c r="AO265" s="271" t="b">
        <f>IF(AR265&lt;=3,(IF((G265="5/24"),((база!$M$6*Таблица1[[#This Row],[сумма]]*Таблица1[[#This Row],[коэф]])),
IF((G265="4/24"),((база!$M$5*Таблица1[[#This Row],[сумма]]*Таблица1[[#This Row],[коэф]])),
IF((G265="3/24"),((база!$M$4*Таблица1[[#This Row],[сумма]]*Таблица1[[#This Row],[коэф]])),
IF((G265="5/16"),((база!$L$6*Таблица1[[#This Row],[сумма]]*Таблица1[[#This Row],[коэф]])),
IF((G265="4/16"),((база!$L$5*Таблица1[[#This Row],[сумма]]*Таблица1[[#This Row],[коэф]])),
IF((G265="3/16"),((база!$L$4*Таблица1[[#This Row],[сумма]]*Таблица1[[#This Row],[коэф]])),
IF((G265="4/4"),((база!$I$5*Таблица1[[#This Row],[сумма]]*Таблица1[[#This Row],[коэф]])),
IF(OR(G265="2/4",G265="3/4"),((база!$I$4*Таблица1[[#This Row],[сумма]]*Таблица1[[#This Row],[коэф]])),
IF((G265="5/8"),((база!$J$6*Таблица1[[#This Row],[сумма]]*Таблица1[[#This Row],[коэф]])),
IF((G265="4/8"),((база!$J$5*Таблица1[[#This Row],[сумма]]*Таблица1[[#This Row],[коэф]])),
IF(OR(G265="3/8",G265="2/8"),((база!$J$4*Таблица1[[#This Row],[сумма]]*Таблица1[[#This Row],[коэф]])))))))))))))),
(IF((G265="5/24"),((база!$M$6*Таблица1[[#This Row],[сумма]]*Таблица1[[#This Row],[коэф]])),
IF(OR(G265="4/24",G265="3/24"),((база!$M$5*Таблица1[[#This Row],[сумма]]*Таблица1[[#This Row],[коэф]])),
IF((G265="5/16"),((база!$L$6*Таблица1[[#This Row],[сумма]]*Таблица1[[#This Row],[коэф]])),
IF(OR(G265="4/16",G265="3/16"),((база!$L$5*Таблица1[[#This Row],[сумма]]*Таблица1[[#This Row],[коэф]])),
IF(OR(G265="2/4",G265="3/4",G265="4/4"),((база!$I$5*Таблица1[[#This Row],[сумма]]*Таблица1[[#This Row],[коэф]])),
IF((G265="5/8"),((база!$J$6*Таблица1[[#This Row],[сумма]]*Таблица1[[#This Row],[коэф]])),
IF(OR(G265="4/8",G265="3/8",G265="2/8"),((база!$J$5*Таблица1[[#This Row],[сумма]]*Таблица1[[#This Row],[коэф]])))))))))))</f>
        <v>0</v>
      </c>
      <c r="AP265" s="696" t="b">
        <f>IF(AR265&lt;=3,(IF((G265="5/24"),((база!$M$6*2*Таблица1[[#This Row],[Столбец1]]*Таблица1[[#This Row],[коэф]])),
IF((G265="4/24"),((база!$M$5*2*Таблица1[[#This Row],[Столбец1]]*Таблица1[[#This Row],[коэф]])),
IF((G265="3/24"),((база!$M$4*2*Таблица1[[#This Row],[Столбец1]]*Таблица1[[#This Row],[коэф]])),
IF((G265="5/16"),((база!$L$6*2*Таблица1[[#This Row],[Столбец1]]*Таблица1[[#This Row],[коэф]])),
IF((G265="4/16"),((база!$L$5*2*Таблица1[[#This Row],[Столбец1]]*Таблица1[[#This Row],[коэф]])),
IF((G265="3/16"),((база!$L$4*2*Таблица1[[#This Row],[Столбец1]]*Таблица1[[#This Row],[коэф]])),
IF((G265="4/4"),((база!$I$5*2*Таблица1[[#This Row],[Столбец1]]*Таблица1[[#This Row],[коэф]])),
IF(OR(G265="2/4",G265="3/4"),((база!$I$4*2*Таблица1[[#This Row],[Столбец1]]*Таблица1[[#This Row],[коэф]])),
IF((G265="5/8"),((база!$J$6*2*Таблица1[[#This Row],[Столбец1]]*Таблица1[[#This Row],[коэф]])),
IF((G265="4/8"),((база!$J$5*2*Таблица1[[#This Row],[Столбец1]]*Таблица1[[#This Row],[коэф]])),
IF(OR(G265="3/8",G265="2/8"),((база!$J$4*2*Таблица1[[#This Row],[Столбец1]]*Таблица1[[#This Row],[коэф]])))))))))))))),
(IF((G265="5/24"),((база!$M$6*2*Таблица1[[#This Row],[Столбец1]]*Таблица1[[#This Row],[коэф]])),
IF(OR(G265="4/24",G265="3/24"),((база!$M$5*2*Таблица1[[#This Row],[Столбец1]]*Таблица1[[#This Row],[коэф]])),
IF((G265="5/16"),((база!$L$6*2*Таблица1[[#This Row],[Столбец1]]*Таблица1[[#This Row],[коэф]])),
IF(OR(G265="4/16",G265="3/16"),((база!$L$5*2*Таблица1[[#This Row],[Столбец1]]*Таблица1[[#This Row],[коэф]])),
IF(OR(G265="2/4",G265="3/4",G265="4/4"),((база!$I$5*2*Таблица1[[#This Row],[Столбец1]]*Таблица1[[#This Row],[коэф]])),
IF((G265="5/8"),((база!$J$6*2*Таблица1[[#This Row],[Столбец1]]*Таблица1[[#This Row],[коэф]])),
IF(OR(G265="4/8",G265="3/8",G265="2/8"),((база!$J$5*2*Таблица1[[#This Row],[Столбец1]]*Таблица1[[#This Row],[коэф]])))))))))))</f>
        <v>0</v>
      </c>
      <c r="AQ265" s="678" t="str">
        <f>IFERROR(INDEX(база!T:T, MATCH(F265,база!Q:Q,0)),"")</f>
        <v/>
      </c>
      <c r="AR265" s="193">
        <f>IFERROR(INDEX(база!D:D, MATCH(F265,база!B:B,0)),"")</f>
        <v>0</v>
      </c>
    </row>
    <row r="266" spans="1:44" ht="15">
      <c r="A266" s="59"/>
      <c r="B266" s="215"/>
      <c r="C266" s="54"/>
      <c r="D266" s="55"/>
      <c r="E266" s="196"/>
      <c r="F266" s="651"/>
      <c r="G266" s="42"/>
      <c r="H266" s="539"/>
      <c r="I266" s="539"/>
      <c r="J266" s="539"/>
      <c r="K266" s="539"/>
      <c r="L266" s="539"/>
      <c r="M266" s="539"/>
      <c r="N266" s="539"/>
      <c r="O266" s="539"/>
      <c r="P266" s="278"/>
      <c r="Q266" s="539"/>
      <c r="R266" s="539"/>
      <c r="S266" s="539"/>
      <c r="T266" s="539"/>
      <c r="U266" s="539"/>
      <c r="V266" s="539"/>
      <c r="W266" s="539"/>
      <c r="X266" s="539"/>
      <c r="Y266" s="539"/>
      <c r="Z266" s="539"/>
      <c r="AA266" s="539"/>
      <c r="AB266" s="539"/>
      <c r="AC266" s="539"/>
      <c r="AD266" s="43"/>
      <c r="AE266" s="43"/>
      <c r="AF266" s="238"/>
      <c r="AG266" s="43"/>
      <c r="AH266" s="43"/>
      <c r="AI266" s="43"/>
      <c r="AJ266" s="43"/>
      <c r="AK266" s="43"/>
      <c r="AL266" s="45"/>
      <c r="AM266" s="197">
        <f>IF(AQ266=1,SUM(H266:I266,L266:O266,R266:U266,X266:AA266,AD266:AG266,AI266:AK266),
IF(AQ266=2,SUM(H266:K266,N266:Q266,T266:W266,Z266:AC266,AF266:AI266),
IF(AQ266=3,SUM(J266:M266,P266:S266,V266:Y266,AB266:AE266,AH266:AK266),SUM(Таблица1[[#This Row],[1]:[31]])-Таблица1[[#This Row],[Столбец1]])))</f>
        <v>0</v>
      </c>
      <c r="AN266" s="269">
        <f t="array" ref="AN266">IF(AQ266=1,SUM(J266:K266,P266:Q266,V266:W266,AB266:AC266,AH266:AI266),
IF(AQ266=2,SUM(L266:M266,R266:S266,X266:Y266,AD266:AE266),
IF(AQ266=3,SUM(H266:I266,N266:O266,T266:U266,Z266:AA266,AF266:AG266),
SUM(IFERROR(WEEKDAY($H$2:$AL$2,2)&gt;5,)*H266:AL266))))</f>
        <v>0</v>
      </c>
      <c r="AO266" s="271" t="b">
        <f>IF(AR266&lt;=3,(IF((G266="5/24"),((база!$M$6*Таблица1[[#This Row],[сумма]]*Таблица1[[#This Row],[коэф]])),
IF((G266="4/24"),((база!$M$5*Таблица1[[#This Row],[сумма]]*Таблица1[[#This Row],[коэф]])),
IF((G266="3/24"),((база!$M$4*Таблица1[[#This Row],[сумма]]*Таблица1[[#This Row],[коэф]])),
IF((G266="5/16"),((база!$L$6*Таблица1[[#This Row],[сумма]]*Таблица1[[#This Row],[коэф]])),
IF((G266="4/16"),((база!$L$5*Таблица1[[#This Row],[сумма]]*Таблица1[[#This Row],[коэф]])),
IF((G266="3/16"),((база!$L$4*Таблица1[[#This Row],[сумма]]*Таблица1[[#This Row],[коэф]])),
IF((G266="4/4"),((база!$I$5*Таблица1[[#This Row],[сумма]]*Таблица1[[#This Row],[коэф]])),
IF(OR(G266="2/4",G266="3/4"),((база!$I$4*Таблица1[[#This Row],[сумма]]*Таблица1[[#This Row],[коэф]])),
IF((G266="5/8"),((база!$J$6*Таблица1[[#This Row],[сумма]]*Таблица1[[#This Row],[коэф]])),
IF((G266="4/8"),((база!$J$5*Таблица1[[#This Row],[сумма]]*Таблица1[[#This Row],[коэф]])),
IF(OR(G266="3/8",G266="2/8"),((база!$J$4*Таблица1[[#This Row],[сумма]]*Таблица1[[#This Row],[коэф]])))))))))))))),
(IF((G266="5/24"),((база!$M$6*Таблица1[[#This Row],[сумма]]*Таблица1[[#This Row],[коэф]])),
IF(OR(G266="4/24",G266="3/24"),((база!$M$5*Таблица1[[#This Row],[сумма]]*Таблица1[[#This Row],[коэф]])),
IF((G266="5/16"),((база!$L$6*Таблица1[[#This Row],[сумма]]*Таблица1[[#This Row],[коэф]])),
IF(OR(G266="4/16",G266="3/16"),((база!$L$5*Таблица1[[#This Row],[сумма]]*Таблица1[[#This Row],[коэф]])),
IF(OR(G266="2/4",G266="3/4",G266="4/4"),((база!$I$5*Таблица1[[#This Row],[сумма]]*Таблица1[[#This Row],[коэф]])),
IF((G266="5/8"),((база!$J$6*Таблица1[[#This Row],[сумма]]*Таблица1[[#This Row],[коэф]])),
IF(OR(G266="4/8",G266="3/8",G266="2/8"),((база!$J$5*Таблица1[[#This Row],[сумма]]*Таблица1[[#This Row],[коэф]])))))))))))</f>
        <v>0</v>
      </c>
      <c r="AP266" s="696" t="b">
        <f>IF(AR266&lt;=3,(IF((G266="5/24"),((база!$M$6*2*Таблица1[[#This Row],[Столбец1]]*Таблица1[[#This Row],[коэф]])),
IF((G266="4/24"),((база!$M$5*2*Таблица1[[#This Row],[Столбец1]]*Таблица1[[#This Row],[коэф]])),
IF((G266="3/24"),((база!$M$4*2*Таблица1[[#This Row],[Столбец1]]*Таблица1[[#This Row],[коэф]])),
IF((G266="5/16"),((база!$L$6*2*Таблица1[[#This Row],[Столбец1]]*Таблица1[[#This Row],[коэф]])),
IF((G266="4/16"),((база!$L$5*2*Таблица1[[#This Row],[Столбец1]]*Таблица1[[#This Row],[коэф]])),
IF((G266="3/16"),((база!$L$4*2*Таблица1[[#This Row],[Столбец1]]*Таблица1[[#This Row],[коэф]])),
IF((G266="4/4"),((база!$I$5*2*Таблица1[[#This Row],[Столбец1]]*Таблица1[[#This Row],[коэф]])),
IF(OR(G266="2/4",G266="3/4"),((база!$I$4*2*Таблица1[[#This Row],[Столбец1]]*Таблица1[[#This Row],[коэф]])),
IF((G266="5/8"),((база!$J$6*2*Таблица1[[#This Row],[Столбец1]]*Таблица1[[#This Row],[коэф]])),
IF((G266="4/8"),((база!$J$5*2*Таблица1[[#This Row],[Столбец1]]*Таблица1[[#This Row],[коэф]])),
IF(OR(G266="3/8",G266="2/8"),((база!$J$4*2*Таблица1[[#This Row],[Столбец1]]*Таблица1[[#This Row],[коэф]])))))))))))))),
(IF((G266="5/24"),((база!$M$6*2*Таблица1[[#This Row],[Столбец1]]*Таблица1[[#This Row],[коэф]])),
IF(OR(G266="4/24",G266="3/24"),((база!$M$5*2*Таблица1[[#This Row],[Столбец1]]*Таблица1[[#This Row],[коэф]])),
IF((G266="5/16"),((база!$L$6*2*Таблица1[[#This Row],[Столбец1]]*Таблица1[[#This Row],[коэф]])),
IF(OR(G266="4/16",G266="3/16"),((база!$L$5*2*Таблица1[[#This Row],[Столбец1]]*Таблица1[[#This Row],[коэф]])),
IF(OR(G266="2/4",G266="3/4",G266="4/4"),((база!$I$5*2*Таблица1[[#This Row],[Столбец1]]*Таблица1[[#This Row],[коэф]])),
IF((G266="5/8"),((база!$J$6*2*Таблица1[[#This Row],[Столбец1]]*Таблица1[[#This Row],[коэф]])),
IF(OR(G266="4/8",G266="3/8",G266="2/8"),((база!$J$5*2*Таблица1[[#This Row],[Столбец1]]*Таблица1[[#This Row],[коэф]])))))))))))</f>
        <v>0</v>
      </c>
      <c r="AQ266" s="678" t="str">
        <f>IFERROR(INDEX(база!T:T, MATCH(F266,база!Q:Q,0)),"")</f>
        <v/>
      </c>
      <c r="AR266" s="193">
        <f>IFERROR(INDEX(база!D:D, MATCH(F266,база!B:B,0)),"")</f>
        <v>0</v>
      </c>
    </row>
    <row r="267" spans="1:44" ht="15">
      <c r="A267" s="59"/>
      <c r="B267" s="215"/>
      <c r="C267" s="277"/>
      <c r="D267" s="55"/>
      <c r="E267" s="196"/>
      <c r="F267" s="651"/>
      <c r="G267" s="42"/>
      <c r="H267" s="539"/>
      <c r="I267" s="539"/>
      <c r="J267" s="539"/>
      <c r="K267" s="539"/>
      <c r="L267" s="539"/>
      <c r="M267" s="539"/>
      <c r="N267" s="539"/>
      <c r="O267" s="539"/>
      <c r="P267" s="278"/>
      <c r="Q267" s="539"/>
      <c r="R267" s="539"/>
      <c r="S267" s="539"/>
      <c r="T267" s="539"/>
      <c r="U267" s="539"/>
      <c r="V267" s="539"/>
      <c r="W267" s="539"/>
      <c r="X267" s="539"/>
      <c r="Y267" s="539"/>
      <c r="Z267" s="539"/>
      <c r="AA267" s="539"/>
      <c r="AB267" s="539"/>
      <c r="AC267" s="539"/>
      <c r="AD267" s="43"/>
      <c r="AE267" s="43"/>
      <c r="AF267" s="238"/>
      <c r="AG267" s="43"/>
      <c r="AH267" s="43"/>
      <c r="AI267" s="238"/>
      <c r="AJ267" s="238"/>
      <c r="AK267" s="238"/>
      <c r="AL267" s="238"/>
      <c r="AM267" s="197">
        <f>IF(AQ267=1,SUM(H267:I267,L267:O267,R267:U267,X267:AA267,AD267:AG267,AI267:AK267),
IF(AQ267=2,SUM(H267:K267,N267:Q267,T267:W267,Z267:AC267,AF267:AI267),
IF(AQ267=3,SUM(J267:M267,P267:S267,V267:Y267,AB267:AE267,AH267:AK267),SUM(Таблица1[[#This Row],[1]:[31]])-Таблица1[[#This Row],[Столбец1]])))</f>
        <v>0</v>
      </c>
      <c r="AN267" s="269">
        <f t="array" ref="AN267">IF(AQ267=1,SUM(J267:K267,P267:Q267,V267:W267,AB267:AC267,AH267:AI267),
IF(AQ267=2,SUM(L267:M267,R267:S267,X267:Y267,AD267:AE267),
IF(AQ267=3,SUM(H267:I267,N267:O267,T267:U267,Z267:AA267,AF267:AG267),
SUM(IFERROR(WEEKDAY($H$2:$AL$2,2)&gt;5,)*H267:AL267))))</f>
        <v>0</v>
      </c>
      <c r="AO267" s="271" t="b">
        <f>IF(AR267&lt;=3,(IF((G267="5/24"),((база!$M$6*Таблица1[[#This Row],[сумма]]*Таблица1[[#This Row],[коэф]])),
IF((G267="4/24"),((база!$M$5*Таблица1[[#This Row],[сумма]]*Таблица1[[#This Row],[коэф]])),
IF((G267="3/24"),((база!$M$4*Таблица1[[#This Row],[сумма]]*Таблица1[[#This Row],[коэф]])),
IF((G267="5/16"),((база!$L$6*Таблица1[[#This Row],[сумма]]*Таблица1[[#This Row],[коэф]])),
IF((G267="4/16"),((база!$L$5*Таблица1[[#This Row],[сумма]]*Таблица1[[#This Row],[коэф]])),
IF((G267="3/16"),((база!$L$4*Таблица1[[#This Row],[сумма]]*Таблица1[[#This Row],[коэф]])),
IF((G267="4/4"),((база!$I$5*Таблица1[[#This Row],[сумма]]*Таблица1[[#This Row],[коэф]])),
IF(OR(G267="2/4",G267="3/4"),((база!$I$4*Таблица1[[#This Row],[сумма]]*Таблица1[[#This Row],[коэф]])),
IF((G267="5/8"),((база!$J$6*Таблица1[[#This Row],[сумма]]*Таблица1[[#This Row],[коэф]])),
IF((G267="4/8"),((база!$J$5*Таблица1[[#This Row],[сумма]]*Таблица1[[#This Row],[коэф]])),
IF(OR(G267="3/8",G267="2/8"),((база!$J$4*Таблица1[[#This Row],[сумма]]*Таблица1[[#This Row],[коэф]])))))))))))))),
(IF((G267="5/24"),((база!$M$6*Таблица1[[#This Row],[сумма]]*Таблица1[[#This Row],[коэф]])),
IF(OR(G267="4/24",G267="3/24"),((база!$M$5*Таблица1[[#This Row],[сумма]]*Таблица1[[#This Row],[коэф]])),
IF((G267="5/16"),((база!$L$6*Таблица1[[#This Row],[сумма]]*Таблица1[[#This Row],[коэф]])),
IF(OR(G267="4/16",G267="3/16"),((база!$L$5*Таблица1[[#This Row],[сумма]]*Таблица1[[#This Row],[коэф]])),
IF(OR(G267="2/4",G267="3/4",G267="4/4"),((база!$I$5*Таблица1[[#This Row],[сумма]]*Таблица1[[#This Row],[коэф]])),
IF((G267="5/8"),((база!$J$6*Таблица1[[#This Row],[сумма]]*Таблица1[[#This Row],[коэф]])),
IF(OR(G267="4/8",G267="3/8",G267="2/8"),((база!$J$5*Таблица1[[#This Row],[сумма]]*Таблица1[[#This Row],[коэф]])))))))))))</f>
        <v>0</v>
      </c>
      <c r="AP267" s="696" t="b">
        <f>IF(AR267&lt;=3,(IF((G267="5/24"),((база!$M$6*2*Таблица1[[#This Row],[Столбец1]]*Таблица1[[#This Row],[коэф]])),
IF((G267="4/24"),((база!$M$5*2*Таблица1[[#This Row],[Столбец1]]*Таблица1[[#This Row],[коэф]])),
IF((G267="3/24"),((база!$M$4*2*Таблица1[[#This Row],[Столбец1]]*Таблица1[[#This Row],[коэф]])),
IF((G267="5/16"),((база!$L$6*2*Таблица1[[#This Row],[Столбец1]]*Таблица1[[#This Row],[коэф]])),
IF((G267="4/16"),((база!$L$5*2*Таблица1[[#This Row],[Столбец1]]*Таблица1[[#This Row],[коэф]])),
IF((G267="3/16"),((база!$L$4*2*Таблица1[[#This Row],[Столбец1]]*Таблица1[[#This Row],[коэф]])),
IF((G267="4/4"),((база!$I$5*2*Таблица1[[#This Row],[Столбец1]]*Таблица1[[#This Row],[коэф]])),
IF(OR(G267="2/4",G267="3/4"),((база!$I$4*2*Таблица1[[#This Row],[Столбец1]]*Таблица1[[#This Row],[коэф]])),
IF((G267="5/8"),((база!$J$6*2*Таблица1[[#This Row],[Столбец1]]*Таблица1[[#This Row],[коэф]])),
IF((G267="4/8"),((база!$J$5*2*Таблица1[[#This Row],[Столбец1]]*Таблица1[[#This Row],[коэф]])),
IF(OR(G267="3/8",G267="2/8"),((база!$J$4*2*Таблица1[[#This Row],[Столбец1]]*Таблица1[[#This Row],[коэф]])))))))))))))),
(IF((G267="5/24"),((база!$M$6*2*Таблица1[[#This Row],[Столбец1]]*Таблица1[[#This Row],[коэф]])),
IF(OR(G267="4/24",G267="3/24"),((база!$M$5*2*Таблица1[[#This Row],[Столбец1]]*Таблица1[[#This Row],[коэф]])),
IF((G267="5/16"),((база!$L$6*2*Таблица1[[#This Row],[Столбец1]]*Таблица1[[#This Row],[коэф]])),
IF(OR(G267="4/16",G267="3/16"),((база!$L$5*2*Таблица1[[#This Row],[Столбец1]]*Таблица1[[#This Row],[коэф]])),
IF(OR(G267="2/4",G267="3/4",G267="4/4"),((база!$I$5*2*Таблица1[[#This Row],[Столбец1]]*Таблица1[[#This Row],[коэф]])),
IF((G267="5/8"),((база!$J$6*2*Таблица1[[#This Row],[Столбец1]]*Таблица1[[#This Row],[коэф]])),
IF(OR(G267="4/8",G267="3/8",G267="2/8"),((база!$J$5*2*Таблица1[[#This Row],[Столбец1]]*Таблица1[[#This Row],[коэф]])))))))))))</f>
        <v>0</v>
      </c>
      <c r="AQ267" s="678" t="str">
        <f>IFERROR(INDEX(база!T:T, MATCH(F267,база!Q:Q,0)),"")</f>
        <v/>
      </c>
      <c r="AR267" s="193">
        <f>IFERROR(INDEX(база!D:D, MATCH(F267,база!B:B,0)),"")</f>
        <v>0</v>
      </c>
    </row>
    <row r="268" spans="1:44" ht="15">
      <c r="A268" s="59"/>
      <c r="B268" s="215"/>
      <c r="C268" s="277"/>
      <c r="D268" s="55"/>
      <c r="E268" s="196"/>
      <c r="F268" s="651"/>
      <c r="G268" s="42"/>
      <c r="H268" s="539"/>
      <c r="I268" s="539"/>
      <c r="J268" s="539"/>
      <c r="K268" s="539"/>
      <c r="L268" s="539"/>
      <c r="M268" s="539"/>
      <c r="N268" s="539"/>
      <c r="O268" s="539"/>
      <c r="P268" s="278"/>
      <c r="Q268" s="539"/>
      <c r="R268" s="539"/>
      <c r="S268" s="539"/>
      <c r="T268" s="539"/>
      <c r="U268" s="539"/>
      <c r="V268" s="539"/>
      <c r="W268" s="539"/>
      <c r="X268" s="539"/>
      <c r="Y268" s="539"/>
      <c r="Z268" s="539"/>
      <c r="AA268" s="539"/>
      <c r="AB268" s="539"/>
      <c r="AC268" s="539"/>
      <c r="AD268" s="43"/>
      <c r="AE268" s="43"/>
      <c r="AF268" s="238"/>
      <c r="AG268" s="43"/>
      <c r="AH268" s="43"/>
      <c r="AI268" s="43"/>
      <c r="AJ268" s="43"/>
      <c r="AK268" s="43"/>
      <c r="AL268" s="45"/>
      <c r="AM268" s="197">
        <f>IF(AQ268=1,SUM(H268:I268,L268:O268,R268:U268,X268:AA268,AD268:AG268,AI268:AK268),
IF(AQ268=2,SUM(H268:K268,N268:Q268,T268:W268,Z268:AC268,AF268:AI268),
IF(AQ268=3,SUM(J268:M268,P268:S268,V268:Y268,AB268:AE268,AH268:AK268),SUM(Таблица1[[#This Row],[1]:[31]])-Таблица1[[#This Row],[Столбец1]])))</f>
        <v>0</v>
      </c>
      <c r="AN268" s="269">
        <f t="array" ref="AN268">IF(AQ268=1,SUM(J268:K268,P268:Q268,V268:W268,AB268:AC268,AH268:AI268),
IF(AQ268=2,SUM(L268:M268,R268:S268,X268:Y268,AD268:AE268),
IF(AQ268=3,SUM(H268:I268,N268:O268,T268:U268,Z268:AA268,AF268:AG268),
SUM(IFERROR(WEEKDAY($H$2:$AL$2,2)&gt;5,)*H268:AL268))))</f>
        <v>0</v>
      </c>
      <c r="AO268" s="271" t="b">
        <f>IF(AR268&lt;=3,(IF((G268="5/24"),((база!$M$6*Таблица1[[#This Row],[сумма]]*Таблица1[[#This Row],[коэф]])),
IF((G268="4/24"),((база!$M$5*Таблица1[[#This Row],[сумма]]*Таблица1[[#This Row],[коэф]])),
IF((G268="3/24"),((база!$M$4*Таблица1[[#This Row],[сумма]]*Таблица1[[#This Row],[коэф]])),
IF((G268="5/16"),((база!$L$6*Таблица1[[#This Row],[сумма]]*Таблица1[[#This Row],[коэф]])),
IF((G268="4/16"),((база!$L$5*Таблица1[[#This Row],[сумма]]*Таблица1[[#This Row],[коэф]])),
IF((G268="3/16"),((база!$L$4*Таблица1[[#This Row],[сумма]]*Таблица1[[#This Row],[коэф]])),
IF((G268="4/4"),((база!$I$5*Таблица1[[#This Row],[сумма]]*Таблица1[[#This Row],[коэф]])),
IF(OR(G268="2/4",G268="3/4"),((база!$I$4*Таблица1[[#This Row],[сумма]]*Таблица1[[#This Row],[коэф]])),
IF((G268="5/8"),((база!$J$6*Таблица1[[#This Row],[сумма]]*Таблица1[[#This Row],[коэф]])),
IF((G268="4/8"),((база!$J$5*Таблица1[[#This Row],[сумма]]*Таблица1[[#This Row],[коэф]])),
IF(OR(G268="3/8",G268="2/8"),((база!$J$4*Таблица1[[#This Row],[сумма]]*Таблица1[[#This Row],[коэф]])))))))))))))),
(IF((G268="5/24"),((база!$M$6*Таблица1[[#This Row],[сумма]]*Таблица1[[#This Row],[коэф]])),
IF(OR(G268="4/24",G268="3/24"),((база!$M$5*Таблица1[[#This Row],[сумма]]*Таблица1[[#This Row],[коэф]])),
IF((G268="5/16"),((база!$L$6*Таблица1[[#This Row],[сумма]]*Таблица1[[#This Row],[коэф]])),
IF(OR(G268="4/16",G268="3/16"),((база!$L$5*Таблица1[[#This Row],[сумма]]*Таблица1[[#This Row],[коэф]])),
IF(OR(G268="2/4",G268="3/4",G268="4/4"),((база!$I$5*Таблица1[[#This Row],[сумма]]*Таблица1[[#This Row],[коэф]])),
IF((G268="5/8"),((база!$J$6*Таблица1[[#This Row],[сумма]]*Таблица1[[#This Row],[коэф]])),
IF(OR(G268="4/8",G268="3/8",G268="2/8"),((база!$J$5*Таблица1[[#This Row],[сумма]]*Таблица1[[#This Row],[коэф]])))))))))))</f>
        <v>0</v>
      </c>
      <c r="AP268" s="696" t="b">
        <f>IF(AR268&lt;=3,(IF((G268="5/24"),((база!$M$6*2*Таблица1[[#This Row],[Столбец1]]*Таблица1[[#This Row],[коэф]])),
IF((G268="4/24"),((база!$M$5*2*Таблица1[[#This Row],[Столбец1]]*Таблица1[[#This Row],[коэф]])),
IF((G268="3/24"),((база!$M$4*2*Таблица1[[#This Row],[Столбец1]]*Таблица1[[#This Row],[коэф]])),
IF((G268="5/16"),((база!$L$6*2*Таблица1[[#This Row],[Столбец1]]*Таблица1[[#This Row],[коэф]])),
IF((G268="4/16"),((база!$L$5*2*Таблица1[[#This Row],[Столбец1]]*Таблица1[[#This Row],[коэф]])),
IF((G268="3/16"),((база!$L$4*2*Таблица1[[#This Row],[Столбец1]]*Таблица1[[#This Row],[коэф]])),
IF((G268="4/4"),((база!$I$5*2*Таблица1[[#This Row],[Столбец1]]*Таблица1[[#This Row],[коэф]])),
IF(OR(G268="2/4",G268="3/4"),((база!$I$4*2*Таблица1[[#This Row],[Столбец1]]*Таблица1[[#This Row],[коэф]])),
IF((G268="5/8"),((база!$J$6*2*Таблица1[[#This Row],[Столбец1]]*Таблица1[[#This Row],[коэф]])),
IF((G268="4/8"),((база!$J$5*2*Таблица1[[#This Row],[Столбец1]]*Таблица1[[#This Row],[коэф]])),
IF(OR(G268="3/8",G268="2/8"),((база!$J$4*2*Таблица1[[#This Row],[Столбец1]]*Таблица1[[#This Row],[коэф]])))))))))))))),
(IF((G268="5/24"),((база!$M$6*2*Таблица1[[#This Row],[Столбец1]]*Таблица1[[#This Row],[коэф]])),
IF(OR(G268="4/24",G268="3/24"),((база!$M$5*2*Таблица1[[#This Row],[Столбец1]]*Таблица1[[#This Row],[коэф]])),
IF((G268="5/16"),((база!$L$6*2*Таблица1[[#This Row],[Столбец1]]*Таблица1[[#This Row],[коэф]])),
IF(OR(G268="4/16",G268="3/16"),((база!$L$5*2*Таблица1[[#This Row],[Столбец1]]*Таблица1[[#This Row],[коэф]])),
IF(OR(G268="2/4",G268="3/4",G268="4/4"),((база!$I$5*2*Таблица1[[#This Row],[Столбец1]]*Таблица1[[#This Row],[коэф]])),
IF((G268="5/8"),((база!$J$6*2*Таблица1[[#This Row],[Столбец1]]*Таблица1[[#This Row],[коэф]])),
IF(OR(G268="4/8",G268="3/8",G268="2/8"),((база!$J$5*2*Таблица1[[#This Row],[Столбец1]]*Таблица1[[#This Row],[коэф]])))))))))))</f>
        <v>0</v>
      </c>
      <c r="AQ268" s="678" t="str">
        <f>IFERROR(INDEX(база!T:T, MATCH(F268,база!Q:Q,0)),"")</f>
        <v/>
      </c>
      <c r="AR268" s="193">
        <f>IFERROR(INDEX(база!D:D, MATCH(F268,база!B:B,0)),"")</f>
        <v>0</v>
      </c>
    </row>
    <row r="269" spans="1:44" ht="15">
      <c r="A269" s="59"/>
      <c r="B269" s="215"/>
      <c r="C269" s="277"/>
      <c r="D269" s="55"/>
      <c r="E269" s="196"/>
      <c r="F269" s="651"/>
      <c r="G269" s="42"/>
      <c r="H269" s="539"/>
      <c r="I269" s="539"/>
      <c r="J269" s="539"/>
      <c r="K269" s="539"/>
      <c r="L269" s="539"/>
      <c r="M269" s="539"/>
      <c r="N269" s="539"/>
      <c r="O269" s="539"/>
      <c r="P269" s="278"/>
      <c r="Q269" s="539"/>
      <c r="R269" s="539"/>
      <c r="S269" s="539"/>
      <c r="T269" s="539"/>
      <c r="U269" s="539"/>
      <c r="V269" s="539"/>
      <c r="W269" s="539"/>
      <c r="X269" s="539"/>
      <c r="Y269" s="539"/>
      <c r="Z269" s="539"/>
      <c r="AA269" s="539"/>
      <c r="AB269" s="539"/>
      <c r="AC269" s="539"/>
      <c r="AD269" s="43"/>
      <c r="AE269" s="43"/>
      <c r="AF269" s="238"/>
      <c r="AG269" s="43"/>
      <c r="AH269" s="43"/>
      <c r="AI269" s="238"/>
      <c r="AJ269" s="238"/>
      <c r="AK269" s="238"/>
      <c r="AL269" s="238"/>
      <c r="AM269" s="197">
        <f>IF(AQ269=1,SUM(H269:I269,L269:O269,R269:U269,X269:AA269,AD269:AG269,AI269:AK269),
IF(AQ269=2,SUM(H269:K269,N269:Q269,T269:W269,Z269:AC269,AF269:AI269),
IF(AQ269=3,SUM(J269:M269,P269:S269,V269:Y269,AB269:AE269,AH269:AK269),SUM(Таблица1[[#This Row],[1]:[31]])-Таблица1[[#This Row],[Столбец1]])))</f>
        <v>0</v>
      </c>
      <c r="AN269" s="269">
        <f t="array" ref="AN269">IF(AQ269=1,SUM(J269:K269,P269:Q269,V269:W269,AB269:AC269,AH269:AI269),
IF(AQ269=2,SUM(L269:M269,R269:S269,X269:Y269,AD269:AE269),
IF(AQ269=3,SUM(H269:I269,N269:O269,T269:U269,Z269:AA269,AF269:AG269),
SUM(IFERROR(WEEKDAY($H$2:$AL$2,2)&gt;5,)*H269:AL269))))</f>
        <v>0</v>
      </c>
      <c r="AO269" s="271" t="b">
        <f>IF(AR269&lt;=3,(IF((G269="5/24"),((база!$M$6*Таблица1[[#This Row],[сумма]]*Таблица1[[#This Row],[коэф]])),
IF((G269="4/24"),((база!$M$5*Таблица1[[#This Row],[сумма]]*Таблица1[[#This Row],[коэф]])),
IF((G269="3/24"),((база!$M$4*Таблица1[[#This Row],[сумма]]*Таблица1[[#This Row],[коэф]])),
IF((G269="5/16"),((база!$L$6*Таблица1[[#This Row],[сумма]]*Таблица1[[#This Row],[коэф]])),
IF((G269="4/16"),((база!$L$5*Таблица1[[#This Row],[сумма]]*Таблица1[[#This Row],[коэф]])),
IF((G269="3/16"),((база!$L$4*Таблица1[[#This Row],[сумма]]*Таблица1[[#This Row],[коэф]])),
IF((G269="4/4"),((база!$I$5*Таблица1[[#This Row],[сумма]]*Таблица1[[#This Row],[коэф]])),
IF(OR(G269="2/4",G269="3/4"),((база!$I$4*Таблица1[[#This Row],[сумма]]*Таблица1[[#This Row],[коэф]])),
IF((G269="5/8"),((база!$J$6*Таблица1[[#This Row],[сумма]]*Таблица1[[#This Row],[коэф]])),
IF((G269="4/8"),((база!$J$5*Таблица1[[#This Row],[сумма]]*Таблица1[[#This Row],[коэф]])),
IF(OR(G269="3/8",G269="2/8"),((база!$J$4*Таблица1[[#This Row],[сумма]]*Таблица1[[#This Row],[коэф]])))))))))))))),
(IF((G269="5/24"),((база!$M$6*Таблица1[[#This Row],[сумма]]*Таблица1[[#This Row],[коэф]])),
IF(OR(G269="4/24",G269="3/24"),((база!$M$5*Таблица1[[#This Row],[сумма]]*Таблица1[[#This Row],[коэф]])),
IF((G269="5/16"),((база!$L$6*Таблица1[[#This Row],[сумма]]*Таблица1[[#This Row],[коэф]])),
IF(OR(G269="4/16",G269="3/16"),((база!$L$5*Таблица1[[#This Row],[сумма]]*Таблица1[[#This Row],[коэф]])),
IF(OR(G269="2/4",G269="3/4",G269="4/4"),((база!$I$5*Таблица1[[#This Row],[сумма]]*Таблица1[[#This Row],[коэф]])),
IF((G269="5/8"),((база!$J$6*Таблица1[[#This Row],[сумма]]*Таблица1[[#This Row],[коэф]])),
IF(OR(G269="4/8",G269="3/8",G269="2/8"),((база!$J$5*Таблица1[[#This Row],[сумма]]*Таблица1[[#This Row],[коэф]])))))))))))</f>
        <v>0</v>
      </c>
      <c r="AP269" s="696" t="b">
        <f>IF(AR269&lt;=3,(IF((G269="5/24"),((база!$M$6*2*Таблица1[[#This Row],[Столбец1]]*Таблица1[[#This Row],[коэф]])),
IF((G269="4/24"),((база!$M$5*2*Таблица1[[#This Row],[Столбец1]]*Таблица1[[#This Row],[коэф]])),
IF((G269="3/24"),((база!$M$4*2*Таблица1[[#This Row],[Столбец1]]*Таблица1[[#This Row],[коэф]])),
IF((G269="5/16"),((база!$L$6*2*Таблица1[[#This Row],[Столбец1]]*Таблица1[[#This Row],[коэф]])),
IF((G269="4/16"),((база!$L$5*2*Таблица1[[#This Row],[Столбец1]]*Таблица1[[#This Row],[коэф]])),
IF((G269="3/16"),((база!$L$4*2*Таблица1[[#This Row],[Столбец1]]*Таблица1[[#This Row],[коэф]])),
IF((G269="4/4"),((база!$I$5*2*Таблица1[[#This Row],[Столбец1]]*Таблица1[[#This Row],[коэф]])),
IF(OR(G269="2/4",G269="3/4"),((база!$I$4*2*Таблица1[[#This Row],[Столбец1]]*Таблица1[[#This Row],[коэф]])),
IF((G269="5/8"),((база!$J$6*2*Таблица1[[#This Row],[Столбец1]]*Таблица1[[#This Row],[коэф]])),
IF((G269="4/8"),((база!$J$5*2*Таблица1[[#This Row],[Столбец1]]*Таблица1[[#This Row],[коэф]])),
IF(OR(G269="3/8",G269="2/8"),((база!$J$4*2*Таблица1[[#This Row],[Столбец1]]*Таблица1[[#This Row],[коэф]])))))))))))))),
(IF((G269="5/24"),((база!$M$6*2*Таблица1[[#This Row],[Столбец1]]*Таблица1[[#This Row],[коэф]])),
IF(OR(G269="4/24",G269="3/24"),((база!$M$5*2*Таблица1[[#This Row],[Столбец1]]*Таблица1[[#This Row],[коэф]])),
IF((G269="5/16"),((база!$L$6*2*Таблица1[[#This Row],[Столбец1]]*Таблица1[[#This Row],[коэф]])),
IF(OR(G269="4/16",G269="3/16"),((база!$L$5*2*Таблица1[[#This Row],[Столбец1]]*Таблица1[[#This Row],[коэф]])),
IF(OR(G269="2/4",G269="3/4",G269="4/4"),((база!$I$5*2*Таблица1[[#This Row],[Столбец1]]*Таблица1[[#This Row],[коэф]])),
IF((G269="5/8"),((база!$J$6*2*Таблица1[[#This Row],[Столбец1]]*Таблица1[[#This Row],[коэф]])),
IF(OR(G269="4/8",G269="3/8",G269="2/8"),((база!$J$5*2*Таблица1[[#This Row],[Столбец1]]*Таблица1[[#This Row],[коэф]])))))))))))</f>
        <v>0</v>
      </c>
      <c r="AQ269" s="678" t="str">
        <f>IFERROR(INDEX(база!T:T, MATCH(F269,база!Q:Q,0)),"")</f>
        <v/>
      </c>
      <c r="AR269" s="193">
        <f>IFERROR(INDEX(база!D:D, MATCH(F269,база!B:B,0)),"")</f>
        <v>0</v>
      </c>
    </row>
    <row r="270" spans="1:44" ht="15">
      <c r="A270" s="59"/>
      <c r="B270" s="215"/>
      <c r="C270" s="277"/>
      <c r="D270" s="55"/>
      <c r="E270" s="196"/>
      <c r="F270" s="651"/>
      <c r="G270" s="42"/>
      <c r="H270" s="539"/>
      <c r="I270" s="539"/>
      <c r="J270" s="539"/>
      <c r="K270" s="539"/>
      <c r="L270" s="539"/>
      <c r="M270" s="539"/>
      <c r="N270" s="539"/>
      <c r="O270" s="539"/>
      <c r="P270" s="539"/>
      <c r="Q270" s="539"/>
      <c r="R270" s="539"/>
      <c r="S270" s="539"/>
      <c r="T270" s="539"/>
      <c r="U270" s="539"/>
      <c r="V270" s="539"/>
      <c r="W270" s="539"/>
      <c r="X270" s="539"/>
      <c r="Y270" s="539"/>
      <c r="Z270" s="539"/>
      <c r="AA270" s="539"/>
      <c r="AB270" s="539"/>
      <c r="AC270" s="539"/>
      <c r="AD270" s="43"/>
      <c r="AE270" s="43"/>
      <c r="AF270" s="238"/>
      <c r="AG270" s="43"/>
      <c r="AH270" s="43"/>
      <c r="AI270" s="43"/>
      <c r="AJ270" s="43"/>
      <c r="AK270" s="43"/>
      <c r="AL270" s="45"/>
      <c r="AM270" s="197">
        <f>IF(AQ270=1,SUM(H270:I270,L270:O270,R270:U270,X270:AA270,AD270:AG270,AI270:AK270),
IF(AQ270=2,SUM(H270:K270,N270:Q270,T270:W270,Z270:AC270,AF270:AI270),
IF(AQ270=3,SUM(J270:M270,P270:S270,V270:Y270,AB270:AE270,AH270:AK270),SUM(Таблица1[[#This Row],[1]:[31]])-Таблица1[[#This Row],[Столбец1]])))</f>
        <v>0</v>
      </c>
      <c r="AN270" s="269">
        <f t="array" ref="AN270">IF(AQ270=1,SUM(J270:K270,P270:Q270,V270:W270,AB270:AC270,AH270:AI270),
IF(AQ270=2,SUM(L270:M270,R270:S270,X270:Y270,AD270:AE270),
IF(AQ270=3,SUM(H270:I270,N270:O270,T270:U270,Z270:AA270,AF270:AG270),
SUM(IFERROR(WEEKDAY($H$2:$AL$2,2)&gt;5,)*H270:AL270))))</f>
        <v>0</v>
      </c>
      <c r="AO270" s="271" t="b">
        <f>IF(AR270&lt;=3,(IF((G270="5/24"),((база!$M$6*Таблица1[[#This Row],[сумма]]*Таблица1[[#This Row],[коэф]])),
IF((G270="4/24"),((база!$M$5*Таблица1[[#This Row],[сумма]]*Таблица1[[#This Row],[коэф]])),
IF((G270="3/24"),((база!$M$4*Таблица1[[#This Row],[сумма]]*Таблица1[[#This Row],[коэф]])),
IF((G270="5/16"),((база!$L$6*Таблица1[[#This Row],[сумма]]*Таблица1[[#This Row],[коэф]])),
IF((G270="4/16"),((база!$L$5*Таблица1[[#This Row],[сумма]]*Таблица1[[#This Row],[коэф]])),
IF((G270="3/16"),((база!$L$4*Таблица1[[#This Row],[сумма]]*Таблица1[[#This Row],[коэф]])),
IF((G270="4/4"),((база!$I$5*Таблица1[[#This Row],[сумма]]*Таблица1[[#This Row],[коэф]])),
IF(OR(G270="2/4",G270="3/4"),((база!$I$4*Таблица1[[#This Row],[сумма]]*Таблица1[[#This Row],[коэф]])),
IF((G270="5/8"),((база!$J$6*Таблица1[[#This Row],[сумма]]*Таблица1[[#This Row],[коэф]])),
IF((G270="4/8"),((база!$J$5*Таблица1[[#This Row],[сумма]]*Таблица1[[#This Row],[коэф]])),
IF(OR(G270="3/8",G270="2/8"),((база!$J$4*Таблица1[[#This Row],[сумма]]*Таблица1[[#This Row],[коэф]])))))))))))))),
(IF((G270="5/24"),((база!$M$6*Таблица1[[#This Row],[сумма]]*Таблица1[[#This Row],[коэф]])),
IF(OR(G270="4/24",G270="3/24"),((база!$M$5*Таблица1[[#This Row],[сумма]]*Таблица1[[#This Row],[коэф]])),
IF((G270="5/16"),((база!$L$6*Таблица1[[#This Row],[сумма]]*Таблица1[[#This Row],[коэф]])),
IF(OR(G270="4/16",G270="3/16"),((база!$L$5*Таблица1[[#This Row],[сумма]]*Таблица1[[#This Row],[коэф]])),
IF(OR(G270="2/4",G270="3/4",G270="4/4"),((база!$I$5*Таблица1[[#This Row],[сумма]]*Таблица1[[#This Row],[коэф]])),
IF((G270="5/8"),((база!$J$6*Таблица1[[#This Row],[сумма]]*Таблица1[[#This Row],[коэф]])),
IF(OR(G270="4/8",G270="3/8",G270="2/8"),((база!$J$5*Таблица1[[#This Row],[сумма]]*Таблица1[[#This Row],[коэф]])))))))))))</f>
        <v>0</v>
      </c>
      <c r="AP270" s="696" t="b">
        <f>IF(AR270&lt;=3,(IF((G270="5/24"),((база!$M$6*2*Таблица1[[#This Row],[Столбец1]]*Таблица1[[#This Row],[коэф]])),
IF((G270="4/24"),((база!$M$5*2*Таблица1[[#This Row],[Столбец1]]*Таблица1[[#This Row],[коэф]])),
IF((G270="3/24"),((база!$M$4*2*Таблица1[[#This Row],[Столбец1]]*Таблица1[[#This Row],[коэф]])),
IF((G270="5/16"),((база!$L$6*2*Таблица1[[#This Row],[Столбец1]]*Таблица1[[#This Row],[коэф]])),
IF((G270="4/16"),((база!$L$5*2*Таблица1[[#This Row],[Столбец1]]*Таблица1[[#This Row],[коэф]])),
IF((G270="3/16"),((база!$L$4*2*Таблица1[[#This Row],[Столбец1]]*Таблица1[[#This Row],[коэф]])),
IF((G270="4/4"),((база!$I$5*2*Таблица1[[#This Row],[Столбец1]]*Таблица1[[#This Row],[коэф]])),
IF(OR(G270="2/4",G270="3/4"),((база!$I$4*2*Таблица1[[#This Row],[Столбец1]]*Таблица1[[#This Row],[коэф]])),
IF((G270="5/8"),((база!$J$6*2*Таблица1[[#This Row],[Столбец1]]*Таблица1[[#This Row],[коэф]])),
IF((G270="4/8"),((база!$J$5*2*Таблица1[[#This Row],[Столбец1]]*Таблица1[[#This Row],[коэф]])),
IF(OR(G270="3/8",G270="2/8"),((база!$J$4*2*Таблица1[[#This Row],[Столбец1]]*Таблица1[[#This Row],[коэф]])))))))))))))),
(IF((G270="5/24"),((база!$M$6*2*Таблица1[[#This Row],[Столбец1]]*Таблица1[[#This Row],[коэф]])),
IF(OR(G270="4/24",G270="3/24"),((база!$M$5*2*Таблица1[[#This Row],[Столбец1]]*Таблица1[[#This Row],[коэф]])),
IF((G270="5/16"),((база!$L$6*2*Таблица1[[#This Row],[Столбец1]]*Таблица1[[#This Row],[коэф]])),
IF(OR(G270="4/16",G270="3/16"),((база!$L$5*2*Таблица1[[#This Row],[Столбец1]]*Таблица1[[#This Row],[коэф]])),
IF(OR(G270="2/4",G270="3/4",G270="4/4"),((база!$I$5*2*Таблица1[[#This Row],[Столбец1]]*Таблица1[[#This Row],[коэф]])),
IF((G270="5/8"),((база!$J$6*2*Таблица1[[#This Row],[Столбец1]]*Таблица1[[#This Row],[коэф]])),
IF(OR(G270="4/8",G270="3/8",G270="2/8"),((база!$J$5*2*Таблица1[[#This Row],[Столбец1]]*Таблица1[[#This Row],[коэф]])))))))))))</f>
        <v>0</v>
      </c>
      <c r="AQ270" s="678" t="str">
        <f>IFERROR(INDEX(база!T:T, MATCH(F270,база!Q:Q,0)),"")</f>
        <v/>
      </c>
      <c r="AR270" s="193">
        <f>IFERROR(INDEX(база!D:D, MATCH(F270,база!B:B,0)),"")</f>
        <v>0</v>
      </c>
    </row>
    <row r="271" spans="1:44" ht="15">
      <c r="A271" s="59"/>
      <c r="B271" s="215"/>
      <c r="C271" s="54"/>
      <c r="D271" s="55"/>
      <c r="E271" s="196"/>
      <c r="F271" s="651"/>
      <c r="G271" s="42"/>
      <c r="H271" s="539"/>
      <c r="I271" s="539"/>
      <c r="J271" s="539"/>
      <c r="K271" s="539"/>
      <c r="L271" s="539"/>
      <c r="M271" s="539"/>
      <c r="N271" s="539"/>
      <c r="O271" s="539"/>
      <c r="P271" s="278"/>
      <c r="Q271" s="539"/>
      <c r="R271" s="539"/>
      <c r="S271" s="539"/>
      <c r="T271" s="539"/>
      <c r="U271" s="539"/>
      <c r="V271" s="539"/>
      <c r="W271" s="539"/>
      <c r="X271" s="539"/>
      <c r="Y271" s="539"/>
      <c r="Z271" s="539"/>
      <c r="AA271" s="539"/>
      <c r="AB271" s="539"/>
      <c r="AC271" s="539"/>
      <c r="AD271" s="43"/>
      <c r="AE271" s="43"/>
      <c r="AF271" s="238"/>
      <c r="AG271" s="43"/>
      <c r="AH271" s="43"/>
      <c r="AI271" s="238"/>
      <c r="AJ271" s="238"/>
      <c r="AK271" s="238"/>
      <c r="AL271" s="238"/>
      <c r="AM271" s="197">
        <f>IF(AQ271=1,SUM(H271:I271,L271:O271,R271:U271,X271:AA271,AD271:AG271,AI271:AK271),
IF(AQ271=2,SUM(H271:K271,N271:Q271,T271:W271,Z271:AC271,AF271:AI271),
IF(AQ271=3,SUM(J271:M271,P271:S271,V271:Y271,AB271:AE271,AH271:AK271),SUM(Таблица1[[#This Row],[1]:[31]])-Таблица1[[#This Row],[Столбец1]])))</f>
        <v>0</v>
      </c>
      <c r="AN271" s="269">
        <f t="array" ref="AN271">IF(AQ271=1,SUM(J271:K271,P271:Q271,V271:W271,AB271:AC271,AH271:AI271),
IF(AQ271=2,SUM(L271:M271,R271:S271,X271:Y271,AD271:AE271),
IF(AQ271=3,SUM(H271:I271,N271:O271,T271:U271,Z271:AA271,AF271:AG271),
SUM(IFERROR(WEEKDAY($H$2:$AL$2,2)&gt;5,)*H271:AL271))))</f>
        <v>0</v>
      </c>
      <c r="AO271" s="271" t="b">
        <f>IF(AR271&lt;=3,(IF((G271="5/24"),((база!$M$6*Таблица1[[#This Row],[сумма]]*Таблица1[[#This Row],[коэф]])),
IF((G271="4/24"),((база!$M$5*Таблица1[[#This Row],[сумма]]*Таблица1[[#This Row],[коэф]])),
IF((G271="3/24"),((база!$M$4*Таблица1[[#This Row],[сумма]]*Таблица1[[#This Row],[коэф]])),
IF((G271="5/16"),((база!$L$6*Таблица1[[#This Row],[сумма]]*Таблица1[[#This Row],[коэф]])),
IF((G271="4/16"),((база!$L$5*Таблица1[[#This Row],[сумма]]*Таблица1[[#This Row],[коэф]])),
IF((G271="3/16"),((база!$L$4*Таблица1[[#This Row],[сумма]]*Таблица1[[#This Row],[коэф]])),
IF((G271="4/4"),((база!$I$5*Таблица1[[#This Row],[сумма]]*Таблица1[[#This Row],[коэф]])),
IF(OR(G271="2/4",G271="3/4"),((база!$I$4*Таблица1[[#This Row],[сумма]]*Таблица1[[#This Row],[коэф]])),
IF((G271="5/8"),((база!$J$6*Таблица1[[#This Row],[сумма]]*Таблица1[[#This Row],[коэф]])),
IF((G271="4/8"),((база!$J$5*Таблица1[[#This Row],[сумма]]*Таблица1[[#This Row],[коэф]])),
IF(OR(G271="3/8",G271="2/8"),((база!$J$4*Таблица1[[#This Row],[сумма]]*Таблица1[[#This Row],[коэф]])))))))))))))),
(IF((G271="5/24"),((база!$M$6*Таблица1[[#This Row],[сумма]]*Таблица1[[#This Row],[коэф]])),
IF(OR(G271="4/24",G271="3/24"),((база!$M$5*Таблица1[[#This Row],[сумма]]*Таблица1[[#This Row],[коэф]])),
IF((G271="5/16"),((база!$L$6*Таблица1[[#This Row],[сумма]]*Таблица1[[#This Row],[коэф]])),
IF(OR(G271="4/16",G271="3/16"),((база!$L$5*Таблица1[[#This Row],[сумма]]*Таблица1[[#This Row],[коэф]])),
IF(OR(G271="2/4",G271="3/4",G271="4/4"),((база!$I$5*Таблица1[[#This Row],[сумма]]*Таблица1[[#This Row],[коэф]])),
IF((G271="5/8"),((база!$J$6*Таблица1[[#This Row],[сумма]]*Таблица1[[#This Row],[коэф]])),
IF(OR(G271="4/8",G271="3/8",G271="2/8"),((база!$J$5*Таблица1[[#This Row],[сумма]]*Таблица1[[#This Row],[коэф]])))))))))))</f>
        <v>0</v>
      </c>
      <c r="AP271" s="696" t="b">
        <f>IF(AR271&lt;=3,(IF((G271="5/24"),((база!$M$6*2*Таблица1[[#This Row],[Столбец1]]*Таблица1[[#This Row],[коэф]])),
IF((G271="4/24"),((база!$M$5*2*Таблица1[[#This Row],[Столбец1]]*Таблица1[[#This Row],[коэф]])),
IF((G271="3/24"),((база!$M$4*2*Таблица1[[#This Row],[Столбец1]]*Таблица1[[#This Row],[коэф]])),
IF((G271="5/16"),((база!$L$6*2*Таблица1[[#This Row],[Столбец1]]*Таблица1[[#This Row],[коэф]])),
IF((G271="4/16"),((база!$L$5*2*Таблица1[[#This Row],[Столбец1]]*Таблица1[[#This Row],[коэф]])),
IF((G271="3/16"),((база!$L$4*2*Таблица1[[#This Row],[Столбец1]]*Таблица1[[#This Row],[коэф]])),
IF((G271="4/4"),((база!$I$5*2*Таблица1[[#This Row],[Столбец1]]*Таблица1[[#This Row],[коэф]])),
IF(OR(G271="2/4",G271="3/4"),((база!$I$4*2*Таблица1[[#This Row],[Столбец1]]*Таблица1[[#This Row],[коэф]])),
IF((G271="5/8"),((база!$J$6*2*Таблица1[[#This Row],[Столбец1]]*Таблица1[[#This Row],[коэф]])),
IF((G271="4/8"),((база!$J$5*2*Таблица1[[#This Row],[Столбец1]]*Таблица1[[#This Row],[коэф]])),
IF(OR(G271="3/8",G271="2/8"),((база!$J$4*2*Таблица1[[#This Row],[Столбец1]]*Таблица1[[#This Row],[коэф]])))))))))))))),
(IF((G271="5/24"),((база!$M$6*2*Таблица1[[#This Row],[Столбец1]]*Таблица1[[#This Row],[коэф]])),
IF(OR(G271="4/24",G271="3/24"),((база!$M$5*2*Таблица1[[#This Row],[Столбец1]]*Таблица1[[#This Row],[коэф]])),
IF((G271="5/16"),((база!$L$6*2*Таблица1[[#This Row],[Столбец1]]*Таблица1[[#This Row],[коэф]])),
IF(OR(G271="4/16",G271="3/16"),((база!$L$5*2*Таблица1[[#This Row],[Столбец1]]*Таблица1[[#This Row],[коэф]])),
IF(OR(G271="2/4",G271="3/4",G271="4/4"),((база!$I$5*2*Таблица1[[#This Row],[Столбец1]]*Таблица1[[#This Row],[коэф]])),
IF((G271="5/8"),((база!$J$6*2*Таблица1[[#This Row],[Столбец1]]*Таблица1[[#This Row],[коэф]])),
IF(OR(G271="4/8",G271="3/8",G271="2/8"),((база!$J$5*2*Таблица1[[#This Row],[Столбец1]]*Таблица1[[#This Row],[коэф]])))))))))))</f>
        <v>0</v>
      </c>
      <c r="AQ271" s="678" t="str">
        <f>IFERROR(INDEX(база!T:T, MATCH(F271,база!Q:Q,0)),"")</f>
        <v/>
      </c>
      <c r="AR271" s="193">
        <f>IFERROR(INDEX(база!D:D, MATCH(F271,база!B:B,0)),"")</f>
        <v>0</v>
      </c>
    </row>
    <row r="272" spans="1:44" ht="15">
      <c r="A272" s="59"/>
      <c r="B272" s="215"/>
      <c r="C272" s="277"/>
      <c r="D272" s="55"/>
      <c r="E272" s="196"/>
      <c r="F272" s="651"/>
      <c r="G272" s="42"/>
      <c r="H272" s="539"/>
      <c r="I272" s="539"/>
      <c r="J272" s="539"/>
      <c r="K272" s="539"/>
      <c r="L272" s="539"/>
      <c r="M272" s="539"/>
      <c r="N272" s="539"/>
      <c r="O272" s="539"/>
      <c r="P272" s="278"/>
      <c r="Q272" s="539"/>
      <c r="R272" s="539"/>
      <c r="S272" s="539"/>
      <c r="T272" s="539"/>
      <c r="U272" s="539"/>
      <c r="V272" s="539"/>
      <c r="W272" s="539"/>
      <c r="X272" s="539"/>
      <c r="Y272" s="539"/>
      <c r="Z272" s="539"/>
      <c r="AA272" s="539"/>
      <c r="AB272" s="539"/>
      <c r="AC272" s="539"/>
      <c r="AD272" s="43"/>
      <c r="AE272" s="43"/>
      <c r="AF272" s="238"/>
      <c r="AG272" s="43"/>
      <c r="AH272" s="43"/>
      <c r="AI272" s="43"/>
      <c r="AJ272" s="43"/>
      <c r="AK272" s="43"/>
      <c r="AL272" s="45"/>
      <c r="AM272" s="197">
        <f>IF(AQ272=1,SUM(H272:I272,L272:O272,R272:U272,X272:AA272,AD272:AG272,AI272:AK272),
IF(AQ272=2,SUM(H272:K272,N272:Q272,T272:W272,Z272:AC272,AF272:AI272),
IF(AQ272=3,SUM(J272:M272,P272:S272,V272:Y272,AB272:AE272,AH272:AK272),SUM(Таблица1[[#This Row],[1]:[31]])-Таблица1[[#This Row],[Столбец1]])))</f>
        <v>0</v>
      </c>
      <c r="AN272" s="269">
        <f t="array" ref="AN272">IF(AQ272=1,SUM(J272:K272,P272:Q272,V272:W272,AB272:AC272,AH272:AI272),
IF(AQ272=2,SUM(L272:M272,R272:S272,X272:Y272,AD272:AE272),
IF(AQ272=3,SUM(H272:I272,N272:O272,T272:U272,Z272:AA272,AF272:AG272),
SUM(IFERROR(WEEKDAY($H$2:$AL$2,2)&gt;5,)*H272:AL272))))</f>
        <v>0</v>
      </c>
      <c r="AO272" s="271" t="b">
        <f>IF(AR272&lt;=3,(IF((G272="5/24"),((база!$M$6*Таблица1[[#This Row],[сумма]]*Таблица1[[#This Row],[коэф]])),
IF((G272="4/24"),((база!$M$5*Таблица1[[#This Row],[сумма]]*Таблица1[[#This Row],[коэф]])),
IF((G272="3/24"),((база!$M$4*Таблица1[[#This Row],[сумма]]*Таблица1[[#This Row],[коэф]])),
IF((G272="5/16"),((база!$L$6*Таблица1[[#This Row],[сумма]]*Таблица1[[#This Row],[коэф]])),
IF((G272="4/16"),((база!$L$5*Таблица1[[#This Row],[сумма]]*Таблица1[[#This Row],[коэф]])),
IF((G272="3/16"),((база!$L$4*Таблица1[[#This Row],[сумма]]*Таблица1[[#This Row],[коэф]])),
IF((G272="4/4"),((база!$I$5*Таблица1[[#This Row],[сумма]]*Таблица1[[#This Row],[коэф]])),
IF(OR(G272="2/4",G272="3/4"),((база!$I$4*Таблица1[[#This Row],[сумма]]*Таблица1[[#This Row],[коэф]])),
IF((G272="5/8"),((база!$J$6*Таблица1[[#This Row],[сумма]]*Таблица1[[#This Row],[коэф]])),
IF((G272="4/8"),((база!$J$5*Таблица1[[#This Row],[сумма]]*Таблица1[[#This Row],[коэф]])),
IF(OR(G272="3/8",G272="2/8"),((база!$J$4*Таблица1[[#This Row],[сумма]]*Таблица1[[#This Row],[коэф]])))))))))))))),
(IF((G272="5/24"),((база!$M$6*Таблица1[[#This Row],[сумма]]*Таблица1[[#This Row],[коэф]])),
IF(OR(G272="4/24",G272="3/24"),((база!$M$5*Таблица1[[#This Row],[сумма]]*Таблица1[[#This Row],[коэф]])),
IF((G272="5/16"),((база!$L$6*Таблица1[[#This Row],[сумма]]*Таблица1[[#This Row],[коэф]])),
IF(OR(G272="4/16",G272="3/16"),((база!$L$5*Таблица1[[#This Row],[сумма]]*Таблица1[[#This Row],[коэф]])),
IF(OR(G272="2/4",G272="3/4",G272="4/4"),((база!$I$5*Таблица1[[#This Row],[сумма]]*Таблица1[[#This Row],[коэф]])),
IF((G272="5/8"),((база!$J$6*Таблица1[[#This Row],[сумма]]*Таблица1[[#This Row],[коэф]])),
IF(OR(G272="4/8",G272="3/8",G272="2/8"),((база!$J$5*Таблица1[[#This Row],[сумма]]*Таблица1[[#This Row],[коэф]])))))))))))</f>
        <v>0</v>
      </c>
      <c r="AP272" s="696" t="b">
        <f>IF(AR272&lt;=3,(IF((G272="5/24"),((база!$M$6*2*Таблица1[[#This Row],[Столбец1]]*Таблица1[[#This Row],[коэф]])),
IF((G272="4/24"),((база!$M$5*2*Таблица1[[#This Row],[Столбец1]]*Таблица1[[#This Row],[коэф]])),
IF((G272="3/24"),((база!$M$4*2*Таблица1[[#This Row],[Столбец1]]*Таблица1[[#This Row],[коэф]])),
IF((G272="5/16"),((база!$L$6*2*Таблица1[[#This Row],[Столбец1]]*Таблица1[[#This Row],[коэф]])),
IF((G272="4/16"),((база!$L$5*2*Таблица1[[#This Row],[Столбец1]]*Таблица1[[#This Row],[коэф]])),
IF((G272="3/16"),((база!$L$4*2*Таблица1[[#This Row],[Столбец1]]*Таблица1[[#This Row],[коэф]])),
IF((G272="4/4"),((база!$I$5*2*Таблица1[[#This Row],[Столбец1]]*Таблица1[[#This Row],[коэф]])),
IF(OR(G272="2/4",G272="3/4"),((база!$I$4*2*Таблица1[[#This Row],[Столбец1]]*Таблица1[[#This Row],[коэф]])),
IF((G272="5/8"),((база!$J$6*2*Таблица1[[#This Row],[Столбец1]]*Таблица1[[#This Row],[коэф]])),
IF((G272="4/8"),((база!$J$5*2*Таблица1[[#This Row],[Столбец1]]*Таблица1[[#This Row],[коэф]])),
IF(OR(G272="3/8",G272="2/8"),((база!$J$4*2*Таблица1[[#This Row],[Столбец1]]*Таблица1[[#This Row],[коэф]])))))))))))))),
(IF((G272="5/24"),((база!$M$6*2*Таблица1[[#This Row],[Столбец1]]*Таблица1[[#This Row],[коэф]])),
IF(OR(G272="4/24",G272="3/24"),((база!$M$5*2*Таблица1[[#This Row],[Столбец1]]*Таблица1[[#This Row],[коэф]])),
IF((G272="5/16"),((база!$L$6*2*Таблица1[[#This Row],[Столбец1]]*Таблица1[[#This Row],[коэф]])),
IF(OR(G272="4/16",G272="3/16"),((база!$L$5*2*Таблица1[[#This Row],[Столбец1]]*Таблица1[[#This Row],[коэф]])),
IF(OR(G272="2/4",G272="3/4",G272="4/4"),((база!$I$5*2*Таблица1[[#This Row],[Столбец1]]*Таблица1[[#This Row],[коэф]])),
IF((G272="5/8"),((база!$J$6*2*Таблица1[[#This Row],[Столбец1]]*Таблица1[[#This Row],[коэф]])),
IF(OR(G272="4/8",G272="3/8",G272="2/8"),((база!$J$5*2*Таблица1[[#This Row],[Столбец1]]*Таблица1[[#This Row],[коэф]])))))))))))</f>
        <v>0</v>
      </c>
      <c r="AQ272" s="678" t="str">
        <f>IFERROR(INDEX(база!T:T, MATCH(F272,база!Q:Q,0)),"")</f>
        <v/>
      </c>
      <c r="AR272" s="193">
        <f>IFERROR(INDEX(база!D:D, MATCH(F272,база!B:B,0)),"")</f>
        <v>0</v>
      </c>
    </row>
    <row r="273" spans="1:44" ht="15">
      <c r="A273" s="59"/>
      <c r="B273" s="215"/>
      <c r="C273" s="277"/>
      <c r="D273" s="55"/>
      <c r="E273" s="196"/>
      <c r="F273" s="651"/>
      <c r="G273" s="42"/>
      <c r="H273" s="539"/>
      <c r="I273" s="539"/>
      <c r="J273" s="539"/>
      <c r="K273" s="539"/>
      <c r="L273" s="539"/>
      <c r="M273" s="539"/>
      <c r="N273" s="539"/>
      <c r="O273" s="539"/>
      <c r="P273" s="278"/>
      <c r="Q273" s="539"/>
      <c r="R273" s="539"/>
      <c r="S273" s="539"/>
      <c r="T273" s="539"/>
      <c r="U273" s="539"/>
      <c r="V273" s="539"/>
      <c r="W273" s="539"/>
      <c r="X273" s="539"/>
      <c r="Y273" s="539"/>
      <c r="Z273" s="539"/>
      <c r="AA273" s="539"/>
      <c r="AB273" s="539"/>
      <c r="AC273" s="539"/>
      <c r="AD273" s="43"/>
      <c r="AE273" s="43"/>
      <c r="AF273" s="238"/>
      <c r="AG273" s="43"/>
      <c r="AH273" s="43"/>
      <c r="AI273" s="238"/>
      <c r="AJ273" s="238"/>
      <c r="AK273" s="238"/>
      <c r="AL273" s="238"/>
      <c r="AM273" s="197">
        <f>IF(AQ273=1,SUM(H273:I273,L273:O273,R273:U273,X273:AA273,AD273:AG273,AI273:AK273),
IF(AQ273=2,SUM(H273:K273,N273:Q273,T273:W273,Z273:AC273,AF273:AI273),
IF(AQ273=3,SUM(J273:M273,P273:S273,V273:Y273,AB273:AE273,AH273:AK273),SUM(Таблица1[[#This Row],[1]:[31]])-Таблица1[[#This Row],[Столбец1]])))</f>
        <v>0</v>
      </c>
      <c r="AN273" s="269">
        <f t="array" ref="AN273">IF(AQ273=1,SUM(J273:K273,P273:Q273,V273:W273,AB273:AC273,AH273:AI273),
IF(AQ273=2,SUM(L273:M273,R273:S273,X273:Y273,AD273:AE273),
IF(AQ273=3,SUM(H273:I273,N273:O273,T273:U273,Z273:AA273,AF273:AG273),
SUM(IFERROR(WEEKDAY($H$2:$AL$2,2)&gt;5,)*H273:AL273))))</f>
        <v>0</v>
      </c>
      <c r="AO273" s="271" t="b">
        <f>IF(AR273&lt;=3,(IF((G273="5/24"),((база!$M$6*Таблица1[[#This Row],[сумма]]*Таблица1[[#This Row],[коэф]])),
IF((G273="4/24"),((база!$M$5*Таблица1[[#This Row],[сумма]]*Таблица1[[#This Row],[коэф]])),
IF((G273="3/24"),((база!$M$4*Таблица1[[#This Row],[сумма]]*Таблица1[[#This Row],[коэф]])),
IF((G273="5/16"),((база!$L$6*Таблица1[[#This Row],[сумма]]*Таблица1[[#This Row],[коэф]])),
IF((G273="4/16"),((база!$L$5*Таблица1[[#This Row],[сумма]]*Таблица1[[#This Row],[коэф]])),
IF((G273="3/16"),((база!$L$4*Таблица1[[#This Row],[сумма]]*Таблица1[[#This Row],[коэф]])),
IF((G273="4/4"),((база!$I$5*Таблица1[[#This Row],[сумма]]*Таблица1[[#This Row],[коэф]])),
IF(OR(G273="2/4",G273="3/4"),((база!$I$4*Таблица1[[#This Row],[сумма]]*Таблица1[[#This Row],[коэф]])),
IF((G273="5/8"),((база!$J$6*Таблица1[[#This Row],[сумма]]*Таблица1[[#This Row],[коэф]])),
IF((G273="4/8"),((база!$J$5*Таблица1[[#This Row],[сумма]]*Таблица1[[#This Row],[коэф]])),
IF(OR(G273="3/8",G273="2/8"),((база!$J$4*Таблица1[[#This Row],[сумма]]*Таблица1[[#This Row],[коэф]])))))))))))))),
(IF((G273="5/24"),((база!$M$6*Таблица1[[#This Row],[сумма]]*Таблица1[[#This Row],[коэф]])),
IF(OR(G273="4/24",G273="3/24"),((база!$M$5*Таблица1[[#This Row],[сумма]]*Таблица1[[#This Row],[коэф]])),
IF((G273="5/16"),((база!$L$6*Таблица1[[#This Row],[сумма]]*Таблица1[[#This Row],[коэф]])),
IF(OR(G273="4/16",G273="3/16"),((база!$L$5*Таблица1[[#This Row],[сумма]]*Таблица1[[#This Row],[коэф]])),
IF(OR(G273="2/4",G273="3/4",G273="4/4"),((база!$I$5*Таблица1[[#This Row],[сумма]]*Таблица1[[#This Row],[коэф]])),
IF((G273="5/8"),((база!$J$6*Таблица1[[#This Row],[сумма]]*Таблица1[[#This Row],[коэф]])),
IF(OR(G273="4/8",G273="3/8",G273="2/8"),((база!$J$5*Таблица1[[#This Row],[сумма]]*Таблица1[[#This Row],[коэф]])))))))))))</f>
        <v>0</v>
      </c>
      <c r="AP273" s="696" t="b">
        <f>IF(AR273&lt;=3,(IF((G273="5/24"),((база!$M$6*2*Таблица1[[#This Row],[Столбец1]]*Таблица1[[#This Row],[коэф]])),
IF((G273="4/24"),((база!$M$5*2*Таблица1[[#This Row],[Столбец1]]*Таблица1[[#This Row],[коэф]])),
IF((G273="3/24"),((база!$M$4*2*Таблица1[[#This Row],[Столбец1]]*Таблица1[[#This Row],[коэф]])),
IF((G273="5/16"),((база!$L$6*2*Таблица1[[#This Row],[Столбец1]]*Таблица1[[#This Row],[коэф]])),
IF((G273="4/16"),((база!$L$5*2*Таблица1[[#This Row],[Столбец1]]*Таблица1[[#This Row],[коэф]])),
IF((G273="3/16"),((база!$L$4*2*Таблица1[[#This Row],[Столбец1]]*Таблица1[[#This Row],[коэф]])),
IF((G273="4/4"),((база!$I$5*2*Таблица1[[#This Row],[Столбец1]]*Таблица1[[#This Row],[коэф]])),
IF(OR(G273="2/4",G273="3/4"),((база!$I$4*2*Таблица1[[#This Row],[Столбец1]]*Таблица1[[#This Row],[коэф]])),
IF((G273="5/8"),((база!$J$6*2*Таблица1[[#This Row],[Столбец1]]*Таблица1[[#This Row],[коэф]])),
IF((G273="4/8"),((база!$J$5*2*Таблица1[[#This Row],[Столбец1]]*Таблица1[[#This Row],[коэф]])),
IF(OR(G273="3/8",G273="2/8"),((база!$J$4*2*Таблица1[[#This Row],[Столбец1]]*Таблица1[[#This Row],[коэф]])))))))))))))),
(IF((G273="5/24"),((база!$M$6*2*Таблица1[[#This Row],[Столбец1]]*Таблица1[[#This Row],[коэф]])),
IF(OR(G273="4/24",G273="3/24"),((база!$M$5*2*Таблица1[[#This Row],[Столбец1]]*Таблица1[[#This Row],[коэф]])),
IF((G273="5/16"),((база!$L$6*2*Таблица1[[#This Row],[Столбец1]]*Таблица1[[#This Row],[коэф]])),
IF(OR(G273="4/16",G273="3/16"),((база!$L$5*2*Таблица1[[#This Row],[Столбец1]]*Таблица1[[#This Row],[коэф]])),
IF(OR(G273="2/4",G273="3/4",G273="4/4"),((база!$I$5*2*Таблица1[[#This Row],[Столбец1]]*Таблица1[[#This Row],[коэф]])),
IF((G273="5/8"),((база!$J$6*2*Таблица1[[#This Row],[Столбец1]]*Таблица1[[#This Row],[коэф]])),
IF(OR(G273="4/8",G273="3/8",G273="2/8"),((база!$J$5*2*Таблица1[[#This Row],[Столбец1]]*Таблица1[[#This Row],[коэф]])))))))))))</f>
        <v>0</v>
      </c>
      <c r="AQ273" s="678" t="str">
        <f>IFERROR(INDEX(база!T:T, MATCH(F273,база!Q:Q,0)),"")</f>
        <v/>
      </c>
      <c r="AR273" s="193">
        <f>IFERROR(INDEX(база!D:D, MATCH(F273,база!B:B,0)),"")</f>
        <v>0</v>
      </c>
    </row>
    <row r="274" spans="1:44" ht="15">
      <c r="A274" s="59"/>
      <c r="B274" s="215"/>
      <c r="C274" s="277"/>
      <c r="D274" s="55"/>
      <c r="E274" s="196"/>
      <c r="F274" s="651"/>
      <c r="G274" s="42"/>
      <c r="H274" s="539"/>
      <c r="I274" s="539"/>
      <c r="J274" s="539"/>
      <c r="K274" s="539"/>
      <c r="L274" s="539"/>
      <c r="M274" s="539"/>
      <c r="N274" s="539"/>
      <c r="O274" s="539"/>
      <c r="P274" s="278"/>
      <c r="Q274" s="539"/>
      <c r="R274" s="539"/>
      <c r="S274" s="539"/>
      <c r="T274" s="539"/>
      <c r="U274" s="539"/>
      <c r="V274" s="539"/>
      <c r="W274" s="539"/>
      <c r="X274" s="539"/>
      <c r="Y274" s="539"/>
      <c r="Z274" s="539"/>
      <c r="AA274" s="539"/>
      <c r="AB274" s="539"/>
      <c r="AC274" s="539"/>
      <c r="AD274" s="43"/>
      <c r="AE274" s="43"/>
      <c r="AF274" s="238"/>
      <c r="AG274" s="43"/>
      <c r="AH274" s="43"/>
      <c r="AI274" s="43"/>
      <c r="AJ274" s="43"/>
      <c r="AK274" s="43"/>
      <c r="AL274" s="45"/>
      <c r="AM274" s="197">
        <f>IF(AQ274=1,SUM(H274:I274,L274:O274,R274:U274,X274:AA274,AD274:AG274,AI274:AK274),
IF(AQ274=2,SUM(H274:K274,N274:Q274,T274:W274,Z274:AC274,AF274:AI274),
IF(AQ274=3,SUM(J274:M274,P274:S274,V274:Y274,AB274:AE274,AH274:AK274),SUM(Таблица1[[#This Row],[1]:[31]])-Таблица1[[#This Row],[Столбец1]])))</f>
        <v>0</v>
      </c>
      <c r="AN274" s="269">
        <f t="array" ref="AN274">IF(AQ274=1,SUM(J274:K274,P274:Q274,V274:W274,AB274:AC274,AH274:AI274),
IF(AQ274=2,SUM(L274:M274,R274:S274,X274:Y274,AD274:AE274),
IF(AQ274=3,SUM(H274:I274,N274:O274,T274:U274,Z274:AA274,AF274:AG274),
SUM(IFERROR(WEEKDAY($H$2:$AL$2,2)&gt;5,)*H274:AL274))))</f>
        <v>0</v>
      </c>
      <c r="AO274" s="271" t="b">
        <f>IF(AR274&lt;=3,(IF((G274="5/24"),((база!$M$6*Таблица1[[#This Row],[сумма]]*Таблица1[[#This Row],[коэф]])),
IF((G274="4/24"),((база!$M$5*Таблица1[[#This Row],[сумма]]*Таблица1[[#This Row],[коэф]])),
IF((G274="3/24"),((база!$M$4*Таблица1[[#This Row],[сумма]]*Таблица1[[#This Row],[коэф]])),
IF((G274="5/16"),((база!$L$6*Таблица1[[#This Row],[сумма]]*Таблица1[[#This Row],[коэф]])),
IF((G274="4/16"),((база!$L$5*Таблица1[[#This Row],[сумма]]*Таблица1[[#This Row],[коэф]])),
IF((G274="3/16"),((база!$L$4*Таблица1[[#This Row],[сумма]]*Таблица1[[#This Row],[коэф]])),
IF((G274="4/4"),((база!$I$5*Таблица1[[#This Row],[сумма]]*Таблица1[[#This Row],[коэф]])),
IF(OR(G274="2/4",G274="3/4"),((база!$I$4*Таблица1[[#This Row],[сумма]]*Таблица1[[#This Row],[коэф]])),
IF((G274="5/8"),((база!$J$6*Таблица1[[#This Row],[сумма]]*Таблица1[[#This Row],[коэф]])),
IF((G274="4/8"),((база!$J$5*Таблица1[[#This Row],[сумма]]*Таблица1[[#This Row],[коэф]])),
IF(OR(G274="3/8",G274="2/8"),((база!$J$4*Таблица1[[#This Row],[сумма]]*Таблица1[[#This Row],[коэф]])))))))))))))),
(IF((G274="5/24"),((база!$M$6*Таблица1[[#This Row],[сумма]]*Таблица1[[#This Row],[коэф]])),
IF(OR(G274="4/24",G274="3/24"),((база!$M$5*Таблица1[[#This Row],[сумма]]*Таблица1[[#This Row],[коэф]])),
IF((G274="5/16"),((база!$L$6*Таблица1[[#This Row],[сумма]]*Таблица1[[#This Row],[коэф]])),
IF(OR(G274="4/16",G274="3/16"),((база!$L$5*Таблица1[[#This Row],[сумма]]*Таблица1[[#This Row],[коэф]])),
IF(OR(G274="2/4",G274="3/4",G274="4/4"),((база!$I$5*Таблица1[[#This Row],[сумма]]*Таблица1[[#This Row],[коэф]])),
IF((G274="5/8"),((база!$J$6*Таблица1[[#This Row],[сумма]]*Таблица1[[#This Row],[коэф]])),
IF(OR(G274="4/8",G274="3/8",G274="2/8"),((база!$J$5*Таблица1[[#This Row],[сумма]]*Таблица1[[#This Row],[коэф]])))))))))))</f>
        <v>0</v>
      </c>
      <c r="AP274" s="696" t="b">
        <f>IF(AR274&lt;=3,(IF((G274="5/24"),((база!$M$6*2*Таблица1[[#This Row],[Столбец1]]*Таблица1[[#This Row],[коэф]])),
IF((G274="4/24"),((база!$M$5*2*Таблица1[[#This Row],[Столбец1]]*Таблица1[[#This Row],[коэф]])),
IF((G274="3/24"),((база!$M$4*2*Таблица1[[#This Row],[Столбец1]]*Таблица1[[#This Row],[коэф]])),
IF((G274="5/16"),((база!$L$6*2*Таблица1[[#This Row],[Столбец1]]*Таблица1[[#This Row],[коэф]])),
IF((G274="4/16"),((база!$L$5*2*Таблица1[[#This Row],[Столбец1]]*Таблица1[[#This Row],[коэф]])),
IF((G274="3/16"),((база!$L$4*2*Таблица1[[#This Row],[Столбец1]]*Таблица1[[#This Row],[коэф]])),
IF((G274="4/4"),((база!$I$5*2*Таблица1[[#This Row],[Столбец1]]*Таблица1[[#This Row],[коэф]])),
IF(OR(G274="2/4",G274="3/4"),((база!$I$4*2*Таблица1[[#This Row],[Столбец1]]*Таблица1[[#This Row],[коэф]])),
IF((G274="5/8"),((база!$J$6*2*Таблица1[[#This Row],[Столбец1]]*Таблица1[[#This Row],[коэф]])),
IF((G274="4/8"),((база!$J$5*2*Таблица1[[#This Row],[Столбец1]]*Таблица1[[#This Row],[коэф]])),
IF(OR(G274="3/8",G274="2/8"),((база!$J$4*2*Таблица1[[#This Row],[Столбец1]]*Таблица1[[#This Row],[коэф]])))))))))))))),
(IF((G274="5/24"),((база!$M$6*2*Таблица1[[#This Row],[Столбец1]]*Таблица1[[#This Row],[коэф]])),
IF(OR(G274="4/24",G274="3/24"),((база!$M$5*2*Таблица1[[#This Row],[Столбец1]]*Таблица1[[#This Row],[коэф]])),
IF((G274="5/16"),((база!$L$6*2*Таблица1[[#This Row],[Столбец1]]*Таблица1[[#This Row],[коэф]])),
IF(OR(G274="4/16",G274="3/16"),((база!$L$5*2*Таблица1[[#This Row],[Столбец1]]*Таблица1[[#This Row],[коэф]])),
IF(OR(G274="2/4",G274="3/4",G274="4/4"),((база!$I$5*2*Таблица1[[#This Row],[Столбец1]]*Таблица1[[#This Row],[коэф]])),
IF((G274="5/8"),((база!$J$6*2*Таблица1[[#This Row],[Столбец1]]*Таблица1[[#This Row],[коэф]])),
IF(OR(G274="4/8",G274="3/8",G274="2/8"),((база!$J$5*2*Таблица1[[#This Row],[Столбец1]]*Таблица1[[#This Row],[коэф]])))))))))))</f>
        <v>0</v>
      </c>
      <c r="AQ274" s="678" t="str">
        <f>IFERROR(INDEX(база!T:T, MATCH(F274,база!Q:Q,0)),"")</f>
        <v/>
      </c>
      <c r="AR274" s="193">
        <f>IFERROR(INDEX(база!D:D, MATCH(F274,база!B:B,0)),"")</f>
        <v>0</v>
      </c>
    </row>
    <row r="275" spans="1:44" ht="15">
      <c r="A275" s="59"/>
      <c r="B275" s="215"/>
      <c r="C275" s="277"/>
      <c r="D275" s="55"/>
      <c r="E275" s="196"/>
      <c r="F275" s="651"/>
      <c r="G275" s="42"/>
      <c r="H275" s="539"/>
      <c r="I275" s="539"/>
      <c r="J275" s="539"/>
      <c r="K275" s="539"/>
      <c r="L275" s="539"/>
      <c r="M275" s="539"/>
      <c r="N275" s="539"/>
      <c r="O275" s="539"/>
      <c r="P275" s="539"/>
      <c r="Q275" s="539"/>
      <c r="R275" s="539"/>
      <c r="S275" s="539"/>
      <c r="T275" s="539"/>
      <c r="U275" s="539"/>
      <c r="V275" s="539"/>
      <c r="W275" s="539"/>
      <c r="X275" s="539"/>
      <c r="Y275" s="539"/>
      <c r="Z275" s="539"/>
      <c r="AA275" s="539"/>
      <c r="AB275" s="539"/>
      <c r="AC275" s="539"/>
      <c r="AD275" s="539"/>
      <c r="AE275" s="539"/>
      <c r="AF275" s="539"/>
      <c r="AG275" s="539"/>
      <c r="AH275" s="539"/>
      <c r="AI275" s="539"/>
      <c r="AJ275" s="539"/>
      <c r="AK275" s="238"/>
      <c r="AL275" s="238"/>
      <c r="AM275" s="197">
        <f>IF(AQ275=1,SUM(H275:I275,L275:O275,R275:U275,X275:AA275,AD275:AG275,AI275:AK275),
IF(AQ275=2,SUM(H275:K275,N275:Q275,T275:W275,Z275:AC275,AF275:AI275),
IF(AQ275=3,SUM(J275:M275,P275:S275,V275:Y275,AB275:AE275,AH275:AK275),SUM(Таблица1[[#This Row],[1]:[31]])-Таблица1[[#This Row],[Столбец1]])))</f>
        <v>0</v>
      </c>
      <c r="AN275" s="269">
        <f t="array" ref="AN275">IF(AQ275=1,SUM(J275:K275,P275:Q275,V275:W275,AB275:AC275,AH275:AI275),
IF(AQ275=2,SUM(L275:M275,R275:S275,X275:Y275,AD275:AE275),
IF(AQ275=3,SUM(H275:I275,N275:O275,T275:U275,Z275:AA275,AF275:AG275),
SUM(IFERROR(WEEKDAY($H$2:$AL$2,2)&gt;5,)*H275:AL275))))</f>
        <v>0</v>
      </c>
      <c r="AO275" s="271" t="b">
        <f>IF(AR275&lt;=3,(IF((G275="5/24"),((база!$M$6*Таблица1[[#This Row],[сумма]]*Таблица1[[#This Row],[коэф]])),
IF((G275="4/24"),((база!$M$5*Таблица1[[#This Row],[сумма]]*Таблица1[[#This Row],[коэф]])),
IF((G275="3/24"),((база!$M$4*Таблица1[[#This Row],[сумма]]*Таблица1[[#This Row],[коэф]])),
IF((G275="5/16"),((база!$L$6*Таблица1[[#This Row],[сумма]]*Таблица1[[#This Row],[коэф]])),
IF((G275="4/16"),((база!$L$5*Таблица1[[#This Row],[сумма]]*Таблица1[[#This Row],[коэф]])),
IF((G275="3/16"),((база!$L$4*Таблица1[[#This Row],[сумма]]*Таблица1[[#This Row],[коэф]])),
IF((G275="4/4"),((база!$I$5*Таблица1[[#This Row],[сумма]]*Таблица1[[#This Row],[коэф]])),
IF(OR(G275="2/4",G275="3/4"),((база!$I$4*Таблица1[[#This Row],[сумма]]*Таблица1[[#This Row],[коэф]])),
IF((G275="5/8"),((база!$J$6*Таблица1[[#This Row],[сумма]]*Таблица1[[#This Row],[коэф]])),
IF((G275="4/8"),((база!$J$5*Таблица1[[#This Row],[сумма]]*Таблица1[[#This Row],[коэф]])),
IF(OR(G275="3/8",G275="2/8"),((база!$J$4*Таблица1[[#This Row],[сумма]]*Таблица1[[#This Row],[коэф]])))))))))))))),
(IF((G275="5/24"),((база!$M$6*Таблица1[[#This Row],[сумма]]*Таблица1[[#This Row],[коэф]])),
IF(OR(G275="4/24",G275="3/24"),((база!$M$5*Таблица1[[#This Row],[сумма]]*Таблица1[[#This Row],[коэф]])),
IF((G275="5/16"),((база!$L$6*Таблица1[[#This Row],[сумма]]*Таблица1[[#This Row],[коэф]])),
IF(OR(G275="4/16",G275="3/16"),((база!$L$5*Таблица1[[#This Row],[сумма]]*Таблица1[[#This Row],[коэф]])),
IF(OR(G275="2/4",G275="3/4",G275="4/4"),((база!$I$5*Таблица1[[#This Row],[сумма]]*Таблица1[[#This Row],[коэф]])),
IF((G275="5/8"),((база!$J$6*Таблица1[[#This Row],[сумма]]*Таблица1[[#This Row],[коэф]])),
IF(OR(G275="4/8",G275="3/8",G275="2/8"),((база!$J$5*Таблица1[[#This Row],[сумма]]*Таблица1[[#This Row],[коэф]])))))))))))</f>
        <v>0</v>
      </c>
      <c r="AP275" s="696" t="b">
        <f>IF(AR275&lt;=3,(IF((G275="5/24"),((база!$M$6*2*Таблица1[[#This Row],[Столбец1]]*Таблица1[[#This Row],[коэф]])),
IF((G275="4/24"),((база!$M$5*2*Таблица1[[#This Row],[Столбец1]]*Таблица1[[#This Row],[коэф]])),
IF((G275="3/24"),((база!$M$4*2*Таблица1[[#This Row],[Столбец1]]*Таблица1[[#This Row],[коэф]])),
IF((G275="5/16"),((база!$L$6*2*Таблица1[[#This Row],[Столбец1]]*Таблица1[[#This Row],[коэф]])),
IF((G275="4/16"),((база!$L$5*2*Таблица1[[#This Row],[Столбец1]]*Таблица1[[#This Row],[коэф]])),
IF((G275="3/16"),((база!$L$4*2*Таблица1[[#This Row],[Столбец1]]*Таблица1[[#This Row],[коэф]])),
IF((G275="4/4"),((база!$I$5*2*Таблица1[[#This Row],[Столбец1]]*Таблица1[[#This Row],[коэф]])),
IF(OR(G275="2/4",G275="3/4"),((база!$I$4*2*Таблица1[[#This Row],[Столбец1]]*Таблица1[[#This Row],[коэф]])),
IF((G275="5/8"),((база!$J$6*2*Таблица1[[#This Row],[Столбец1]]*Таблица1[[#This Row],[коэф]])),
IF((G275="4/8"),((база!$J$5*2*Таблица1[[#This Row],[Столбец1]]*Таблица1[[#This Row],[коэф]])),
IF(OR(G275="3/8",G275="2/8"),((база!$J$4*2*Таблица1[[#This Row],[Столбец1]]*Таблица1[[#This Row],[коэф]])))))))))))))),
(IF((G275="5/24"),((база!$M$6*2*Таблица1[[#This Row],[Столбец1]]*Таблица1[[#This Row],[коэф]])),
IF(OR(G275="4/24",G275="3/24"),((база!$M$5*2*Таблица1[[#This Row],[Столбец1]]*Таблица1[[#This Row],[коэф]])),
IF((G275="5/16"),((база!$L$6*2*Таблица1[[#This Row],[Столбец1]]*Таблица1[[#This Row],[коэф]])),
IF(OR(G275="4/16",G275="3/16"),((база!$L$5*2*Таблица1[[#This Row],[Столбец1]]*Таблица1[[#This Row],[коэф]])),
IF(OR(G275="2/4",G275="3/4",G275="4/4"),((база!$I$5*2*Таблица1[[#This Row],[Столбец1]]*Таблица1[[#This Row],[коэф]])),
IF((G275="5/8"),((база!$J$6*2*Таблица1[[#This Row],[Столбец1]]*Таблица1[[#This Row],[коэф]])),
IF(OR(G275="4/8",G275="3/8",G275="2/8"),((база!$J$5*2*Таблица1[[#This Row],[Столбец1]]*Таблица1[[#This Row],[коэф]])))))))))))</f>
        <v>0</v>
      </c>
      <c r="AQ275" s="678" t="str">
        <f>IFERROR(INDEX(база!T:T, MATCH(F275,база!Q:Q,0)),"")</f>
        <v/>
      </c>
      <c r="AR275" s="193">
        <f>IFERROR(INDEX(база!D:D, MATCH(F275,база!B:B,0)),"")</f>
        <v>0</v>
      </c>
    </row>
    <row r="276" spans="1:44" ht="15">
      <c r="A276" s="59"/>
      <c r="B276" s="215"/>
      <c r="C276" s="54"/>
      <c r="D276" s="55"/>
      <c r="E276" s="196"/>
      <c r="F276" s="651"/>
      <c r="G276" s="42"/>
      <c r="H276" s="539"/>
      <c r="I276" s="539"/>
      <c r="J276" s="539"/>
      <c r="K276" s="539"/>
      <c r="L276" s="539"/>
      <c r="M276" s="539"/>
      <c r="N276" s="539"/>
      <c r="O276" s="539"/>
      <c r="P276" s="278"/>
      <c r="Q276" s="539"/>
      <c r="R276" s="539"/>
      <c r="S276" s="539"/>
      <c r="T276" s="539"/>
      <c r="U276" s="539"/>
      <c r="V276" s="539"/>
      <c r="W276" s="539"/>
      <c r="X276" s="539"/>
      <c r="Y276" s="539"/>
      <c r="Z276" s="539"/>
      <c r="AA276" s="539"/>
      <c r="AB276" s="539"/>
      <c r="AC276" s="539"/>
      <c r="AD276" s="43"/>
      <c r="AE276" s="43"/>
      <c r="AF276" s="238"/>
      <c r="AG276" s="43"/>
      <c r="AH276" s="43"/>
      <c r="AI276" s="43"/>
      <c r="AJ276" s="43"/>
      <c r="AK276" s="43"/>
      <c r="AL276" s="45"/>
      <c r="AM276" s="197">
        <f>IF(AQ276=1,SUM(H276:I276,L276:O276,R276:U276,X276:AA276,AD276:AG276,AI276:AK276),
IF(AQ276=2,SUM(H276:K276,N276:Q276,T276:W276,Z276:AC276,AF276:AI276),
IF(AQ276=3,SUM(J276:M276,P276:S276,V276:Y276,AB276:AE276,AH276:AK276),SUM(Таблица1[[#This Row],[1]:[31]])-Таблица1[[#This Row],[Столбец1]])))</f>
        <v>0</v>
      </c>
      <c r="AN276" s="269">
        <f t="array" ref="AN276">IF(AQ276=1,SUM(J276:K276,P276:Q276,V276:W276,AB276:AC276,AH276:AI276),
IF(AQ276=2,SUM(L276:M276,R276:S276,X276:Y276,AD276:AE276),
IF(AQ276=3,SUM(H276:I276,N276:O276,T276:U276,Z276:AA276,AF276:AG276),
SUM(IFERROR(WEEKDAY($H$2:$AL$2,2)&gt;5,)*H276:AL276))))</f>
        <v>0</v>
      </c>
      <c r="AO276" s="271" t="b">
        <f>IF(AR276&lt;=3,(IF((G276="5/24"),((база!$M$6*Таблица1[[#This Row],[сумма]]*Таблица1[[#This Row],[коэф]])),
IF((G276="4/24"),((база!$M$5*Таблица1[[#This Row],[сумма]]*Таблица1[[#This Row],[коэф]])),
IF((G276="3/24"),((база!$M$4*Таблица1[[#This Row],[сумма]]*Таблица1[[#This Row],[коэф]])),
IF((G276="5/16"),((база!$L$6*Таблица1[[#This Row],[сумма]]*Таблица1[[#This Row],[коэф]])),
IF((G276="4/16"),((база!$L$5*Таблица1[[#This Row],[сумма]]*Таблица1[[#This Row],[коэф]])),
IF((G276="3/16"),((база!$L$4*Таблица1[[#This Row],[сумма]]*Таблица1[[#This Row],[коэф]])),
IF((G276="4/4"),((база!$I$5*Таблица1[[#This Row],[сумма]]*Таблица1[[#This Row],[коэф]])),
IF(OR(G276="2/4",G276="3/4"),((база!$I$4*Таблица1[[#This Row],[сумма]]*Таблица1[[#This Row],[коэф]])),
IF((G276="5/8"),((база!$J$6*Таблица1[[#This Row],[сумма]]*Таблица1[[#This Row],[коэф]])),
IF((G276="4/8"),((база!$J$5*Таблица1[[#This Row],[сумма]]*Таблица1[[#This Row],[коэф]])),
IF(OR(G276="3/8",G276="2/8"),((база!$J$4*Таблица1[[#This Row],[сумма]]*Таблица1[[#This Row],[коэф]])))))))))))))),
(IF((G276="5/24"),((база!$M$6*Таблица1[[#This Row],[сумма]]*Таблица1[[#This Row],[коэф]])),
IF(OR(G276="4/24",G276="3/24"),((база!$M$5*Таблица1[[#This Row],[сумма]]*Таблица1[[#This Row],[коэф]])),
IF((G276="5/16"),((база!$L$6*Таблица1[[#This Row],[сумма]]*Таблица1[[#This Row],[коэф]])),
IF(OR(G276="4/16",G276="3/16"),((база!$L$5*Таблица1[[#This Row],[сумма]]*Таблица1[[#This Row],[коэф]])),
IF(OR(G276="2/4",G276="3/4",G276="4/4"),((база!$I$5*Таблица1[[#This Row],[сумма]]*Таблица1[[#This Row],[коэф]])),
IF((G276="5/8"),((база!$J$6*Таблица1[[#This Row],[сумма]]*Таблица1[[#This Row],[коэф]])),
IF(OR(G276="4/8",G276="3/8",G276="2/8"),((база!$J$5*Таблица1[[#This Row],[сумма]]*Таблица1[[#This Row],[коэф]])))))))))))</f>
        <v>0</v>
      </c>
      <c r="AP276" s="696" t="b">
        <f>IF(AR276&lt;=3,(IF((G276="5/24"),((база!$M$6*2*Таблица1[[#This Row],[Столбец1]]*Таблица1[[#This Row],[коэф]])),
IF((G276="4/24"),((база!$M$5*2*Таблица1[[#This Row],[Столбец1]]*Таблица1[[#This Row],[коэф]])),
IF((G276="3/24"),((база!$M$4*2*Таблица1[[#This Row],[Столбец1]]*Таблица1[[#This Row],[коэф]])),
IF((G276="5/16"),((база!$L$6*2*Таблица1[[#This Row],[Столбец1]]*Таблица1[[#This Row],[коэф]])),
IF((G276="4/16"),((база!$L$5*2*Таблица1[[#This Row],[Столбец1]]*Таблица1[[#This Row],[коэф]])),
IF((G276="3/16"),((база!$L$4*2*Таблица1[[#This Row],[Столбец1]]*Таблица1[[#This Row],[коэф]])),
IF((G276="4/4"),((база!$I$5*2*Таблица1[[#This Row],[Столбец1]]*Таблица1[[#This Row],[коэф]])),
IF(OR(G276="2/4",G276="3/4"),((база!$I$4*2*Таблица1[[#This Row],[Столбец1]]*Таблица1[[#This Row],[коэф]])),
IF((G276="5/8"),((база!$J$6*2*Таблица1[[#This Row],[Столбец1]]*Таблица1[[#This Row],[коэф]])),
IF((G276="4/8"),((база!$J$5*2*Таблица1[[#This Row],[Столбец1]]*Таблица1[[#This Row],[коэф]])),
IF(OR(G276="3/8",G276="2/8"),((база!$J$4*2*Таблица1[[#This Row],[Столбец1]]*Таблица1[[#This Row],[коэф]])))))))))))))),
(IF((G276="5/24"),((база!$M$6*2*Таблица1[[#This Row],[Столбец1]]*Таблица1[[#This Row],[коэф]])),
IF(OR(G276="4/24",G276="3/24"),((база!$M$5*2*Таблица1[[#This Row],[Столбец1]]*Таблица1[[#This Row],[коэф]])),
IF((G276="5/16"),((база!$L$6*2*Таблица1[[#This Row],[Столбец1]]*Таблица1[[#This Row],[коэф]])),
IF(OR(G276="4/16",G276="3/16"),((база!$L$5*2*Таблица1[[#This Row],[Столбец1]]*Таблица1[[#This Row],[коэф]])),
IF(OR(G276="2/4",G276="3/4",G276="4/4"),((база!$I$5*2*Таблица1[[#This Row],[Столбец1]]*Таблица1[[#This Row],[коэф]])),
IF((G276="5/8"),((база!$J$6*2*Таблица1[[#This Row],[Столбец1]]*Таблица1[[#This Row],[коэф]])),
IF(OR(G276="4/8",G276="3/8",G276="2/8"),((база!$J$5*2*Таблица1[[#This Row],[Столбец1]]*Таблица1[[#This Row],[коэф]])))))))))))</f>
        <v>0</v>
      </c>
      <c r="AQ276" s="678" t="str">
        <f>IFERROR(INDEX(база!T:T, MATCH(F276,база!Q:Q,0)),"")</f>
        <v/>
      </c>
      <c r="AR276" s="193">
        <f>IFERROR(INDEX(база!D:D, MATCH(F276,база!B:B,0)),"")</f>
        <v>0</v>
      </c>
    </row>
    <row r="277" spans="1:44" ht="15">
      <c r="A277" s="59"/>
      <c r="B277" s="215"/>
      <c r="C277" s="277"/>
      <c r="D277" s="55"/>
      <c r="E277" s="196"/>
      <c r="F277" s="651"/>
      <c r="G277" s="42"/>
      <c r="H277" s="539"/>
      <c r="I277" s="539"/>
      <c r="J277" s="539"/>
      <c r="K277" s="539"/>
      <c r="L277" s="539"/>
      <c r="M277" s="539"/>
      <c r="N277" s="539"/>
      <c r="O277" s="539"/>
      <c r="P277" s="278"/>
      <c r="Q277" s="539"/>
      <c r="R277" s="539"/>
      <c r="S277" s="539"/>
      <c r="T277" s="539"/>
      <c r="U277" s="539"/>
      <c r="V277" s="539"/>
      <c r="W277" s="539"/>
      <c r="X277" s="539"/>
      <c r="Y277" s="539"/>
      <c r="Z277" s="539"/>
      <c r="AA277" s="539"/>
      <c r="AB277" s="539"/>
      <c r="AC277" s="539"/>
      <c r="AD277" s="43"/>
      <c r="AE277" s="43"/>
      <c r="AF277" s="238"/>
      <c r="AG277" s="43"/>
      <c r="AH277" s="43"/>
      <c r="AI277" s="238"/>
      <c r="AJ277" s="238"/>
      <c r="AK277" s="238"/>
      <c r="AL277" s="238"/>
      <c r="AM277" s="197">
        <f>IF(AQ277=1,SUM(H277:I277,L277:O277,R277:U277,X277:AA277,AD277:AG277,AI277:AK277),
IF(AQ277=2,SUM(H277:K277,N277:Q277,T277:W277,Z277:AC277,AF277:AI277),
IF(AQ277=3,SUM(J277:M277,P277:S277,V277:Y277,AB277:AE277,AH277:AK277),SUM(Таблица1[[#This Row],[1]:[31]])-Таблица1[[#This Row],[Столбец1]])))</f>
        <v>0</v>
      </c>
      <c r="AN277" s="269">
        <f t="array" ref="AN277">IF(AQ277=1,SUM(J277:K277,P277:Q277,V277:W277,AB277:AC277,AH277:AI277),
IF(AQ277=2,SUM(L277:M277,R277:S277,X277:Y277,AD277:AE277),
IF(AQ277=3,SUM(H277:I277,N277:O277,T277:U277,Z277:AA277,AF277:AG277),
SUM(IFERROR(WEEKDAY($H$2:$AL$2,2)&gt;5,)*H277:AL277))))</f>
        <v>0</v>
      </c>
      <c r="AO277" s="271" t="b">
        <f>IF(AR277&lt;=3,(IF((G277="5/24"),((база!$M$6*Таблица1[[#This Row],[сумма]]*Таблица1[[#This Row],[коэф]])),
IF((G277="4/24"),((база!$M$5*Таблица1[[#This Row],[сумма]]*Таблица1[[#This Row],[коэф]])),
IF((G277="3/24"),((база!$M$4*Таблица1[[#This Row],[сумма]]*Таблица1[[#This Row],[коэф]])),
IF((G277="5/16"),((база!$L$6*Таблица1[[#This Row],[сумма]]*Таблица1[[#This Row],[коэф]])),
IF((G277="4/16"),((база!$L$5*Таблица1[[#This Row],[сумма]]*Таблица1[[#This Row],[коэф]])),
IF((G277="3/16"),((база!$L$4*Таблица1[[#This Row],[сумма]]*Таблица1[[#This Row],[коэф]])),
IF((G277="4/4"),((база!$I$5*Таблица1[[#This Row],[сумма]]*Таблица1[[#This Row],[коэф]])),
IF(OR(G277="2/4",G277="3/4"),((база!$I$4*Таблица1[[#This Row],[сумма]]*Таблица1[[#This Row],[коэф]])),
IF((G277="5/8"),((база!$J$6*Таблица1[[#This Row],[сумма]]*Таблица1[[#This Row],[коэф]])),
IF((G277="4/8"),((база!$J$5*Таблица1[[#This Row],[сумма]]*Таблица1[[#This Row],[коэф]])),
IF(OR(G277="3/8",G277="2/8"),((база!$J$4*Таблица1[[#This Row],[сумма]]*Таблица1[[#This Row],[коэф]])))))))))))))),
(IF((G277="5/24"),((база!$M$6*Таблица1[[#This Row],[сумма]]*Таблица1[[#This Row],[коэф]])),
IF(OR(G277="4/24",G277="3/24"),((база!$M$5*Таблица1[[#This Row],[сумма]]*Таблица1[[#This Row],[коэф]])),
IF((G277="5/16"),((база!$L$6*Таблица1[[#This Row],[сумма]]*Таблица1[[#This Row],[коэф]])),
IF(OR(G277="4/16",G277="3/16"),((база!$L$5*Таблица1[[#This Row],[сумма]]*Таблица1[[#This Row],[коэф]])),
IF(OR(G277="2/4",G277="3/4",G277="4/4"),((база!$I$5*Таблица1[[#This Row],[сумма]]*Таблица1[[#This Row],[коэф]])),
IF((G277="5/8"),((база!$J$6*Таблица1[[#This Row],[сумма]]*Таблица1[[#This Row],[коэф]])),
IF(OR(G277="4/8",G277="3/8",G277="2/8"),((база!$J$5*Таблица1[[#This Row],[сумма]]*Таблица1[[#This Row],[коэф]])))))))))))</f>
        <v>0</v>
      </c>
      <c r="AP277" s="696" t="b">
        <f>IF(AR277&lt;=3,(IF((G277="5/24"),((база!$M$6*2*Таблица1[[#This Row],[Столбец1]]*Таблица1[[#This Row],[коэф]])),
IF((G277="4/24"),((база!$M$5*2*Таблица1[[#This Row],[Столбец1]]*Таблица1[[#This Row],[коэф]])),
IF((G277="3/24"),((база!$M$4*2*Таблица1[[#This Row],[Столбец1]]*Таблица1[[#This Row],[коэф]])),
IF((G277="5/16"),((база!$L$6*2*Таблица1[[#This Row],[Столбец1]]*Таблица1[[#This Row],[коэф]])),
IF((G277="4/16"),((база!$L$5*2*Таблица1[[#This Row],[Столбец1]]*Таблица1[[#This Row],[коэф]])),
IF((G277="3/16"),((база!$L$4*2*Таблица1[[#This Row],[Столбец1]]*Таблица1[[#This Row],[коэф]])),
IF((G277="4/4"),((база!$I$5*2*Таблица1[[#This Row],[Столбец1]]*Таблица1[[#This Row],[коэф]])),
IF(OR(G277="2/4",G277="3/4"),((база!$I$4*2*Таблица1[[#This Row],[Столбец1]]*Таблица1[[#This Row],[коэф]])),
IF((G277="5/8"),((база!$J$6*2*Таблица1[[#This Row],[Столбец1]]*Таблица1[[#This Row],[коэф]])),
IF((G277="4/8"),((база!$J$5*2*Таблица1[[#This Row],[Столбец1]]*Таблица1[[#This Row],[коэф]])),
IF(OR(G277="3/8",G277="2/8"),((база!$J$4*2*Таблица1[[#This Row],[Столбец1]]*Таблица1[[#This Row],[коэф]])))))))))))))),
(IF((G277="5/24"),((база!$M$6*2*Таблица1[[#This Row],[Столбец1]]*Таблица1[[#This Row],[коэф]])),
IF(OR(G277="4/24",G277="3/24"),((база!$M$5*2*Таблица1[[#This Row],[Столбец1]]*Таблица1[[#This Row],[коэф]])),
IF((G277="5/16"),((база!$L$6*2*Таблица1[[#This Row],[Столбец1]]*Таблица1[[#This Row],[коэф]])),
IF(OR(G277="4/16",G277="3/16"),((база!$L$5*2*Таблица1[[#This Row],[Столбец1]]*Таблица1[[#This Row],[коэф]])),
IF(OR(G277="2/4",G277="3/4",G277="4/4"),((база!$I$5*2*Таблица1[[#This Row],[Столбец1]]*Таблица1[[#This Row],[коэф]])),
IF((G277="5/8"),((база!$J$6*2*Таблица1[[#This Row],[Столбец1]]*Таблица1[[#This Row],[коэф]])),
IF(OR(G277="4/8",G277="3/8",G277="2/8"),((база!$J$5*2*Таблица1[[#This Row],[Столбец1]]*Таблица1[[#This Row],[коэф]])))))))))))</f>
        <v>0</v>
      </c>
      <c r="AQ277" s="678" t="str">
        <f>IFERROR(INDEX(база!T:T, MATCH(F277,база!Q:Q,0)),"")</f>
        <v/>
      </c>
      <c r="AR277" s="193">
        <f>IFERROR(INDEX(база!D:D, MATCH(F277,база!B:B,0)),"")</f>
        <v>0</v>
      </c>
    </row>
    <row r="278" spans="1:44" ht="15">
      <c r="A278" s="59"/>
      <c r="B278" s="215"/>
      <c r="C278" s="54"/>
      <c r="D278" s="55"/>
      <c r="E278" s="196"/>
      <c r="F278" s="651"/>
      <c r="G278" s="42"/>
      <c r="H278" s="539"/>
      <c r="I278" s="539"/>
      <c r="J278" s="539"/>
      <c r="K278" s="539"/>
      <c r="L278" s="539"/>
      <c r="M278" s="539"/>
      <c r="N278" s="539"/>
      <c r="O278" s="539"/>
      <c r="P278" s="278"/>
      <c r="Q278" s="539"/>
      <c r="R278" s="539"/>
      <c r="S278" s="539"/>
      <c r="T278" s="539"/>
      <c r="U278" s="539"/>
      <c r="V278" s="539"/>
      <c r="W278" s="539"/>
      <c r="X278" s="539"/>
      <c r="Y278" s="539"/>
      <c r="Z278" s="539"/>
      <c r="AA278" s="539"/>
      <c r="AB278" s="539"/>
      <c r="AC278" s="539"/>
      <c r="AD278" s="43"/>
      <c r="AE278" s="43"/>
      <c r="AF278" s="238"/>
      <c r="AG278" s="43"/>
      <c r="AH278" s="43"/>
      <c r="AI278" s="43"/>
      <c r="AJ278" s="43"/>
      <c r="AK278" s="43"/>
      <c r="AL278" s="45"/>
      <c r="AM278" s="197">
        <f>IF(AQ278=1,SUM(H278:I278,L278:O278,R278:U278,X278:AA278,AD278:AG278,AI278:AK278),
IF(AQ278=2,SUM(H278:K278,N278:Q278,T278:W278,Z278:AC278,AF278:AI278),
IF(AQ278=3,SUM(J278:M278,P278:S278,V278:Y278,AB278:AE278,AH278:AK278),SUM(Таблица1[[#This Row],[1]:[31]])-Таблица1[[#This Row],[Столбец1]])))</f>
        <v>0</v>
      </c>
      <c r="AN278" s="269">
        <f t="array" ref="AN278">IF(AQ278=1,SUM(J278:K278,P278:Q278,V278:W278,AB278:AC278,AH278:AI278),
IF(AQ278=2,SUM(L278:M278,R278:S278,X278:Y278,AD278:AE278),
IF(AQ278=3,SUM(H278:I278,N278:O278,T278:U278,Z278:AA278,AF278:AG278),
SUM(IFERROR(WEEKDAY($H$2:$AL$2,2)&gt;5,)*H278:AL278))))</f>
        <v>0</v>
      </c>
      <c r="AO278" s="271" t="b">
        <f>IF(AR278&lt;=3,(IF((G278="5/24"),((база!$M$6*Таблица1[[#This Row],[сумма]]*Таблица1[[#This Row],[коэф]])),
IF((G278="4/24"),((база!$M$5*Таблица1[[#This Row],[сумма]]*Таблица1[[#This Row],[коэф]])),
IF((G278="3/24"),((база!$M$4*Таблица1[[#This Row],[сумма]]*Таблица1[[#This Row],[коэф]])),
IF((G278="5/16"),((база!$L$6*Таблица1[[#This Row],[сумма]]*Таблица1[[#This Row],[коэф]])),
IF((G278="4/16"),((база!$L$5*Таблица1[[#This Row],[сумма]]*Таблица1[[#This Row],[коэф]])),
IF((G278="3/16"),((база!$L$4*Таблица1[[#This Row],[сумма]]*Таблица1[[#This Row],[коэф]])),
IF((G278="4/4"),((база!$I$5*Таблица1[[#This Row],[сумма]]*Таблица1[[#This Row],[коэф]])),
IF(OR(G278="2/4",G278="3/4"),((база!$I$4*Таблица1[[#This Row],[сумма]]*Таблица1[[#This Row],[коэф]])),
IF((G278="5/8"),((база!$J$6*Таблица1[[#This Row],[сумма]]*Таблица1[[#This Row],[коэф]])),
IF((G278="4/8"),((база!$J$5*Таблица1[[#This Row],[сумма]]*Таблица1[[#This Row],[коэф]])),
IF(OR(G278="3/8",G278="2/8"),((база!$J$4*Таблица1[[#This Row],[сумма]]*Таблица1[[#This Row],[коэф]])))))))))))))),
(IF((G278="5/24"),((база!$M$6*Таблица1[[#This Row],[сумма]]*Таблица1[[#This Row],[коэф]])),
IF(OR(G278="4/24",G278="3/24"),((база!$M$5*Таблица1[[#This Row],[сумма]]*Таблица1[[#This Row],[коэф]])),
IF((G278="5/16"),((база!$L$6*Таблица1[[#This Row],[сумма]]*Таблица1[[#This Row],[коэф]])),
IF(OR(G278="4/16",G278="3/16"),((база!$L$5*Таблица1[[#This Row],[сумма]]*Таблица1[[#This Row],[коэф]])),
IF(OR(G278="2/4",G278="3/4",G278="4/4"),((база!$I$5*Таблица1[[#This Row],[сумма]]*Таблица1[[#This Row],[коэф]])),
IF((G278="5/8"),((база!$J$6*Таблица1[[#This Row],[сумма]]*Таблица1[[#This Row],[коэф]])),
IF(OR(G278="4/8",G278="3/8",G278="2/8"),((база!$J$5*Таблица1[[#This Row],[сумма]]*Таблица1[[#This Row],[коэф]])))))))))))</f>
        <v>0</v>
      </c>
      <c r="AP278" s="696" t="b">
        <f>IF(AR278&lt;=3,(IF((G278="5/24"),((база!$M$6*2*Таблица1[[#This Row],[Столбец1]]*Таблица1[[#This Row],[коэф]])),
IF((G278="4/24"),((база!$M$5*2*Таблица1[[#This Row],[Столбец1]]*Таблица1[[#This Row],[коэф]])),
IF((G278="3/24"),((база!$M$4*2*Таблица1[[#This Row],[Столбец1]]*Таблица1[[#This Row],[коэф]])),
IF((G278="5/16"),((база!$L$6*2*Таблица1[[#This Row],[Столбец1]]*Таблица1[[#This Row],[коэф]])),
IF((G278="4/16"),((база!$L$5*2*Таблица1[[#This Row],[Столбец1]]*Таблица1[[#This Row],[коэф]])),
IF((G278="3/16"),((база!$L$4*2*Таблица1[[#This Row],[Столбец1]]*Таблица1[[#This Row],[коэф]])),
IF((G278="4/4"),((база!$I$5*2*Таблица1[[#This Row],[Столбец1]]*Таблица1[[#This Row],[коэф]])),
IF(OR(G278="2/4",G278="3/4"),((база!$I$4*2*Таблица1[[#This Row],[Столбец1]]*Таблица1[[#This Row],[коэф]])),
IF((G278="5/8"),((база!$J$6*2*Таблица1[[#This Row],[Столбец1]]*Таблица1[[#This Row],[коэф]])),
IF((G278="4/8"),((база!$J$5*2*Таблица1[[#This Row],[Столбец1]]*Таблица1[[#This Row],[коэф]])),
IF(OR(G278="3/8",G278="2/8"),((база!$J$4*2*Таблица1[[#This Row],[Столбец1]]*Таблица1[[#This Row],[коэф]])))))))))))))),
(IF((G278="5/24"),((база!$M$6*2*Таблица1[[#This Row],[Столбец1]]*Таблица1[[#This Row],[коэф]])),
IF(OR(G278="4/24",G278="3/24"),((база!$M$5*2*Таблица1[[#This Row],[Столбец1]]*Таблица1[[#This Row],[коэф]])),
IF((G278="5/16"),((база!$L$6*2*Таблица1[[#This Row],[Столбец1]]*Таблица1[[#This Row],[коэф]])),
IF(OR(G278="4/16",G278="3/16"),((база!$L$5*2*Таблица1[[#This Row],[Столбец1]]*Таблица1[[#This Row],[коэф]])),
IF(OR(G278="2/4",G278="3/4",G278="4/4"),((база!$I$5*2*Таблица1[[#This Row],[Столбец1]]*Таблица1[[#This Row],[коэф]])),
IF((G278="5/8"),((база!$J$6*2*Таблица1[[#This Row],[Столбец1]]*Таблица1[[#This Row],[коэф]])),
IF(OR(G278="4/8",G278="3/8",G278="2/8"),((база!$J$5*2*Таблица1[[#This Row],[Столбец1]]*Таблица1[[#This Row],[коэф]])))))))))))</f>
        <v>0</v>
      </c>
      <c r="AQ278" s="678" t="str">
        <f>IFERROR(INDEX(база!T:T, MATCH(F278,база!Q:Q,0)),"")</f>
        <v/>
      </c>
      <c r="AR278" s="193">
        <f>IFERROR(INDEX(база!D:D, MATCH(F278,база!B:B,0)),"")</f>
        <v>0</v>
      </c>
    </row>
    <row r="279" spans="1:44" ht="15">
      <c r="A279" s="59"/>
      <c r="B279" s="215"/>
      <c r="C279" s="54"/>
      <c r="D279" s="55"/>
      <c r="E279" s="196"/>
      <c r="F279" s="651"/>
      <c r="G279" s="42"/>
      <c r="H279" s="539"/>
      <c r="I279" s="539"/>
      <c r="J279" s="539"/>
      <c r="K279" s="539"/>
      <c r="L279" s="539"/>
      <c r="M279" s="539"/>
      <c r="N279" s="539"/>
      <c r="O279" s="539"/>
      <c r="P279" s="278"/>
      <c r="Q279" s="539"/>
      <c r="R279" s="539"/>
      <c r="S279" s="539"/>
      <c r="T279" s="539"/>
      <c r="U279" s="539"/>
      <c r="V279" s="539"/>
      <c r="W279" s="539"/>
      <c r="X279" s="539"/>
      <c r="Y279" s="539"/>
      <c r="Z279" s="539"/>
      <c r="AA279" s="539"/>
      <c r="AB279" s="539"/>
      <c r="AC279" s="539"/>
      <c r="AD279" s="539"/>
      <c r="AE279" s="539"/>
      <c r="AF279" s="238"/>
      <c r="AG279" s="43"/>
      <c r="AH279" s="43"/>
      <c r="AI279" s="43"/>
      <c r="AJ279" s="43"/>
      <c r="AK279" s="43"/>
      <c r="AL279" s="238"/>
      <c r="AM279" s="197">
        <f>IF(AQ279=1,SUM(H279:I279,L279:O279,R279:U279,X279:AA279,AD279:AG279,AI279:AK279),
IF(AQ279=2,SUM(H279:K279,N279:Q279,T279:W279,Z279:AC279,AF279:AI279),
IF(AQ279=3,SUM(J279:M279,P279:S279,V279:Y279,AB279:AE279,AH279:AK279),SUM(Таблица1[[#This Row],[1]:[31]])-Таблица1[[#This Row],[Столбец1]])))</f>
        <v>0</v>
      </c>
      <c r="AN279" s="269">
        <f t="array" ref="AN279">IF(AQ279=1,SUM(J279:K279,P279:Q279,V279:W279,AB279:AC279,AH279:AI279),
IF(AQ279=2,SUM(L279:M279,R279:S279,X279:Y279,AD279:AE279),
IF(AQ279=3,SUM(H279:I279,N279:O279,T279:U279,Z279:AA279,AF279:AG279),
SUM(IFERROR(WEEKDAY($H$2:$AL$2,2)&gt;5,)*H279:AL279))))</f>
        <v>0</v>
      </c>
      <c r="AO279" s="271" t="b">
        <f>IF(AR279&lt;=3,(IF((G279="5/24"),((база!$M$6*Таблица1[[#This Row],[сумма]]*Таблица1[[#This Row],[коэф]])),
IF((G279="4/24"),((база!$M$5*Таблица1[[#This Row],[сумма]]*Таблица1[[#This Row],[коэф]])),
IF((G279="3/24"),((база!$M$4*Таблица1[[#This Row],[сумма]]*Таблица1[[#This Row],[коэф]])),
IF((G279="5/16"),((база!$L$6*Таблица1[[#This Row],[сумма]]*Таблица1[[#This Row],[коэф]])),
IF((G279="4/16"),((база!$L$5*Таблица1[[#This Row],[сумма]]*Таблица1[[#This Row],[коэф]])),
IF((G279="3/16"),((база!$L$4*Таблица1[[#This Row],[сумма]]*Таблица1[[#This Row],[коэф]])),
IF((G279="4/4"),((база!$I$5*Таблица1[[#This Row],[сумма]]*Таблица1[[#This Row],[коэф]])),
IF(OR(G279="2/4",G279="3/4"),((база!$I$4*Таблица1[[#This Row],[сумма]]*Таблица1[[#This Row],[коэф]])),
IF((G279="5/8"),((база!$J$6*Таблица1[[#This Row],[сумма]]*Таблица1[[#This Row],[коэф]])),
IF((G279="4/8"),((база!$J$5*Таблица1[[#This Row],[сумма]]*Таблица1[[#This Row],[коэф]])),
IF(OR(G279="3/8",G279="2/8"),((база!$J$4*Таблица1[[#This Row],[сумма]]*Таблица1[[#This Row],[коэф]])))))))))))))),
(IF((G279="5/24"),((база!$M$6*Таблица1[[#This Row],[сумма]]*Таблица1[[#This Row],[коэф]])),
IF(OR(G279="4/24",G279="3/24"),((база!$M$5*Таблица1[[#This Row],[сумма]]*Таблица1[[#This Row],[коэф]])),
IF((G279="5/16"),((база!$L$6*Таблица1[[#This Row],[сумма]]*Таблица1[[#This Row],[коэф]])),
IF(OR(G279="4/16",G279="3/16"),((база!$L$5*Таблица1[[#This Row],[сумма]]*Таблица1[[#This Row],[коэф]])),
IF(OR(G279="2/4",G279="3/4",G279="4/4"),((база!$I$5*Таблица1[[#This Row],[сумма]]*Таблица1[[#This Row],[коэф]])),
IF((G279="5/8"),((база!$J$6*Таблица1[[#This Row],[сумма]]*Таблица1[[#This Row],[коэф]])),
IF(OR(G279="4/8",G279="3/8",G279="2/8"),((база!$J$5*Таблица1[[#This Row],[сумма]]*Таблица1[[#This Row],[коэф]])))))))))))</f>
        <v>0</v>
      </c>
      <c r="AP279" s="696" t="b">
        <f>IF(AR279&lt;=3,(IF((G279="5/24"),((база!$M$6*2*Таблица1[[#This Row],[Столбец1]]*Таблица1[[#This Row],[коэф]])),
IF((G279="4/24"),((база!$M$5*2*Таблица1[[#This Row],[Столбец1]]*Таблица1[[#This Row],[коэф]])),
IF((G279="3/24"),((база!$M$4*2*Таблица1[[#This Row],[Столбец1]]*Таблица1[[#This Row],[коэф]])),
IF((G279="5/16"),((база!$L$6*2*Таблица1[[#This Row],[Столбец1]]*Таблица1[[#This Row],[коэф]])),
IF((G279="4/16"),((база!$L$5*2*Таблица1[[#This Row],[Столбец1]]*Таблица1[[#This Row],[коэф]])),
IF((G279="3/16"),((база!$L$4*2*Таблица1[[#This Row],[Столбец1]]*Таблица1[[#This Row],[коэф]])),
IF((G279="4/4"),((база!$I$5*2*Таблица1[[#This Row],[Столбец1]]*Таблица1[[#This Row],[коэф]])),
IF(OR(G279="2/4",G279="3/4"),((база!$I$4*2*Таблица1[[#This Row],[Столбец1]]*Таблица1[[#This Row],[коэф]])),
IF((G279="5/8"),((база!$J$6*2*Таблица1[[#This Row],[Столбец1]]*Таблица1[[#This Row],[коэф]])),
IF((G279="4/8"),((база!$J$5*2*Таблица1[[#This Row],[Столбец1]]*Таблица1[[#This Row],[коэф]])),
IF(OR(G279="3/8",G279="2/8"),((база!$J$4*2*Таблица1[[#This Row],[Столбец1]]*Таблица1[[#This Row],[коэф]])))))))))))))),
(IF((G279="5/24"),((база!$M$6*2*Таблица1[[#This Row],[Столбец1]]*Таблица1[[#This Row],[коэф]])),
IF(OR(G279="4/24",G279="3/24"),((база!$M$5*2*Таблица1[[#This Row],[Столбец1]]*Таблица1[[#This Row],[коэф]])),
IF((G279="5/16"),((база!$L$6*2*Таблица1[[#This Row],[Столбец1]]*Таблица1[[#This Row],[коэф]])),
IF(OR(G279="4/16",G279="3/16"),((база!$L$5*2*Таблица1[[#This Row],[Столбец1]]*Таблица1[[#This Row],[коэф]])),
IF(OR(G279="2/4",G279="3/4",G279="4/4"),((база!$I$5*2*Таблица1[[#This Row],[Столбец1]]*Таблица1[[#This Row],[коэф]])),
IF((G279="5/8"),((база!$J$6*2*Таблица1[[#This Row],[Столбец1]]*Таблица1[[#This Row],[коэф]])),
IF(OR(G279="4/8",G279="3/8",G279="2/8"),((база!$J$5*2*Таблица1[[#This Row],[Столбец1]]*Таблица1[[#This Row],[коэф]])))))))))))</f>
        <v>0</v>
      </c>
      <c r="AQ279" s="678" t="str">
        <f>IFERROR(INDEX(база!T:T, MATCH(F279,база!Q:Q,0)),"")</f>
        <v/>
      </c>
      <c r="AR279" s="193">
        <f>IFERROR(INDEX(база!D:D, MATCH(F279,база!B:B,0)),"")</f>
        <v>0</v>
      </c>
    </row>
    <row r="280" spans="1:44" ht="15">
      <c r="A280" s="59"/>
      <c r="B280" s="215"/>
      <c r="C280" s="54"/>
      <c r="D280" s="55"/>
      <c r="E280" s="196"/>
      <c r="F280" s="651"/>
      <c r="G280" s="42"/>
      <c r="H280" s="539"/>
      <c r="I280" s="539"/>
      <c r="J280" s="539"/>
      <c r="K280" s="539"/>
      <c r="L280" s="539"/>
      <c r="M280" s="539"/>
      <c r="N280" s="539"/>
      <c r="O280" s="539"/>
      <c r="P280" s="278"/>
      <c r="Q280" s="539"/>
      <c r="R280" s="539"/>
      <c r="S280" s="539"/>
      <c r="T280" s="539"/>
      <c r="U280" s="539"/>
      <c r="V280" s="539"/>
      <c r="W280" s="539"/>
      <c r="X280" s="539"/>
      <c r="Y280" s="539"/>
      <c r="Z280" s="539"/>
      <c r="AA280" s="539"/>
      <c r="AB280" s="539"/>
      <c r="AC280" s="539"/>
      <c r="AD280" s="43"/>
      <c r="AE280" s="43"/>
      <c r="AF280" s="238"/>
      <c r="AG280" s="43"/>
      <c r="AH280" s="43"/>
      <c r="AI280" s="43"/>
      <c r="AJ280" s="43"/>
      <c r="AK280" s="43"/>
      <c r="AL280" s="45"/>
      <c r="AM280" s="197">
        <f>IF(AQ280=1,SUM(H280:I280,L280:O280,R280:U280,X280:AA280,AD280:AG280,AI280:AK280),
IF(AQ280=2,SUM(H280:K280,N280:Q280,T280:W280,Z280:AC280,AF280:AI280),
IF(AQ280=3,SUM(J280:M280,P280:S280,V280:Y280,AB280:AE280,AH280:AK280),SUM(Таблица1[[#This Row],[1]:[31]])-Таблица1[[#This Row],[Столбец1]])))</f>
        <v>0</v>
      </c>
      <c r="AN280" s="269">
        <f t="array" ref="AN280">IF(AQ280=1,SUM(J280:K280,P280:Q280,V280:W280,AB280:AC280,AH280:AI280),
IF(AQ280=2,SUM(L280:M280,R280:S280,X280:Y280,AD280:AE280),
IF(AQ280=3,SUM(H280:I280,N280:O280,T280:U280,Z280:AA280,AF280:AG280),
SUM(IFERROR(WEEKDAY($H$2:$AL$2,2)&gt;5,)*H280:AL280))))</f>
        <v>0</v>
      </c>
      <c r="AO280" s="271" t="b">
        <f>IF(AR280&lt;=3,(IF((G280="5/24"),((база!$M$6*Таблица1[[#This Row],[сумма]]*Таблица1[[#This Row],[коэф]])),
IF((G280="4/24"),((база!$M$5*Таблица1[[#This Row],[сумма]]*Таблица1[[#This Row],[коэф]])),
IF((G280="3/24"),((база!$M$4*Таблица1[[#This Row],[сумма]]*Таблица1[[#This Row],[коэф]])),
IF((G280="5/16"),((база!$L$6*Таблица1[[#This Row],[сумма]]*Таблица1[[#This Row],[коэф]])),
IF((G280="4/16"),((база!$L$5*Таблица1[[#This Row],[сумма]]*Таблица1[[#This Row],[коэф]])),
IF((G280="3/16"),((база!$L$4*Таблица1[[#This Row],[сумма]]*Таблица1[[#This Row],[коэф]])),
IF((G280="4/4"),((база!$I$5*Таблица1[[#This Row],[сумма]]*Таблица1[[#This Row],[коэф]])),
IF(OR(G280="2/4",G280="3/4"),((база!$I$4*Таблица1[[#This Row],[сумма]]*Таблица1[[#This Row],[коэф]])),
IF((G280="5/8"),((база!$J$6*Таблица1[[#This Row],[сумма]]*Таблица1[[#This Row],[коэф]])),
IF((G280="4/8"),((база!$J$5*Таблица1[[#This Row],[сумма]]*Таблица1[[#This Row],[коэф]])),
IF(OR(G280="3/8",G280="2/8"),((база!$J$4*Таблица1[[#This Row],[сумма]]*Таблица1[[#This Row],[коэф]])))))))))))))),
(IF((G280="5/24"),((база!$M$6*Таблица1[[#This Row],[сумма]]*Таблица1[[#This Row],[коэф]])),
IF(OR(G280="4/24",G280="3/24"),((база!$M$5*Таблица1[[#This Row],[сумма]]*Таблица1[[#This Row],[коэф]])),
IF((G280="5/16"),((база!$L$6*Таблица1[[#This Row],[сумма]]*Таблица1[[#This Row],[коэф]])),
IF(OR(G280="4/16",G280="3/16"),((база!$L$5*Таблица1[[#This Row],[сумма]]*Таблица1[[#This Row],[коэф]])),
IF(OR(G280="2/4",G280="3/4",G280="4/4"),((база!$I$5*Таблица1[[#This Row],[сумма]]*Таблица1[[#This Row],[коэф]])),
IF((G280="5/8"),((база!$J$6*Таблица1[[#This Row],[сумма]]*Таблица1[[#This Row],[коэф]])),
IF(OR(G280="4/8",G280="3/8",G280="2/8"),((база!$J$5*Таблица1[[#This Row],[сумма]]*Таблица1[[#This Row],[коэф]])))))))))))</f>
        <v>0</v>
      </c>
      <c r="AP280" s="696" t="b">
        <f>IF(AR280&lt;=3,(IF((G280="5/24"),((база!$M$6*2*Таблица1[[#This Row],[Столбец1]]*Таблица1[[#This Row],[коэф]])),
IF((G280="4/24"),((база!$M$5*2*Таблица1[[#This Row],[Столбец1]]*Таблица1[[#This Row],[коэф]])),
IF((G280="3/24"),((база!$M$4*2*Таблица1[[#This Row],[Столбец1]]*Таблица1[[#This Row],[коэф]])),
IF((G280="5/16"),((база!$L$6*2*Таблица1[[#This Row],[Столбец1]]*Таблица1[[#This Row],[коэф]])),
IF((G280="4/16"),((база!$L$5*2*Таблица1[[#This Row],[Столбец1]]*Таблица1[[#This Row],[коэф]])),
IF((G280="3/16"),((база!$L$4*2*Таблица1[[#This Row],[Столбец1]]*Таблица1[[#This Row],[коэф]])),
IF((G280="4/4"),((база!$I$5*2*Таблица1[[#This Row],[Столбец1]]*Таблица1[[#This Row],[коэф]])),
IF(OR(G280="2/4",G280="3/4"),((база!$I$4*2*Таблица1[[#This Row],[Столбец1]]*Таблица1[[#This Row],[коэф]])),
IF((G280="5/8"),((база!$J$6*2*Таблица1[[#This Row],[Столбец1]]*Таблица1[[#This Row],[коэф]])),
IF((G280="4/8"),((база!$J$5*2*Таблица1[[#This Row],[Столбец1]]*Таблица1[[#This Row],[коэф]])),
IF(OR(G280="3/8",G280="2/8"),((база!$J$4*2*Таблица1[[#This Row],[Столбец1]]*Таблица1[[#This Row],[коэф]])))))))))))))),
(IF((G280="5/24"),((база!$M$6*2*Таблица1[[#This Row],[Столбец1]]*Таблица1[[#This Row],[коэф]])),
IF(OR(G280="4/24",G280="3/24"),((база!$M$5*2*Таблица1[[#This Row],[Столбец1]]*Таблица1[[#This Row],[коэф]])),
IF((G280="5/16"),((база!$L$6*2*Таблица1[[#This Row],[Столбец1]]*Таблица1[[#This Row],[коэф]])),
IF(OR(G280="4/16",G280="3/16"),((база!$L$5*2*Таблица1[[#This Row],[Столбец1]]*Таблица1[[#This Row],[коэф]])),
IF(OR(G280="2/4",G280="3/4",G280="4/4"),((база!$I$5*2*Таблица1[[#This Row],[Столбец1]]*Таблица1[[#This Row],[коэф]])),
IF((G280="5/8"),((база!$J$6*2*Таблица1[[#This Row],[Столбец1]]*Таблица1[[#This Row],[коэф]])),
IF(OR(G280="4/8",G280="3/8",G280="2/8"),((база!$J$5*2*Таблица1[[#This Row],[Столбец1]]*Таблица1[[#This Row],[коэф]])))))))))))</f>
        <v>0</v>
      </c>
      <c r="AQ280" s="678" t="str">
        <f>IFERROR(INDEX(база!T:T, MATCH(F280,база!Q:Q,0)),"")</f>
        <v/>
      </c>
      <c r="AR280" s="193">
        <f>IFERROR(INDEX(база!D:D, MATCH(F280,база!B:B,0)),"")</f>
        <v>0</v>
      </c>
    </row>
    <row r="281" spans="1:44" ht="15">
      <c r="A281" s="59"/>
      <c r="B281" s="215"/>
      <c r="C281" s="54"/>
      <c r="D281" s="55"/>
      <c r="E281" s="196"/>
      <c r="F281" s="651"/>
      <c r="G281" s="42"/>
      <c r="H281" s="539"/>
      <c r="I281" s="539"/>
      <c r="J281" s="539"/>
      <c r="K281" s="539"/>
      <c r="L281" s="539"/>
      <c r="M281" s="539"/>
      <c r="N281" s="539"/>
      <c r="O281" s="539"/>
      <c r="P281" s="539"/>
      <c r="Q281" s="539"/>
      <c r="R281" s="539"/>
      <c r="S281" s="539"/>
      <c r="T281" s="539"/>
      <c r="U281" s="539"/>
      <c r="V281" s="539"/>
      <c r="W281" s="539"/>
      <c r="X281" s="539"/>
      <c r="Y281" s="539"/>
      <c r="Z281" s="539"/>
      <c r="AA281" s="539"/>
      <c r="AB281" s="539"/>
      <c r="AC281" s="539"/>
      <c r="AD281" s="43"/>
      <c r="AE281" s="43"/>
      <c r="AF281" s="238"/>
      <c r="AG281" s="43"/>
      <c r="AH281" s="43"/>
      <c r="AI281" s="238"/>
      <c r="AJ281" s="238"/>
      <c r="AK281" s="238"/>
      <c r="AL281" s="238"/>
      <c r="AM281" s="197">
        <f>IF(AQ281=1,SUM(H281:I281,L281:O281,R281:U281,X281:AA281,AD281:AG281,AI281:AK281),
IF(AQ281=2,SUM(H281:K281,N281:Q281,T281:W281,Z281:AC281,AF281:AI281),
IF(AQ281=3,SUM(J281:M281,P281:S281,V281:Y281,AB281:AE281,AH281:AK281),SUM(Таблица1[[#This Row],[1]:[31]])-Таблица1[[#This Row],[Столбец1]])))</f>
        <v>0</v>
      </c>
      <c r="AN281" s="269">
        <f t="array" ref="AN281">IF(AQ281=1,SUM(J281:K281,P281:Q281,V281:W281,AB281:AC281,AH281:AI281),
IF(AQ281=2,SUM(L281:M281,R281:S281,X281:Y281,AD281:AE281),
IF(AQ281=3,SUM(H281:I281,N281:O281,T281:U281,Z281:AA281,AF281:AG281),
SUM(IFERROR(WEEKDAY($H$2:$AL$2,2)&gt;5,)*H281:AL281))))</f>
        <v>0</v>
      </c>
      <c r="AO281" s="271" t="b">
        <f>IF(AR281&lt;=3,(IF((G281="5/24"),((база!$M$6*Таблица1[[#This Row],[сумма]]*Таблица1[[#This Row],[коэф]])),
IF((G281="4/24"),((база!$M$5*Таблица1[[#This Row],[сумма]]*Таблица1[[#This Row],[коэф]])),
IF((G281="3/24"),((база!$M$4*Таблица1[[#This Row],[сумма]]*Таблица1[[#This Row],[коэф]])),
IF((G281="5/16"),((база!$L$6*Таблица1[[#This Row],[сумма]]*Таблица1[[#This Row],[коэф]])),
IF((G281="4/16"),((база!$L$5*Таблица1[[#This Row],[сумма]]*Таблица1[[#This Row],[коэф]])),
IF((G281="3/16"),((база!$L$4*Таблица1[[#This Row],[сумма]]*Таблица1[[#This Row],[коэф]])),
IF((G281="4/4"),((база!$I$5*Таблица1[[#This Row],[сумма]]*Таблица1[[#This Row],[коэф]])),
IF(OR(G281="2/4",G281="3/4"),((база!$I$4*Таблица1[[#This Row],[сумма]]*Таблица1[[#This Row],[коэф]])),
IF((G281="5/8"),((база!$J$6*Таблица1[[#This Row],[сумма]]*Таблица1[[#This Row],[коэф]])),
IF((G281="4/8"),((база!$J$5*Таблица1[[#This Row],[сумма]]*Таблица1[[#This Row],[коэф]])),
IF(OR(G281="3/8",G281="2/8"),((база!$J$4*Таблица1[[#This Row],[сумма]]*Таблица1[[#This Row],[коэф]])))))))))))))),
(IF((G281="5/24"),((база!$M$6*Таблица1[[#This Row],[сумма]]*Таблица1[[#This Row],[коэф]])),
IF(OR(G281="4/24",G281="3/24"),((база!$M$5*Таблица1[[#This Row],[сумма]]*Таблица1[[#This Row],[коэф]])),
IF((G281="5/16"),((база!$L$6*Таблица1[[#This Row],[сумма]]*Таблица1[[#This Row],[коэф]])),
IF(OR(G281="4/16",G281="3/16"),((база!$L$5*Таблица1[[#This Row],[сумма]]*Таблица1[[#This Row],[коэф]])),
IF(OR(G281="2/4",G281="3/4",G281="4/4"),((база!$I$5*Таблица1[[#This Row],[сумма]]*Таблица1[[#This Row],[коэф]])),
IF((G281="5/8"),((база!$J$6*Таблица1[[#This Row],[сумма]]*Таблица1[[#This Row],[коэф]])),
IF(OR(G281="4/8",G281="3/8",G281="2/8"),((база!$J$5*Таблица1[[#This Row],[сумма]]*Таблица1[[#This Row],[коэф]])))))))))))</f>
        <v>0</v>
      </c>
      <c r="AP281" s="696" t="b">
        <f>IF(AR281&lt;=3,(IF((G281="5/24"),((база!$M$6*2*Таблица1[[#This Row],[Столбец1]]*Таблица1[[#This Row],[коэф]])),
IF((G281="4/24"),((база!$M$5*2*Таблица1[[#This Row],[Столбец1]]*Таблица1[[#This Row],[коэф]])),
IF((G281="3/24"),((база!$M$4*2*Таблица1[[#This Row],[Столбец1]]*Таблица1[[#This Row],[коэф]])),
IF((G281="5/16"),((база!$L$6*2*Таблица1[[#This Row],[Столбец1]]*Таблица1[[#This Row],[коэф]])),
IF((G281="4/16"),((база!$L$5*2*Таблица1[[#This Row],[Столбец1]]*Таблица1[[#This Row],[коэф]])),
IF((G281="3/16"),((база!$L$4*2*Таблица1[[#This Row],[Столбец1]]*Таблица1[[#This Row],[коэф]])),
IF((G281="4/4"),((база!$I$5*2*Таблица1[[#This Row],[Столбец1]]*Таблица1[[#This Row],[коэф]])),
IF(OR(G281="2/4",G281="3/4"),((база!$I$4*2*Таблица1[[#This Row],[Столбец1]]*Таблица1[[#This Row],[коэф]])),
IF((G281="5/8"),((база!$J$6*2*Таблица1[[#This Row],[Столбец1]]*Таблица1[[#This Row],[коэф]])),
IF((G281="4/8"),((база!$J$5*2*Таблица1[[#This Row],[Столбец1]]*Таблица1[[#This Row],[коэф]])),
IF(OR(G281="3/8",G281="2/8"),((база!$J$4*2*Таблица1[[#This Row],[Столбец1]]*Таблица1[[#This Row],[коэф]])))))))))))))),
(IF((G281="5/24"),((база!$M$6*2*Таблица1[[#This Row],[Столбец1]]*Таблица1[[#This Row],[коэф]])),
IF(OR(G281="4/24",G281="3/24"),((база!$M$5*2*Таблица1[[#This Row],[Столбец1]]*Таблица1[[#This Row],[коэф]])),
IF((G281="5/16"),((база!$L$6*2*Таблица1[[#This Row],[Столбец1]]*Таблица1[[#This Row],[коэф]])),
IF(OR(G281="4/16",G281="3/16"),((база!$L$5*2*Таблица1[[#This Row],[Столбец1]]*Таблица1[[#This Row],[коэф]])),
IF(OR(G281="2/4",G281="3/4",G281="4/4"),((база!$I$5*2*Таблица1[[#This Row],[Столбец1]]*Таблица1[[#This Row],[коэф]])),
IF((G281="5/8"),((база!$J$6*2*Таблица1[[#This Row],[Столбец1]]*Таблица1[[#This Row],[коэф]])),
IF(OR(G281="4/8",G281="3/8",G281="2/8"),((база!$J$5*2*Таблица1[[#This Row],[Столбец1]]*Таблица1[[#This Row],[коэф]])))))))))))</f>
        <v>0</v>
      </c>
      <c r="AQ281" s="678" t="str">
        <f>IFERROR(INDEX(база!T:T, MATCH(F282,база!Q:Q,0)),"")</f>
        <v/>
      </c>
      <c r="AR281" s="193">
        <f>IFERROR(INDEX(база!D:D, MATCH(F281,база!B:B,0)),"")</f>
        <v>0</v>
      </c>
    </row>
    <row r="282" spans="1:44" ht="15">
      <c r="A282" s="59"/>
      <c r="B282" s="215"/>
      <c r="C282" s="54"/>
      <c r="D282" s="55"/>
      <c r="E282" s="196"/>
      <c r="F282" s="651"/>
      <c r="G282" s="42"/>
      <c r="H282" s="539"/>
      <c r="I282" s="539"/>
      <c r="J282" s="539"/>
      <c r="K282" s="539"/>
      <c r="L282" s="539"/>
      <c r="M282" s="539"/>
      <c r="N282" s="539"/>
      <c r="O282" s="539"/>
      <c r="P282" s="278"/>
      <c r="Q282" s="539"/>
      <c r="R282" s="539"/>
      <c r="S282" s="539"/>
      <c r="T282" s="539"/>
      <c r="U282" s="539"/>
      <c r="V282" s="539"/>
      <c r="W282" s="539"/>
      <c r="X282" s="539"/>
      <c r="Y282" s="539"/>
      <c r="Z282" s="539"/>
      <c r="AA282" s="539"/>
      <c r="AB282" s="539"/>
      <c r="AC282" s="539"/>
      <c r="AD282" s="43"/>
      <c r="AE282" s="43"/>
      <c r="AF282" s="238"/>
      <c r="AG282" s="43"/>
      <c r="AH282" s="43"/>
      <c r="AI282" s="43"/>
      <c r="AJ282" s="43"/>
      <c r="AK282" s="43"/>
      <c r="AL282" s="45"/>
      <c r="AM282" s="197">
        <f>IF(AQ282=1,SUM(H282:I282,L282:O282,R282:U282,X282:AA282,AD282:AG282,AI282:AK282),
IF(AQ282=2,SUM(H282:K282,N282:Q282,T282:W282,Z282:AC282,AF282:AI282),
IF(AQ282=3,SUM(J282:M282,P282:S282,V282:Y282,AB282:AE282,AH282:AK282),SUM(Таблица1[[#This Row],[1]:[31]])-Таблица1[[#This Row],[Столбец1]])))</f>
        <v>0</v>
      </c>
      <c r="AN282" s="269">
        <f t="array" ref="AN282">IF(AQ282=1,SUM(J282:K282,P282:Q282,V282:W282,AB282:AC282,AH282:AI282),
IF(AQ282=2,SUM(L282:M282,R282:S282,X282:Y282,AD282:AE282),
IF(AQ282=3,SUM(H282:I282,N282:O282,T282:U282,Z282:AA282,AF282:AG282),
SUM(IFERROR(WEEKDAY($H$2:$AL$2,2)&gt;5,)*H282:AL282))))</f>
        <v>0</v>
      </c>
      <c r="AO282" s="271" t="b">
        <f>IF(AR282&lt;=3,(IF((G282="5/24"),((база!$M$6*Таблица1[[#This Row],[сумма]]*Таблица1[[#This Row],[коэф]])),
IF((G282="4/24"),((база!$M$5*Таблица1[[#This Row],[сумма]]*Таблица1[[#This Row],[коэф]])),
IF((G282="3/24"),((база!$M$4*Таблица1[[#This Row],[сумма]]*Таблица1[[#This Row],[коэф]])),
IF((G282="5/16"),((база!$L$6*Таблица1[[#This Row],[сумма]]*Таблица1[[#This Row],[коэф]])),
IF((G282="4/16"),((база!$L$5*Таблица1[[#This Row],[сумма]]*Таблица1[[#This Row],[коэф]])),
IF((G282="3/16"),((база!$L$4*Таблица1[[#This Row],[сумма]]*Таблица1[[#This Row],[коэф]])),
IF((G282="4/4"),((база!$I$5*Таблица1[[#This Row],[сумма]]*Таблица1[[#This Row],[коэф]])),
IF(OR(G282="2/4",G282="3/4"),((база!$I$4*Таблица1[[#This Row],[сумма]]*Таблица1[[#This Row],[коэф]])),
IF((G282="5/8"),((база!$J$6*Таблица1[[#This Row],[сумма]]*Таблица1[[#This Row],[коэф]])),
IF((G282="4/8"),((база!$J$5*Таблица1[[#This Row],[сумма]]*Таблица1[[#This Row],[коэф]])),
IF(OR(G282="3/8",G282="2/8"),((база!$J$4*Таблица1[[#This Row],[сумма]]*Таблица1[[#This Row],[коэф]])))))))))))))),
(IF((G282="5/24"),((база!$M$6*Таблица1[[#This Row],[сумма]]*Таблица1[[#This Row],[коэф]])),
IF(OR(G282="4/24",G282="3/24"),((база!$M$5*Таблица1[[#This Row],[сумма]]*Таблица1[[#This Row],[коэф]])),
IF((G282="5/16"),((база!$L$6*Таблица1[[#This Row],[сумма]]*Таблица1[[#This Row],[коэф]])),
IF(OR(G282="4/16",G282="3/16"),((база!$L$5*Таблица1[[#This Row],[сумма]]*Таблица1[[#This Row],[коэф]])),
IF(OR(G282="2/4",G282="3/4",G282="4/4"),((база!$I$5*Таблица1[[#This Row],[сумма]]*Таблица1[[#This Row],[коэф]])),
IF((G282="5/8"),((база!$J$6*Таблица1[[#This Row],[сумма]]*Таблица1[[#This Row],[коэф]])),
IF(OR(G282="4/8",G282="3/8",G282="2/8"),((база!$J$5*Таблица1[[#This Row],[сумма]]*Таблица1[[#This Row],[коэф]])))))))))))</f>
        <v>0</v>
      </c>
      <c r="AP282" s="696" t="b">
        <f>IF(AR282&lt;=3,(IF((G282="5/24"),((база!$M$6*2*Таблица1[[#This Row],[Столбец1]]*Таблица1[[#This Row],[коэф]])),
IF((G282="4/24"),((база!$M$5*2*Таблица1[[#This Row],[Столбец1]]*Таблица1[[#This Row],[коэф]])),
IF((G282="3/24"),((база!$M$4*2*Таблица1[[#This Row],[Столбец1]]*Таблица1[[#This Row],[коэф]])),
IF((G282="5/16"),((база!$L$6*2*Таблица1[[#This Row],[Столбец1]]*Таблица1[[#This Row],[коэф]])),
IF((G282="4/16"),((база!$L$5*2*Таблица1[[#This Row],[Столбец1]]*Таблица1[[#This Row],[коэф]])),
IF((G282="3/16"),((база!$L$4*2*Таблица1[[#This Row],[Столбец1]]*Таблица1[[#This Row],[коэф]])),
IF((G282="4/4"),((база!$I$5*2*Таблица1[[#This Row],[Столбец1]]*Таблица1[[#This Row],[коэф]])),
IF(OR(G282="2/4",G282="3/4"),((база!$I$4*2*Таблица1[[#This Row],[Столбец1]]*Таблица1[[#This Row],[коэф]])),
IF((G282="5/8"),((база!$J$6*2*Таблица1[[#This Row],[Столбец1]]*Таблица1[[#This Row],[коэф]])),
IF((G282="4/8"),((база!$J$5*2*Таблица1[[#This Row],[Столбец1]]*Таблица1[[#This Row],[коэф]])),
IF(OR(G282="3/8",G282="2/8"),((база!$J$4*2*Таблица1[[#This Row],[Столбец1]]*Таблица1[[#This Row],[коэф]])))))))))))))),
(IF((G282="5/24"),((база!$M$6*2*Таблица1[[#This Row],[Столбец1]]*Таблица1[[#This Row],[коэф]])),
IF(OR(G282="4/24",G282="3/24"),((база!$M$5*2*Таблица1[[#This Row],[Столбец1]]*Таблица1[[#This Row],[коэф]])),
IF((G282="5/16"),((база!$L$6*2*Таблица1[[#This Row],[Столбец1]]*Таблица1[[#This Row],[коэф]])),
IF(OR(G282="4/16",G282="3/16"),((база!$L$5*2*Таблица1[[#This Row],[Столбец1]]*Таблица1[[#This Row],[коэф]])),
IF(OR(G282="2/4",G282="3/4",G282="4/4"),((база!$I$5*2*Таблица1[[#This Row],[Столбец1]]*Таблица1[[#This Row],[коэф]])),
IF((G282="5/8"),((база!$J$6*2*Таблица1[[#This Row],[Столбец1]]*Таблица1[[#This Row],[коэф]])),
IF(OR(G282="4/8",G282="3/8",G282="2/8"),((база!$J$5*2*Таблица1[[#This Row],[Столбец1]]*Таблица1[[#This Row],[коэф]])))))))))))</f>
        <v>0</v>
      </c>
      <c r="AQ282" s="678" t="str">
        <f>IFERROR(INDEX(база!T:T, MATCH(#REF!,база!Q:Q,0)),"")</f>
        <v/>
      </c>
      <c r="AR282" s="193">
        <f>IFERROR(INDEX(база!D:D, MATCH(F282,база!B:B,0)),"")</f>
        <v>0</v>
      </c>
    </row>
    <row r="283" spans="1:44" ht="15">
      <c r="A283" s="59"/>
      <c r="B283" s="215"/>
      <c r="C283" s="54"/>
      <c r="D283" s="55"/>
      <c r="E283" s="196"/>
      <c r="F283" s="651"/>
      <c r="G283" s="42"/>
      <c r="H283" s="539"/>
      <c r="I283" s="539"/>
      <c r="J283" s="539"/>
      <c r="K283" s="539"/>
      <c r="L283" s="539"/>
      <c r="M283" s="539"/>
      <c r="N283" s="539"/>
      <c r="O283" s="539"/>
      <c r="P283" s="278"/>
      <c r="Q283" s="539"/>
      <c r="R283" s="539"/>
      <c r="S283" s="539"/>
      <c r="T283" s="539"/>
      <c r="U283" s="539"/>
      <c r="V283" s="539"/>
      <c r="W283" s="539"/>
      <c r="X283" s="539"/>
      <c r="Y283" s="539"/>
      <c r="Z283" s="539"/>
      <c r="AA283" s="539"/>
      <c r="AB283" s="539"/>
      <c r="AC283" s="539"/>
      <c r="AD283" s="43"/>
      <c r="AE283" s="43"/>
      <c r="AF283" s="43"/>
      <c r="AG283" s="43"/>
      <c r="AH283" s="43"/>
      <c r="AI283" s="238"/>
      <c r="AJ283" s="238"/>
      <c r="AK283" s="238"/>
      <c r="AL283" s="238"/>
      <c r="AM283" s="197">
        <f>IF(AQ283=1,SUM(H283:I283,L283:O283,R283:U283,X283:AA283,AD283:AG283,AI283:AK283),
IF(AQ283=2,SUM(H283:K283,N283:Q283,T283:W283,Z283:AC283,AF283:AI283),
IF(AQ283=3,SUM(J283:M283,P283:S283,V283:Y283,AB283:AE283,AH283:AK283),SUM(Таблица1[[#This Row],[1]:[31]])-Таблица1[[#This Row],[Столбец1]])))</f>
        <v>0</v>
      </c>
      <c r="AN283" s="269">
        <f t="array" ref="AN283">IF(AQ283=1,SUM(J283:K283,P283:Q283,V283:W283,AB283:AC283,AH283:AI283),
IF(AQ283=2,SUM(L283:M283,R283:S283,X283:Y283,AD283:AE283),
IF(AQ283=3,SUM(H283:I283,N283:O283,T283:U283,Z283:AA283,AF283:AG283),
SUM(IFERROR(WEEKDAY($H$2:$AL$2,2)&gt;5,)*H283:AL283))))</f>
        <v>0</v>
      </c>
      <c r="AO283" s="271" t="b">
        <f>IF(AR283&lt;=3,(IF((G283="5/24"),((база!$M$6*Таблица1[[#This Row],[сумма]]*Таблица1[[#This Row],[коэф]])),
IF((G283="4/24"),((база!$M$5*Таблица1[[#This Row],[сумма]]*Таблица1[[#This Row],[коэф]])),
IF((G283="3/24"),((база!$M$4*Таблица1[[#This Row],[сумма]]*Таблица1[[#This Row],[коэф]])),
IF((G283="5/16"),((база!$L$6*Таблица1[[#This Row],[сумма]]*Таблица1[[#This Row],[коэф]])),
IF((G283="4/16"),((база!$L$5*Таблица1[[#This Row],[сумма]]*Таблица1[[#This Row],[коэф]])),
IF((G283="3/16"),((база!$L$4*Таблица1[[#This Row],[сумма]]*Таблица1[[#This Row],[коэф]])),
IF((G283="4/4"),((база!$I$5*Таблица1[[#This Row],[сумма]]*Таблица1[[#This Row],[коэф]])),
IF(OR(G283="2/4",G283="3/4"),((база!$I$4*Таблица1[[#This Row],[сумма]]*Таблица1[[#This Row],[коэф]])),
IF((G283="5/8"),((база!$J$6*Таблица1[[#This Row],[сумма]]*Таблица1[[#This Row],[коэф]])),
IF((G283="4/8"),((база!$J$5*Таблица1[[#This Row],[сумма]]*Таблица1[[#This Row],[коэф]])),
IF(OR(G283="3/8",G283="2/8"),((база!$J$4*Таблица1[[#This Row],[сумма]]*Таблица1[[#This Row],[коэф]])))))))))))))),
(IF((G283="5/24"),((база!$M$6*Таблица1[[#This Row],[сумма]]*Таблица1[[#This Row],[коэф]])),
IF(OR(G283="4/24",G283="3/24"),((база!$M$5*Таблица1[[#This Row],[сумма]]*Таблица1[[#This Row],[коэф]])),
IF((G283="5/16"),((база!$L$6*Таблица1[[#This Row],[сумма]]*Таблица1[[#This Row],[коэф]])),
IF(OR(G283="4/16",G283="3/16"),((база!$L$5*Таблица1[[#This Row],[сумма]]*Таблица1[[#This Row],[коэф]])),
IF(OR(G283="2/4",G283="3/4",G283="4/4"),((база!$I$5*Таблица1[[#This Row],[сумма]]*Таблица1[[#This Row],[коэф]])),
IF((G283="5/8"),((база!$J$6*Таблица1[[#This Row],[сумма]]*Таблица1[[#This Row],[коэф]])),
IF(OR(G283="4/8",G283="3/8",G283="2/8"),((база!$J$5*Таблица1[[#This Row],[сумма]]*Таблица1[[#This Row],[коэф]])))))))))))</f>
        <v>0</v>
      </c>
      <c r="AP283" s="696" t="b">
        <f>IF(AR283&lt;=3,(IF((G283="5/24"),((база!$M$6*2*Таблица1[[#This Row],[Столбец1]]*Таблица1[[#This Row],[коэф]])),
IF((G283="4/24"),((база!$M$5*2*Таблица1[[#This Row],[Столбец1]]*Таблица1[[#This Row],[коэф]])),
IF((G283="3/24"),((база!$M$4*2*Таблица1[[#This Row],[Столбец1]]*Таблица1[[#This Row],[коэф]])),
IF((G283="5/16"),((база!$L$6*2*Таблица1[[#This Row],[Столбец1]]*Таблица1[[#This Row],[коэф]])),
IF((G283="4/16"),((база!$L$5*2*Таблица1[[#This Row],[Столбец1]]*Таблица1[[#This Row],[коэф]])),
IF((G283="3/16"),((база!$L$4*2*Таблица1[[#This Row],[Столбец1]]*Таблица1[[#This Row],[коэф]])),
IF((G283="4/4"),((база!$I$5*2*Таблица1[[#This Row],[Столбец1]]*Таблица1[[#This Row],[коэф]])),
IF(OR(G283="2/4",G283="3/4"),((база!$I$4*2*Таблица1[[#This Row],[Столбец1]]*Таблица1[[#This Row],[коэф]])),
IF((G283="5/8"),((база!$J$6*2*Таблица1[[#This Row],[Столбец1]]*Таблица1[[#This Row],[коэф]])),
IF((G283="4/8"),((база!$J$5*2*Таблица1[[#This Row],[Столбец1]]*Таблица1[[#This Row],[коэф]])),
IF(OR(G283="3/8",G283="2/8"),((база!$J$4*2*Таблица1[[#This Row],[Столбец1]]*Таблица1[[#This Row],[коэф]])))))))))))))),
(IF((G283="5/24"),((база!$M$6*2*Таблица1[[#This Row],[Столбец1]]*Таблица1[[#This Row],[коэф]])),
IF(OR(G283="4/24",G283="3/24"),((база!$M$5*2*Таблица1[[#This Row],[Столбец1]]*Таблица1[[#This Row],[коэф]])),
IF((G283="5/16"),((база!$L$6*2*Таблица1[[#This Row],[Столбец1]]*Таблица1[[#This Row],[коэф]])),
IF(OR(G283="4/16",G283="3/16"),((база!$L$5*2*Таблица1[[#This Row],[Столбец1]]*Таблица1[[#This Row],[коэф]])),
IF(OR(G283="2/4",G283="3/4",G283="4/4"),((база!$I$5*2*Таблица1[[#This Row],[Столбец1]]*Таблица1[[#This Row],[коэф]])),
IF((G283="5/8"),((база!$J$6*2*Таблица1[[#This Row],[Столбец1]]*Таблица1[[#This Row],[коэф]])),
IF(OR(G283="4/8",G283="3/8",G283="2/8"),((база!$J$5*2*Таблица1[[#This Row],[Столбец1]]*Таблица1[[#This Row],[коэф]])))))))))))</f>
        <v>0</v>
      </c>
      <c r="AQ283" s="678" t="str">
        <f>IFERROR(INDEX(база!T:T, MATCH(F283,база!Q:Q,0)),"")</f>
        <v/>
      </c>
      <c r="AR283" s="193">
        <f>IFERROR(INDEX(база!D:D, MATCH(F283,база!B:B,0)),"")</f>
        <v>0</v>
      </c>
    </row>
    <row r="284" spans="1:44" ht="15">
      <c r="A284" s="59"/>
      <c r="B284" s="215"/>
      <c r="C284" s="277"/>
      <c r="D284" s="55"/>
      <c r="E284" s="196"/>
      <c r="F284" s="651"/>
      <c r="G284" s="42"/>
      <c r="H284" s="539"/>
      <c r="I284" s="539"/>
      <c r="J284" s="539"/>
      <c r="K284" s="539"/>
      <c r="L284" s="539"/>
      <c r="M284" s="539"/>
      <c r="N284" s="539"/>
      <c r="O284" s="539"/>
      <c r="P284" s="278"/>
      <c r="Q284" s="539"/>
      <c r="R284" s="539"/>
      <c r="S284" s="539"/>
      <c r="T284" s="539"/>
      <c r="U284" s="539"/>
      <c r="V284" s="539"/>
      <c r="W284" s="539"/>
      <c r="X284" s="539"/>
      <c r="Y284" s="539"/>
      <c r="Z284" s="539"/>
      <c r="AA284" s="539"/>
      <c r="AB284" s="539"/>
      <c r="AC284" s="539"/>
      <c r="AD284" s="43"/>
      <c r="AE284" s="43"/>
      <c r="AF284" s="238"/>
      <c r="AG284" s="43"/>
      <c r="AH284" s="43"/>
      <c r="AI284" s="43"/>
      <c r="AJ284" s="43"/>
      <c r="AK284" s="43"/>
      <c r="AL284" s="45"/>
      <c r="AM284" s="197">
        <f>IF(AQ284=1,SUM(H284:I284,L284:O284,R284:U284,X284:AA284,AD284:AG284,AI284:AK284),
IF(AQ284=2,SUM(H284:K284,N284:Q284,T284:W284,Z284:AC284,AF284:AI284),
IF(AQ284=3,SUM(J284:M284,P284:S284,V284:Y284,AB284:AE284,AH284:AK284),SUM(Таблица1[[#This Row],[1]:[31]])-Таблица1[[#This Row],[Столбец1]])))</f>
        <v>0</v>
      </c>
      <c r="AN284" s="269">
        <f t="array" ref="AN284">IF(AQ284=1,SUM(J284:K284,P284:Q284,V284:W284,AB284:AC284,AH284:AI284),
IF(AQ284=2,SUM(L284:M284,R284:S284,X284:Y284,AD284:AE284),
IF(AQ284=3,SUM(H284:I284,N284:O284,T284:U284,Z284:AA284,AF284:AG284),
SUM(IFERROR(WEEKDAY($H$2:$AL$2,2)&gt;5,)*H284:AL284))))</f>
        <v>0</v>
      </c>
      <c r="AO284" s="271" t="b">
        <f>IF(AR284&lt;=3,(IF((G284="5/24"),((база!$M$6*Таблица1[[#This Row],[сумма]]*Таблица1[[#This Row],[коэф]])),
IF((G284="4/24"),((база!$M$5*Таблица1[[#This Row],[сумма]]*Таблица1[[#This Row],[коэф]])),
IF((G284="3/24"),((база!$M$4*Таблица1[[#This Row],[сумма]]*Таблица1[[#This Row],[коэф]])),
IF((G284="5/16"),((база!$L$6*Таблица1[[#This Row],[сумма]]*Таблица1[[#This Row],[коэф]])),
IF((G284="4/16"),((база!$L$5*Таблица1[[#This Row],[сумма]]*Таблица1[[#This Row],[коэф]])),
IF((G284="3/16"),((база!$L$4*Таблица1[[#This Row],[сумма]]*Таблица1[[#This Row],[коэф]])),
IF((G284="4/4"),((база!$I$5*Таблица1[[#This Row],[сумма]]*Таблица1[[#This Row],[коэф]])),
IF(OR(G284="2/4",G284="3/4"),((база!$I$4*Таблица1[[#This Row],[сумма]]*Таблица1[[#This Row],[коэф]])),
IF((G284="5/8"),((база!$J$6*Таблица1[[#This Row],[сумма]]*Таблица1[[#This Row],[коэф]])),
IF((G284="4/8"),((база!$J$5*Таблица1[[#This Row],[сумма]]*Таблица1[[#This Row],[коэф]])),
IF(OR(G284="3/8",G284="2/8"),((база!$J$4*Таблица1[[#This Row],[сумма]]*Таблица1[[#This Row],[коэф]])))))))))))))),
(IF((G284="5/24"),((база!$M$6*Таблица1[[#This Row],[сумма]]*Таблица1[[#This Row],[коэф]])),
IF(OR(G284="4/24",G284="3/24"),((база!$M$5*Таблица1[[#This Row],[сумма]]*Таблица1[[#This Row],[коэф]])),
IF((G284="5/16"),((база!$L$6*Таблица1[[#This Row],[сумма]]*Таблица1[[#This Row],[коэф]])),
IF(OR(G284="4/16",G284="3/16"),((база!$L$5*Таблица1[[#This Row],[сумма]]*Таблица1[[#This Row],[коэф]])),
IF(OR(G284="2/4",G284="3/4",G284="4/4"),((база!$I$5*Таблица1[[#This Row],[сумма]]*Таблица1[[#This Row],[коэф]])),
IF((G284="5/8"),((база!$J$6*Таблица1[[#This Row],[сумма]]*Таблица1[[#This Row],[коэф]])),
IF(OR(G284="4/8",G284="3/8",G284="2/8"),((база!$J$5*Таблица1[[#This Row],[сумма]]*Таблица1[[#This Row],[коэф]])))))))))))</f>
        <v>0</v>
      </c>
      <c r="AP284" s="696" t="b">
        <f>IF(AR284&lt;=3,(IF((G284="5/24"),((база!$M$6*2*Таблица1[[#This Row],[Столбец1]]*Таблица1[[#This Row],[коэф]])),
IF((G284="4/24"),((база!$M$5*2*Таблица1[[#This Row],[Столбец1]]*Таблица1[[#This Row],[коэф]])),
IF((G284="3/24"),((база!$M$4*2*Таблица1[[#This Row],[Столбец1]]*Таблица1[[#This Row],[коэф]])),
IF((G284="5/16"),((база!$L$6*2*Таблица1[[#This Row],[Столбец1]]*Таблица1[[#This Row],[коэф]])),
IF((G284="4/16"),((база!$L$5*2*Таблица1[[#This Row],[Столбец1]]*Таблица1[[#This Row],[коэф]])),
IF((G284="3/16"),((база!$L$4*2*Таблица1[[#This Row],[Столбец1]]*Таблица1[[#This Row],[коэф]])),
IF((G284="4/4"),((база!$I$5*2*Таблица1[[#This Row],[Столбец1]]*Таблица1[[#This Row],[коэф]])),
IF(OR(G284="2/4",G284="3/4"),((база!$I$4*2*Таблица1[[#This Row],[Столбец1]]*Таблица1[[#This Row],[коэф]])),
IF((G284="5/8"),((база!$J$6*2*Таблица1[[#This Row],[Столбец1]]*Таблица1[[#This Row],[коэф]])),
IF((G284="4/8"),((база!$J$5*2*Таблица1[[#This Row],[Столбец1]]*Таблица1[[#This Row],[коэф]])),
IF(OR(G284="3/8",G284="2/8"),((база!$J$4*2*Таблица1[[#This Row],[Столбец1]]*Таблица1[[#This Row],[коэф]])))))))))))))),
(IF((G284="5/24"),((база!$M$6*2*Таблица1[[#This Row],[Столбец1]]*Таблица1[[#This Row],[коэф]])),
IF(OR(G284="4/24",G284="3/24"),((база!$M$5*2*Таблица1[[#This Row],[Столбец1]]*Таблица1[[#This Row],[коэф]])),
IF((G284="5/16"),((база!$L$6*2*Таблица1[[#This Row],[Столбец1]]*Таблица1[[#This Row],[коэф]])),
IF(OR(G284="4/16",G284="3/16"),((база!$L$5*2*Таблица1[[#This Row],[Столбец1]]*Таблица1[[#This Row],[коэф]])),
IF(OR(G284="2/4",G284="3/4",G284="4/4"),((база!$I$5*2*Таблица1[[#This Row],[Столбец1]]*Таблица1[[#This Row],[коэф]])),
IF((G284="5/8"),((база!$J$6*2*Таблица1[[#This Row],[Столбец1]]*Таблица1[[#This Row],[коэф]])),
IF(OR(G284="4/8",G284="3/8",G284="2/8"),((база!$J$5*2*Таблица1[[#This Row],[Столбец1]]*Таблица1[[#This Row],[коэф]])))))))))))</f>
        <v>0</v>
      </c>
      <c r="AQ284" s="678" t="str">
        <f>IFERROR(INDEX(база!T:T, MATCH(F284,база!Q:Q,0)),"")</f>
        <v/>
      </c>
      <c r="AR284" s="193">
        <f>IFERROR(INDEX(база!D:D, MATCH(F284,база!B:B,0)),"")</f>
        <v>0</v>
      </c>
    </row>
    <row r="285" spans="1:44" ht="15">
      <c r="A285" s="59"/>
      <c r="B285" s="215"/>
      <c r="C285" s="54"/>
      <c r="D285" s="55"/>
      <c r="E285" s="196"/>
      <c r="F285" s="651"/>
      <c r="G285" s="42"/>
      <c r="H285" s="539"/>
      <c r="I285" s="539"/>
      <c r="J285" s="539"/>
      <c r="K285" s="539"/>
      <c r="L285" s="539"/>
      <c r="M285" s="539"/>
      <c r="N285" s="539"/>
      <c r="O285" s="539"/>
      <c r="P285" s="539"/>
      <c r="Q285" s="539"/>
      <c r="R285" s="539"/>
      <c r="S285" s="539"/>
      <c r="T285" s="539"/>
      <c r="U285" s="539"/>
      <c r="V285" s="539"/>
      <c r="W285" s="539"/>
      <c r="X285" s="539"/>
      <c r="Y285" s="539"/>
      <c r="Z285" s="539"/>
      <c r="AA285" s="539"/>
      <c r="AB285" s="539"/>
      <c r="AC285" s="539"/>
      <c r="AD285" s="43"/>
      <c r="AE285" s="43"/>
      <c r="AF285" s="238"/>
      <c r="AG285" s="43"/>
      <c r="AH285" s="43"/>
      <c r="AI285" s="238"/>
      <c r="AJ285" s="238"/>
      <c r="AK285" s="238"/>
      <c r="AL285" s="238"/>
      <c r="AM285" s="197">
        <f>IF(AQ285=1,SUM(H285:I285,L285:O285,R285:U285,X285:AA285,AD285:AG285,AI285:AK285),
IF(AQ285=2,SUM(H285:K285,N285:Q285,T285:W285,Z285:AC285,AF285:AI285),
IF(AQ285=3,SUM(J285:M285,P285:S285,V285:Y285,AB285:AE285,AH285:AK285),SUM(Таблица1[[#This Row],[1]:[31]])-Таблица1[[#This Row],[Столбец1]])))</f>
        <v>0</v>
      </c>
      <c r="AN285" s="269">
        <f t="array" ref="AN285">IF(AQ285=1,SUM(J285:K285,P285:Q285,V285:W285,AB285:AC285,AH285:AI285),
IF(AQ285=2,SUM(L285:M285,R285:S285,X285:Y285,AD285:AE285),
IF(AQ285=3,SUM(H285:I285,N285:O285,T285:U285,Z285:AA285,AF285:AG285),
SUM(IFERROR(WEEKDAY($H$2:$AL$2,2)&gt;5,)*H285:AL285))))</f>
        <v>0</v>
      </c>
      <c r="AO285" s="271" t="b">
        <f>IF(AR285&lt;=3,(IF((G285="5/24"),((база!$M$6*Таблица1[[#This Row],[сумма]]*Таблица1[[#This Row],[коэф]])),
IF((G285="4/24"),((база!$M$5*Таблица1[[#This Row],[сумма]]*Таблица1[[#This Row],[коэф]])),
IF((G285="3/24"),((база!$M$4*Таблица1[[#This Row],[сумма]]*Таблица1[[#This Row],[коэф]])),
IF((G285="5/16"),((база!$L$6*Таблица1[[#This Row],[сумма]]*Таблица1[[#This Row],[коэф]])),
IF((G285="4/16"),((база!$L$5*Таблица1[[#This Row],[сумма]]*Таблица1[[#This Row],[коэф]])),
IF((G285="3/16"),((база!$L$4*Таблица1[[#This Row],[сумма]]*Таблица1[[#This Row],[коэф]])),
IF((G285="4/4"),((база!$I$5*Таблица1[[#This Row],[сумма]]*Таблица1[[#This Row],[коэф]])),
IF(OR(G285="2/4",G285="3/4"),((база!$I$4*Таблица1[[#This Row],[сумма]]*Таблица1[[#This Row],[коэф]])),
IF((G285="5/8"),((база!$J$6*Таблица1[[#This Row],[сумма]]*Таблица1[[#This Row],[коэф]])),
IF((G285="4/8"),((база!$J$5*Таблица1[[#This Row],[сумма]]*Таблица1[[#This Row],[коэф]])),
IF(OR(G285="3/8",G285="2/8"),((база!$J$4*Таблица1[[#This Row],[сумма]]*Таблица1[[#This Row],[коэф]])))))))))))))),
(IF((G285="5/24"),((база!$M$6*Таблица1[[#This Row],[сумма]]*Таблица1[[#This Row],[коэф]])),
IF(OR(G285="4/24",G285="3/24"),((база!$M$5*Таблица1[[#This Row],[сумма]]*Таблица1[[#This Row],[коэф]])),
IF((G285="5/16"),((база!$L$6*Таблица1[[#This Row],[сумма]]*Таблица1[[#This Row],[коэф]])),
IF(OR(G285="4/16",G285="3/16"),((база!$L$5*Таблица1[[#This Row],[сумма]]*Таблица1[[#This Row],[коэф]])),
IF(OR(G285="2/4",G285="3/4",G285="4/4"),((база!$I$5*Таблица1[[#This Row],[сумма]]*Таблица1[[#This Row],[коэф]])),
IF((G285="5/8"),((база!$J$6*Таблица1[[#This Row],[сумма]]*Таблица1[[#This Row],[коэф]])),
IF(OR(G285="4/8",G285="3/8",G285="2/8"),((база!$J$5*Таблица1[[#This Row],[сумма]]*Таблица1[[#This Row],[коэф]])))))))))))</f>
        <v>0</v>
      </c>
      <c r="AP285" s="696" t="b">
        <f>IF(AR285&lt;=3,(IF((G285="5/24"),((база!$M$6*2*Таблица1[[#This Row],[Столбец1]]*Таблица1[[#This Row],[коэф]])),
IF((G285="4/24"),((база!$M$5*2*Таблица1[[#This Row],[Столбец1]]*Таблица1[[#This Row],[коэф]])),
IF((G285="3/24"),((база!$M$4*2*Таблица1[[#This Row],[Столбец1]]*Таблица1[[#This Row],[коэф]])),
IF((G285="5/16"),((база!$L$6*2*Таблица1[[#This Row],[Столбец1]]*Таблица1[[#This Row],[коэф]])),
IF((G285="4/16"),((база!$L$5*2*Таблица1[[#This Row],[Столбец1]]*Таблица1[[#This Row],[коэф]])),
IF((G285="3/16"),((база!$L$4*2*Таблица1[[#This Row],[Столбец1]]*Таблица1[[#This Row],[коэф]])),
IF((G285="4/4"),((база!$I$5*2*Таблица1[[#This Row],[Столбец1]]*Таблица1[[#This Row],[коэф]])),
IF(OR(G285="2/4",G285="3/4"),((база!$I$4*2*Таблица1[[#This Row],[Столбец1]]*Таблица1[[#This Row],[коэф]])),
IF((G285="5/8"),((база!$J$6*2*Таблица1[[#This Row],[Столбец1]]*Таблица1[[#This Row],[коэф]])),
IF((G285="4/8"),((база!$J$5*2*Таблица1[[#This Row],[Столбец1]]*Таблица1[[#This Row],[коэф]])),
IF(OR(G285="3/8",G285="2/8"),((база!$J$4*2*Таблица1[[#This Row],[Столбец1]]*Таблица1[[#This Row],[коэф]])))))))))))))),
(IF((G285="5/24"),((база!$M$6*2*Таблица1[[#This Row],[Столбец1]]*Таблица1[[#This Row],[коэф]])),
IF(OR(G285="4/24",G285="3/24"),((база!$M$5*2*Таблица1[[#This Row],[Столбец1]]*Таблица1[[#This Row],[коэф]])),
IF((G285="5/16"),((база!$L$6*2*Таблица1[[#This Row],[Столбец1]]*Таблица1[[#This Row],[коэф]])),
IF(OR(G285="4/16",G285="3/16"),((база!$L$5*2*Таблица1[[#This Row],[Столбец1]]*Таблица1[[#This Row],[коэф]])),
IF(OR(G285="2/4",G285="3/4",G285="4/4"),((база!$I$5*2*Таблица1[[#This Row],[Столбец1]]*Таблица1[[#This Row],[коэф]])),
IF((G285="5/8"),((база!$J$6*2*Таблица1[[#This Row],[Столбец1]]*Таблица1[[#This Row],[коэф]])),
IF(OR(G285="4/8",G285="3/8",G285="2/8"),((база!$J$5*2*Таблица1[[#This Row],[Столбец1]]*Таблица1[[#This Row],[коэф]])))))))))))</f>
        <v>0</v>
      </c>
      <c r="AQ285" s="678" t="str">
        <f>IFERROR(INDEX(база!T:T, MATCH(F285,база!Q:Q,0)),"")</f>
        <v/>
      </c>
      <c r="AR285" s="193">
        <f>IFERROR(INDEX(база!D:D, MATCH(F285,база!B:B,0)),"")</f>
        <v>0</v>
      </c>
    </row>
    <row r="286" spans="1:44" ht="15">
      <c r="A286" s="59"/>
      <c r="B286" s="215"/>
      <c r="C286" s="277"/>
      <c r="D286" s="55"/>
      <c r="E286" s="196"/>
      <c r="F286" s="651"/>
      <c r="G286" s="42"/>
      <c r="H286" s="539"/>
      <c r="I286" s="539"/>
      <c r="J286" s="539"/>
      <c r="K286" s="539"/>
      <c r="L286" s="539"/>
      <c r="M286" s="539"/>
      <c r="N286" s="539"/>
      <c r="O286" s="539"/>
      <c r="P286" s="278"/>
      <c r="Q286" s="539"/>
      <c r="R286" s="539"/>
      <c r="S286" s="539"/>
      <c r="T286" s="539"/>
      <c r="U286" s="539"/>
      <c r="V286" s="539"/>
      <c r="W286" s="539"/>
      <c r="X286" s="539"/>
      <c r="Y286" s="539"/>
      <c r="Z286" s="539"/>
      <c r="AA286" s="539"/>
      <c r="AB286" s="539"/>
      <c r="AC286" s="539"/>
      <c r="AD286" s="43"/>
      <c r="AE286" s="43"/>
      <c r="AF286" s="238"/>
      <c r="AG286" s="43"/>
      <c r="AH286" s="43"/>
      <c r="AI286" s="43"/>
      <c r="AJ286" s="43"/>
      <c r="AK286" s="43"/>
      <c r="AL286" s="45"/>
      <c r="AM286" s="197">
        <f>IF(AQ286=1,SUM(H286:I286,L286:O286,R286:U286,X286:AA286,AD286:AG286,AI286:AK286),
IF(AQ286=2,SUM(H286:K286,N286:Q286,T286:W286,Z286:AC286,AF286:AI286),
IF(AQ286=3,SUM(J286:M286,P286:S286,V286:Y286,AB286:AE286,AH286:AK286),SUM(Таблица1[[#This Row],[1]:[31]])-Таблица1[[#This Row],[Столбец1]])))</f>
        <v>0</v>
      </c>
      <c r="AN286" s="269">
        <f t="array" ref="AN286">IF(AQ286=1,SUM(J286:K286,P286:Q286,V286:W286,AB286:AC286,AH286:AI286),
IF(AQ286=2,SUM(L286:M286,R286:S286,X286:Y286,AD286:AE286),
IF(AQ286=3,SUM(H286:I286,N286:O286,T286:U286,Z286:AA286,AF286:AG286),
SUM(IFERROR(WEEKDAY($H$2:$AL$2,2)&gt;5,)*H286:AL286))))</f>
        <v>0</v>
      </c>
      <c r="AO286" s="271" t="b">
        <f>IF(AR286&lt;=3,(IF((G286="5/24"),((база!$M$6*Таблица1[[#This Row],[сумма]]*Таблица1[[#This Row],[коэф]])),
IF((G286="4/24"),((база!$M$5*Таблица1[[#This Row],[сумма]]*Таблица1[[#This Row],[коэф]])),
IF((G286="3/24"),((база!$M$4*Таблица1[[#This Row],[сумма]]*Таблица1[[#This Row],[коэф]])),
IF((G286="5/16"),((база!$L$6*Таблица1[[#This Row],[сумма]]*Таблица1[[#This Row],[коэф]])),
IF((G286="4/16"),((база!$L$5*Таблица1[[#This Row],[сумма]]*Таблица1[[#This Row],[коэф]])),
IF((G286="3/16"),((база!$L$4*Таблица1[[#This Row],[сумма]]*Таблица1[[#This Row],[коэф]])),
IF((G286="4/4"),((база!$I$5*Таблица1[[#This Row],[сумма]]*Таблица1[[#This Row],[коэф]])),
IF(OR(G286="2/4",G286="3/4"),((база!$I$4*Таблица1[[#This Row],[сумма]]*Таблица1[[#This Row],[коэф]])),
IF((G286="5/8"),((база!$J$6*Таблица1[[#This Row],[сумма]]*Таблица1[[#This Row],[коэф]])),
IF((G286="4/8"),((база!$J$5*Таблица1[[#This Row],[сумма]]*Таблица1[[#This Row],[коэф]])),
IF(OR(G286="3/8",G286="2/8"),((база!$J$4*Таблица1[[#This Row],[сумма]]*Таблица1[[#This Row],[коэф]])))))))))))))),
(IF((G286="5/24"),((база!$M$6*Таблица1[[#This Row],[сумма]]*Таблица1[[#This Row],[коэф]])),
IF(OR(G286="4/24",G286="3/24"),((база!$M$5*Таблица1[[#This Row],[сумма]]*Таблица1[[#This Row],[коэф]])),
IF((G286="5/16"),((база!$L$6*Таблица1[[#This Row],[сумма]]*Таблица1[[#This Row],[коэф]])),
IF(OR(G286="4/16",G286="3/16"),((база!$L$5*Таблица1[[#This Row],[сумма]]*Таблица1[[#This Row],[коэф]])),
IF(OR(G286="2/4",G286="3/4",G286="4/4"),((база!$I$5*Таблица1[[#This Row],[сумма]]*Таблица1[[#This Row],[коэф]])),
IF((G286="5/8"),((база!$J$6*Таблица1[[#This Row],[сумма]]*Таблица1[[#This Row],[коэф]])),
IF(OR(G286="4/8",G286="3/8",G286="2/8"),((база!$J$5*Таблица1[[#This Row],[сумма]]*Таблица1[[#This Row],[коэф]])))))))))))</f>
        <v>0</v>
      </c>
      <c r="AP286" s="696" t="b">
        <f>IF(AR286&lt;=3,(IF((G286="5/24"),((база!$M$6*2*Таблица1[[#This Row],[Столбец1]]*Таблица1[[#This Row],[коэф]])),
IF((G286="4/24"),((база!$M$5*2*Таблица1[[#This Row],[Столбец1]]*Таблица1[[#This Row],[коэф]])),
IF((G286="3/24"),((база!$M$4*2*Таблица1[[#This Row],[Столбец1]]*Таблица1[[#This Row],[коэф]])),
IF((G286="5/16"),((база!$L$6*2*Таблица1[[#This Row],[Столбец1]]*Таблица1[[#This Row],[коэф]])),
IF((G286="4/16"),((база!$L$5*2*Таблица1[[#This Row],[Столбец1]]*Таблица1[[#This Row],[коэф]])),
IF((G286="3/16"),((база!$L$4*2*Таблица1[[#This Row],[Столбец1]]*Таблица1[[#This Row],[коэф]])),
IF((G286="4/4"),((база!$I$5*2*Таблица1[[#This Row],[Столбец1]]*Таблица1[[#This Row],[коэф]])),
IF(OR(G286="2/4",G286="3/4"),((база!$I$4*2*Таблица1[[#This Row],[Столбец1]]*Таблица1[[#This Row],[коэф]])),
IF((G286="5/8"),((база!$J$6*2*Таблица1[[#This Row],[Столбец1]]*Таблица1[[#This Row],[коэф]])),
IF((G286="4/8"),((база!$J$5*2*Таблица1[[#This Row],[Столбец1]]*Таблица1[[#This Row],[коэф]])),
IF(OR(G286="3/8",G286="2/8"),((база!$J$4*2*Таблица1[[#This Row],[Столбец1]]*Таблица1[[#This Row],[коэф]])))))))))))))),
(IF((G286="5/24"),((база!$M$6*2*Таблица1[[#This Row],[Столбец1]]*Таблица1[[#This Row],[коэф]])),
IF(OR(G286="4/24",G286="3/24"),((база!$M$5*2*Таблица1[[#This Row],[Столбец1]]*Таблица1[[#This Row],[коэф]])),
IF((G286="5/16"),((база!$L$6*2*Таблица1[[#This Row],[Столбец1]]*Таблица1[[#This Row],[коэф]])),
IF(OR(G286="4/16",G286="3/16"),((база!$L$5*2*Таблица1[[#This Row],[Столбец1]]*Таблица1[[#This Row],[коэф]])),
IF(OR(G286="2/4",G286="3/4",G286="4/4"),((база!$I$5*2*Таблица1[[#This Row],[Столбец1]]*Таблица1[[#This Row],[коэф]])),
IF((G286="5/8"),((база!$J$6*2*Таблица1[[#This Row],[Столбец1]]*Таблица1[[#This Row],[коэф]])),
IF(OR(G286="4/8",G286="3/8",G286="2/8"),((база!$J$5*2*Таблица1[[#This Row],[Столбец1]]*Таблица1[[#This Row],[коэф]])))))))))))</f>
        <v>0</v>
      </c>
      <c r="AQ286" s="678" t="str">
        <f>IFERROR(INDEX(база!T:T, MATCH(F286,база!Q:Q,0)),"")</f>
        <v/>
      </c>
      <c r="AR286" s="193">
        <f>IFERROR(INDEX(база!D:D, MATCH(F286,база!B:B,0)),"")</f>
        <v>0</v>
      </c>
    </row>
    <row r="287" spans="1:44" ht="15">
      <c r="A287" s="59"/>
      <c r="B287" s="215"/>
      <c r="C287" s="54"/>
      <c r="D287" s="55"/>
      <c r="E287" s="196"/>
      <c r="F287" s="651"/>
      <c r="G287" s="42"/>
      <c r="H287" s="539"/>
      <c r="I287" s="539"/>
      <c r="J287" s="539"/>
      <c r="K287" s="539"/>
      <c r="L287" s="539"/>
      <c r="M287" s="539"/>
      <c r="N287" s="539"/>
      <c r="O287" s="539"/>
      <c r="P287" s="539"/>
      <c r="Q287" s="539"/>
      <c r="R287" s="539"/>
      <c r="S287" s="539"/>
      <c r="T287" s="539"/>
      <c r="U287" s="539"/>
      <c r="V287" s="539"/>
      <c r="W287" s="539"/>
      <c r="X287" s="539"/>
      <c r="Y287" s="539"/>
      <c r="Z287" s="539"/>
      <c r="AA287" s="539"/>
      <c r="AB287" s="539"/>
      <c r="AC287" s="539"/>
      <c r="AD287" s="43"/>
      <c r="AE287" s="43"/>
      <c r="AF287" s="238"/>
      <c r="AG287" s="43"/>
      <c r="AH287" s="43"/>
      <c r="AI287" s="238"/>
      <c r="AJ287" s="238"/>
      <c r="AK287" s="238"/>
      <c r="AL287" s="238"/>
      <c r="AM287" s="197">
        <f>IF(AQ287=1,SUM(H287:I287,L287:O287,R287:U287,X287:AA287,AD287:AG287,AI287:AK287),
IF(AQ287=2,SUM(H287:K287,N287:Q287,T287:W287,Z287:AC287,AF287:AI287),
IF(AQ287=3,SUM(J287:M287,P287:S287,V287:Y287,AB287:AE287,AH287:AK287),SUM(Таблица1[[#This Row],[1]:[31]])-Таблица1[[#This Row],[Столбец1]])))</f>
        <v>0</v>
      </c>
      <c r="AN287" s="269">
        <f t="array" ref="AN287">IF(AQ287=1,SUM(J287:K287,P287:Q287,V287:W287,AB287:AC287,AH287:AI287),
IF(AQ287=2,SUM(L287:M287,R287:S287,X287:Y287,AD287:AE287),
IF(AQ287=3,SUM(H287:I287,N287:O287,T287:U287,Z287:AA287,AF287:AG287),
SUM(IFERROR(WEEKDAY($H$2:$AL$2,2)&gt;5,)*H287:AL287))))</f>
        <v>0</v>
      </c>
      <c r="AO287" s="271" t="b">
        <f>IF(AR287&lt;=3,(IF((G287="5/24"),((база!$M$6*Таблица1[[#This Row],[сумма]]*Таблица1[[#This Row],[коэф]])),
IF((G287="4/24"),((база!$M$5*Таблица1[[#This Row],[сумма]]*Таблица1[[#This Row],[коэф]])),
IF((G287="3/24"),((база!$M$4*Таблица1[[#This Row],[сумма]]*Таблица1[[#This Row],[коэф]])),
IF((G287="5/16"),((база!$L$6*Таблица1[[#This Row],[сумма]]*Таблица1[[#This Row],[коэф]])),
IF((G287="4/16"),((база!$L$5*Таблица1[[#This Row],[сумма]]*Таблица1[[#This Row],[коэф]])),
IF((G287="3/16"),((база!$L$4*Таблица1[[#This Row],[сумма]]*Таблица1[[#This Row],[коэф]])),
IF((G287="4/4"),((база!$I$5*Таблица1[[#This Row],[сумма]]*Таблица1[[#This Row],[коэф]])),
IF(OR(G287="2/4",G287="3/4"),((база!$I$4*Таблица1[[#This Row],[сумма]]*Таблица1[[#This Row],[коэф]])),
IF((G287="5/8"),((база!$J$6*Таблица1[[#This Row],[сумма]]*Таблица1[[#This Row],[коэф]])),
IF((G287="4/8"),((база!$J$5*Таблица1[[#This Row],[сумма]]*Таблица1[[#This Row],[коэф]])),
IF(OR(G287="3/8",G287="2/8"),((база!$J$4*Таблица1[[#This Row],[сумма]]*Таблица1[[#This Row],[коэф]])))))))))))))),
(IF((G287="5/24"),((база!$M$6*Таблица1[[#This Row],[сумма]]*Таблица1[[#This Row],[коэф]])),
IF(OR(G287="4/24",G287="3/24"),((база!$M$5*Таблица1[[#This Row],[сумма]]*Таблица1[[#This Row],[коэф]])),
IF((G287="5/16"),((база!$L$6*Таблица1[[#This Row],[сумма]]*Таблица1[[#This Row],[коэф]])),
IF(OR(G287="4/16",G287="3/16"),((база!$L$5*Таблица1[[#This Row],[сумма]]*Таблица1[[#This Row],[коэф]])),
IF(OR(G287="2/4",G287="3/4",G287="4/4"),((база!$I$5*Таблица1[[#This Row],[сумма]]*Таблица1[[#This Row],[коэф]])),
IF((G287="5/8"),((база!$J$6*Таблица1[[#This Row],[сумма]]*Таблица1[[#This Row],[коэф]])),
IF(OR(G287="4/8",G287="3/8",G287="2/8"),((база!$J$5*Таблица1[[#This Row],[сумма]]*Таблица1[[#This Row],[коэф]])))))))))))</f>
        <v>0</v>
      </c>
      <c r="AP287" s="696" t="b">
        <f>IF(AR287&lt;=3,(IF((G287="5/24"),((база!$M$6*2*Таблица1[[#This Row],[Столбец1]]*Таблица1[[#This Row],[коэф]])),
IF((G287="4/24"),((база!$M$5*2*Таблица1[[#This Row],[Столбец1]]*Таблица1[[#This Row],[коэф]])),
IF((G287="3/24"),((база!$M$4*2*Таблица1[[#This Row],[Столбец1]]*Таблица1[[#This Row],[коэф]])),
IF((G287="5/16"),((база!$L$6*2*Таблица1[[#This Row],[Столбец1]]*Таблица1[[#This Row],[коэф]])),
IF((G287="4/16"),((база!$L$5*2*Таблица1[[#This Row],[Столбец1]]*Таблица1[[#This Row],[коэф]])),
IF((G287="3/16"),((база!$L$4*2*Таблица1[[#This Row],[Столбец1]]*Таблица1[[#This Row],[коэф]])),
IF((G287="4/4"),((база!$I$5*2*Таблица1[[#This Row],[Столбец1]]*Таблица1[[#This Row],[коэф]])),
IF(OR(G287="2/4",G287="3/4"),((база!$I$4*2*Таблица1[[#This Row],[Столбец1]]*Таблица1[[#This Row],[коэф]])),
IF((G287="5/8"),((база!$J$6*2*Таблица1[[#This Row],[Столбец1]]*Таблица1[[#This Row],[коэф]])),
IF((G287="4/8"),((база!$J$5*2*Таблица1[[#This Row],[Столбец1]]*Таблица1[[#This Row],[коэф]])),
IF(OR(G287="3/8",G287="2/8"),((база!$J$4*2*Таблица1[[#This Row],[Столбец1]]*Таблица1[[#This Row],[коэф]])))))))))))))),
(IF((G287="5/24"),((база!$M$6*2*Таблица1[[#This Row],[Столбец1]]*Таблица1[[#This Row],[коэф]])),
IF(OR(G287="4/24",G287="3/24"),((база!$M$5*2*Таблица1[[#This Row],[Столбец1]]*Таблица1[[#This Row],[коэф]])),
IF((G287="5/16"),((база!$L$6*2*Таблица1[[#This Row],[Столбец1]]*Таблица1[[#This Row],[коэф]])),
IF(OR(G287="4/16",G287="3/16"),((база!$L$5*2*Таблица1[[#This Row],[Столбец1]]*Таблица1[[#This Row],[коэф]])),
IF(OR(G287="2/4",G287="3/4",G287="4/4"),((база!$I$5*2*Таблица1[[#This Row],[Столбец1]]*Таблица1[[#This Row],[коэф]])),
IF((G287="5/8"),((база!$J$6*2*Таблица1[[#This Row],[Столбец1]]*Таблица1[[#This Row],[коэф]])),
IF(OR(G287="4/8",G287="3/8",G287="2/8"),((база!$J$5*2*Таблица1[[#This Row],[Столбец1]]*Таблица1[[#This Row],[коэф]])))))))))))</f>
        <v>0</v>
      </c>
      <c r="AQ287" s="678" t="str">
        <f>IFERROR(INDEX(база!T:T, MATCH(F287,база!Q:Q,0)),"")</f>
        <v/>
      </c>
      <c r="AR287" s="193">
        <f>IFERROR(INDEX(база!D:D, MATCH(F287,база!B:B,0)),"")</f>
        <v>0</v>
      </c>
    </row>
    <row r="288" spans="1:44" ht="15">
      <c r="A288" s="59"/>
      <c r="B288" s="215"/>
      <c r="C288" s="54"/>
      <c r="D288" s="55"/>
      <c r="E288" s="196"/>
      <c r="F288" s="651"/>
      <c r="G288" s="42"/>
      <c r="H288" s="539"/>
      <c r="I288" s="539"/>
      <c r="J288" s="539"/>
      <c r="K288" s="539"/>
      <c r="L288" s="539"/>
      <c r="M288" s="539"/>
      <c r="N288" s="539"/>
      <c r="O288" s="539"/>
      <c r="P288" s="278"/>
      <c r="Q288" s="539"/>
      <c r="R288" s="539"/>
      <c r="S288" s="539"/>
      <c r="T288" s="539"/>
      <c r="U288" s="539"/>
      <c r="V288" s="539"/>
      <c r="W288" s="539"/>
      <c r="X288" s="539"/>
      <c r="Y288" s="539"/>
      <c r="Z288" s="539"/>
      <c r="AA288" s="539"/>
      <c r="AB288" s="539"/>
      <c r="AC288" s="539"/>
      <c r="AD288" s="43"/>
      <c r="AE288" s="43"/>
      <c r="AF288" s="238"/>
      <c r="AG288" s="43"/>
      <c r="AH288" s="43"/>
      <c r="AI288" s="43"/>
      <c r="AJ288" s="43"/>
      <c r="AK288" s="43"/>
      <c r="AL288" s="45"/>
      <c r="AM288" s="197">
        <f>IF(AQ288=1,SUM(H288:I288,L288:O288,R288:U288,X288:AA288,AD288:AG288,AI288:AK288),
IF(AQ288=2,SUM(H288:K288,N288:Q288,T288:W288,Z288:AC288,AF288:AI288),
IF(AQ288=3,SUM(J288:M288,P288:S288,V288:Y288,AB288:AE288,AH288:AK288),SUM(Таблица1[[#This Row],[1]:[31]])-Таблица1[[#This Row],[Столбец1]])))</f>
        <v>0</v>
      </c>
      <c r="AN288" s="269">
        <f t="array" ref="AN288">IF(AQ288=1,SUM(J288:K288,P288:Q288,V288:W288,AB288:AC288,AH288:AI288),
IF(AQ288=2,SUM(L288:M288,R288:S288,X288:Y288,AD288:AE288),
IF(AQ288=3,SUM(H288:I288,N288:O288,T288:U288,Z288:AA288,AF288:AG288),
SUM(IFERROR(WEEKDAY($H$2:$AL$2,2)&gt;5,)*H288:AL288))))</f>
        <v>0</v>
      </c>
      <c r="AO288" s="271" t="b">
        <f>IF(AR288&lt;=3,(IF((G288="5/24"),((база!$M$6*Таблица1[[#This Row],[сумма]]*Таблица1[[#This Row],[коэф]])),
IF((G288="4/24"),((база!$M$5*Таблица1[[#This Row],[сумма]]*Таблица1[[#This Row],[коэф]])),
IF((G288="3/24"),((база!$M$4*Таблица1[[#This Row],[сумма]]*Таблица1[[#This Row],[коэф]])),
IF((G288="5/16"),((база!$L$6*Таблица1[[#This Row],[сумма]]*Таблица1[[#This Row],[коэф]])),
IF((G288="4/16"),((база!$L$5*Таблица1[[#This Row],[сумма]]*Таблица1[[#This Row],[коэф]])),
IF((G288="3/16"),((база!$L$4*Таблица1[[#This Row],[сумма]]*Таблица1[[#This Row],[коэф]])),
IF((G288="4/4"),((база!$I$5*Таблица1[[#This Row],[сумма]]*Таблица1[[#This Row],[коэф]])),
IF(OR(G288="2/4",G288="3/4"),((база!$I$4*Таблица1[[#This Row],[сумма]]*Таблица1[[#This Row],[коэф]])),
IF((G288="5/8"),((база!$J$6*Таблица1[[#This Row],[сумма]]*Таблица1[[#This Row],[коэф]])),
IF((G288="4/8"),((база!$J$5*Таблица1[[#This Row],[сумма]]*Таблица1[[#This Row],[коэф]])),
IF(OR(G288="3/8",G288="2/8"),((база!$J$4*Таблица1[[#This Row],[сумма]]*Таблица1[[#This Row],[коэф]])))))))))))))),
(IF((G288="5/24"),((база!$M$6*Таблица1[[#This Row],[сумма]]*Таблица1[[#This Row],[коэф]])),
IF(OR(G288="4/24",G288="3/24"),((база!$M$5*Таблица1[[#This Row],[сумма]]*Таблица1[[#This Row],[коэф]])),
IF((G288="5/16"),((база!$L$6*Таблица1[[#This Row],[сумма]]*Таблица1[[#This Row],[коэф]])),
IF(OR(G288="4/16",G288="3/16"),((база!$L$5*Таблица1[[#This Row],[сумма]]*Таблица1[[#This Row],[коэф]])),
IF(OR(G288="2/4",G288="3/4",G288="4/4"),((база!$I$5*Таблица1[[#This Row],[сумма]]*Таблица1[[#This Row],[коэф]])),
IF((G288="5/8"),((база!$J$6*Таблица1[[#This Row],[сумма]]*Таблица1[[#This Row],[коэф]])),
IF(OR(G288="4/8",G288="3/8",G288="2/8"),((база!$J$5*Таблица1[[#This Row],[сумма]]*Таблица1[[#This Row],[коэф]])))))))))))</f>
        <v>0</v>
      </c>
      <c r="AP288" s="696" t="b">
        <f>IF(AR288&lt;=3,(IF((G288="5/24"),((база!$M$6*2*Таблица1[[#This Row],[Столбец1]]*Таблица1[[#This Row],[коэф]])),
IF((G288="4/24"),((база!$M$5*2*Таблица1[[#This Row],[Столбец1]]*Таблица1[[#This Row],[коэф]])),
IF((G288="3/24"),((база!$M$4*2*Таблица1[[#This Row],[Столбец1]]*Таблица1[[#This Row],[коэф]])),
IF((G288="5/16"),((база!$L$6*2*Таблица1[[#This Row],[Столбец1]]*Таблица1[[#This Row],[коэф]])),
IF((G288="4/16"),((база!$L$5*2*Таблица1[[#This Row],[Столбец1]]*Таблица1[[#This Row],[коэф]])),
IF((G288="3/16"),((база!$L$4*2*Таблица1[[#This Row],[Столбец1]]*Таблица1[[#This Row],[коэф]])),
IF((G288="4/4"),((база!$I$5*2*Таблица1[[#This Row],[Столбец1]]*Таблица1[[#This Row],[коэф]])),
IF(OR(G288="2/4",G288="3/4"),((база!$I$4*2*Таблица1[[#This Row],[Столбец1]]*Таблица1[[#This Row],[коэф]])),
IF((G288="5/8"),((база!$J$6*2*Таблица1[[#This Row],[Столбец1]]*Таблица1[[#This Row],[коэф]])),
IF((G288="4/8"),((база!$J$5*2*Таблица1[[#This Row],[Столбец1]]*Таблица1[[#This Row],[коэф]])),
IF(OR(G288="3/8",G288="2/8"),((база!$J$4*2*Таблица1[[#This Row],[Столбец1]]*Таблица1[[#This Row],[коэф]])))))))))))))),
(IF((G288="5/24"),((база!$M$6*2*Таблица1[[#This Row],[Столбец1]]*Таблица1[[#This Row],[коэф]])),
IF(OR(G288="4/24",G288="3/24"),((база!$M$5*2*Таблица1[[#This Row],[Столбец1]]*Таблица1[[#This Row],[коэф]])),
IF((G288="5/16"),((база!$L$6*2*Таблица1[[#This Row],[Столбец1]]*Таблица1[[#This Row],[коэф]])),
IF(OR(G288="4/16",G288="3/16"),((база!$L$5*2*Таблица1[[#This Row],[Столбец1]]*Таблица1[[#This Row],[коэф]])),
IF(OR(G288="2/4",G288="3/4",G288="4/4"),((база!$I$5*2*Таблица1[[#This Row],[Столбец1]]*Таблица1[[#This Row],[коэф]])),
IF((G288="5/8"),((база!$J$6*2*Таблица1[[#This Row],[Столбец1]]*Таблица1[[#This Row],[коэф]])),
IF(OR(G288="4/8",G288="3/8",G288="2/8"),((база!$J$5*2*Таблица1[[#This Row],[Столбец1]]*Таблица1[[#This Row],[коэф]])))))))))))</f>
        <v>0</v>
      </c>
      <c r="AQ288" s="678" t="str">
        <f>IFERROR(INDEX(база!T:T, MATCH(F288,база!Q:Q,0)),"")</f>
        <v/>
      </c>
      <c r="AR288" s="193">
        <f>IFERROR(INDEX(база!D:D, MATCH(F288,база!B:B,0)),"")</f>
        <v>0</v>
      </c>
    </row>
    <row r="289" spans="1:44" ht="15">
      <c r="A289" s="59"/>
      <c r="B289" s="215"/>
      <c r="C289" s="54"/>
      <c r="D289" s="55"/>
      <c r="E289" s="196"/>
      <c r="F289" s="651"/>
      <c r="G289" s="42"/>
      <c r="H289" s="539"/>
      <c r="I289" s="539"/>
      <c r="J289" s="539"/>
      <c r="K289" s="539"/>
      <c r="L289" s="539"/>
      <c r="M289" s="539"/>
      <c r="N289" s="539"/>
      <c r="O289" s="539"/>
      <c r="P289" s="278"/>
      <c r="Q289" s="539"/>
      <c r="R289" s="539"/>
      <c r="S289" s="539"/>
      <c r="T289" s="539"/>
      <c r="U289" s="539"/>
      <c r="V289" s="539"/>
      <c r="W289" s="539"/>
      <c r="X289" s="539"/>
      <c r="Y289" s="539"/>
      <c r="Z289" s="539"/>
      <c r="AA289" s="539"/>
      <c r="AB289" s="539"/>
      <c r="AC289" s="539"/>
      <c r="AD289" s="43"/>
      <c r="AE289" s="43"/>
      <c r="AF289" s="238"/>
      <c r="AG289" s="43"/>
      <c r="AH289" s="43"/>
      <c r="AI289" s="238"/>
      <c r="AJ289" s="238"/>
      <c r="AK289" s="238"/>
      <c r="AL289" s="238"/>
      <c r="AM289" s="197">
        <f>IF(AQ289=1,SUM(H289:I289,L289:O289,R289:U289,X289:AA289,AD289:AG289,AI289:AK289),
IF(AQ289=2,SUM(H289:K289,N289:Q289,T289:W289,Z289:AC289,AF289:AI289),
IF(AQ289=3,SUM(J289:M289,P289:S289,V289:Y289,AB289:AE289,AH289:AK289),SUM(Таблица1[[#This Row],[1]:[31]])-Таблица1[[#This Row],[Столбец1]])))</f>
        <v>0</v>
      </c>
      <c r="AN289" s="269">
        <f t="array" ref="AN289">IF(AQ289=1,SUM(J289:K289,P289:Q289,V289:W289,AB289:AC289,AH289:AI289),
IF(AQ289=2,SUM(L289:M289,R289:S289,X289:Y289,AD289:AE289),
IF(AQ289=3,SUM(H289:I289,N289:O289,T289:U289,Z289:AA289,AF289:AG289),
SUM(IFERROR(WEEKDAY($H$2:$AL$2,2)&gt;5,)*H289:AL289))))</f>
        <v>0</v>
      </c>
      <c r="AO289" s="271" t="b">
        <f>IF(AR289&lt;=3,(IF((G289="5/24"),((база!$M$6*Таблица1[[#This Row],[сумма]]*Таблица1[[#This Row],[коэф]])),
IF((G289="4/24"),((база!$M$5*Таблица1[[#This Row],[сумма]]*Таблица1[[#This Row],[коэф]])),
IF((G289="3/24"),((база!$M$4*Таблица1[[#This Row],[сумма]]*Таблица1[[#This Row],[коэф]])),
IF((G289="5/16"),((база!$L$6*Таблица1[[#This Row],[сумма]]*Таблица1[[#This Row],[коэф]])),
IF((G289="4/16"),((база!$L$5*Таблица1[[#This Row],[сумма]]*Таблица1[[#This Row],[коэф]])),
IF((G289="3/16"),((база!$L$4*Таблица1[[#This Row],[сумма]]*Таблица1[[#This Row],[коэф]])),
IF((G289="4/4"),((база!$I$5*Таблица1[[#This Row],[сумма]]*Таблица1[[#This Row],[коэф]])),
IF(OR(G289="2/4",G289="3/4"),((база!$I$4*Таблица1[[#This Row],[сумма]]*Таблица1[[#This Row],[коэф]])),
IF((G289="5/8"),((база!$J$6*Таблица1[[#This Row],[сумма]]*Таблица1[[#This Row],[коэф]])),
IF((G289="4/8"),((база!$J$5*Таблица1[[#This Row],[сумма]]*Таблица1[[#This Row],[коэф]])),
IF(OR(G289="3/8",G289="2/8"),((база!$J$4*Таблица1[[#This Row],[сумма]]*Таблица1[[#This Row],[коэф]])))))))))))))),
(IF((G289="5/24"),((база!$M$6*Таблица1[[#This Row],[сумма]]*Таблица1[[#This Row],[коэф]])),
IF(OR(G289="4/24",G289="3/24"),((база!$M$5*Таблица1[[#This Row],[сумма]]*Таблица1[[#This Row],[коэф]])),
IF((G289="5/16"),((база!$L$6*Таблица1[[#This Row],[сумма]]*Таблица1[[#This Row],[коэф]])),
IF(OR(G289="4/16",G289="3/16"),((база!$L$5*Таблица1[[#This Row],[сумма]]*Таблица1[[#This Row],[коэф]])),
IF(OR(G289="2/4",G289="3/4",G289="4/4"),((база!$I$5*Таблица1[[#This Row],[сумма]]*Таблица1[[#This Row],[коэф]])),
IF((G289="5/8"),((база!$J$6*Таблица1[[#This Row],[сумма]]*Таблица1[[#This Row],[коэф]])),
IF(OR(G289="4/8",G289="3/8",G289="2/8"),((база!$J$5*Таблица1[[#This Row],[сумма]]*Таблица1[[#This Row],[коэф]])))))))))))</f>
        <v>0</v>
      </c>
      <c r="AP289" s="696" t="b">
        <f>IF(AR289&lt;=3,(IF((G289="5/24"),((база!$M$6*2*Таблица1[[#This Row],[Столбец1]]*Таблица1[[#This Row],[коэф]])),
IF((G289="4/24"),((база!$M$5*2*Таблица1[[#This Row],[Столбец1]]*Таблица1[[#This Row],[коэф]])),
IF((G289="3/24"),((база!$M$4*2*Таблица1[[#This Row],[Столбец1]]*Таблица1[[#This Row],[коэф]])),
IF((G289="5/16"),((база!$L$6*2*Таблица1[[#This Row],[Столбец1]]*Таблица1[[#This Row],[коэф]])),
IF((G289="4/16"),((база!$L$5*2*Таблица1[[#This Row],[Столбец1]]*Таблица1[[#This Row],[коэф]])),
IF((G289="3/16"),((база!$L$4*2*Таблица1[[#This Row],[Столбец1]]*Таблица1[[#This Row],[коэф]])),
IF((G289="4/4"),((база!$I$5*2*Таблица1[[#This Row],[Столбец1]]*Таблица1[[#This Row],[коэф]])),
IF(OR(G289="2/4",G289="3/4"),((база!$I$4*2*Таблица1[[#This Row],[Столбец1]]*Таблица1[[#This Row],[коэф]])),
IF((G289="5/8"),((база!$J$6*2*Таблица1[[#This Row],[Столбец1]]*Таблица1[[#This Row],[коэф]])),
IF((G289="4/8"),((база!$J$5*2*Таблица1[[#This Row],[Столбец1]]*Таблица1[[#This Row],[коэф]])),
IF(OR(G289="3/8",G289="2/8"),((база!$J$4*2*Таблица1[[#This Row],[Столбец1]]*Таблица1[[#This Row],[коэф]])))))))))))))),
(IF((G289="5/24"),((база!$M$6*2*Таблица1[[#This Row],[Столбец1]]*Таблица1[[#This Row],[коэф]])),
IF(OR(G289="4/24",G289="3/24"),((база!$M$5*2*Таблица1[[#This Row],[Столбец1]]*Таблица1[[#This Row],[коэф]])),
IF((G289="5/16"),((база!$L$6*2*Таблица1[[#This Row],[Столбец1]]*Таблица1[[#This Row],[коэф]])),
IF(OR(G289="4/16",G289="3/16"),((база!$L$5*2*Таблица1[[#This Row],[Столбец1]]*Таблица1[[#This Row],[коэф]])),
IF(OR(G289="2/4",G289="3/4",G289="4/4"),((база!$I$5*2*Таблица1[[#This Row],[Столбец1]]*Таблица1[[#This Row],[коэф]])),
IF((G289="5/8"),((база!$J$6*2*Таблица1[[#This Row],[Столбец1]]*Таблица1[[#This Row],[коэф]])),
IF(OR(G289="4/8",G289="3/8",G289="2/8"),((база!$J$5*2*Таблица1[[#This Row],[Столбец1]]*Таблица1[[#This Row],[коэф]])))))))))))</f>
        <v>0</v>
      </c>
      <c r="AQ289" s="678" t="str">
        <f>IFERROR(INDEX(база!T:T, MATCH(F289,база!Q:Q,0)),"")</f>
        <v/>
      </c>
      <c r="AR289" s="193">
        <f>IFERROR(INDEX(база!D:D, MATCH(F289,база!B:B,0)),"")</f>
        <v>0</v>
      </c>
    </row>
    <row r="290" spans="1:44" ht="15">
      <c r="A290" s="59"/>
      <c r="B290" s="215"/>
      <c r="C290" s="54"/>
      <c r="D290" s="55"/>
      <c r="E290" s="196"/>
      <c r="F290" s="651"/>
      <c r="G290" s="42"/>
      <c r="H290" s="539"/>
      <c r="I290" s="539"/>
      <c r="J290" s="539"/>
      <c r="K290" s="539"/>
      <c r="L290" s="539"/>
      <c r="M290" s="539"/>
      <c r="N290" s="539"/>
      <c r="O290" s="539"/>
      <c r="P290" s="539"/>
      <c r="Q290" s="539"/>
      <c r="R290" s="539"/>
      <c r="S290" s="539"/>
      <c r="T290" s="539"/>
      <c r="U290" s="539"/>
      <c r="V290" s="539"/>
      <c r="W290" s="539"/>
      <c r="X290" s="539"/>
      <c r="Y290" s="539"/>
      <c r="Z290" s="539"/>
      <c r="AA290" s="539"/>
      <c r="AB290" s="539"/>
      <c r="AC290" s="539"/>
      <c r="AD290" s="43"/>
      <c r="AE290" s="43"/>
      <c r="AF290" s="238"/>
      <c r="AG290" s="43"/>
      <c r="AH290" s="43"/>
      <c r="AI290" s="43"/>
      <c r="AJ290" s="43"/>
      <c r="AK290" s="43"/>
      <c r="AL290" s="45"/>
      <c r="AM290" s="197">
        <f>IF(AQ290=1,SUM(H290:I290,L290:O290,R290:U290,X290:AA290,AD290:AG290,AI290:AK290),
IF(AQ290=2,SUM(H290:K290,N290:Q290,T290:W290,Z290:AC290,AF290:AI290),
IF(AQ290=3,SUM(J290:M290,P290:S290,V290:Y290,AB290:AE290,AH290:AK290),SUM(Таблица1[[#This Row],[1]:[31]])-Таблица1[[#This Row],[Столбец1]])))</f>
        <v>0</v>
      </c>
      <c r="AN290" s="269">
        <f t="array" ref="AN290">IF(AQ290=1,SUM(J290:K290,P290:Q290,V290:W290,AB290:AC290,AH290:AI290),
IF(AQ290=2,SUM(L290:M290,R290:S290,X290:Y290,AD290:AE290),
IF(AQ290=3,SUM(H290:I290,N290:O290,T290:U290,Z290:AA290,AF290:AG290),
SUM(IFERROR(WEEKDAY($H$2:$AL$2,2)&gt;5,)*H290:AL290))))</f>
        <v>0</v>
      </c>
      <c r="AO290" s="271" t="b">
        <f>IF(AR290&lt;=3,(IF((G290="5/24"),((база!$M$6*Таблица1[[#This Row],[сумма]]*Таблица1[[#This Row],[коэф]])),
IF((G290="4/24"),((база!$M$5*Таблица1[[#This Row],[сумма]]*Таблица1[[#This Row],[коэф]])),
IF((G290="3/24"),((база!$M$4*Таблица1[[#This Row],[сумма]]*Таблица1[[#This Row],[коэф]])),
IF((G290="5/16"),((база!$L$6*Таблица1[[#This Row],[сумма]]*Таблица1[[#This Row],[коэф]])),
IF((G290="4/16"),((база!$L$5*Таблица1[[#This Row],[сумма]]*Таблица1[[#This Row],[коэф]])),
IF((G290="3/16"),((база!$L$4*Таблица1[[#This Row],[сумма]]*Таблица1[[#This Row],[коэф]])),
IF((G290="4/4"),((база!$I$5*Таблица1[[#This Row],[сумма]]*Таблица1[[#This Row],[коэф]])),
IF(OR(G290="2/4",G290="3/4"),((база!$I$4*Таблица1[[#This Row],[сумма]]*Таблица1[[#This Row],[коэф]])),
IF((G290="5/8"),((база!$J$6*Таблица1[[#This Row],[сумма]]*Таблица1[[#This Row],[коэф]])),
IF((G290="4/8"),((база!$J$5*Таблица1[[#This Row],[сумма]]*Таблица1[[#This Row],[коэф]])),
IF(OR(G290="3/8",G290="2/8"),((база!$J$4*Таблица1[[#This Row],[сумма]]*Таблица1[[#This Row],[коэф]])))))))))))))),
(IF((G290="5/24"),((база!$M$6*Таблица1[[#This Row],[сумма]]*Таблица1[[#This Row],[коэф]])),
IF(OR(G290="4/24",G290="3/24"),((база!$M$5*Таблица1[[#This Row],[сумма]]*Таблица1[[#This Row],[коэф]])),
IF((G290="5/16"),((база!$L$6*Таблица1[[#This Row],[сумма]]*Таблица1[[#This Row],[коэф]])),
IF(OR(G290="4/16",G290="3/16"),((база!$L$5*Таблица1[[#This Row],[сумма]]*Таблица1[[#This Row],[коэф]])),
IF(OR(G290="2/4",G290="3/4",G290="4/4"),((база!$I$5*Таблица1[[#This Row],[сумма]]*Таблица1[[#This Row],[коэф]])),
IF((G290="5/8"),((база!$J$6*Таблица1[[#This Row],[сумма]]*Таблица1[[#This Row],[коэф]])),
IF(OR(G290="4/8",G290="3/8",G290="2/8"),((база!$J$5*Таблица1[[#This Row],[сумма]]*Таблица1[[#This Row],[коэф]])))))))))))</f>
        <v>0</v>
      </c>
      <c r="AP290" s="696" t="b">
        <f>IF(AR290&lt;=3,(IF((G290="5/24"),((база!$M$6*2*Таблица1[[#This Row],[Столбец1]]*Таблица1[[#This Row],[коэф]])),
IF((G290="4/24"),((база!$M$5*2*Таблица1[[#This Row],[Столбец1]]*Таблица1[[#This Row],[коэф]])),
IF((G290="3/24"),((база!$M$4*2*Таблица1[[#This Row],[Столбец1]]*Таблица1[[#This Row],[коэф]])),
IF((G290="5/16"),((база!$L$6*2*Таблица1[[#This Row],[Столбец1]]*Таблица1[[#This Row],[коэф]])),
IF((G290="4/16"),((база!$L$5*2*Таблица1[[#This Row],[Столбец1]]*Таблица1[[#This Row],[коэф]])),
IF((G290="3/16"),((база!$L$4*2*Таблица1[[#This Row],[Столбец1]]*Таблица1[[#This Row],[коэф]])),
IF((G290="4/4"),((база!$I$5*2*Таблица1[[#This Row],[Столбец1]]*Таблица1[[#This Row],[коэф]])),
IF(OR(G290="2/4",G290="3/4"),((база!$I$4*2*Таблица1[[#This Row],[Столбец1]]*Таблица1[[#This Row],[коэф]])),
IF((G290="5/8"),((база!$J$6*2*Таблица1[[#This Row],[Столбец1]]*Таблица1[[#This Row],[коэф]])),
IF((G290="4/8"),((база!$J$5*2*Таблица1[[#This Row],[Столбец1]]*Таблица1[[#This Row],[коэф]])),
IF(OR(G290="3/8",G290="2/8"),((база!$J$4*2*Таблица1[[#This Row],[Столбец1]]*Таблица1[[#This Row],[коэф]])))))))))))))),
(IF((G290="5/24"),((база!$M$6*2*Таблица1[[#This Row],[Столбец1]]*Таблица1[[#This Row],[коэф]])),
IF(OR(G290="4/24",G290="3/24"),((база!$M$5*2*Таблица1[[#This Row],[Столбец1]]*Таблица1[[#This Row],[коэф]])),
IF((G290="5/16"),((база!$L$6*2*Таблица1[[#This Row],[Столбец1]]*Таблица1[[#This Row],[коэф]])),
IF(OR(G290="4/16",G290="3/16"),((база!$L$5*2*Таблица1[[#This Row],[Столбец1]]*Таблица1[[#This Row],[коэф]])),
IF(OR(G290="2/4",G290="3/4",G290="4/4"),((база!$I$5*2*Таблица1[[#This Row],[Столбец1]]*Таблица1[[#This Row],[коэф]])),
IF((G290="5/8"),((база!$J$6*2*Таблица1[[#This Row],[Столбец1]]*Таблица1[[#This Row],[коэф]])),
IF(OR(G290="4/8",G290="3/8",G290="2/8"),((база!$J$5*2*Таблица1[[#This Row],[Столбец1]]*Таблица1[[#This Row],[коэф]])))))))))))</f>
        <v>0</v>
      </c>
      <c r="AQ290" s="678" t="str">
        <f>IFERROR(INDEX(база!T:T, MATCH(F290,база!Q:Q,0)),"")</f>
        <v/>
      </c>
      <c r="AR290" s="193">
        <f>IFERROR(INDEX(база!D:D, MATCH(F290,база!B:B,0)),"")</f>
        <v>0</v>
      </c>
    </row>
    <row r="291" spans="1:44" ht="15">
      <c r="A291" s="59"/>
      <c r="B291" s="215"/>
      <c r="C291" s="277"/>
      <c r="D291" s="55"/>
      <c r="E291" s="196"/>
      <c r="F291" s="651"/>
      <c r="G291" s="42"/>
      <c r="H291" s="539"/>
      <c r="I291" s="539"/>
      <c r="J291" s="539"/>
      <c r="K291" s="539"/>
      <c r="L291" s="539"/>
      <c r="M291" s="539"/>
      <c r="N291" s="539"/>
      <c r="O291" s="539"/>
      <c r="P291" s="278"/>
      <c r="Q291" s="539"/>
      <c r="R291" s="539"/>
      <c r="S291" s="539"/>
      <c r="T291" s="539"/>
      <c r="U291" s="539"/>
      <c r="V291" s="539"/>
      <c r="W291" s="539"/>
      <c r="X291" s="539"/>
      <c r="Y291" s="539"/>
      <c r="Z291" s="539"/>
      <c r="AA291" s="539"/>
      <c r="AB291" s="539"/>
      <c r="AC291" s="539"/>
      <c r="AD291" s="43"/>
      <c r="AE291" s="43"/>
      <c r="AF291" s="238"/>
      <c r="AG291" s="43"/>
      <c r="AH291" s="43"/>
      <c r="AI291" s="238"/>
      <c r="AJ291" s="238"/>
      <c r="AK291" s="238"/>
      <c r="AL291" s="238"/>
      <c r="AM291" s="197">
        <f>IF(AQ291=1,SUM(H291:I291,L291:O291,R291:U291,X291:AA291,AD291:AG291,AI291:AK291),
IF(AQ291=2,SUM(H291:K291,N291:Q291,T291:W291,Z291:AC291,AF291:AI291),
IF(AQ291=3,SUM(J291:M291,P291:S291,V291:Y291,AB291:AE291,AH291:AK291),SUM(Таблица1[[#This Row],[1]:[31]])-Таблица1[[#This Row],[Столбец1]])))</f>
        <v>0</v>
      </c>
      <c r="AN291" s="269">
        <f t="array" ref="AN291">IF(AQ291=1,SUM(J291:K291,P291:Q291,V291:W291,AB291:AC291,AH291:AI291),
IF(AQ291=2,SUM(L291:M291,R291:S291,X291:Y291,AD291:AE291),
IF(AQ291=3,SUM(H291:I291,N291:O291,T291:U291,Z291:AA291,AF291:AG291),
SUM(IFERROR(WEEKDAY($H$2:$AL$2,2)&gt;5,)*H291:AL291))))</f>
        <v>0</v>
      </c>
      <c r="AO291" s="271" t="b">
        <f>IF(AR291&lt;=3,(IF((G291="5/24"),((база!$M$6*Таблица1[[#This Row],[сумма]]*Таблица1[[#This Row],[коэф]])),
IF((G291="4/24"),((база!$M$5*Таблица1[[#This Row],[сумма]]*Таблица1[[#This Row],[коэф]])),
IF((G291="3/24"),((база!$M$4*Таблица1[[#This Row],[сумма]]*Таблица1[[#This Row],[коэф]])),
IF((G291="5/16"),((база!$L$6*Таблица1[[#This Row],[сумма]]*Таблица1[[#This Row],[коэф]])),
IF((G291="4/16"),((база!$L$5*Таблица1[[#This Row],[сумма]]*Таблица1[[#This Row],[коэф]])),
IF((G291="3/16"),((база!$L$4*Таблица1[[#This Row],[сумма]]*Таблица1[[#This Row],[коэф]])),
IF((G291="4/4"),((база!$I$5*Таблица1[[#This Row],[сумма]]*Таблица1[[#This Row],[коэф]])),
IF(OR(G291="2/4",G291="3/4"),((база!$I$4*Таблица1[[#This Row],[сумма]]*Таблица1[[#This Row],[коэф]])),
IF((G291="5/8"),((база!$J$6*Таблица1[[#This Row],[сумма]]*Таблица1[[#This Row],[коэф]])),
IF((G291="4/8"),((база!$J$5*Таблица1[[#This Row],[сумма]]*Таблица1[[#This Row],[коэф]])),
IF(OR(G291="3/8",G291="2/8"),((база!$J$4*Таблица1[[#This Row],[сумма]]*Таблица1[[#This Row],[коэф]])))))))))))))),
(IF((G291="5/24"),((база!$M$6*Таблица1[[#This Row],[сумма]]*Таблица1[[#This Row],[коэф]])),
IF(OR(G291="4/24",G291="3/24"),((база!$M$5*Таблица1[[#This Row],[сумма]]*Таблица1[[#This Row],[коэф]])),
IF((G291="5/16"),((база!$L$6*Таблица1[[#This Row],[сумма]]*Таблица1[[#This Row],[коэф]])),
IF(OR(G291="4/16",G291="3/16"),((база!$L$5*Таблица1[[#This Row],[сумма]]*Таблица1[[#This Row],[коэф]])),
IF(OR(G291="2/4",G291="3/4",G291="4/4"),((база!$I$5*Таблица1[[#This Row],[сумма]]*Таблица1[[#This Row],[коэф]])),
IF((G291="5/8"),((база!$J$6*Таблица1[[#This Row],[сумма]]*Таблица1[[#This Row],[коэф]])),
IF(OR(G291="4/8",G291="3/8",G291="2/8"),((база!$J$5*Таблица1[[#This Row],[сумма]]*Таблица1[[#This Row],[коэф]])))))))))))</f>
        <v>0</v>
      </c>
      <c r="AP291" s="696" t="b">
        <f>IF(AR291&lt;=3,(IF((G291="5/24"),((база!$M$6*2*Таблица1[[#This Row],[Столбец1]]*Таблица1[[#This Row],[коэф]])),
IF((G291="4/24"),((база!$M$5*2*Таблица1[[#This Row],[Столбец1]]*Таблица1[[#This Row],[коэф]])),
IF((G291="3/24"),((база!$M$4*2*Таблица1[[#This Row],[Столбец1]]*Таблица1[[#This Row],[коэф]])),
IF((G291="5/16"),((база!$L$6*2*Таблица1[[#This Row],[Столбец1]]*Таблица1[[#This Row],[коэф]])),
IF((G291="4/16"),((база!$L$5*2*Таблица1[[#This Row],[Столбец1]]*Таблица1[[#This Row],[коэф]])),
IF((G291="3/16"),((база!$L$4*2*Таблица1[[#This Row],[Столбец1]]*Таблица1[[#This Row],[коэф]])),
IF((G291="4/4"),((база!$I$5*2*Таблица1[[#This Row],[Столбец1]]*Таблица1[[#This Row],[коэф]])),
IF(OR(G291="2/4",G291="3/4"),((база!$I$4*2*Таблица1[[#This Row],[Столбец1]]*Таблица1[[#This Row],[коэф]])),
IF((G291="5/8"),((база!$J$6*2*Таблица1[[#This Row],[Столбец1]]*Таблица1[[#This Row],[коэф]])),
IF((G291="4/8"),((база!$J$5*2*Таблица1[[#This Row],[Столбец1]]*Таблица1[[#This Row],[коэф]])),
IF(OR(G291="3/8",G291="2/8"),((база!$J$4*2*Таблица1[[#This Row],[Столбец1]]*Таблица1[[#This Row],[коэф]])))))))))))))),
(IF((G291="5/24"),((база!$M$6*2*Таблица1[[#This Row],[Столбец1]]*Таблица1[[#This Row],[коэф]])),
IF(OR(G291="4/24",G291="3/24"),((база!$M$5*2*Таблица1[[#This Row],[Столбец1]]*Таблица1[[#This Row],[коэф]])),
IF((G291="5/16"),((база!$L$6*2*Таблица1[[#This Row],[Столбец1]]*Таблица1[[#This Row],[коэф]])),
IF(OR(G291="4/16",G291="3/16"),((база!$L$5*2*Таблица1[[#This Row],[Столбец1]]*Таблица1[[#This Row],[коэф]])),
IF(OR(G291="2/4",G291="3/4",G291="4/4"),((база!$I$5*2*Таблица1[[#This Row],[Столбец1]]*Таблица1[[#This Row],[коэф]])),
IF((G291="5/8"),((база!$J$6*2*Таблица1[[#This Row],[Столбец1]]*Таблица1[[#This Row],[коэф]])),
IF(OR(G291="4/8",G291="3/8",G291="2/8"),((база!$J$5*2*Таблица1[[#This Row],[Столбец1]]*Таблица1[[#This Row],[коэф]])))))))))))</f>
        <v>0</v>
      </c>
      <c r="AQ291" s="678" t="str">
        <f>IFERROR(INDEX(база!T:T, MATCH(F291,база!Q:Q,0)),"")</f>
        <v/>
      </c>
      <c r="AR291" s="193">
        <f>IFERROR(INDEX(база!D:D, MATCH(F291,база!B:B,0)),"")</f>
        <v>0</v>
      </c>
    </row>
    <row r="292" spans="1:44" ht="15">
      <c r="A292" s="59"/>
      <c r="B292" s="215"/>
      <c r="C292" s="54"/>
      <c r="D292" s="55"/>
      <c r="E292" s="196"/>
      <c r="F292" s="651"/>
      <c r="G292" s="42"/>
      <c r="H292" s="539"/>
      <c r="I292" s="539"/>
      <c r="J292" s="539"/>
      <c r="K292" s="539"/>
      <c r="L292" s="539"/>
      <c r="M292" s="539"/>
      <c r="N292" s="539"/>
      <c r="O292" s="539"/>
      <c r="P292" s="539"/>
      <c r="Q292" s="539"/>
      <c r="R292" s="539"/>
      <c r="S292" s="539"/>
      <c r="T292" s="539"/>
      <c r="U292" s="539"/>
      <c r="V292" s="539"/>
      <c r="W292" s="539"/>
      <c r="X292" s="539"/>
      <c r="Y292" s="539"/>
      <c r="Z292" s="539"/>
      <c r="AA292" s="539"/>
      <c r="AB292" s="539"/>
      <c r="AC292" s="539"/>
      <c r="AD292" s="43"/>
      <c r="AE292" s="43"/>
      <c r="AF292" s="238"/>
      <c r="AG292" s="43"/>
      <c r="AH292" s="43"/>
      <c r="AI292" s="43"/>
      <c r="AJ292" s="43"/>
      <c r="AK292" s="43"/>
      <c r="AL292" s="45"/>
      <c r="AM292" s="197">
        <f>IF(AQ292=1,SUM(H292:I292,L292:O292,R292:U292,X292:AA292,AD292:AG292,AI292:AK292),
IF(AQ292=2,SUM(H292:K292,N292:Q292,T292:W292,Z292:AC292,AF292:AI292),
IF(AQ292=3,SUM(J292:M292,P292:S292,V292:Y292,AB292:AE292,AH292:AK292),SUM(Таблица1[[#This Row],[1]:[31]])-Таблица1[[#This Row],[Столбец1]])))</f>
        <v>0</v>
      </c>
      <c r="AN292" s="269">
        <f t="array" ref="AN292">IF(AQ292=1,SUM(J292:K292,P292:Q292,V292:W292,AB292:AC292,AH292:AI292),
IF(AQ292=2,SUM(L292:M292,R292:S292,X292:Y292,AD292:AE292),
IF(AQ292=3,SUM(H292:I292,N292:O292,T292:U292,Z292:AA292,AF292:AG292),
SUM(IFERROR(WEEKDAY($H$2:$AL$2,2)&gt;5,)*H292:AL292))))</f>
        <v>0</v>
      </c>
      <c r="AO292" s="271" t="b">
        <f>IF(AR292&lt;=3,(IF((G292="5/24"),((база!$M$6*Таблица1[[#This Row],[сумма]]*Таблица1[[#This Row],[коэф]])),
IF((G292="4/24"),((база!$M$5*Таблица1[[#This Row],[сумма]]*Таблица1[[#This Row],[коэф]])),
IF((G292="3/24"),((база!$M$4*Таблица1[[#This Row],[сумма]]*Таблица1[[#This Row],[коэф]])),
IF((G292="5/16"),((база!$L$6*Таблица1[[#This Row],[сумма]]*Таблица1[[#This Row],[коэф]])),
IF((G292="4/16"),((база!$L$5*Таблица1[[#This Row],[сумма]]*Таблица1[[#This Row],[коэф]])),
IF((G292="3/16"),((база!$L$4*Таблица1[[#This Row],[сумма]]*Таблица1[[#This Row],[коэф]])),
IF((G292="4/4"),((база!$I$5*Таблица1[[#This Row],[сумма]]*Таблица1[[#This Row],[коэф]])),
IF(OR(G292="2/4",G292="3/4"),((база!$I$4*Таблица1[[#This Row],[сумма]]*Таблица1[[#This Row],[коэф]])),
IF((G292="5/8"),((база!$J$6*Таблица1[[#This Row],[сумма]]*Таблица1[[#This Row],[коэф]])),
IF((G292="4/8"),((база!$J$5*Таблица1[[#This Row],[сумма]]*Таблица1[[#This Row],[коэф]])),
IF(OR(G292="3/8",G292="2/8"),((база!$J$4*Таблица1[[#This Row],[сумма]]*Таблица1[[#This Row],[коэф]])))))))))))))),
(IF((G292="5/24"),((база!$M$6*Таблица1[[#This Row],[сумма]]*Таблица1[[#This Row],[коэф]])),
IF(OR(G292="4/24",G292="3/24"),((база!$M$5*Таблица1[[#This Row],[сумма]]*Таблица1[[#This Row],[коэф]])),
IF((G292="5/16"),((база!$L$6*Таблица1[[#This Row],[сумма]]*Таблица1[[#This Row],[коэф]])),
IF(OR(G292="4/16",G292="3/16"),((база!$L$5*Таблица1[[#This Row],[сумма]]*Таблица1[[#This Row],[коэф]])),
IF(OR(G292="2/4",G292="3/4",G292="4/4"),((база!$I$5*Таблица1[[#This Row],[сумма]]*Таблица1[[#This Row],[коэф]])),
IF((G292="5/8"),((база!$J$6*Таблица1[[#This Row],[сумма]]*Таблица1[[#This Row],[коэф]])),
IF(OR(G292="4/8",G292="3/8",G292="2/8"),((база!$J$5*Таблица1[[#This Row],[сумма]]*Таблица1[[#This Row],[коэф]])))))))))))</f>
        <v>0</v>
      </c>
      <c r="AP292" s="696" t="b">
        <f>IF(AR292&lt;=3,(IF((G292="5/24"),((база!$M$6*2*Таблица1[[#This Row],[Столбец1]]*Таблица1[[#This Row],[коэф]])),
IF((G292="4/24"),((база!$M$5*2*Таблица1[[#This Row],[Столбец1]]*Таблица1[[#This Row],[коэф]])),
IF((G292="3/24"),((база!$M$4*2*Таблица1[[#This Row],[Столбец1]]*Таблица1[[#This Row],[коэф]])),
IF((G292="5/16"),((база!$L$6*2*Таблица1[[#This Row],[Столбец1]]*Таблица1[[#This Row],[коэф]])),
IF((G292="4/16"),((база!$L$5*2*Таблица1[[#This Row],[Столбец1]]*Таблица1[[#This Row],[коэф]])),
IF((G292="3/16"),((база!$L$4*2*Таблица1[[#This Row],[Столбец1]]*Таблица1[[#This Row],[коэф]])),
IF((G292="4/4"),((база!$I$5*2*Таблица1[[#This Row],[Столбец1]]*Таблица1[[#This Row],[коэф]])),
IF(OR(G292="2/4",G292="3/4"),((база!$I$4*2*Таблица1[[#This Row],[Столбец1]]*Таблица1[[#This Row],[коэф]])),
IF((G292="5/8"),((база!$J$6*2*Таблица1[[#This Row],[Столбец1]]*Таблица1[[#This Row],[коэф]])),
IF((G292="4/8"),((база!$J$5*2*Таблица1[[#This Row],[Столбец1]]*Таблица1[[#This Row],[коэф]])),
IF(OR(G292="3/8",G292="2/8"),((база!$J$4*2*Таблица1[[#This Row],[Столбец1]]*Таблица1[[#This Row],[коэф]])))))))))))))),
(IF((G292="5/24"),((база!$M$6*2*Таблица1[[#This Row],[Столбец1]]*Таблица1[[#This Row],[коэф]])),
IF(OR(G292="4/24",G292="3/24"),((база!$M$5*2*Таблица1[[#This Row],[Столбец1]]*Таблица1[[#This Row],[коэф]])),
IF((G292="5/16"),((база!$L$6*2*Таблица1[[#This Row],[Столбец1]]*Таблица1[[#This Row],[коэф]])),
IF(OR(G292="4/16",G292="3/16"),((база!$L$5*2*Таблица1[[#This Row],[Столбец1]]*Таблица1[[#This Row],[коэф]])),
IF(OR(G292="2/4",G292="3/4",G292="4/4"),((база!$I$5*2*Таблица1[[#This Row],[Столбец1]]*Таблица1[[#This Row],[коэф]])),
IF((G292="5/8"),((база!$J$6*2*Таблица1[[#This Row],[Столбец1]]*Таблица1[[#This Row],[коэф]])),
IF(OR(G292="4/8",G292="3/8",G292="2/8"),((база!$J$5*2*Таблица1[[#This Row],[Столбец1]]*Таблица1[[#This Row],[коэф]])))))))))))</f>
        <v>0</v>
      </c>
      <c r="AQ292" s="678" t="str">
        <f>IFERROR(INDEX(база!T:T, MATCH(F292,база!Q:Q,0)),"")</f>
        <v/>
      </c>
      <c r="AR292" s="193">
        <f>IFERROR(INDEX(база!D:D, MATCH(F292,база!B:B,0)),"")</f>
        <v>0</v>
      </c>
    </row>
    <row r="293" spans="1:44" ht="15">
      <c r="A293" s="59"/>
      <c r="B293" s="215"/>
      <c r="C293" s="54"/>
      <c r="D293" s="55"/>
      <c r="E293" s="196"/>
      <c r="F293" s="651"/>
      <c r="G293" s="42"/>
      <c r="H293" s="539"/>
      <c r="I293" s="539"/>
      <c r="J293" s="539"/>
      <c r="K293" s="539"/>
      <c r="L293" s="539"/>
      <c r="M293" s="539"/>
      <c r="N293" s="539"/>
      <c r="O293" s="539"/>
      <c r="P293" s="278"/>
      <c r="Q293" s="539"/>
      <c r="R293" s="539"/>
      <c r="S293" s="539"/>
      <c r="T293" s="539"/>
      <c r="U293" s="539"/>
      <c r="V293" s="539"/>
      <c r="W293" s="539"/>
      <c r="X293" s="539"/>
      <c r="Y293" s="539"/>
      <c r="Z293" s="539"/>
      <c r="AA293" s="539"/>
      <c r="AB293" s="539"/>
      <c r="AC293" s="539"/>
      <c r="AD293" s="43"/>
      <c r="AE293" s="43"/>
      <c r="AF293" s="238"/>
      <c r="AG293" s="43"/>
      <c r="AH293" s="43"/>
      <c r="AI293" s="238"/>
      <c r="AJ293" s="238"/>
      <c r="AK293" s="238"/>
      <c r="AL293" s="238"/>
      <c r="AM293" s="197">
        <f>IF(AQ293=1,SUM(H293:I293,L293:O293,R293:U293,X293:AA293,AD293:AG293,AI293:AK293),
IF(AQ293=2,SUM(H293:K293,N293:Q293,T293:W293,Z293:AC293,AF293:AI293),
IF(AQ293=3,SUM(J293:M293,P293:S293,V293:Y293,AB293:AE293,AH293:AK293),SUM(Таблица1[[#This Row],[1]:[31]])-Таблица1[[#This Row],[Столбец1]])))</f>
        <v>0</v>
      </c>
      <c r="AN293" s="269">
        <f t="array" ref="AN293">IF(AQ293=1,SUM(J293:K293,P293:Q293,V293:W293,AB293:AC293,AH293:AI293),
IF(AQ293=2,SUM(L293:M293,R293:S293,X293:Y293,AD293:AE293),
IF(AQ293=3,SUM(H293:I293,N293:O293,T293:U293,Z293:AA293,AF293:AG293),
SUM(IFERROR(WEEKDAY($H$2:$AL$2,2)&gt;5,)*H293:AL293))))</f>
        <v>0</v>
      </c>
      <c r="AO293" s="271" t="b">
        <f>IF(AR293&lt;=3,(IF((G293="5/24"),((база!$M$6*Таблица1[[#This Row],[сумма]]*Таблица1[[#This Row],[коэф]])),
IF((G293="4/24"),((база!$M$5*Таблица1[[#This Row],[сумма]]*Таблица1[[#This Row],[коэф]])),
IF((G293="3/24"),((база!$M$4*Таблица1[[#This Row],[сумма]]*Таблица1[[#This Row],[коэф]])),
IF((G293="5/16"),((база!$L$6*Таблица1[[#This Row],[сумма]]*Таблица1[[#This Row],[коэф]])),
IF((G293="4/16"),((база!$L$5*Таблица1[[#This Row],[сумма]]*Таблица1[[#This Row],[коэф]])),
IF((G293="3/16"),((база!$L$4*Таблица1[[#This Row],[сумма]]*Таблица1[[#This Row],[коэф]])),
IF((G293="4/4"),((база!$I$5*Таблица1[[#This Row],[сумма]]*Таблица1[[#This Row],[коэф]])),
IF(OR(G293="2/4",G293="3/4"),((база!$I$4*Таблица1[[#This Row],[сумма]]*Таблица1[[#This Row],[коэф]])),
IF((G293="5/8"),((база!$J$6*Таблица1[[#This Row],[сумма]]*Таблица1[[#This Row],[коэф]])),
IF((G293="4/8"),((база!$J$5*Таблица1[[#This Row],[сумма]]*Таблица1[[#This Row],[коэф]])),
IF(OR(G293="3/8",G293="2/8"),((база!$J$4*Таблица1[[#This Row],[сумма]]*Таблица1[[#This Row],[коэф]])))))))))))))),
(IF((G293="5/24"),((база!$M$6*Таблица1[[#This Row],[сумма]]*Таблица1[[#This Row],[коэф]])),
IF(OR(G293="4/24",G293="3/24"),((база!$M$5*Таблица1[[#This Row],[сумма]]*Таблица1[[#This Row],[коэф]])),
IF((G293="5/16"),((база!$L$6*Таблица1[[#This Row],[сумма]]*Таблица1[[#This Row],[коэф]])),
IF(OR(G293="4/16",G293="3/16"),((база!$L$5*Таблица1[[#This Row],[сумма]]*Таблица1[[#This Row],[коэф]])),
IF(OR(G293="2/4",G293="3/4",G293="4/4"),((база!$I$5*Таблица1[[#This Row],[сумма]]*Таблица1[[#This Row],[коэф]])),
IF((G293="5/8"),((база!$J$6*Таблица1[[#This Row],[сумма]]*Таблица1[[#This Row],[коэф]])),
IF(OR(G293="4/8",G293="3/8",G293="2/8"),((база!$J$5*Таблица1[[#This Row],[сумма]]*Таблица1[[#This Row],[коэф]])))))))))))</f>
        <v>0</v>
      </c>
      <c r="AP293" s="696" t="b">
        <f>IF(AR293&lt;=3,(IF((G293="5/24"),((база!$M$6*2*Таблица1[[#This Row],[Столбец1]]*Таблица1[[#This Row],[коэф]])),
IF((G293="4/24"),((база!$M$5*2*Таблица1[[#This Row],[Столбец1]]*Таблица1[[#This Row],[коэф]])),
IF((G293="3/24"),((база!$M$4*2*Таблица1[[#This Row],[Столбец1]]*Таблица1[[#This Row],[коэф]])),
IF((G293="5/16"),((база!$L$6*2*Таблица1[[#This Row],[Столбец1]]*Таблица1[[#This Row],[коэф]])),
IF((G293="4/16"),((база!$L$5*2*Таблица1[[#This Row],[Столбец1]]*Таблица1[[#This Row],[коэф]])),
IF((G293="3/16"),((база!$L$4*2*Таблица1[[#This Row],[Столбец1]]*Таблица1[[#This Row],[коэф]])),
IF((G293="4/4"),((база!$I$5*2*Таблица1[[#This Row],[Столбец1]]*Таблица1[[#This Row],[коэф]])),
IF(OR(G293="2/4",G293="3/4"),((база!$I$4*2*Таблица1[[#This Row],[Столбец1]]*Таблица1[[#This Row],[коэф]])),
IF((G293="5/8"),((база!$J$6*2*Таблица1[[#This Row],[Столбец1]]*Таблица1[[#This Row],[коэф]])),
IF((G293="4/8"),((база!$J$5*2*Таблица1[[#This Row],[Столбец1]]*Таблица1[[#This Row],[коэф]])),
IF(OR(G293="3/8",G293="2/8"),((база!$J$4*2*Таблица1[[#This Row],[Столбец1]]*Таблица1[[#This Row],[коэф]])))))))))))))),
(IF((G293="5/24"),((база!$M$6*2*Таблица1[[#This Row],[Столбец1]]*Таблица1[[#This Row],[коэф]])),
IF(OR(G293="4/24",G293="3/24"),((база!$M$5*2*Таблица1[[#This Row],[Столбец1]]*Таблица1[[#This Row],[коэф]])),
IF((G293="5/16"),((база!$L$6*2*Таблица1[[#This Row],[Столбец1]]*Таблица1[[#This Row],[коэф]])),
IF(OR(G293="4/16",G293="3/16"),((база!$L$5*2*Таблица1[[#This Row],[Столбец1]]*Таблица1[[#This Row],[коэф]])),
IF(OR(G293="2/4",G293="3/4",G293="4/4"),((база!$I$5*2*Таблица1[[#This Row],[Столбец1]]*Таблица1[[#This Row],[коэф]])),
IF((G293="5/8"),((база!$J$6*2*Таблица1[[#This Row],[Столбец1]]*Таблица1[[#This Row],[коэф]])),
IF(OR(G293="4/8",G293="3/8",G293="2/8"),((база!$J$5*2*Таблица1[[#This Row],[Столбец1]]*Таблица1[[#This Row],[коэф]])))))))))))</f>
        <v>0</v>
      </c>
      <c r="AQ293" s="678" t="str">
        <f>IFERROR(INDEX(база!T:T, MATCH(F293,база!Q:Q,0)),"")</f>
        <v/>
      </c>
      <c r="AR293" s="193">
        <f>IFERROR(INDEX(база!D:D, MATCH(F293,база!B:B,0)),"")</f>
        <v>0</v>
      </c>
    </row>
    <row r="294" spans="1:44" ht="15">
      <c r="A294" s="59"/>
      <c r="B294" s="215"/>
      <c r="C294" s="54"/>
      <c r="D294" s="55"/>
      <c r="E294" s="196"/>
      <c r="F294" s="651"/>
      <c r="G294" s="42"/>
      <c r="H294" s="539"/>
      <c r="I294" s="539"/>
      <c r="J294" s="539"/>
      <c r="K294" s="539"/>
      <c r="L294" s="539"/>
      <c r="M294" s="539"/>
      <c r="N294" s="539"/>
      <c r="O294" s="539"/>
      <c r="P294" s="278"/>
      <c r="Q294" s="539"/>
      <c r="R294" s="539"/>
      <c r="S294" s="539"/>
      <c r="T294" s="539"/>
      <c r="U294" s="539"/>
      <c r="V294" s="539"/>
      <c r="W294" s="539"/>
      <c r="X294" s="539"/>
      <c r="Y294" s="539"/>
      <c r="Z294" s="539"/>
      <c r="AA294" s="539"/>
      <c r="AB294" s="539"/>
      <c r="AC294" s="539"/>
      <c r="AD294" s="43"/>
      <c r="AE294" s="43"/>
      <c r="AF294" s="43"/>
      <c r="AG294" s="43"/>
      <c r="AH294" s="43"/>
      <c r="AI294" s="43"/>
      <c r="AJ294" s="43"/>
      <c r="AK294" s="43"/>
      <c r="AL294" s="45"/>
      <c r="AM294" s="197">
        <f>IF(AQ294=1,SUM(H294:I294,L294:O294,R294:U294,X294:AA294,AD294:AG294,AI294:AK294),
IF(AQ294=2,SUM(H294:K294,N294:Q294,T294:W294,Z294:AC294,AF294:AI294),
IF(AQ294=3,SUM(J294:M294,P294:S294,V294:Y294,AB294:AE294,AH294:AK294),SUM(Таблица1[[#This Row],[1]:[31]])-Таблица1[[#This Row],[Столбец1]])))</f>
        <v>0</v>
      </c>
      <c r="AN294" s="269">
        <f t="array" ref="AN294">IF(AQ294=1,SUM(J294:K294,P294:Q294,V294:W294,AB294:AC294,AH294:AI294),
IF(AQ294=2,SUM(L294:M294,R294:S294,X294:Y294,AD294:AE294),
IF(AQ294=3,SUM(H294:I294,N294:O294,T294:U294,Z294:AA294,AF294:AG294),
SUM(IFERROR(WEEKDAY($H$2:$AL$2,2)&gt;5,)*H294:AL294))))</f>
        <v>0</v>
      </c>
      <c r="AO294" s="271" t="b">
        <f>IF(AR294&lt;=3,(IF((G294="5/24"),((база!$M$6*Таблица1[[#This Row],[сумма]]*Таблица1[[#This Row],[коэф]])),
IF((G294="4/24"),((база!$M$5*Таблица1[[#This Row],[сумма]]*Таблица1[[#This Row],[коэф]])),
IF((G294="3/24"),((база!$M$4*Таблица1[[#This Row],[сумма]]*Таблица1[[#This Row],[коэф]])),
IF((G294="5/16"),((база!$L$6*Таблица1[[#This Row],[сумма]]*Таблица1[[#This Row],[коэф]])),
IF((G294="4/16"),((база!$L$5*Таблица1[[#This Row],[сумма]]*Таблица1[[#This Row],[коэф]])),
IF((G294="3/16"),((база!$L$4*Таблица1[[#This Row],[сумма]]*Таблица1[[#This Row],[коэф]])),
IF((G294="4/4"),((база!$I$5*Таблица1[[#This Row],[сумма]]*Таблица1[[#This Row],[коэф]])),
IF(OR(G294="2/4",G294="3/4"),((база!$I$4*Таблица1[[#This Row],[сумма]]*Таблица1[[#This Row],[коэф]])),
IF((G294="5/8"),((база!$J$6*Таблица1[[#This Row],[сумма]]*Таблица1[[#This Row],[коэф]])),
IF((G294="4/8"),((база!$J$5*Таблица1[[#This Row],[сумма]]*Таблица1[[#This Row],[коэф]])),
IF(OR(G294="3/8",G294="2/8"),((база!$J$4*Таблица1[[#This Row],[сумма]]*Таблица1[[#This Row],[коэф]])))))))))))))),
(IF((G294="5/24"),((база!$M$6*Таблица1[[#This Row],[сумма]]*Таблица1[[#This Row],[коэф]])),
IF(OR(G294="4/24",G294="3/24"),((база!$M$5*Таблица1[[#This Row],[сумма]]*Таблица1[[#This Row],[коэф]])),
IF((G294="5/16"),((база!$L$6*Таблица1[[#This Row],[сумма]]*Таблица1[[#This Row],[коэф]])),
IF(OR(G294="4/16",G294="3/16"),((база!$L$5*Таблица1[[#This Row],[сумма]]*Таблица1[[#This Row],[коэф]])),
IF(OR(G294="2/4",G294="3/4",G294="4/4"),((база!$I$5*Таблица1[[#This Row],[сумма]]*Таблица1[[#This Row],[коэф]])),
IF((G294="5/8"),((база!$J$6*Таблица1[[#This Row],[сумма]]*Таблица1[[#This Row],[коэф]])),
IF(OR(G294="4/8",G294="3/8",G294="2/8"),((база!$J$5*Таблица1[[#This Row],[сумма]]*Таблица1[[#This Row],[коэф]])))))))))))</f>
        <v>0</v>
      </c>
      <c r="AP294" s="696" t="b">
        <f>IF(AR294&lt;=3,(IF((G294="5/24"),((база!$M$6*2*Таблица1[[#This Row],[Столбец1]]*Таблица1[[#This Row],[коэф]])),
IF((G294="4/24"),((база!$M$5*2*Таблица1[[#This Row],[Столбец1]]*Таблица1[[#This Row],[коэф]])),
IF((G294="3/24"),((база!$M$4*2*Таблица1[[#This Row],[Столбец1]]*Таблица1[[#This Row],[коэф]])),
IF((G294="5/16"),((база!$L$6*2*Таблица1[[#This Row],[Столбец1]]*Таблица1[[#This Row],[коэф]])),
IF((G294="4/16"),((база!$L$5*2*Таблица1[[#This Row],[Столбец1]]*Таблица1[[#This Row],[коэф]])),
IF((G294="3/16"),((база!$L$4*2*Таблица1[[#This Row],[Столбец1]]*Таблица1[[#This Row],[коэф]])),
IF((G294="4/4"),((база!$I$5*2*Таблица1[[#This Row],[Столбец1]]*Таблица1[[#This Row],[коэф]])),
IF(OR(G294="2/4",G294="3/4"),((база!$I$4*2*Таблица1[[#This Row],[Столбец1]]*Таблица1[[#This Row],[коэф]])),
IF((G294="5/8"),((база!$J$6*2*Таблица1[[#This Row],[Столбец1]]*Таблица1[[#This Row],[коэф]])),
IF((G294="4/8"),((база!$J$5*2*Таблица1[[#This Row],[Столбец1]]*Таблица1[[#This Row],[коэф]])),
IF(OR(G294="3/8",G294="2/8"),((база!$J$4*2*Таблица1[[#This Row],[Столбец1]]*Таблица1[[#This Row],[коэф]])))))))))))))),
(IF((G294="5/24"),((база!$M$6*2*Таблица1[[#This Row],[Столбец1]]*Таблица1[[#This Row],[коэф]])),
IF(OR(G294="4/24",G294="3/24"),((база!$M$5*2*Таблица1[[#This Row],[Столбец1]]*Таблица1[[#This Row],[коэф]])),
IF((G294="5/16"),((база!$L$6*2*Таблица1[[#This Row],[Столбец1]]*Таблица1[[#This Row],[коэф]])),
IF(OR(G294="4/16",G294="3/16"),((база!$L$5*2*Таблица1[[#This Row],[Столбец1]]*Таблица1[[#This Row],[коэф]])),
IF(OR(G294="2/4",G294="3/4",G294="4/4"),((база!$I$5*2*Таблица1[[#This Row],[Столбец1]]*Таблица1[[#This Row],[коэф]])),
IF((G294="5/8"),((база!$J$6*2*Таблица1[[#This Row],[Столбец1]]*Таблица1[[#This Row],[коэф]])),
IF(OR(G294="4/8",G294="3/8",G294="2/8"),((база!$J$5*2*Таблица1[[#This Row],[Столбец1]]*Таблица1[[#This Row],[коэф]])))))))))))</f>
        <v>0</v>
      </c>
      <c r="AQ294" s="678" t="str">
        <f>IFERROR(INDEX(база!T:T, MATCH(F294,база!Q:Q,0)),"")</f>
        <v/>
      </c>
      <c r="AR294" s="193">
        <f>IFERROR(INDEX(база!D:D, MATCH(F294,база!B:B,0)),"")</f>
        <v>0</v>
      </c>
    </row>
    <row r="295" spans="1:44" ht="15">
      <c r="A295" s="59"/>
      <c r="B295" s="215"/>
      <c r="C295" s="277"/>
      <c r="D295" s="55"/>
      <c r="E295" s="196"/>
      <c r="F295" s="651"/>
      <c r="G295" s="42"/>
      <c r="H295" s="539"/>
      <c r="I295" s="539"/>
      <c r="J295" s="539"/>
      <c r="K295" s="539"/>
      <c r="L295" s="539"/>
      <c r="M295" s="539"/>
      <c r="N295" s="539"/>
      <c r="O295" s="539"/>
      <c r="P295" s="278"/>
      <c r="Q295" s="539"/>
      <c r="R295" s="539"/>
      <c r="S295" s="539"/>
      <c r="T295" s="539"/>
      <c r="U295" s="539"/>
      <c r="V295" s="539"/>
      <c r="W295" s="539"/>
      <c r="X295" s="539"/>
      <c r="Y295" s="539"/>
      <c r="Z295" s="539"/>
      <c r="AA295" s="539"/>
      <c r="AB295" s="539"/>
      <c r="AC295" s="539"/>
      <c r="AD295" s="43"/>
      <c r="AE295" s="43"/>
      <c r="AF295" s="238"/>
      <c r="AG295" s="43"/>
      <c r="AH295" s="43"/>
      <c r="AI295" s="238"/>
      <c r="AJ295" s="238"/>
      <c r="AK295" s="238"/>
      <c r="AL295" s="238"/>
      <c r="AM295" s="197">
        <f>IF(AQ295=1,SUM(H295:I295,L295:O295,R295:U295,X295:AA295,AD295:AG295,AI295:AK295),
IF(AQ295=2,SUM(H295:K295,N295:Q295,T295:W295,Z295:AC295,AF295:AI295),
IF(AQ295=3,SUM(J295:M295,P295:S295,V295:Y295,AB295:AE295,AH295:AK295),SUM(Таблица1[[#This Row],[1]:[31]])-Таблица1[[#This Row],[Столбец1]])))</f>
        <v>0</v>
      </c>
      <c r="AN295" s="269">
        <f t="array" ref="AN295">IF(AQ295=1,SUM(J295:K295,P295:Q295,V295:W295,AB295:AC295,AH295:AI295),
IF(AQ295=2,SUM(L295:M295,R295:S295,X295:Y295,AD295:AE295),
IF(AQ295=3,SUM(H295:I295,N295:O295,T295:U295,Z295:AA295,AF295:AG295),
SUM(IFERROR(WEEKDAY($H$2:$AL$2,2)&gt;5,)*H295:AL295))))</f>
        <v>0</v>
      </c>
      <c r="AO295" s="271" t="b">
        <f>IF(AR295&lt;=3,(IF((G295="5/24"),((база!$M$6*Таблица1[[#This Row],[сумма]]*Таблица1[[#This Row],[коэф]])),
IF((G295="4/24"),((база!$M$5*Таблица1[[#This Row],[сумма]]*Таблица1[[#This Row],[коэф]])),
IF((G295="3/24"),((база!$M$4*Таблица1[[#This Row],[сумма]]*Таблица1[[#This Row],[коэф]])),
IF((G295="5/16"),((база!$L$6*Таблица1[[#This Row],[сумма]]*Таблица1[[#This Row],[коэф]])),
IF((G295="4/16"),((база!$L$5*Таблица1[[#This Row],[сумма]]*Таблица1[[#This Row],[коэф]])),
IF((G295="3/16"),((база!$L$4*Таблица1[[#This Row],[сумма]]*Таблица1[[#This Row],[коэф]])),
IF((G295="4/4"),((база!$I$5*Таблица1[[#This Row],[сумма]]*Таблица1[[#This Row],[коэф]])),
IF(OR(G295="2/4",G295="3/4"),((база!$I$4*Таблица1[[#This Row],[сумма]]*Таблица1[[#This Row],[коэф]])),
IF((G295="5/8"),((база!$J$6*Таблица1[[#This Row],[сумма]]*Таблица1[[#This Row],[коэф]])),
IF((G295="4/8"),((база!$J$5*Таблица1[[#This Row],[сумма]]*Таблица1[[#This Row],[коэф]])),
IF(OR(G295="3/8",G295="2/8"),((база!$J$4*Таблица1[[#This Row],[сумма]]*Таблица1[[#This Row],[коэф]])))))))))))))),
(IF((G295="5/24"),((база!$M$6*Таблица1[[#This Row],[сумма]]*Таблица1[[#This Row],[коэф]])),
IF(OR(G295="4/24",G295="3/24"),((база!$M$5*Таблица1[[#This Row],[сумма]]*Таблица1[[#This Row],[коэф]])),
IF((G295="5/16"),((база!$L$6*Таблица1[[#This Row],[сумма]]*Таблица1[[#This Row],[коэф]])),
IF(OR(G295="4/16",G295="3/16"),((база!$L$5*Таблица1[[#This Row],[сумма]]*Таблица1[[#This Row],[коэф]])),
IF(OR(G295="2/4",G295="3/4",G295="4/4"),((база!$I$5*Таблица1[[#This Row],[сумма]]*Таблица1[[#This Row],[коэф]])),
IF((G295="5/8"),((база!$J$6*Таблица1[[#This Row],[сумма]]*Таблица1[[#This Row],[коэф]])),
IF(OR(G295="4/8",G295="3/8",G295="2/8"),((база!$J$5*Таблица1[[#This Row],[сумма]]*Таблица1[[#This Row],[коэф]])))))))))))</f>
        <v>0</v>
      </c>
      <c r="AP295" s="696" t="b">
        <f>IF(AR295&lt;=3,(IF((G295="5/24"),((база!$M$6*2*Таблица1[[#This Row],[Столбец1]]*Таблица1[[#This Row],[коэф]])),
IF((G295="4/24"),((база!$M$5*2*Таблица1[[#This Row],[Столбец1]]*Таблица1[[#This Row],[коэф]])),
IF((G295="3/24"),((база!$M$4*2*Таблица1[[#This Row],[Столбец1]]*Таблица1[[#This Row],[коэф]])),
IF((G295="5/16"),((база!$L$6*2*Таблица1[[#This Row],[Столбец1]]*Таблица1[[#This Row],[коэф]])),
IF((G295="4/16"),((база!$L$5*2*Таблица1[[#This Row],[Столбец1]]*Таблица1[[#This Row],[коэф]])),
IF((G295="3/16"),((база!$L$4*2*Таблица1[[#This Row],[Столбец1]]*Таблица1[[#This Row],[коэф]])),
IF((G295="4/4"),((база!$I$5*2*Таблица1[[#This Row],[Столбец1]]*Таблица1[[#This Row],[коэф]])),
IF(OR(G295="2/4",G295="3/4"),((база!$I$4*2*Таблица1[[#This Row],[Столбец1]]*Таблица1[[#This Row],[коэф]])),
IF((G295="5/8"),((база!$J$6*2*Таблица1[[#This Row],[Столбец1]]*Таблица1[[#This Row],[коэф]])),
IF((G295="4/8"),((база!$J$5*2*Таблица1[[#This Row],[Столбец1]]*Таблица1[[#This Row],[коэф]])),
IF(OR(G295="3/8",G295="2/8"),((база!$J$4*2*Таблица1[[#This Row],[Столбец1]]*Таблица1[[#This Row],[коэф]])))))))))))))),
(IF((G295="5/24"),((база!$M$6*2*Таблица1[[#This Row],[Столбец1]]*Таблица1[[#This Row],[коэф]])),
IF(OR(G295="4/24",G295="3/24"),((база!$M$5*2*Таблица1[[#This Row],[Столбец1]]*Таблица1[[#This Row],[коэф]])),
IF((G295="5/16"),((база!$L$6*2*Таблица1[[#This Row],[Столбец1]]*Таблица1[[#This Row],[коэф]])),
IF(OR(G295="4/16",G295="3/16"),((база!$L$5*2*Таблица1[[#This Row],[Столбец1]]*Таблица1[[#This Row],[коэф]])),
IF(OR(G295="2/4",G295="3/4",G295="4/4"),((база!$I$5*2*Таблица1[[#This Row],[Столбец1]]*Таблица1[[#This Row],[коэф]])),
IF((G295="5/8"),((база!$J$6*2*Таблица1[[#This Row],[Столбец1]]*Таблица1[[#This Row],[коэф]])),
IF(OR(G295="4/8",G295="3/8",G295="2/8"),((база!$J$5*2*Таблица1[[#This Row],[Столбец1]]*Таблица1[[#This Row],[коэф]])))))))))))</f>
        <v>0</v>
      </c>
      <c r="AQ295" s="678" t="str">
        <f>IFERROR(INDEX(база!T:T, MATCH(F295,база!Q:Q,0)),"")</f>
        <v/>
      </c>
      <c r="AR295" s="193">
        <f>IFERROR(INDEX(база!D:D, MATCH(F295,база!B:B,0)),"")</f>
        <v>0</v>
      </c>
    </row>
    <row r="296" spans="1:44" ht="15">
      <c r="A296" s="59"/>
      <c r="B296" s="215"/>
      <c r="C296" s="277"/>
      <c r="D296" s="55"/>
      <c r="E296" s="196"/>
      <c r="F296" s="651"/>
      <c r="G296" s="42"/>
      <c r="H296" s="539"/>
      <c r="I296" s="539"/>
      <c r="J296" s="539"/>
      <c r="K296" s="539"/>
      <c r="L296" s="539"/>
      <c r="M296" s="539"/>
      <c r="N296" s="539"/>
      <c r="O296" s="539"/>
      <c r="P296" s="278"/>
      <c r="Q296" s="539"/>
      <c r="R296" s="539"/>
      <c r="S296" s="539"/>
      <c r="T296" s="539"/>
      <c r="U296" s="539"/>
      <c r="V296" s="539"/>
      <c r="W296" s="539"/>
      <c r="X296" s="539"/>
      <c r="Y296" s="539"/>
      <c r="Z296" s="539"/>
      <c r="AA296" s="539"/>
      <c r="AB296" s="539"/>
      <c r="AC296" s="539"/>
      <c r="AD296" s="43"/>
      <c r="AE296" s="43"/>
      <c r="AF296" s="238"/>
      <c r="AG296" s="43"/>
      <c r="AH296" s="43"/>
      <c r="AI296" s="43"/>
      <c r="AJ296" s="43"/>
      <c r="AK296" s="43"/>
      <c r="AL296" s="45"/>
      <c r="AM296" s="197">
        <f>IF(AQ296=1,SUM(H296:I296,L296:O296,R296:U296,X296:AA296,AD296:AG296,AI296:AK296),
IF(AQ296=2,SUM(H296:K296,N296:Q296,T296:W296,Z296:AC296,AF296:AI296),
IF(AQ296=3,SUM(J296:M296,P296:S296,V296:Y296,AB296:AE296,AH296:AK296),SUM(Таблица1[[#This Row],[1]:[31]])-Таблица1[[#This Row],[Столбец1]])))</f>
        <v>0</v>
      </c>
      <c r="AN296" s="269">
        <f t="array" ref="AN296">IF(AQ296=1,SUM(J296:K296,P296:Q296,V296:W296,AB296:AC296,AH296:AI296),
IF(AQ296=2,SUM(L296:M296,R296:S296,X296:Y296,AD296:AE296),
IF(AQ296=3,SUM(H296:I296,N296:O296,T296:U296,Z296:AA296,AF296:AG296),
SUM(IFERROR(WEEKDAY($H$2:$AL$2,2)&gt;5,)*H296:AL296))))</f>
        <v>0</v>
      </c>
      <c r="AO296" s="271" t="b">
        <f>IF(AR296&lt;=3,(IF((G296="5/24"),((база!$M$6*Таблица1[[#This Row],[сумма]]*Таблица1[[#This Row],[коэф]])),
IF((G296="4/24"),((база!$M$5*Таблица1[[#This Row],[сумма]]*Таблица1[[#This Row],[коэф]])),
IF((G296="3/24"),((база!$M$4*Таблица1[[#This Row],[сумма]]*Таблица1[[#This Row],[коэф]])),
IF((G296="5/16"),((база!$L$6*Таблица1[[#This Row],[сумма]]*Таблица1[[#This Row],[коэф]])),
IF((G296="4/16"),((база!$L$5*Таблица1[[#This Row],[сумма]]*Таблица1[[#This Row],[коэф]])),
IF((G296="3/16"),((база!$L$4*Таблица1[[#This Row],[сумма]]*Таблица1[[#This Row],[коэф]])),
IF((G296="4/4"),((база!$I$5*Таблица1[[#This Row],[сумма]]*Таблица1[[#This Row],[коэф]])),
IF(OR(G296="2/4",G296="3/4"),((база!$I$4*Таблица1[[#This Row],[сумма]]*Таблица1[[#This Row],[коэф]])),
IF((G296="5/8"),((база!$J$6*Таблица1[[#This Row],[сумма]]*Таблица1[[#This Row],[коэф]])),
IF((G296="4/8"),((база!$J$5*Таблица1[[#This Row],[сумма]]*Таблица1[[#This Row],[коэф]])),
IF(OR(G296="3/8",G296="2/8"),((база!$J$4*Таблица1[[#This Row],[сумма]]*Таблица1[[#This Row],[коэф]])))))))))))))),
(IF((G296="5/24"),((база!$M$6*Таблица1[[#This Row],[сумма]]*Таблица1[[#This Row],[коэф]])),
IF(OR(G296="4/24",G296="3/24"),((база!$M$5*Таблица1[[#This Row],[сумма]]*Таблица1[[#This Row],[коэф]])),
IF((G296="5/16"),((база!$L$6*Таблица1[[#This Row],[сумма]]*Таблица1[[#This Row],[коэф]])),
IF(OR(G296="4/16",G296="3/16"),((база!$L$5*Таблица1[[#This Row],[сумма]]*Таблица1[[#This Row],[коэф]])),
IF(OR(G296="2/4",G296="3/4",G296="4/4"),((база!$I$5*Таблица1[[#This Row],[сумма]]*Таблица1[[#This Row],[коэф]])),
IF((G296="5/8"),((база!$J$6*Таблица1[[#This Row],[сумма]]*Таблица1[[#This Row],[коэф]])),
IF(OR(G296="4/8",G296="3/8",G296="2/8"),((база!$J$5*Таблица1[[#This Row],[сумма]]*Таблица1[[#This Row],[коэф]])))))))))))</f>
        <v>0</v>
      </c>
      <c r="AP296" s="696" t="b">
        <f>IF(AR296&lt;=3,(IF((G296="5/24"),((база!$M$6*2*Таблица1[[#This Row],[Столбец1]]*Таблица1[[#This Row],[коэф]])),
IF((G296="4/24"),((база!$M$5*2*Таблица1[[#This Row],[Столбец1]]*Таблица1[[#This Row],[коэф]])),
IF((G296="3/24"),((база!$M$4*2*Таблица1[[#This Row],[Столбец1]]*Таблица1[[#This Row],[коэф]])),
IF((G296="5/16"),((база!$L$6*2*Таблица1[[#This Row],[Столбец1]]*Таблица1[[#This Row],[коэф]])),
IF((G296="4/16"),((база!$L$5*2*Таблица1[[#This Row],[Столбец1]]*Таблица1[[#This Row],[коэф]])),
IF((G296="3/16"),((база!$L$4*2*Таблица1[[#This Row],[Столбец1]]*Таблица1[[#This Row],[коэф]])),
IF((G296="4/4"),((база!$I$5*2*Таблица1[[#This Row],[Столбец1]]*Таблица1[[#This Row],[коэф]])),
IF(OR(G296="2/4",G296="3/4"),((база!$I$4*2*Таблица1[[#This Row],[Столбец1]]*Таблица1[[#This Row],[коэф]])),
IF((G296="5/8"),((база!$J$6*2*Таблица1[[#This Row],[Столбец1]]*Таблица1[[#This Row],[коэф]])),
IF((G296="4/8"),((база!$J$5*2*Таблица1[[#This Row],[Столбец1]]*Таблица1[[#This Row],[коэф]])),
IF(OR(G296="3/8",G296="2/8"),((база!$J$4*2*Таблица1[[#This Row],[Столбец1]]*Таблица1[[#This Row],[коэф]])))))))))))))),
(IF((G296="5/24"),((база!$M$6*2*Таблица1[[#This Row],[Столбец1]]*Таблица1[[#This Row],[коэф]])),
IF(OR(G296="4/24",G296="3/24"),((база!$M$5*2*Таблица1[[#This Row],[Столбец1]]*Таблица1[[#This Row],[коэф]])),
IF((G296="5/16"),((база!$L$6*2*Таблица1[[#This Row],[Столбец1]]*Таблица1[[#This Row],[коэф]])),
IF(OR(G296="4/16",G296="3/16"),((база!$L$5*2*Таблица1[[#This Row],[Столбец1]]*Таблица1[[#This Row],[коэф]])),
IF(OR(G296="2/4",G296="3/4",G296="4/4"),((база!$I$5*2*Таблица1[[#This Row],[Столбец1]]*Таблица1[[#This Row],[коэф]])),
IF((G296="5/8"),((база!$J$6*2*Таблица1[[#This Row],[Столбец1]]*Таблица1[[#This Row],[коэф]])),
IF(OR(G296="4/8",G296="3/8",G296="2/8"),((база!$J$5*2*Таблица1[[#This Row],[Столбец1]]*Таблица1[[#This Row],[коэф]])))))))))))</f>
        <v>0</v>
      </c>
      <c r="AQ296" s="678" t="str">
        <f>IFERROR(INDEX(база!T:T, MATCH(F296,база!Q:Q,0)),"")</f>
        <v/>
      </c>
      <c r="AR296" s="193">
        <f>IFERROR(INDEX(база!D:D, MATCH(F296,база!B:B,0)),"")</f>
        <v>0</v>
      </c>
    </row>
    <row r="297" spans="1:44" ht="15">
      <c r="A297" s="59"/>
      <c r="B297" s="215"/>
      <c r="C297" s="277"/>
      <c r="D297" s="55"/>
      <c r="E297" s="196"/>
      <c r="F297" s="651"/>
      <c r="G297" s="42"/>
      <c r="H297" s="539"/>
      <c r="I297" s="539"/>
      <c r="J297" s="539"/>
      <c r="K297" s="539"/>
      <c r="L297" s="539"/>
      <c r="M297" s="539"/>
      <c r="N297" s="539"/>
      <c r="O297" s="539"/>
      <c r="P297" s="278"/>
      <c r="Q297" s="539"/>
      <c r="R297" s="539"/>
      <c r="S297" s="539"/>
      <c r="T297" s="539"/>
      <c r="U297" s="539"/>
      <c r="V297" s="539"/>
      <c r="W297" s="539"/>
      <c r="X297" s="539"/>
      <c r="Y297" s="539"/>
      <c r="Z297" s="539"/>
      <c r="AA297" s="539"/>
      <c r="AB297" s="539"/>
      <c r="AC297" s="539"/>
      <c r="AD297" s="43"/>
      <c r="AE297" s="43"/>
      <c r="AF297" s="238"/>
      <c r="AG297" s="43"/>
      <c r="AH297" s="43"/>
      <c r="AI297" s="238"/>
      <c r="AJ297" s="238"/>
      <c r="AK297" s="238"/>
      <c r="AL297" s="238"/>
      <c r="AM297" s="197">
        <f>IF(AQ297=1,SUM(H297:I297,L297:O297,R297:U297,X297:AA297,AD297:AG297,AI297:AK297),
IF(AQ297=2,SUM(H297:K297,N297:Q297,T297:W297,Z297:AC297,AF297:AI297),
IF(AQ297=3,SUM(J297:M297,P297:S297,V297:Y297,AB297:AE297,AH297:AK297),SUM(Таблица1[[#This Row],[1]:[31]])-Таблица1[[#This Row],[Столбец1]])))</f>
        <v>0</v>
      </c>
      <c r="AN297" s="269">
        <f t="array" ref="AN297">IF(AQ297=1,SUM(J297:K297,P297:Q297,V297:W297,AB297:AC297,AH297:AI297),
IF(AQ297=2,SUM(L297:M297,R297:S297,X297:Y297,AD297:AE297),
IF(AQ297=3,SUM(H297:I297,N297:O297,T297:U297,Z297:AA297,AF297:AG297),
SUM(IFERROR(WEEKDAY($H$2:$AL$2,2)&gt;5,)*H297:AL297))))</f>
        <v>0</v>
      </c>
      <c r="AO297" s="271" t="b">
        <f>IF(AR297&lt;=3,(IF((G297="5/24"),((база!$M$6*Таблица1[[#This Row],[сумма]]*Таблица1[[#This Row],[коэф]])),
IF((G297="4/24"),((база!$M$5*Таблица1[[#This Row],[сумма]]*Таблица1[[#This Row],[коэф]])),
IF((G297="3/24"),((база!$M$4*Таблица1[[#This Row],[сумма]]*Таблица1[[#This Row],[коэф]])),
IF((G297="5/16"),((база!$L$6*Таблица1[[#This Row],[сумма]]*Таблица1[[#This Row],[коэф]])),
IF((G297="4/16"),((база!$L$5*Таблица1[[#This Row],[сумма]]*Таблица1[[#This Row],[коэф]])),
IF((G297="3/16"),((база!$L$4*Таблица1[[#This Row],[сумма]]*Таблица1[[#This Row],[коэф]])),
IF((G297="4/4"),((база!$I$5*Таблица1[[#This Row],[сумма]]*Таблица1[[#This Row],[коэф]])),
IF(OR(G297="2/4",G297="3/4"),((база!$I$4*Таблица1[[#This Row],[сумма]]*Таблица1[[#This Row],[коэф]])),
IF((G297="5/8"),((база!$J$6*Таблица1[[#This Row],[сумма]]*Таблица1[[#This Row],[коэф]])),
IF((G297="4/8"),((база!$J$5*Таблица1[[#This Row],[сумма]]*Таблица1[[#This Row],[коэф]])),
IF(OR(G297="3/8",G297="2/8"),((база!$J$4*Таблица1[[#This Row],[сумма]]*Таблица1[[#This Row],[коэф]])))))))))))))),
(IF((G297="5/24"),((база!$M$6*Таблица1[[#This Row],[сумма]]*Таблица1[[#This Row],[коэф]])),
IF(OR(G297="4/24",G297="3/24"),((база!$M$5*Таблица1[[#This Row],[сумма]]*Таблица1[[#This Row],[коэф]])),
IF((G297="5/16"),((база!$L$6*Таблица1[[#This Row],[сумма]]*Таблица1[[#This Row],[коэф]])),
IF(OR(G297="4/16",G297="3/16"),((база!$L$5*Таблица1[[#This Row],[сумма]]*Таблица1[[#This Row],[коэф]])),
IF(OR(G297="2/4",G297="3/4",G297="4/4"),((база!$I$5*Таблица1[[#This Row],[сумма]]*Таблица1[[#This Row],[коэф]])),
IF((G297="5/8"),((база!$J$6*Таблица1[[#This Row],[сумма]]*Таблица1[[#This Row],[коэф]])),
IF(OR(G297="4/8",G297="3/8",G297="2/8"),((база!$J$5*Таблица1[[#This Row],[сумма]]*Таблица1[[#This Row],[коэф]])))))))))))</f>
        <v>0</v>
      </c>
      <c r="AP297" s="696" t="b">
        <f>IF(AR297&lt;=3,(IF((G297="5/24"),((база!$M$6*2*Таблица1[[#This Row],[Столбец1]]*Таблица1[[#This Row],[коэф]])),
IF((G297="4/24"),((база!$M$5*2*Таблица1[[#This Row],[Столбец1]]*Таблица1[[#This Row],[коэф]])),
IF((G297="3/24"),((база!$M$4*2*Таблица1[[#This Row],[Столбец1]]*Таблица1[[#This Row],[коэф]])),
IF((G297="5/16"),((база!$L$6*2*Таблица1[[#This Row],[Столбец1]]*Таблица1[[#This Row],[коэф]])),
IF((G297="4/16"),((база!$L$5*2*Таблица1[[#This Row],[Столбец1]]*Таблица1[[#This Row],[коэф]])),
IF((G297="3/16"),((база!$L$4*2*Таблица1[[#This Row],[Столбец1]]*Таблица1[[#This Row],[коэф]])),
IF((G297="4/4"),((база!$I$5*2*Таблица1[[#This Row],[Столбец1]]*Таблица1[[#This Row],[коэф]])),
IF(OR(G297="2/4",G297="3/4"),((база!$I$4*2*Таблица1[[#This Row],[Столбец1]]*Таблица1[[#This Row],[коэф]])),
IF((G297="5/8"),((база!$J$6*2*Таблица1[[#This Row],[Столбец1]]*Таблица1[[#This Row],[коэф]])),
IF((G297="4/8"),((база!$J$5*2*Таблица1[[#This Row],[Столбец1]]*Таблица1[[#This Row],[коэф]])),
IF(OR(G297="3/8",G297="2/8"),((база!$J$4*2*Таблица1[[#This Row],[Столбец1]]*Таблица1[[#This Row],[коэф]])))))))))))))),
(IF((G297="5/24"),((база!$M$6*2*Таблица1[[#This Row],[Столбец1]]*Таблица1[[#This Row],[коэф]])),
IF(OR(G297="4/24",G297="3/24"),((база!$M$5*2*Таблица1[[#This Row],[Столбец1]]*Таблица1[[#This Row],[коэф]])),
IF((G297="5/16"),((база!$L$6*2*Таблица1[[#This Row],[Столбец1]]*Таблица1[[#This Row],[коэф]])),
IF(OR(G297="4/16",G297="3/16"),((база!$L$5*2*Таблица1[[#This Row],[Столбец1]]*Таблица1[[#This Row],[коэф]])),
IF(OR(G297="2/4",G297="3/4",G297="4/4"),((база!$I$5*2*Таблица1[[#This Row],[Столбец1]]*Таблица1[[#This Row],[коэф]])),
IF((G297="5/8"),((база!$J$6*2*Таблица1[[#This Row],[Столбец1]]*Таблица1[[#This Row],[коэф]])),
IF(OR(G297="4/8",G297="3/8",G297="2/8"),((база!$J$5*2*Таблица1[[#This Row],[Столбец1]]*Таблица1[[#This Row],[коэф]])))))))))))</f>
        <v>0</v>
      </c>
      <c r="AQ297" s="678" t="str">
        <f>IFERROR(INDEX(база!T:T, MATCH(F297,база!Q:Q,0)),"")</f>
        <v/>
      </c>
      <c r="AR297" s="193">
        <f>IFERROR(INDEX(база!D:D, MATCH(F297,база!B:B,0)),"")</f>
        <v>0</v>
      </c>
    </row>
    <row r="298" spans="1:44" ht="15">
      <c r="A298" s="59"/>
      <c r="B298" s="215"/>
      <c r="C298" s="54"/>
      <c r="D298" s="55"/>
      <c r="E298" s="196"/>
      <c r="F298" s="651"/>
      <c r="G298" s="42"/>
      <c r="H298" s="539"/>
      <c r="I298" s="539"/>
      <c r="J298" s="539"/>
      <c r="K298" s="539"/>
      <c r="L298" s="539"/>
      <c r="M298" s="539"/>
      <c r="N298" s="539"/>
      <c r="O298" s="539"/>
      <c r="P298" s="278"/>
      <c r="Q298" s="539"/>
      <c r="R298" s="539"/>
      <c r="S298" s="539"/>
      <c r="T298" s="539"/>
      <c r="U298" s="539"/>
      <c r="V298" s="539"/>
      <c r="W298" s="539"/>
      <c r="X298" s="539"/>
      <c r="Y298" s="539"/>
      <c r="Z298" s="539"/>
      <c r="AA298" s="539"/>
      <c r="AB298" s="539"/>
      <c r="AC298" s="539"/>
      <c r="AD298" s="43"/>
      <c r="AE298" s="43"/>
      <c r="AF298" s="238"/>
      <c r="AG298" s="43"/>
      <c r="AH298" s="43"/>
      <c r="AI298" s="43"/>
      <c r="AJ298" s="43"/>
      <c r="AK298" s="43"/>
      <c r="AL298" s="45"/>
      <c r="AM298" s="197">
        <f>IF(AQ298=1,SUM(H298:I298,L298:O298,R298:U298,X298:AA298,AD298:AG298,AI298:AK298),
IF(AQ298=2,SUM(H298:K298,N298:Q298,T298:W298,Z298:AC298,AF298:AI298),
IF(AQ298=3,SUM(J298:M298,P298:S298,V298:Y298,AB298:AE298,AH298:AK298),SUM(Таблица1[[#This Row],[1]:[31]])-Таблица1[[#This Row],[Столбец1]])))</f>
        <v>0</v>
      </c>
      <c r="AN298" s="269">
        <f t="array" ref="AN298">IF(AQ298=1,SUM(J298:K298,P298:Q298,V298:W298,AB298:AC298,AH298:AI298),
IF(AQ298=2,SUM(L298:M298,R298:S298,X298:Y298,AD298:AE298),
IF(AQ298=3,SUM(H298:I298,N298:O298,T298:U298,Z298:AA298,AF298:AG298),
SUM(IFERROR(WEEKDAY($H$2:$AL$2,2)&gt;5,)*H298:AL298))))</f>
        <v>0</v>
      </c>
      <c r="AO298" s="271" t="b">
        <f>IF(AR298&lt;=3,(IF((G298="5/24"),((база!$M$6*Таблица1[[#This Row],[сумма]]*Таблица1[[#This Row],[коэф]])),
IF((G298="4/24"),((база!$M$5*Таблица1[[#This Row],[сумма]]*Таблица1[[#This Row],[коэф]])),
IF((G298="3/24"),((база!$M$4*Таблица1[[#This Row],[сумма]]*Таблица1[[#This Row],[коэф]])),
IF((G298="5/16"),((база!$L$6*Таблица1[[#This Row],[сумма]]*Таблица1[[#This Row],[коэф]])),
IF((G298="4/16"),((база!$L$5*Таблица1[[#This Row],[сумма]]*Таблица1[[#This Row],[коэф]])),
IF((G298="3/16"),((база!$L$4*Таблица1[[#This Row],[сумма]]*Таблица1[[#This Row],[коэф]])),
IF((G298="4/4"),((база!$I$5*Таблица1[[#This Row],[сумма]]*Таблица1[[#This Row],[коэф]])),
IF(OR(G298="2/4",G298="3/4"),((база!$I$4*Таблица1[[#This Row],[сумма]]*Таблица1[[#This Row],[коэф]])),
IF((G298="5/8"),((база!$J$6*Таблица1[[#This Row],[сумма]]*Таблица1[[#This Row],[коэф]])),
IF((G298="4/8"),((база!$J$5*Таблица1[[#This Row],[сумма]]*Таблица1[[#This Row],[коэф]])),
IF(OR(G298="3/8",G298="2/8"),((база!$J$4*Таблица1[[#This Row],[сумма]]*Таблица1[[#This Row],[коэф]])))))))))))))),
(IF((G298="5/24"),((база!$M$6*Таблица1[[#This Row],[сумма]]*Таблица1[[#This Row],[коэф]])),
IF(OR(G298="4/24",G298="3/24"),((база!$M$5*Таблица1[[#This Row],[сумма]]*Таблица1[[#This Row],[коэф]])),
IF((G298="5/16"),((база!$L$6*Таблица1[[#This Row],[сумма]]*Таблица1[[#This Row],[коэф]])),
IF(OR(G298="4/16",G298="3/16"),((база!$L$5*Таблица1[[#This Row],[сумма]]*Таблица1[[#This Row],[коэф]])),
IF(OR(G298="2/4",G298="3/4",G298="4/4"),((база!$I$5*Таблица1[[#This Row],[сумма]]*Таблица1[[#This Row],[коэф]])),
IF((G298="5/8"),((база!$J$6*Таблица1[[#This Row],[сумма]]*Таблица1[[#This Row],[коэф]])),
IF(OR(G298="4/8",G298="3/8",G298="2/8"),((база!$J$5*Таблица1[[#This Row],[сумма]]*Таблица1[[#This Row],[коэф]])))))))))))</f>
        <v>0</v>
      </c>
      <c r="AP298" s="696" t="b">
        <f>IF(AR298&lt;=3,(IF((G298="5/24"),((база!$M$6*2*Таблица1[[#This Row],[Столбец1]]*Таблица1[[#This Row],[коэф]])),
IF((G298="4/24"),((база!$M$5*2*Таблица1[[#This Row],[Столбец1]]*Таблица1[[#This Row],[коэф]])),
IF((G298="3/24"),((база!$M$4*2*Таблица1[[#This Row],[Столбец1]]*Таблица1[[#This Row],[коэф]])),
IF((G298="5/16"),((база!$L$6*2*Таблица1[[#This Row],[Столбец1]]*Таблица1[[#This Row],[коэф]])),
IF((G298="4/16"),((база!$L$5*2*Таблица1[[#This Row],[Столбец1]]*Таблица1[[#This Row],[коэф]])),
IF((G298="3/16"),((база!$L$4*2*Таблица1[[#This Row],[Столбец1]]*Таблица1[[#This Row],[коэф]])),
IF((G298="4/4"),((база!$I$5*2*Таблица1[[#This Row],[Столбец1]]*Таблица1[[#This Row],[коэф]])),
IF(OR(G298="2/4",G298="3/4"),((база!$I$4*2*Таблица1[[#This Row],[Столбец1]]*Таблица1[[#This Row],[коэф]])),
IF((G298="5/8"),((база!$J$6*2*Таблица1[[#This Row],[Столбец1]]*Таблица1[[#This Row],[коэф]])),
IF((G298="4/8"),((база!$J$5*2*Таблица1[[#This Row],[Столбец1]]*Таблица1[[#This Row],[коэф]])),
IF(OR(G298="3/8",G298="2/8"),((база!$J$4*2*Таблица1[[#This Row],[Столбец1]]*Таблица1[[#This Row],[коэф]])))))))))))))),
(IF((G298="5/24"),((база!$M$6*2*Таблица1[[#This Row],[Столбец1]]*Таблица1[[#This Row],[коэф]])),
IF(OR(G298="4/24",G298="3/24"),((база!$M$5*2*Таблица1[[#This Row],[Столбец1]]*Таблица1[[#This Row],[коэф]])),
IF((G298="5/16"),((база!$L$6*2*Таблица1[[#This Row],[Столбец1]]*Таблица1[[#This Row],[коэф]])),
IF(OR(G298="4/16",G298="3/16"),((база!$L$5*2*Таблица1[[#This Row],[Столбец1]]*Таблица1[[#This Row],[коэф]])),
IF(OR(G298="2/4",G298="3/4",G298="4/4"),((база!$I$5*2*Таблица1[[#This Row],[Столбец1]]*Таблица1[[#This Row],[коэф]])),
IF((G298="5/8"),((база!$J$6*2*Таблица1[[#This Row],[Столбец1]]*Таблица1[[#This Row],[коэф]])),
IF(OR(G298="4/8",G298="3/8",G298="2/8"),((база!$J$5*2*Таблица1[[#This Row],[Столбец1]]*Таблица1[[#This Row],[коэф]])))))))))))</f>
        <v>0</v>
      </c>
      <c r="AQ298" s="678" t="str">
        <f>IFERROR(INDEX(база!T:T, MATCH(F298,база!Q:Q,0)),"")</f>
        <v/>
      </c>
      <c r="AR298" s="193">
        <f>IFERROR(INDEX(база!D:D, MATCH(F298,база!B:B,0)),"")</f>
        <v>0</v>
      </c>
    </row>
    <row r="299" spans="1:44" ht="15">
      <c r="A299" s="59"/>
      <c r="B299" s="215"/>
      <c r="C299" s="54"/>
      <c r="D299" s="55"/>
      <c r="E299" s="196"/>
      <c r="F299" s="651"/>
      <c r="G299" s="42"/>
      <c r="H299" s="539"/>
      <c r="I299" s="539"/>
      <c r="J299" s="539"/>
      <c r="K299" s="539"/>
      <c r="L299" s="539"/>
      <c r="M299" s="539"/>
      <c r="N299" s="539"/>
      <c r="O299" s="539"/>
      <c r="P299" s="278"/>
      <c r="Q299" s="539"/>
      <c r="R299" s="539"/>
      <c r="S299" s="539"/>
      <c r="T299" s="539"/>
      <c r="U299" s="539"/>
      <c r="V299" s="539"/>
      <c r="W299" s="539"/>
      <c r="X299" s="539"/>
      <c r="Y299" s="539"/>
      <c r="Z299" s="539"/>
      <c r="AA299" s="539"/>
      <c r="AB299" s="539"/>
      <c r="AC299" s="539"/>
      <c r="AD299" s="43"/>
      <c r="AE299" s="43"/>
      <c r="AF299" s="238"/>
      <c r="AG299" s="43"/>
      <c r="AH299" s="43"/>
      <c r="AI299" s="238"/>
      <c r="AJ299" s="238"/>
      <c r="AK299" s="238"/>
      <c r="AL299" s="238"/>
      <c r="AM299" s="197">
        <f>IF(AQ299=1,SUM(H299:I299,L299:O299,R299:U299,X299:AA299,AD299:AG299,AI299:AK299),
IF(AQ299=2,SUM(H299:K299,N299:Q299,T299:W299,Z299:AC299,AF299:AI299),
IF(AQ299=3,SUM(J299:M299,P299:S299,V299:Y299,AB299:AE299,AH299:AK299),SUM(Таблица1[[#This Row],[1]:[31]])-Таблица1[[#This Row],[Столбец1]])))</f>
        <v>0</v>
      </c>
      <c r="AN299" s="269">
        <f t="array" ref="AN299">IF(AQ299=1,SUM(J299:K299,P299:Q299,V299:W299,AB299:AC299,AH299:AI299),
IF(AQ299=2,SUM(L299:M299,R299:S299,X299:Y299,AD299:AE299),
IF(AQ299=3,SUM(H299:I299,N299:O299,T299:U299,Z299:AA299,AF299:AG299),
SUM(IFERROR(WEEKDAY($H$2:$AL$2,2)&gt;5,)*H299:AL299))))</f>
        <v>0</v>
      </c>
      <c r="AO299" s="271" t="b">
        <f>IF(AR299&lt;=3,(IF((G299="5/24"),((база!$M$6*Таблица1[[#This Row],[сумма]]*Таблица1[[#This Row],[коэф]])),
IF((G299="4/24"),((база!$M$5*Таблица1[[#This Row],[сумма]]*Таблица1[[#This Row],[коэф]])),
IF((G299="3/24"),((база!$M$4*Таблица1[[#This Row],[сумма]]*Таблица1[[#This Row],[коэф]])),
IF((G299="5/16"),((база!$L$6*Таблица1[[#This Row],[сумма]]*Таблица1[[#This Row],[коэф]])),
IF((G299="4/16"),((база!$L$5*Таблица1[[#This Row],[сумма]]*Таблица1[[#This Row],[коэф]])),
IF((G299="3/16"),((база!$L$4*Таблица1[[#This Row],[сумма]]*Таблица1[[#This Row],[коэф]])),
IF((G299="4/4"),((база!$I$5*Таблица1[[#This Row],[сумма]]*Таблица1[[#This Row],[коэф]])),
IF(OR(G299="2/4",G299="3/4"),((база!$I$4*Таблица1[[#This Row],[сумма]]*Таблица1[[#This Row],[коэф]])),
IF((G299="5/8"),((база!$J$6*Таблица1[[#This Row],[сумма]]*Таблица1[[#This Row],[коэф]])),
IF((G299="4/8"),((база!$J$5*Таблица1[[#This Row],[сумма]]*Таблица1[[#This Row],[коэф]])),
IF(OR(G299="3/8",G299="2/8"),((база!$J$4*Таблица1[[#This Row],[сумма]]*Таблица1[[#This Row],[коэф]])))))))))))))),
(IF((G299="5/24"),((база!$M$6*Таблица1[[#This Row],[сумма]]*Таблица1[[#This Row],[коэф]])),
IF(OR(G299="4/24",G299="3/24"),((база!$M$5*Таблица1[[#This Row],[сумма]]*Таблица1[[#This Row],[коэф]])),
IF((G299="5/16"),((база!$L$6*Таблица1[[#This Row],[сумма]]*Таблица1[[#This Row],[коэф]])),
IF(OR(G299="4/16",G299="3/16"),((база!$L$5*Таблица1[[#This Row],[сумма]]*Таблица1[[#This Row],[коэф]])),
IF(OR(G299="2/4",G299="3/4",G299="4/4"),((база!$I$5*Таблица1[[#This Row],[сумма]]*Таблица1[[#This Row],[коэф]])),
IF((G299="5/8"),((база!$J$6*Таблица1[[#This Row],[сумма]]*Таблица1[[#This Row],[коэф]])),
IF(OR(G299="4/8",G299="3/8",G299="2/8"),((база!$J$5*Таблица1[[#This Row],[сумма]]*Таблица1[[#This Row],[коэф]])))))))))))</f>
        <v>0</v>
      </c>
      <c r="AP299" s="696" t="b">
        <f>IF(AR299&lt;=3,(IF((G299="5/24"),((база!$M$6*2*Таблица1[[#This Row],[Столбец1]]*Таблица1[[#This Row],[коэф]])),
IF((G299="4/24"),((база!$M$5*2*Таблица1[[#This Row],[Столбец1]]*Таблица1[[#This Row],[коэф]])),
IF((G299="3/24"),((база!$M$4*2*Таблица1[[#This Row],[Столбец1]]*Таблица1[[#This Row],[коэф]])),
IF((G299="5/16"),((база!$L$6*2*Таблица1[[#This Row],[Столбец1]]*Таблица1[[#This Row],[коэф]])),
IF((G299="4/16"),((база!$L$5*2*Таблица1[[#This Row],[Столбец1]]*Таблица1[[#This Row],[коэф]])),
IF((G299="3/16"),((база!$L$4*2*Таблица1[[#This Row],[Столбец1]]*Таблица1[[#This Row],[коэф]])),
IF((G299="4/4"),((база!$I$5*2*Таблица1[[#This Row],[Столбец1]]*Таблица1[[#This Row],[коэф]])),
IF(OR(G299="2/4",G299="3/4"),((база!$I$4*2*Таблица1[[#This Row],[Столбец1]]*Таблица1[[#This Row],[коэф]])),
IF((G299="5/8"),((база!$J$6*2*Таблица1[[#This Row],[Столбец1]]*Таблица1[[#This Row],[коэф]])),
IF((G299="4/8"),((база!$J$5*2*Таблица1[[#This Row],[Столбец1]]*Таблица1[[#This Row],[коэф]])),
IF(OR(G299="3/8",G299="2/8"),((база!$J$4*2*Таблица1[[#This Row],[Столбец1]]*Таблица1[[#This Row],[коэф]])))))))))))))),
(IF((G299="5/24"),((база!$M$6*2*Таблица1[[#This Row],[Столбец1]]*Таблица1[[#This Row],[коэф]])),
IF(OR(G299="4/24",G299="3/24"),((база!$M$5*2*Таблица1[[#This Row],[Столбец1]]*Таблица1[[#This Row],[коэф]])),
IF((G299="5/16"),((база!$L$6*2*Таблица1[[#This Row],[Столбец1]]*Таблица1[[#This Row],[коэф]])),
IF(OR(G299="4/16",G299="3/16"),((база!$L$5*2*Таблица1[[#This Row],[Столбец1]]*Таблица1[[#This Row],[коэф]])),
IF(OR(G299="2/4",G299="3/4",G299="4/4"),((база!$I$5*2*Таблица1[[#This Row],[Столбец1]]*Таблица1[[#This Row],[коэф]])),
IF((G299="5/8"),((база!$J$6*2*Таблица1[[#This Row],[Столбец1]]*Таблица1[[#This Row],[коэф]])),
IF(OR(G299="4/8",G299="3/8",G299="2/8"),((база!$J$5*2*Таблица1[[#This Row],[Столбец1]]*Таблица1[[#This Row],[коэф]])))))))))))</f>
        <v>0</v>
      </c>
      <c r="AQ299" s="678" t="str">
        <f>IFERROR(INDEX(база!T:T, MATCH(F299,база!Q:Q,0)),"")</f>
        <v/>
      </c>
      <c r="AR299" s="193">
        <f>IFERROR(INDEX(база!D:D, MATCH(F299,база!B:B,0)),"")</f>
        <v>0</v>
      </c>
    </row>
    <row r="300" spans="1:44" ht="15">
      <c r="A300" s="59"/>
      <c r="B300" s="215"/>
      <c r="C300" s="277"/>
      <c r="D300" s="55"/>
      <c r="E300" s="196"/>
      <c r="F300" s="651"/>
      <c r="G300" s="42"/>
      <c r="H300" s="539"/>
      <c r="I300" s="539"/>
      <c r="J300" s="539"/>
      <c r="K300" s="539"/>
      <c r="L300" s="539"/>
      <c r="M300" s="539"/>
      <c r="N300" s="539"/>
      <c r="O300" s="539"/>
      <c r="P300" s="278"/>
      <c r="Q300" s="539"/>
      <c r="R300" s="539"/>
      <c r="S300" s="539"/>
      <c r="T300" s="539"/>
      <c r="U300" s="539"/>
      <c r="V300" s="539"/>
      <c r="W300" s="539"/>
      <c r="X300" s="539"/>
      <c r="Y300" s="539"/>
      <c r="Z300" s="539"/>
      <c r="AA300" s="539"/>
      <c r="AB300" s="539"/>
      <c r="AC300" s="539"/>
      <c r="AD300" s="43"/>
      <c r="AE300" s="43"/>
      <c r="AF300" s="238"/>
      <c r="AG300" s="43"/>
      <c r="AH300" s="43"/>
      <c r="AI300" s="43"/>
      <c r="AJ300" s="43"/>
      <c r="AK300" s="43"/>
      <c r="AL300" s="45"/>
      <c r="AM300" s="197">
        <f>IF(AQ300=1,SUM(H300:I300,L300:O300,R300:U300,X300:AA300,AD300:AG300,AI300:AK300),
IF(AQ300=2,SUM(H300:K300,N300:Q300,T300:W300,Z300:AC300,AF300:AI300),
IF(AQ300=3,SUM(J300:M300,P300:S300,V300:Y300,AB300:AE300,AH300:AK300),SUM(Таблица1[[#This Row],[1]:[31]])-Таблица1[[#This Row],[Столбец1]])))</f>
        <v>0</v>
      </c>
      <c r="AN300" s="269">
        <f t="array" ref="AN300">IF(AQ300=1,SUM(J300:K300,P300:Q300,V300:W300,AB300:AC300,AH300:AI300),
IF(AQ300=2,SUM(L300:M300,R300:S300,X300:Y300,AD300:AE300),
IF(AQ300=3,SUM(H300:I300,N300:O300,T300:U300,Z300:AA300,AF300:AG300),
SUM(IFERROR(WEEKDAY($H$2:$AL$2,2)&gt;5,)*H300:AL300))))</f>
        <v>0</v>
      </c>
      <c r="AO300" s="271" t="b">
        <f>IF(AR300&lt;=3,(IF((G300="5/24"),((база!$M$6*Таблица1[[#This Row],[сумма]]*Таблица1[[#This Row],[коэф]])),
IF((G300="4/24"),((база!$M$5*Таблица1[[#This Row],[сумма]]*Таблица1[[#This Row],[коэф]])),
IF((G300="3/24"),((база!$M$4*Таблица1[[#This Row],[сумма]]*Таблица1[[#This Row],[коэф]])),
IF((G300="5/16"),((база!$L$6*Таблица1[[#This Row],[сумма]]*Таблица1[[#This Row],[коэф]])),
IF((G300="4/16"),((база!$L$5*Таблица1[[#This Row],[сумма]]*Таблица1[[#This Row],[коэф]])),
IF((G300="3/16"),((база!$L$4*Таблица1[[#This Row],[сумма]]*Таблица1[[#This Row],[коэф]])),
IF((G300="4/4"),((база!$I$5*Таблица1[[#This Row],[сумма]]*Таблица1[[#This Row],[коэф]])),
IF(OR(G300="2/4",G300="3/4"),((база!$I$4*Таблица1[[#This Row],[сумма]]*Таблица1[[#This Row],[коэф]])),
IF((G300="5/8"),((база!$J$6*Таблица1[[#This Row],[сумма]]*Таблица1[[#This Row],[коэф]])),
IF((G300="4/8"),((база!$J$5*Таблица1[[#This Row],[сумма]]*Таблица1[[#This Row],[коэф]])),
IF(OR(G300="3/8",G300="2/8"),((база!$J$4*Таблица1[[#This Row],[сумма]]*Таблица1[[#This Row],[коэф]])))))))))))))),
(IF((G300="5/24"),((база!$M$6*Таблица1[[#This Row],[сумма]]*Таблица1[[#This Row],[коэф]])),
IF(OR(G300="4/24",G300="3/24"),((база!$M$5*Таблица1[[#This Row],[сумма]]*Таблица1[[#This Row],[коэф]])),
IF((G300="5/16"),((база!$L$6*Таблица1[[#This Row],[сумма]]*Таблица1[[#This Row],[коэф]])),
IF(OR(G300="4/16",G300="3/16"),((база!$L$5*Таблица1[[#This Row],[сумма]]*Таблица1[[#This Row],[коэф]])),
IF(OR(G300="2/4",G300="3/4",G300="4/4"),((база!$I$5*Таблица1[[#This Row],[сумма]]*Таблица1[[#This Row],[коэф]])),
IF((G300="5/8"),((база!$J$6*Таблица1[[#This Row],[сумма]]*Таблица1[[#This Row],[коэф]])),
IF(OR(G300="4/8",G300="3/8",G300="2/8"),((база!$J$5*Таблица1[[#This Row],[сумма]]*Таблица1[[#This Row],[коэф]])))))))))))</f>
        <v>0</v>
      </c>
      <c r="AP300" s="696" t="b">
        <f>IF(AR300&lt;=3,(IF((G300="5/24"),((база!$M$6*2*Таблица1[[#This Row],[Столбец1]]*Таблица1[[#This Row],[коэф]])),
IF((G300="4/24"),((база!$M$5*2*Таблица1[[#This Row],[Столбец1]]*Таблица1[[#This Row],[коэф]])),
IF((G300="3/24"),((база!$M$4*2*Таблица1[[#This Row],[Столбец1]]*Таблица1[[#This Row],[коэф]])),
IF((G300="5/16"),((база!$L$6*2*Таблица1[[#This Row],[Столбец1]]*Таблица1[[#This Row],[коэф]])),
IF((G300="4/16"),((база!$L$5*2*Таблица1[[#This Row],[Столбец1]]*Таблица1[[#This Row],[коэф]])),
IF((G300="3/16"),((база!$L$4*2*Таблица1[[#This Row],[Столбец1]]*Таблица1[[#This Row],[коэф]])),
IF((G300="4/4"),((база!$I$5*2*Таблица1[[#This Row],[Столбец1]]*Таблица1[[#This Row],[коэф]])),
IF(OR(G300="2/4",G300="3/4"),((база!$I$4*2*Таблица1[[#This Row],[Столбец1]]*Таблица1[[#This Row],[коэф]])),
IF((G300="5/8"),((база!$J$6*2*Таблица1[[#This Row],[Столбец1]]*Таблица1[[#This Row],[коэф]])),
IF((G300="4/8"),((база!$J$5*2*Таблица1[[#This Row],[Столбец1]]*Таблица1[[#This Row],[коэф]])),
IF(OR(G300="3/8",G300="2/8"),((база!$J$4*2*Таблица1[[#This Row],[Столбец1]]*Таблица1[[#This Row],[коэф]])))))))))))))),
(IF((G300="5/24"),((база!$M$6*2*Таблица1[[#This Row],[Столбец1]]*Таблица1[[#This Row],[коэф]])),
IF(OR(G300="4/24",G300="3/24"),((база!$M$5*2*Таблица1[[#This Row],[Столбец1]]*Таблица1[[#This Row],[коэф]])),
IF((G300="5/16"),((база!$L$6*2*Таблица1[[#This Row],[Столбец1]]*Таблица1[[#This Row],[коэф]])),
IF(OR(G300="4/16",G300="3/16"),((база!$L$5*2*Таблица1[[#This Row],[Столбец1]]*Таблица1[[#This Row],[коэф]])),
IF(OR(G300="2/4",G300="3/4",G300="4/4"),((база!$I$5*2*Таблица1[[#This Row],[Столбец1]]*Таблица1[[#This Row],[коэф]])),
IF((G300="5/8"),((база!$J$6*2*Таблица1[[#This Row],[Столбец1]]*Таблица1[[#This Row],[коэф]])),
IF(OR(G300="4/8",G300="3/8",G300="2/8"),((база!$J$5*2*Таблица1[[#This Row],[Столбец1]]*Таблица1[[#This Row],[коэф]])))))))))))</f>
        <v>0</v>
      </c>
      <c r="AQ300" s="678" t="str">
        <f>IFERROR(INDEX(база!T:T, MATCH(F300,база!Q:Q,0)),"")</f>
        <v/>
      </c>
      <c r="AR300" s="193">
        <f>IFERROR(INDEX(база!D:D, MATCH(F300,база!B:B,0)),"")</f>
        <v>0</v>
      </c>
    </row>
    <row r="301" spans="1:44" ht="15">
      <c r="A301" s="59"/>
      <c r="B301" s="215"/>
      <c r="C301" s="277"/>
      <c r="D301" s="55"/>
      <c r="E301" s="196"/>
      <c r="F301" s="651"/>
      <c r="G301" s="42"/>
      <c r="H301" s="539"/>
      <c r="I301" s="539"/>
      <c r="J301" s="539"/>
      <c r="K301" s="539"/>
      <c r="L301" s="539"/>
      <c r="M301" s="539"/>
      <c r="N301" s="539"/>
      <c r="O301" s="539"/>
      <c r="P301" s="278"/>
      <c r="Q301" s="539"/>
      <c r="R301" s="539"/>
      <c r="S301" s="539"/>
      <c r="T301" s="539"/>
      <c r="U301" s="539"/>
      <c r="V301" s="539"/>
      <c r="W301" s="539"/>
      <c r="X301" s="539"/>
      <c r="Y301" s="539"/>
      <c r="Z301" s="539"/>
      <c r="AA301" s="539"/>
      <c r="AB301" s="539"/>
      <c r="AC301" s="539"/>
      <c r="AD301" s="539"/>
      <c r="AE301" s="539"/>
      <c r="AF301" s="238"/>
      <c r="AG301" s="43"/>
      <c r="AH301" s="43"/>
      <c r="AI301" s="43"/>
      <c r="AJ301" s="43"/>
      <c r="AK301" s="43"/>
      <c r="AL301" s="238"/>
      <c r="AM301" s="197">
        <f>IF(AQ301=1,SUM(H301:I301,L301:O301,R301:U301,X301:AA301,AD301:AG301,AI301:AK301),
IF(AQ301=2,SUM(H301:K301,N301:Q301,T301:W301,Z301:AC301,AF301:AI301),
IF(AQ301=3,SUM(J301:M301,P301:S301,V301:Y301,AB301:AE301,AH301:AK301),SUM(Таблица1[[#This Row],[1]:[31]])-Таблица1[[#This Row],[Столбец1]])))</f>
        <v>0</v>
      </c>
      <c r="AN301" s="269">
        <f t="array" ref="AN301">IF(AQ301=1,SUM(J301:K301,P301:Q301,V301:W301,AB301:AC301,AH301:AI301),
IF(AQ301=2,SUM(L301:M301,R301:S301,X301:Y301,AD301:AE301),
IF(AQ301=3,SUM(H301:I301,N301:O301,T301:U301,Z301:AA301,AF301:AG301),
SUM(IFERROR(WEEKDAY($H$2:$AL$2,2)&gt;5,)*H301:AL301))))</f>
        <v>0</v>
      </c>
      <c r="AO301" s="271" t="b">
        <f>IF(AR301&lt;=3,(IF((G301="5/24"),((база!$M$6*Таблица1[[#This Row],[сумма]]*Таблица1[[#This Row],[коэф]])),
IF((G301="4/24"),((база!$M$5*Таблица1[[#This Row],[сумма]]*Таблица1[[#This Row],[коэф]])),
IF((G301="3/24"),((база!$M$4*Таблица1[[#This Row],[сумма]]*Таблица1[[#This Row],[коэф]])),
IF((G301="5/16"),((база!$L$6*Таблица1[[#This Row],[сумма]]*Таблица1[[#This Row],[коэф]])),
IF((G301="4/16"),((база!$L$5*Таблица1[[#This Row],[сумма]]*Таблица1[[#This Row],[коэф]])),
IF((G301="3/16"),((база!$L$4*Таблица1[[#This Row],[сумма]]*Таблица1[[#This Row],[коэф]])),
IF((G301="4/4"),((база!$I$5*Таблица1[[#This Row],[сумма]]*Таблица1[[#This Row],[коэф]])),
IF(OR(G301="2/4",G301="3/4"),((база!$I$4*Таблица1[[#This Row],[сумма]]*Таблица1[[#This Row],[коэф]])),
IF((G301="5/8"),((база!$J$6*Таблица1[[#This Row],[сумма]]*Таблица1[[#This Row],[коэф]])),
IF((G301="4/8"),((база!$J$5*Таблица1[[#This Row],[сумма]]*Таблица1[[#This Row],[коэф]])),
IF(OR(G301="3/8",G301="2/8"),((база!$J$4*Таблица1[[#This Row],[сумма]]*Таблица1[[#This Row],[коэф]])))))))))))))),
(IF((G301="5/24"),((база!$M$6*Таблица1[[#This Row],[сумма]]*Таблица1[[#This Row],[коэф]])),
IF(OR(G301="4/24",G301="3/24"),((база!$M$5*Таблица1[[#This Row],[сумма]]*Таблица1[[#This Row],[коэф]])),
IF((G301="5/16"),((база!$L$6*Таблица1[[#This Row],[сумма]]*Таблица1[[#This Row],[коэф]])),
IF(OR(G301="4/16",G301="3/16"),((база!$L$5*Таблица1[[#This Row],[сумма]]*Таблица1[[#This Row],[коэф]])),
IF(OR(G301="2/4",G301="3/4",G301="4/4"),((база!$I$5*Таблица1[[#This Row],[сумма]]*Таблица1[[#This Row],[коэф]])),
IF((G301="5/8"),((база!$J$6*Таблица1[[#This Row],[сумма]]*Таблица1[[#This Row],[коэф]])),
IF(OR(G301="4/8",G301="3/8",G301="2/8"),((база!$J$5*Таблица1[[#This Row],[сумма]]*Таблица1[[#This Row],[коэф]])))))))))))</f>
        <v>0</v>
      </c>
      <c r="AP301" s="696" t="b">
        <f>IF(AR301&lt;=3,(IF((G301="5/24"),((база!$M$6*2*Таблица1[[#This Row],[Столбец1]]*Таблица1[[#This Row],[коэф]])),
IF((G301="4/24"),((база!$M$5*2*Таблица1[[#This Row],[Столбец1]]*Таблица1[[#This Row],[коэф]])),
IF((G301="3/24"),((база!$M$4*2*Таблица1[[#This Row],[Столбец1]]*Таблица1[[#This Row],[коэф]])),
IF((G301="5/16"),((база!$L$6*2*Таблица1[[#This Row],[Столбец1]]*Таблица1[[#This Row],[коэф]])),
IF((G301="4/16"),((база!$L$5*2*Таблица1[[#This Row],[Столбец1]]*Таблица1[[#This Row],[коэф]])),
IF((G301="3/16"),((база!$L$4*2*Таблица1[[#This Row],[Столбец1]]*Таблица1[[#This Row],[коэф]])),
IF((G301="4/4"),((база!$I$5*2*Таблица1[[#This Row],[Столбец1]]*Таблица1[[#This Row],[коэф]])),
IF(OR(G301="2/4",G301="3/4"),((база!$I$4*2*Таблица1[[#This Row],[Столбец1]]*Таблица1[[#This Row],[коэф]])),
IF((G301="5/8"),((база!$J$6*2*Таблица1[[#This Row],[Столбец1]]*Таблица1[[#This Row],[коэф]])),
IF((G301="4/8"),((база!$J$5*2*Таблица1[[#This Row],[Столбец1]]*Таблица1[[#This Row],[коэф]])),
IF(OR(G301="3/8",G301="2/8"),((база!$J$4*2*Таблица1[[#This Row],[Столбец1]]*Таблица1[[#This Row],[коэф]])))))))))))))),
(IF((G301="5/24"),((база!$M$6*2*Таблица1[[#This Row],[Столбец1]]*Таблица1[[#This Row],[коэф]])),
IF(OR(G301="4/24",G301="3/24"),((база!$M$5*2*Таблица1[[#This Row],[Столбец1]]*Таблица1[[#This Row],[коэф]])),
IF((G301="5/16"),((база!$L$6*2*Таблица1[[#This Row],[Столбец1]]*Таблица1[[#This Row],[коэф]])),
IF(OR(G301="4/16",G301="3/16"),((база!$L$5*2*Таблица1[[#This Row],[Столбец1]]*Таблица1[[#This Row],[коэф]])),
IF(OR(G301="2/4",G301="3/4",G301="4/4"),((база!$I$5*2*Таблица1[[#This Row],[Столбец1]]*Таблица1[[#This Row],[коэф]])),
IF((G301="5/8"),((база!$J$6*2*Таблица1[[#This Row],[Столбец1]]*Таблица1[[#This Row],[коэф]])),
IF(OR(G301="4/8",G301="3/8",G301="2/8"),((база!$J$5*2*Таблица1[[#This Row],[Столбец1]]*Таблица1[[#This Row],[коэф]])))))))))))</f>
        <v>0</v>
      </c>
      <c r="AQ301" s="678" t="str">
        <f>IFERROR(INDEX(база!T:T, MATCH(F301,база!Q:Q,0)),"")</f>
        <v/>
      </c>
      <c r="AR301" s="193">
        <f>IFERROR(INDEX(база!D:D, MATCH(F301,база!B:B,0)),"")</f>
        <v>0</v>
      </c>
    </row>
    <row r="302" spans="1:44" ht="15">
      <c r="A302" s="59"/>
      <c r="B302" s="215"/>
      <c r="C302" s="277"/>
      <c r="D302" s="55"/>
      <c r="E302" s="196"/>
      <c r="F302" s="651"/>
      <c r="G302" s="42"/>
      <c r="H302" s="539"/>
      <c r="I302" s="539"/>
      <c r="J302" s="539"/>
      <c r="K302" s="539"/>
      <c r="L302" s="539"/>
      <c r="M302" s="539"/>
      <c r="N302" s="539"/>
      <c r="O302" s="539"/>
      <c r="P302" s="278"/>
      <c r="Q302" s="539"/>
      <c r="R302" s="539"/>
      <c r="S302" s="539"/>
      <c r="T302" s="539"/>
      <c r="U302" s="539"/>
      <c r="V302" s="539"/>
      <c r="W302" s="539"/>
      <c r="X302" s="539"/>
      <c r="Y302" s="539"/>
      <c r="Z302" s="539"/>
      <c r="AA302" s="539"/>
      <c r="AB302" s="539"/>
      <c r="AC302" s="539"/>
      <c r="AD302" s="43"/>
      <c r="AE302" s="43"/>
      <c r="AF302" s="238"/>
      <c r="AG302" s="43"/>
      <c r="AH302" s="43"/>
      <c r="AI302" s="43"/>
      <c r="AJ302" s="43"/>
      <c r="AK302" s="43"/>
      <c r="AL302" s="45"/>
      <c r="AM302" s="197">
        <f>IF(AQ302=1,SUM(H302:I302,L302:O302,R302:U302,X302:AA302,AD302:AG302,AI302:AK302),
IF(AQ302=2,SUM(H302:K302,N302:Q302,T302:W302,Z302:AC302,AF302:AI302),
IF(AQ302=3,SUM(J302:M302,P302:S302,V302:Y302,AB302:AE302,AH302:AK302),SUM(Таблица1[[#This Row],[1]:[31]])-Таблица1[[#This Row],[Столбец1]])))</f>
        <v>0</v>
      </c>
      <c r="AN302" s="269">
        <f t="array" ref="AN302">IF(AQ302=1,SUM(J302:K302,P302:Q302,V302:W302,AB302:AC302,AH302:AI302),
IF(AQ302=2,SUM(L302:M302,R302:S302,X302:Y302,AD302:AE302),
IF(AQ302=3,SUM(H302:I302,N302:O302,T302:U302,Z302:AA302,AF302:AG302),
SUM(IFERROR(WEEKDAY($H$2:$AL$2,2)&gt;5,)*H302:AL302))))</f>
        <v>0</v>
      </c>
      <c r="AO302" s="271" t="b">
        <f>IF(AR302&lt;=3,(IF((G302="5/24"),((база!$M$6*Таблица1[[#This Row],[сумма]]*Таблица1[[#This Row],[коэф]])),
IF((G302="4/24"),((база!$M$5*Таблица1[[#This Row],[сумма]]*Таблица1[[#This Row],[коэф]])),
IF((G302="3/24"),((база!$M$4*Таблица1[[#This Row],[сумма]]*Таблица1[[#This Row],[коэф]])),
IF((G302="5/16"),((база!$L$6*Таблица1[[#This Row],[сумма]]*Таблица1[[#This Row],[коэф]])),
IF((G302="4/16"),((база!$L$5*Таблица1[[#This Row],[сумма]]*Таблица1[[#This Row],[коэф]])),
IF((G302="3/16"),((база!$L$4*Таблица1[[#This Row],[сумма]]*Таблица1[[#This Row],[коэф]])),
IF((G302="4/4"),((база!$I$5*Таблица1[[#This Row],[сумма]]*Таблица1[[#This Row],[коэф]])),
IF(OR(G302="2/4",G302="3/4"),((база!$I$4*Таблица1[[#This Row],[сумма]]*Таблица1[[#This Row],[коэф]])),
IF((G302="5/8"),((база!$J$6*Таблица1[[#This Row],[сумма]]*Таблица1[[#This Row],[коэф]])),
IF((G302="4/8"),((база!$J$5*Таблица1[[#This Row],[сумма]]*Таблица1[[#This Row],[коэф]])),
IF(OR(G302="3/8",G302="2/8"),((база!$J$4*Таблица1[[#This Row],[сумма]]*Таблица1[[#This Row],[коэф]])))))))))))))),
(IF((G302="5/24"),((база!$M$6*Таблица1[[#This Row],[сумма]]*Таблица1[[#This Row],[коэф]])),
IF(OR(G302="4/24",G302="3/24"),((база!$M$5*Таблица1[[#This Row],[сумма]]*Таблица1[[#This Row],[коэф]])),
IF((G302="5/16"),((база!$L$6*Таблица1[[#This Row],[сумма]]*Таблица1[[#This Row],[коэф]])),
IF(OR(G302="4/16",G302="3/16"),((база!$L$5*Таблица1[[#This Row],[сумма]]*Таблица1[[#This Row],[коэф]])),
IF(OR(G302="2/4",G302="3/4",G302="4/4"),((база!$I$5*Таблица1[[#This Row],[сумма]]*Таблица1[[#This Row],[коэф]])),
IF((G302="5/8"),((база!$J$6*Таблица1[[#This Row],[сумма]]*Таблица1[[#This Row],[коэф]])),
IF(OR(G302="4/8",G302="3/8",G302="2/8"),((база!$J$5*Таблица1[[#This Row],[сумма]]*Таблица1[[#This Row],[коэф]])))))))))))</f>
        <v>0</v>
      </c>
      <c r="AP302" s="696" t="b">
        <f>IF(AR302&lt;=3,(IF((G302="5/24"),((база!$M$6*2*Таблица1[[#This Row],[Столбец1]]*Таблица1[[#This Row],[коэф]])),
IF((G302="4/24"),((база!$M$5*2*Таблица1[[#This Row],[Столбец1]]*Таблица1[[#This Row],[коэф]])),
IF((G302="3/24"),((база!$M$4*2*Таблица1[[#This Row],[Столбец1]]*Таблица1[[#This Row],[коэф]])),
IF((G302="5/16"),((база!$L$6*2*Таблица1[[#This Row],[Столбец1]]*Таблица1[[#This Row],[коэф]])),
IF((G302="4/16"),((база!$L$5*2*Таблица1[[#This Row],[Столбец1]]*Таблица1[[#This Row],[коэф]])),
IF((G302="3/16"),((база!$L$4*2*Таблица1[[#This Row],[Столбец1]]*Таблица1[[#This Row],[коэф]])),
IF((G302="4/4"),((база!$I$5*2*Таблица1[[#This Row],[Столбец1]]*Таблица1[[#This Row],[коэф]])),
IF(OR(G302="2/4",G302="3/4"),((база!$I$4*2*Таблица1[[#This Row],[Столбец1]]*Таблица1[[#This Row],[коэф]])),
IF((G302="5/8"),((база!$J$6*2*Таблица1[[#This Row],[Столбец1]]*Таблица1[[#This Row],[коэф]])),
IF((G302="4/8"),((база!$J$5*2*Таблица1[[#This Row],[Столбец1]]*Таблица1[[#This Row],[коэф]])),
IF(OR(G302="3/8",G302="2/8"),((база!$J$4*2*Таблица1[[#This Row],[Столбец1]]*Таблица1[[#This Row],[коэф]])))))))))))))),
(IF((G302="5/24"),((база!$M$6*2*Таблица1[[#This Row],[Столбец1]]*Таблица1[[#This Row],[коэф]])),
IF(OR(G302="4/24",G302="3/24"),((база!$M$5*2*Таблица1[[#This Row],[Столбец1]]*Таблица1[[#This Row],[коэф]])),
IF((G302="5/16"),((база!$L$6*2*Таблица1[[#This Row],[Столбец1]]*Таблица1[[#This Row],[коэф]])),
IF(OR(G302="4/16",G302="3/16"),((база!$L$5*2*Таблица1[[#This Row],[Столбец1]]*Таблица1[[#This Row],[коэф]])),
IF(OR(G302="2/4",G302="3/4",G302="4/4"),((база!$I$5*2*Таблица1[[#This Row],[Столбец1]]*Таблица1[[#This Row],[коэф]])),
IF((G302="5/8"),((база!$J$6*2*Таблица1[[#This Row],[Столбец1]]*Таблица1[[#This Row],[коэф]])),
IF(OR(G302="4/8",G302="3/8",G302="2/8"),((база!$J$5*2*Таблица1[[#This Row],[Столбец1]]*Таблица1[[#This Row],[коэф]])))))))))))</f>
        <v>0</v>
      </c>
      <c r="AQ302" s="678" t="str">
        <f>IFERROR(INDEX(база!T:T, MATCH(F302,база!Q:Q,0)),"")</f>
        <v/>
      </c>
      <c r="AR302" s="193">
        <f>IFERROR(INDEX(база!D:D, MATCH(F302,база!B:B,0)),"")</f>
        <v>0</v>
      </c>
    </row>
    <row r="303" spans="1:44" ht="15">
      <c r="A303" s="59"/>
      <c r="B303" s="215"/>
      <c r="C303" s="277"/>
      <c r="D303" s="55"/>
      <c r="E303" s="196"/>
      <c r="F303" s="651"/>
      <c r="G303" s="42"/>
      <c r="H303" s="539"/>
      <c r="I303" s="539"/>
      <c r="J303" s="539"/>
      <c r="K303" s="539"/>
      <c r="L303" s="539"/>
      <c r="M303" s="539"/>
      <c r="N303" s="539"/>
      <c r="O303" s="539"/>
      <c r="P303" s="278"/>
      <c r="Q303" s="539"/>
      <c r="R303" s="539"/>
      <c r="S303" s="539"/>
      <c r="T303" s="539"/>
      <c r="U303" s="539"/>
      <c r="V303" s="539"/>
      <c r="W303" s="539"/>
      <c r="X303" s="539"/>
      <c r="Y303" s="539"/>
      <c r="Z303" s="539"/>
      <c r="AA303" s="539"/>
      <c r="AB303" s="539"/>
      <c r="AC303" s="539"/>
      <c r="AD303" s="539"/>
      <c r="AE303" s="539"/>
      <c r="AF303" s="238"/>
      <c r="AG303" s="43"/>
      <c r="AH303" s="43"/>
      <c r="AI303" s="238"/>
      <c r="AJ303" s="238"/>
      <c r="AK303" s="238"/>
      <c r="AL303" s="238"/>
      <c r="AM303" s="197">
        <f>IF(AQ303=1,SUM(H303:I303,L303:O303,R303:U303,X303:AA303,AD303:AG303,AI303:AK303),
IF(AQ303=2,SUM(H303:K303,N303:Q303,T303:W303,Z303:AC303,AF303:AI303),
IF(AQ303=3,SUM(J303:M303,P303:S303,V303:Y303,AB303:AE303,AH303:AK303),SUM(Таблица1[[#This Row],[1]:[31]])-Таблица1[[#This Row],[Столбец1]])))</f>
        <v>0</v>
      </c>
      <c r="AN303" s="269">
        <f t="array" ref="AN303">IF(AQ303=1,SUM(J303:K303,P303:Q303,V303:W303,AB303:AC303,AH303:AI303),
IF(AQ303=2,SUM(L303:M303,R303:S303,X303:Y303,AD303:AE303),
IF(AQ303=3,SUM(H303:I303,N303:O303,T303:U303,Z303:AA303,AF303:AG303),
SUM(IFERROR(WEEKDAY($H$2:$AL$2,2)&gt;5,)*H303:AL303))))</f>
        <v>0</v>
      </c>
      <c r="AO303" s="271" t="b">
        <f>IF(AR303&lt;=3,(IF((G303="5/24"),((база!$M$6*Таблица1[[#This Row],[сумма]]*Таблица1[[#This Row],[коэф]])),
IF((G303="4/24"),((база!$M$5*Таблица1[[#This Row],[сумма]]*Таблица1[[#This Row],[коэф]])),
IF((G303="3/24"),((база!$M$4*Таблица1[[#This Row],[сумма]]*Таблица1[[#This Row],[коэф]])),
IF((G303="5/16"),((база!$L$6*Таблица1[[#This Row],[сумма]]*Таблица1[[#This Row],[коэф]])),
IF((G303="4/16"),((база!$L$5*Таблица1[[#This Row],[сумма]]*Таблица1[[#This Row],[коэф]])),
IF((G303="3/16"),((база!$L$4*Таблица1[[#This Row],[сумма]]*Таблица1[[#This Row],[коэф]])),
IF((G303="4/4"),((база!$I$5*Таблица1[[#This Row],[сумма]]*Таблица1[[#This Row],[коэф]])),
IF(OR(G303="2/4",G303="3/4"),((база!$I$4*Таблица1[[#This Row],[сумма]]*Таблица1[[#This Row],[коэф]])),
IF((G303="5/8"),((база!$J$6*Таблица1[[#This Row],[сумма]]*Таблица1[[#This Row],[коэф]])),
IF((G303="4/8"),((база!$J$5*Таблица1[[#This Row],[сумма]]*Таблица1[[#This Row],[коэф]])),
IF(OR(G303="3/8",G303="2/8"),((база!$J$4*Таблица1[[#This Row],[сумма]]*Таблица1[[#This Row],[коэф]])))))))))))))),
(IF((G303="5/24"),((база!$M$6*Таблица1[[#This Row],[сумма]]*Таблица1[[#This Row],[коэф]])),
IF(OR(G303="4/24",G303="3/24"),((база!$M$5*Таблица1[[#This Row],[сумма]]*Таблица1[[#This Row],[коэф]])),
IF((G303="5/16"),((база!$L$6*Таблица1[[#This Row],[сумма]]*Таблица1[[#This Row],[коэф]])),
IF(OR(G303="4/16",G303="3/16"),((база!$L$5*Таблица1[[#This Row],[сумма]]*Таблица1[[#This Row],[коэф]])),
IF(OR(G303="2/4",G303="3/4",G303="4/4"),((база!$I$5*Таблица1[[#This Row],[сумма]]*Таблица1[[#This Row],[коэф]])),
IF((G303="5/8"),((база!$J$6*Таблица1[[#This Row],[сумма]]*Таблица1[[#This Row],[коэф]])),
IF(OR(G303="4/8",G303="3/8",G303="2/8"),((база!$J$5*Таблица1[[#This Row],[сумма]]*Таблица1[[#This Row],[коэф]])))))))))))</f>
        <v>0</v>
      </c>
      <c r="AP303" s="696" t="b">
        <f>IF(AR303&lt;=3,(IF((G303="5/24"),((база!$M$6*2*Таблица1[[#This Row],[Столбец1]]*Таблица1[[#This Row],[коэф]])),
IF((G303="4/24"),((база!$M$5*2*Таблица1[[#This Row],[Столбец1]]*Таблица1[[#This Row],[коэф]])),
IF((G303="3/24"),((база!$M$4*2*Таблица1[[#This Row],[Столбец1]]*Таблица1[[#This Row],[коэф]])),
IF((G303="5/16"),((база!$L$6*2*Таблица1[[#This Row],[Столбец1]]*Таблица1[[#This Row],[коэф]])),
IF((G303="4/16"),((база!$L$5*2*Таблица1[[#This Row],[Столбец1]]*Таблица1[[#This Row],[коэф]])),
IF((G303="3/16"),((база!$L$4*2*Таблица1[[#This Row],[Столбец1]]*Таблица1[[#This Row],[коэф]])),
IF((G303="4/4"),((база!$I$5*2*Таблица1[[#This Row],[Столбец1]]*Таблица1[[#This Row],[коэф]])),
IF(OR(G303="2/4",G303="3/4"),((база!$I$4*2*Таблица1[[#This Row],[Столбец1]]*Таблица1[[#This Row],[коэф]])),
IF((G303="5/8"),((база!$J$6*2*Таблица1[[#This Row],[Столбец1]]*Таблица1[[#This Row],[коэф]])),
IF((G303="4/8"),((база!$J$5*2*Таблица1[[#This Row],[Столбец1]]*Таблица1[[#This Row],[коэф]])),
IF(OR(G303="3/8",G303="2/8"),((база!$J$4*2*Таблица1[[#This Row],[Столбец1]]*Таблица1[[#This Row],[коэф]])))))))))))))),
(IF((G303="5/24"),((база!$M$6*2*Таблица1[[#This Row],[Столбец1]]*Таблица1[[#This Row],[коэф]])),
IF(OR(G303="4/24",G303="3/24"),((база!$M$5*2*Таблица1[[#This Row],[Столбец1]]*Таблица1[[#This Row],[коэф]])),
IF((G303="5/16"),((база!$L$6*2*Таблица1[[#This Row],[Столбец1]]*Таблица1[[#This Row],[коэф]])),
IF(OR(G303="4/16",G303="3/16"),((база!$L$5*2*Таблица1[[#This Row],[Столбец1]]*Таблица1[[#This Row],[коэф]])),
IF(OR(G303="2/4",G303="3/4",G303="4/4"),((база!$I$5*2*Таблица1[[#This Row],[Столбец1]]*Таблица1[[#This Row],[коэф]])),
IF((G303="5/8"),((база!$J$6*2*Таблица1[[#This Row],[Столбец1]]*Таблица1[[#This Row],[коэф]])),
IF(OR(G303="4/8",G303="3/8",G303="2/8"),((база!$J$5*2*Таблица1[[#This Row],[Столбец1]]*Таблица1[[#This Row],[коэф]])))))))))))</f>
        <v>0</v>
      </c>
      <c r="AQ303" s="678" t="str">
        <f>IFERROR(INDEX(база!T:T, MATCH(F303,база!Q:Q,0)),"")</f>
        <v/>
      </c>
      <c r="AR303" s="193">
        <f>IFERROR(INDEX(база!D:D, MATCH(F303,база!B:B,0)),"")</f>
        <v>0</v>
      </c>
    </row>
    <row r="304" spans="1:44" ht="15">
      <c r="A304" s="59"/>
      <c r="B304" s="215"/>
      <c r="C304" s="277"/>
      <c r="D304" s="55"/>
      <c r="E304" s="196"/>
      <c r="F304" s="651"/>
      <c r="G304" s="42"/>
      <c r="H304" s="539"/>
      <c r="I304" s="539"/>
      <c r="J304" s="539"/>
      <c r="K304" s="539"/>
      <c r="L304" s="539"/>
      <c r="M304" s="539"/>
      <c r="N304" s="539"/>
      <c r="O304" s="539"/>
      <c r="P304" s="278"/>
      <c r="Q304" s="539"/>
      <c r="R304" s="539"/>
      <c r="S304" s="539"/>
      <c r="T304" s="539"/>
      <c r="U304" s="539"/>
      <c r="V304" s="539"/>
      <c r="W304" s="539"/>
      <c r="X304" s="539"/>
      <c r="Y304" s="539"/>
      <c r="Z304" s="539"/>
      <c r="AA304" s="539"/>
      <c r="AB304" s="539"/>
      <c r="AC304" s="539"/>
      <c r="AD304" s="43"/>
      <c r="AE304" s="43"/>
      <c r="AF304" s="238"/>
      <c r="AG304" s="238"/>
      <c r="AH304" s="43"/>
      <c r="AI304" s="43"/>
      <c r="AJ304" s="43"/>
      <c r="AK304" s="43"/>
      <c r="AL304" s="45"/>
      <c r="AM304" s="197">
        <f>IF(AQ304=1,SUM(H304:I304,L304:O304,R304:U304,X304:AA304,AD304:AG304,AI304:AK304),
IF(AQ304=2,SUM(H304:K304,N304:Q304,T304:W304,Z304:AC304,AF304:AI304),
IF(AQ304=3,SUM(J304:M304,P304:S304,V304:Y304,AB304:AE304,AH304:AK304),SUM(Таблица1[[#This Row],[1]:[31]])-Таблица1[[#This Row],[Столбец1]])))</f>
        <v>0</v>
      </c>
      <c r="AN304" s="269">
        <f t="array" ref="AN304">IF(AQ304=1,SUM(J304:K304,P304:Q304,V304:W304,AB304:AC304,AH304:AI304),
IF(AQ304=2,SUM(L304:M304,R304:S304,X304:Y304,AD304:AE304),
IF(AQ304=3,SUM(H304:I304,N304:O304,T304:U304,Z304:AA304,AF304:AG304),
SUM(IFERROR(WEEKDAY($H$2:$AL$2,2)&gt;5,)*H304:AL304))))</f>
        <v>0</v>
      </c>
      <c r="AO304" s="271" t="b">
        <f>IF(AR304&lt;=3,(IF((G304="5/24"),((база!$M$6*Таблица1[[#This Row],[сумма]]*Таблица1[[#This Row],[коэф]])),
IF((G304="4/24"),((база!$M$5*Таблица1[[#This Row],[сумма]]*Таблица1[[#This Row],[коэф]])),
IF((G304="3/24"),((база!$M$4*Таблица1[[#This Row],[сумма]]*Таблица1[[#This Row],[коэф]])),
IF((G304="5/16"),((база!$L$6*Таблица1[[#This Row],[сумма]]*Таблица1[[#This Row],[коэф]])),
IF((G304="4/16"),((база!$L$5*Таблица1[[#This Row],[сумма]]*Таблица1[[#This Row],[коэф]])),
IF((G304="3/16"),((база!$L$4*Таблица1[[#This Row],[сумма]]*Таблица1[[#This Row],[коэф]])),
IF((G304="4/4"),((база!$I$5*Таблица1[[#This Row],[сумма]]*Таблица1[[#This Row],[коэф]])),
IF(OR(G304="2/4",G304="3/4"),((база!$I$4*Таблица1[[#This Row],[сумма]]*Таблица1[[#This Row],[коэф]])),
IF((G304="5/8"),((база!$J$6*Таблица1[[#This Row],[сумма]]*Таблица1[[#This Row],[коэф]])),
IF((G304="4/8"),((база!$J$5*Таблица1[[#This Row],[сумма]]*Таблица1[[#This Row],[коэф]])),
IF(OR(G304="3/8",G304="2/8"),((база!$J$4*Таблица1[[#This Row],[сумма]]*Таблица1[[#This Row],[коэф]])))))))))))))),
(IF((G304="5/24"),((база!$M$6*Таблица1[[#This Row],[сумма]]*Таблица1[[#This Row],[коэф]])),
IF(OR(G304="4/24",G304="3/24"),((база!$M$5*Таблица1[[#This Row],[сумма]]*Таблица1[[#This Row],[коэф]])),
IF((G304="5/16"),((база!$L$6*Таблица1[[#This Row],[сумма]]*Таблица1[[#This Row],[коэф]])),
IF(OR(G304="4/16",G304="3/16"),((база!$L$5*Таблица1[[#This Row],[сумма]]*Таблица1[[#This Row],[коэф]])),
IF(OR(G304="2/4",G304="3/4",G304="4/4"),((база!$I$5*Таблица1[[#This Row],[сумма]]*Таблица1[[#This Row],[коэф]])),
IF((G304="5/8"),((база!$J$6*Таблица1[[#This Row],[сумма]]*Таблица1[[#This Row],[коэф]])),
IF(OR(G304="4/8",G304="3/8",G304="2/8"),((база!$J$5*Таблица1[[#This Row],[сумма]]*Таблица1[[#This Row],[коэф]])))))))))))</f>
        <v>0</v>
      </c>
      <c r="AP304" s="696" t="b">
        <f>IF(AR304&lt;=3,(IF((G304="5/24"),((база!$M$6*2*Таблица1[[#This Row],[Столбец1]]*Таблица1[[#This Row],[коэф]])),
IF((G304="4/24"),((база!$M$5*2*Таблица1[[#This Row],[Столбец1]]*Таблица1[[#This Row],[коэф]])),
IF((G304="3/24"),((база!$M$4*2*Таблица1[[#This Row],[Столбец1]]*Таблица1[[#This Row],[коэф]])),
IF((G304="5/16"),((база!$L$6*2*Таблица1[[#This Row],[Столбец1]]*Таблица1[[#This Row],[коэф]])),
IF((G304="4/16"),((база!$L$5*2*Таблица1[[#This Row],[Столбец1]]*Таблица1[[#This Row],[коэф]])),
IF((G304="3/16"),((база!$L$4*2*Таблица1[[#This Row],[Столбец1]]*Таблица1[[#This Row],[коэф]])),
IF((G304="4/4"),((база!$I$5*2*Таблица1[[#This Row],[Столбец1]]*Таблица1[[#This Row],[коэф]])),
IF(OR(G304="2/4",G304="3/4"),((база!$I$4*2*Таблица1[[#This Row],[Столбец1]]*Таблица1[[#This Row],[коэф]])),
IF((G304="5/8"),((база!$J$6*2*Таблица1[[#This Row],[Столбец1]]*Таблица1[[#This Row],[коэф]])),
IF((G304="4/8"),((база!$J$5*2*Таблица1[[#This Row],[Столбец1]]*Таблица1[[#This Row],[коэф]])),
IF(OR(G304="3/8",G304="2/8"),((база!$J$4*2*Таблица1[[#This Row],[Столбец1]]*Таблица1[[#This Row],[коэф]])))))))))))))),
(IF((G304="5/24"),((база!$M$6*2*Таблица1[[#This Row],[Столбец1]]*Таблица1[[#This Row],[коэф]])),
IF(OR(G304="4/24",G304="3/24"),((база!$M$5*2*Таблица1[[#This Row],[Столбец1]]*Таблица1[[#This Row],[коэф]])),
IF((G304="5/16"),((база!$L$6*2*Таблица1[[#This Row],[Столбец1]]*Таблица1[[#This Row],[коэф]])),
IF(OR(G304="4/16",G304="3/16"),((база!$L$5*2*Таблица1[[#This Row],[Столбец1]]*Таблица1[[#This Row],[коэф]])),
IF(OR(G304="2/4",G304="3/4",G304="4/4"),((база!$I$5*2*Таблица1[[#This Row],[Столбец1]]*Таблица1[[#This Row],[коэф]])),
IF((G304="5/8"),((база!$J$6*2*Таблица1[[#This Row],[Столбец1]]*Таблица1[[#This Row],[коэф]])),
IF(OR(G304="4/8",G304="3/8",G304="2/8"),((база!$J$5*2*Таблица1[[#This Row],[Столбец1]]*Таблица1[[#This Row],[коэф]])))))))))))</f>
        <v>0</v>
      </c>
      <c r="AQ304" s="678" t="str">
        <f>IFERROR(INDEX(база!T:T, MATCH(F304,база!Q:Q,0)),"")</f>
        <v/>
      </c>
      <c r="AR304" s="193">
        <f>IFERROR(INDEX(база!D:D, MATCH(F304,база!B:B,0)),"")</f>
        <v>0</v>
      </c>
    </row>
    <row r="305" spans="1:44" ht="15">
      <c r="A305" s="59"/>
      <c r="B305" s="215"/>
      <c r="C305" s="277"/>
      <c r="D305" s="55"/>
      <c r="E305" s="196"/>
      <c r="F305" s="651"/>
      <c r="G305" s="42"/>
      <c r="H305" s="539"/>
      <c r="I305" s="539"/>
      <c r="J305" s="539"/>
      <c r="K305" s="539"/>
      <c r="L305" s="539"/>
      <c r="M305" s="539"/>
      <c r="N305" s="539"/>
      <c r="O305" s="539"/>
      <c r="P305" s="278"/>
      <c r="Q305" s="539"/>
      <c r="R305" s="539"/>
      <c r="S305" s="539"/>
      <c r="T305" s="539"/>
      <c r="U305" s="539"/>
      <c r="V305" s="539"/>
      <c r="W305" s="539"/>
      <c r="X305" s="539"/>
      <c r="Y305" s="539"/>
      <c r="Z305" s="539"/>
      <c r="AA305" s="539"/>
      <c r="AB305" s="539"/>
      <c r="AC305" s="539"/>
      <c r="AD305" s="43"/>
      <c r="AE305" s="43"/>
      <c r="AF305" s="238"/>
      <c r="AG305" s="43"/>
      <c r="AH305" s="43"/>
      <c r="AI305" s="238"/>
      <c r="AJ305" s="238"/>
      <c r="AK305" s="238"/>
      <c r="AL305" s="238"/>
      <c r="AM305" s="197">
        <f>IF(AQ305=1,SUM(H305:I305,L305:O305,R305:U305,X305:AA305,AD305:AG305,AI305:AK305),
IF(AQ305=2,SUM(H305:K305,N305:Q305,T305:W305,Z305:AC305,AF305:AI305),
IF(AQ305=3,SUM(J305:M305,P305:S305,V305:Y305,AB305:AE305,AH305:AK305),SUM(Таблица1[[#This Row],[1]:[31]])-Таблица1[[#This Row],[Столбец1]])))</f>
        <v>0</v>
      </c>
      <c r="AN305" s="269">
        <f t="array" ref="AN305">IF(AQ305=1,SUM(J305:K305,P305:Q305,V305:W305,AB305:AC305,AH305:AI305),
IF(AQ305=2,SUM(L305:M305,R305:S305,X305:Y305,AD305:AE305),
IF(AQ305=3,SUM(H305:I305,N305:O305,T305:U305,Z305:AA305,AF305:AG305),
SUM(IFERROR(WEEKDAY($H$2:$AL$2,2)&gt;5,)*H305:AL305))))</f>
        <v>0</v>
      </c>
      <c r="AO305" s="271" t="b">
        <f>IF(AR305&lt;=3,(IF((G305="5/24"),((база!$M$6*Таблица1[[#This Row],[сумма]]*Таблица1[[#This Row],[коэф]])),
IF((G305="4/24"),((база!$M$5*Таблица1[[#This Row],[сумма]]*Таблица1[[#This Row],[коэф]])),
IF((G305="3/24"),((база!$M$4*Таблица1[[#This Row],[сумма]]*Таблица1[[#This Row],[коэф]])),
IF((G305="5/16"),((база!$L$6*Таблица1[[#This Row],[сумма]]*Таблица1[[#This Row],[коэф]])),
IF((G305="4/16"),((база!$L$5*Таблица1[[#This Row],[сумма]]*Таблица1[[#This Row],[коэф]])),
IF((G305="3/16"),((база!$L$4*Таблица1[[#This Row],[сумма]]*Таблица1[[#This Row],[коэф]])),
IF((G305="4/4"),((база!$I$5*Таблица1[[#This Row],[сумма]]*Таблица1[[#This Row],[коэф]])),
IF(OR(G305="2/4",G305="3/4"),((база!$I$4*Таблица1[[#This Row],[сумма]]*Таблица1[[#This Row],[коэф]])),
IF((G305="5/8"),((база!$J$6*Таблица1[[#This Row],[сумма]]*Таблица1[[#This Row],[коэф]])),
IF((G305="4/8"),((база!$J$5*Таблица1[[#This Row],[сумма]]*Таблица1[[#This Row],[коэф]])),
IF(OR(G305="3/8",G305="2/8"),((база!$J$4*Таблица1[[#This Row],[сумма]]*Таблица1[[#This Row],[коэф]])))))))))))))),
(IF((G305="5/24"),((база!$M$6*Таблица1[[#This Row],[сумма]]*Таблица1[[#This Row],[коэф]])),
IF(OR(G305="4/24",G305="3/24"),((база!$M$5*Таблица1[[#This Row],[сумма]]*Таблица1[[#This Row],[коэф]])),
IF((G305="5/16"),((база!$L$6*Таблица1[[#This Row],[сумма]]*Таблица1[[#This Row],[коэф]])),
IF(OR(G305="4/16",G305="3/16"),((база!$L$5*Таблица1[[#This Row],[сумма]]*Таблица1[[#This Row],[коэф]])),
IF(OR(G305="2/4",G305="3/4",G305="4/4"),((база!$I$5*Таблица1[[#This Row],[сумма]]*Таблица1[[#This Row],[коэф]])),
IF((G305="5/8"),((база!$J$6*Таблица1[[#This Row],[сумма]]*Таблица1[[#This Row],[коэф]])),
IF(OR(G305="4/8",G305="3/8",G305="2/8"),((база!$J$5*Таблица1[[#This Row],[сумма]]*Таблица1[[#This Row],[коэф]])))))))))))</f>
        <v>0</v>
      </c>
      <c r="AP305" s="696" t="b">
        <f>IF(AR305&lt;=3,(IF((G305="5/24"),((база!$M$6*2*Таблица1[[#This Row],[Столбец1]]*Таблица1[[#This Row],[коэф]])),
IF((G305="4/24"),((база!$M$5*2*Таблица1[[#This Row],[Столбец1]]*Таблица1[[#This Row],[коэф]])),
IF((G305="3/24"),((база!$M$4*2*Таблица1[[#This Row],[Столбец1]]*Таблица1[[#This Row],[коэф]])),
IF((G305="5/16"),((база!$L$6*2*Таблица1[[#This Row],[Столбец1]]*Таблица1[[#This Row],[коэф]])),
IF((G305="4/16"),((база!$L$5*2*Таблица1[[#This Row],[Столбец1]]*Таблица1[[#This Row],[коэф]])),
IF((G305="3/16"),((база!$L$4*2*Таблица1[[#This Row],[Столбец1]]*Таблица1[[#This Row],[коэф]])),
IF((G305="4/4"),((база!$I$5*2*Таблица1[[#This Row],[Столбец1]]*Таблица1[[#This Row],[коэф]])),
IF(OR(G305="2/4",G305="3/4"),((база!$I$4*2*Таблица1[[#This Row],[Столбец1]]*Таблица1[[#This Row],[коэф]])),
IF((G305="5/8"),((база!$J$6*2*Таблица1[[#This Row],[Столбец1]]*Таблица1[[#This Row],[коэф]])),
IF((G305="4/8"),((база!$J$5*2*Таблица1[[#This Row],[Столбец1]]*Таблица1[[#This Row],[коэф]])),
IF(OR(G305="3/8",G305="2/8"),((база!$J$4*2*Таблица1[[#This Row],[Столбец1]]*Таблица1[[#This Row],[коэф]])))))))))))))),
(IF((G305="5/24"),((база!$M$6*2*Таблица1[[#This Row],[Столбец1]]*Таблица1[[#This Row],[коэф]])),
IF(OR(G305="4/24",G305="3/24"),((база!$M$5*2*Таблица1[[#This Row],[Столбец1]]*Таблица1[[#This Row],[коэф]])),
IF((G305="5/16"),((база!$L$6*2*Таблица1[[#This Row],[Столбец1]]*Таблица1[[#This Row],[коэф]])),
IF(OR(G305="4/16",G305="3/16"),((база!$L$5*2*Таблица1[[#This Row],[Столбец1]]*Таблица1[[#This Row],[коэф]])),
IF(OR(G305="2/4",G305="3/4",G305="4/4"),((база!$I$5*2*Таблица1[[#This Row],[Столбец1]]*Таблица1[[#This Row],[коэф]])),
IF((G305="5/8"),((база!$J$6*2*Таблица1[[#This Row],[Столбец1]]*Таблица1[[#This Row],[коэф]])),
IF(OR(G305="4/8",G305="3/8",G305="2/8"),((база!$J$5*2*Таблица1[[#This Row],[Столбец1]]*Таблица1[[#This Row],[коэф]])))))))))))</f>
        <v>0</v>
      </c>
      <c r="AQ305" s="678" t="str">
        <f>IFERROR(INDEX(база!T:T, MATCH(F305,база!Q:Q,0)),"")</f>
        <v/>
      </c>
      <c r="AR305" s="193">
        <f>IFERROR(INDEX(база!D:D, MATCH(F305,база!B:B,0)),"")</f>
        <v>0</v>
      </c>
    </row>
    <row r="306" spans="1:44" ht="15">
      <c r="A306" s="59"/>
      <c r="B306" s="215"/>
      <c r="C306" s="277"/>
      <c r="D306" s="55"/>
      <c r="E306" s="196"/>
      <c r="F306" s="651"/>
      <c r="G306" s="42"/>
      <c r="H306" s="539"/>
      <c r="I306" s="539"/>
      <c r="J306" s="539"/>
      <c r="K306" s="539"/>
      <c r="L306" s="539"/>
      <c r="M306" s="539"/>
      <c r="N306" s="539"/>
      <c r="O306" s="539"/>
      <c r="P306" s="278"/>
      <c r="Q306" s="539"/>
      <c r="R306" s="539"/>
      <c r="S306" s="539"/>
      <c r="T306" s="539"/>
      <c r="U306" s="539"/>
      <c r="V306" s="539"/>
      <c r="W306" s="539"/>
      <c r="X306" s="539"/>
      <c r="Y306" s="539"/>
      <c r="Z306" s="539"/>
      <c r="AA306" s="539"/>
      <c r="AB306" s="539"/>
      <c r="AC306" s="539"/>
      <c r="AD306" s="43"/>
      <c r="AE306" s="43"/>
      <c r="AF306" s="238"/>
      <c r="AG306" s="43"/>
      <c r="AH306" s="43"/>
      <c r="AI306" s="43"/>
      <c r="AJ306" s="43"/>
      <c r="AK306" s="43"/>
      <c r="AL306" s="45"/>
      <c r="AM306" s="197">
        <f>IF(AQ306=1,SUM(H306:I306,L306:O306,R306:U306,X306:AA306,AD306:AG306,AI306:AK306),
IF(AQ306=2,SUM(H306:K306,N306:Q306,T306:W306,Z306:AC306,AF306:AI306),
IF(AQ306=3,SUM(J306:M306,P306:S306,V306:Y306,AB306:AE306,AH306:AK306),SUM(Таблица1[[#This Row],[1]:[31]])-Таблица1[[#This Row],[Столбец1]])))</f>
        <v>0</v>
      </c>
      <c r="AN306" s="269">
        <f t="array" ref="AN306">IF(AQ306=1,SUM(J306:K306,P306:Q306,V306:W306,AB306:AC306,AH306:AI306),
IF(AQ306=2,SUM(L306:M306,R306:S306,X306:Y306,AD306:AE306),
IF(AQ306=3,SUM(H306:I306,N306:O306,T306:U306,Z306:AA306,AF306:AG306),
SUM(IFERROR(WEEKDAY($H$2:$AL$2,2)&gt;5,)*H306:AL306))))</f>
        <v>0</v>
      </c>
      <c r="AO306" s="271" t="b">
        <f>IF(AR306&lt;=3,(IF((G306="5/24"),((база!$M$6*Таблица1[[#This Row],[сумма]]*Таблица1[[#This Row],[коэф]])),
IF((G306="4/24"),((база!$M$5*Таблица1[[#This Row],[сумма]]*Таблица1[[#This Row],[коэф]])),
IF((G306="3/24"),((база!$M$4*Таблица1[[#This Row],[сумма]]*Таблица1[[#This Row],[коэф]])),
IF((G306="5/16"),((база!$L$6*Таблица1[[#This Row],[сумма]]*Таблица1[[#This Row],[коэф]])),
IF((G306="4/16"),((база!$L$5*Таблица1[[#This Row],[сумма]]*Таблица1[[#This Row],[коэф]])),
IF((G306="3/16"),((база!$L$4*Таблица1[[#This Row],[сумма]]*Таблица1[[#This Row],[коэф]])),
IF((G306="4/4"),((база!$I$5*Таблица1[[#This Row],[сумма]]*Таблица1[[#This Row],[коэф]])),
IF(OR(G306="2/4",G306="3/4"),((база!$I$4*Таблица1[[#This Row],[сумма]]*Таблица1[[#This Row],[коэф]])),
IF((G306="5/8"),((база!$J$6*Таблица1[[#This Row],[сумма]]*Таблица1[[#This Row],[коэф]])),
IF((G306="4/8"),((база!$J$5*Таблица1[[#This Row],[сумма]]*Таблица1[[#This Row],[коэф]])),
IF(OR(G306="3/8",G306="2/8"),((база!$J$4*Таблица1[[#This Row],[сумма]]*Таблица1[[#This Row],[коэф]])))))))))))))),
(IF((G306="5/24"),((база!$M$6*Таблица1[[#This Row],[сумма]]*Таблица1[[#This Row],[коэф]])),
IF(OR(G306="4/24",G306="3/24"),((база!$M$5*Таблица1[[#This Row],[сумма]]*Таблица1[[#This Row],[коэф]])),
IF((G306="5/16"),((база!$L$6*Таблица1[[#This Row],[сумма]]*Таблица1[[#This Row],[коэф]])),
IF(OR(G306="4/16",G306="3/16"),((база!$L$5*Таблица1[[#This Row],[сумма]]*Таблица1[[#This Row],[коэф]])),
IF(OR(G306="2/4",G306="3/4",G306="4/4"),((база!$I$5*Таблица1[[#This Row],[сумма]]*Таблица1[[#This Row],[коэф]])),
IF((G306="5/8"),((база!$J$6*Таблица1[[#This Row],[сумма]]*Таблица1[[#This Row],[коэф]])),
IF(OR(G306="4/8",G306="3/8",G306="2/8"),((база!$J$5*Таблица1[[#This Row],[сумма]]*Таблица1[[#This Row],[коэф]])))))))))))</f>
        <v>0</v>
      </c>
      <c r="AP306" s="696" t="b">
        <f>IF(AR306&lt;=3,(IF((G306="5/24"),((база!$M$6*2*Таблица1[[#This Row],[Столбец1]]*Таблица1[[#This Row],[коэф]])),
IF((G306="4/24"),((база!$M$5*2*Таблица1[[#This Row],[Столбец1]]*Таблица1[[#This Row],[коэф]])),
IF((G306="3/24"),((база!$M$4*2*Таблица1[[#This Row],[Столбец1]]*Таблица1[[#This Row],[коэф]])),
IF((G306="5/16"),((база!$L$6*2*Таблица1[[#This Row],[Столбец1]]*Таблица1[[#This Row],[коэф]])),
IF((G306="4/16"),((база!$L$5*2*Таблица1[[#This Row],[Столбец1]]*Таблица1[[#This Row],[коэф]])),
IF((G306="3/16"),((база!$L$4*2*Таблица1[[#This Row],[Столбец1]]*Таблица1[[#This Row],[коэф]])),
IF((G306="4/4"),((база!$I$5*2*Таблица1[[#This Row],[Столбец1]]*Таблица1[[#This Row],[коэф]])),
IF(OR(G306="2/4",G306="3/4"),((база!$I$4*2*Таблица1[[#This Row],[Столбец1]]*Таблица1[[#This Row],[коэф]])),
IF((G306="5/8"),((база!$J$6*2*Таблица1[[#This Row],[Столбец1]]*Таблица1[[#This Row],[коэф]])),
IF((G306="4/8"),((база!$J$5*2*Таблица1[[#This Row],[Столбец1]]*Таблица1[[#This Row],[коэф]])),
IF(OR(G306="3/8",G306="2/8"),((база!$J$4*2*Таблица1[[#This Row],[Столбец1]]*Таблица1[[#This Row],[коэф]])))))))))))))),
(IF((G306="5/24"),((база!$M$6*2*Таблица1[[#This Row],[Столбец1]]*Таблица1[[#This Row],[коэф]])),
IF(OR(G306="4/24",G306="3/24"),((база!$M$5*2*Таблица1[[#This Row],[Столбец1]]*Таблица1[[#This Row],[коэф]])),
IF((G306="5/16"),((база!$L$6*2*Таблица1[[#This Row],[Столбец1]]*Таблица1[[#This Row],[коэф]])),
IF(OR(G306="4/16",G306="3/16"),((база!$L$5*2*Таблица1[[#This Row],[Столбец1]]*Таблица1[[#This Row],[коэф]])),
IF(OR(G306="2/4",G306="3/4",G306="4/4"),((база!$I$5*2*Таблица1[[#This Row],[Столбец1]]*Таблица1[[#This Row],[коэф]])),
IF((G306="5/8"),((база!$J$6*2*Таблица1[[#This Row],[Столбец1]]*Таблица1[[#This Row],[коэф]])),
IF(OR(G306="4/8",G306="3/8",G306="2/8"),((база!$J$5*2*Таблица1[[#This Row],[Столбец1]]*Таблица1[[#This Row],[коэф]])))))))))))</f>
        <v>0</v>
      </c>
      <c r="AQ306" s="678" t="str">
        <f>IFERROR(INDEX(база!T:T, MATCH(F306,база!Q:Q,0)),"")</f>
        <v/>
      </c>
      <c r="AR306" s="193">
        <f>IFERROR(INDEX(база!D:D, MATCH(F306,база!B:B,0)),"")</f>
        <v>0</v>
      </c>
    </row>
    <row r="307" spans="1:44" ht="15">
      <c r="A307" s="59"/>
      <c r="B307" s="215"/>
      <c r="C307" s="54"/>
      <c r="D307" s="55"/>
      <c r="E307" s="196"/>
      <c r="F307" s="651"/>
      <c r="G307" s="42"/>
      <c r="H307" s="539"/>
      <c r="I307" s="539"/>
      <c r="J307" s="539"/>
      <c r="K307" s="539"/>
      <c r="L307" s="539"/>
      <c r="M307" s="539"/>
      <c r="N307" s="539"/>
      <c r="O307" s="539"/>
      <c r="P307" s="278"/>
      <c r="Q307" s="539"/>
      <c r="R307" s="539"/>
      <c r="S307" s="539"/>
      <c r="T307" s="539"/>
      <c r="U307" s="539"/>
      <c r="V307" s="539"/>
      <c r="W307" s="539"/>
      <c r="X307" s="539"/>
      <c r="Y307" s="539"/>
      <c r="Z307" s="539"/>
      <c r="AA307" s="539"/>
      <c r="AB307" s="539"/>
      <c r="AC307" s="539"/>
      <c r="AD307" s="43"/>
      <c r="AE307" s="43"/>
      <c r="AF307" s="238"/>
      <c r="AG307" s="43"/>
      <c r="AH307" s="43"/>
      <c r="AI307" s="238"/>
      <c r="AJ307" s="238"/>
      <c r="AK307" s="238"/>
      <c r="AL307" s="238"/>
      <c r="AM307" s="197">
        <f>IF(AQ307=1,SUM(H307:I307,L307:O307,R307:U307,X307:AA307,AD307:AG307,AI307:AK307),
IF(AQ307=2,SUM(H307:K307,N307:Q307,T307:W307,Z307:AC307,AF307:AI307),
IF(AQ307=3,SUM(J307:M307,P307:S307,V307:Y307,AB307:AE307,AH307:AK307),SUM(Таблица1[[#This Row],[1]:[31]])-Таблица1[[#This Row],[Столбец1]])))</f>
        <v>0</v>
      </c>
      <c r="AN307" s="269">
        <f t="array" ref="AN307">IF(AQ307=1,SUM(J307:K307,P307:Q307,V307:W307,AB307:AC307,AH307:AI307),
IF(AQ307=2,SUM(L307:M307,R307:S307,X307:Y307,AD307:AE307),
IF(AQ307=3,SUM(H307:I307,N307:O307,T307:U307,Z307:AA307,AF307:AG307),
SUM(IFERROR(WEEKDAY($H$2:$AL$2,2)&gt;5,)*H307:AL307))))</f>
        <v>0</v>
      </c>
      <c r="AO307" s="271" t="b">
        <f>IF(AR307&lt;=3,(IF((G307="5/24"),((база!$M$6*Таблица1[[#This Row],[сумма]]*Таблица1[[#This Row],[коэф]])),
IF((G307="4/24"),((база!$M$5*Таблица1[[#This Row],[сумма]]*Таблица1[[#This Row],[коэф]])),
IF((G307="3/24"),((база!$M$4*Таблица1[[#This Row],[сумма]]*Таблица1[[#This Row],[коэф]])),
IF((G307="5/16"),((база!$L$6*Таблица1[[#This Row],[сумма]]*Таблица1[[#This Row],[коэф]])),
IF((G307="4/16"),((база!$L$5*Таблица1[[#This Row],[сумма]]*Таблица1[[#This Row],[коэф]])),
IF((G307="3/16"),((база!$L$4*Таблица1[[#This Row],[сумма]]*Таблица1[[#This Row],[коэф]])),
IF((G307="4/4"),((база!$I$5*Таблица1[[#This Row],[сумма]]*Таблица1[[#This Row],[коэф]])),
IF(OR(G307="2/4",G307="3/4"),((база!$I$4*Таблица1[[#This Row],[сумма]]*Таблица1[[#This Row],[коэф]])),
IF((G307="5/8"),((база!$J$6*Таблица1[[#This Row],[сумма]]*Таблица1[[#This Row],[коэф]])),
IF((G307="4/8"),((база!$J$5*Таблица1[[#This Row],[сумма]]*Таблица1[[#This Row],[коэф]])),
IF(OR(G307="3/8",G307="2/8"),((база!$J$4*Таблица1[[#This Row],[сумма]]*Таблица1[[#This Row],[коэф]])))))))))))))),
(IF((G307="5/24"),((база!$M$6*Таблица1[[#This Row],[сумма]]*Таблица1[[#This Row],[коэф]])),
IF(OR(G307="4/24",G307="3/24"),((база!$M$5*Таблица1[[#This Row],[сумма]]*Таблица1[[#This Row],[коэф]])),
IF((G307="5/16"),((база!$L$6*Таблица1[[#This Row],[сумма]]*Таблица1[[#This Row],[коэф]])),
IF(OR(G307="4/16",G307="3/16"),((база!$L$5*Таблица1[[#This Row],[сумма]]*Таблица1[[#This Row],[коэф]])),
IF(OR(G307="2/4",G307="3/4",G307="4/4"),((база!$I$5*Таблица1[[#This Row],[сумма]]*Таблица1[[#This Row],[коэф]])),
IF((G307="5/8"),((база!$J$6*Таблица1[[#This Row],[сумма]]*Таблица1[[#This Row],[коэф]])),
IF(OR(G307="4/8",G307="3/8",G307="2/8"),((база!$J$5*Таблица1[[#This Row],[сумма]]*Таблица1[[#This Row],[коэф]])))))))))))</f>
        <v>0</v>
      </c>
      <c r="AP307" s="696" t="b">
        <f>IF(AR307&lt;=3,(IF((G307="5/24"),((база!$M$6*2*Таблица1[[#This Row],[Столбец1]]*Таблица1[[#This Row],[коэф]])),
IF((G307="4/24"),((база!$M$5*2*Таблица1[[#This Row],[Столбец1]]*Таблица1[[#This Row],[коэф]])),
IF((G307="3/24"),((база!$M$4*2*Таблица1[[#This Row],[Столбец1]]*Таблица1[[#This Row],[коэф]])),
IF((G307="5/16"),((база!$L$6*2*Таблица1[[#This Row],[Столбец1]]*Таблица1[[#This Row],[коэф]])),
IF((G307="4/16"),((база!$L$5*2*Таблица1[[#This Row],[Столбец1]]*Таблица1[[#This Row],[коэф]])),
IF((G307="3/16"),((база!$L$4*2*Таблица1[[#This Row],[Столбец1]]*Таблица1[[#This Row],[коэф]])),
IF((G307="4/4"),((база!$I$5*2*Таблица1[[#This Row],[Столбец1]]*Таблица1[[#This Row],[коэф]])),
IF(OR(G307="2/4",G307="3/4"),((база!$I$4*2*Таблица1[[#This Row],[Столбец1]]*Таблица1[[#This Row],[коэф]])),
IF((G307="5/8"),((база!$J$6*2*Таблица1[[#This Row],[Столбец1]]*Таблица1[[#This Row],[коэф]])),
IF((G307="4/8"),((база!$J$5*2*Таблица1[[#This Row],[Столбец1]]*Таблица1[[#This Row],[коэф]])),
IF(OR(G307="3/8",G307="2/8"),((база!$J$4*2*Таблица1[[#This Row],[Столбец1]]*Таблица1[[#This Row],[коэф]])))))))))))))),
(IF((G307="5/24"),((база!$M$6*2*Таблица1[[#This Row],[Столбец1]]*Таблица1[[#This Row],[коэф]])),
IF(OR(G307="4/24",G307="3/24"),((база!$M$5*2*Таблица1[[#This Row],[Столбец1]]*Таблица1[[#This Row],[коэф]])),
IF((G307="5/16"),((база!$L$6*2*Таблица1[[#This Row],[Столбец1]]*Таблица1[[#This Row],[коэф]])),
IF(OR(G307="4/16",G307="3/16"),((база!$L$5*2*Таблица1[[#This Row],[Столбец1]]*Таблица1[[#This Row],[коэф]])),
IF(OR(G307="2/4",G307="3/4",G307="4/4"),((база!$I$5*2*Таблица1[[#This Row],[Столбец1]]*Таблица1[[#This Row],[коэф]])),
IF((G307="5/8"),((база!$J$6*2*Таблица1[[#This Row],[Столбец1]]*Таблица1[[#This Row],[коэф]])),
IF(OR(G307="4/8",G307="3/8",G307="2/8"),((база!$J$5*2*Таблица1[[#This Row],[Столбец1]]*Таблица1[[#This Row],[коэф]])))))))))))</f>
        <v>0</v>
      </c>
      <c r="AQ307" s="678" t="str">
        <f>IFERROR(INDEX(база!T:T, MATCH(F307,база!Q:Q,0)),"")</f>
        <v/>
      </c>
      <c r="AR307" s="193">
        <f>IFERROR(INDEX(база!D:D, MATCH(F307,база!B:B,0)),"")</f>
        <v>0</v>
      </c>
    </row>
    <row r="308" spans="1:44" ht="15">
      <c r="A308" s="59"/>
      <c r="B308" s="215"/>
      <c r="C308" s="54"/>
      <c r="D308" s="55"/>
      <c r="E308" s="196"/>
      <c r="F308" s="651"/>
      <c r="G308" s="42"/>
      <c r="H308" s="539"/>
      <c r="I308" s="539"/>
      <c r="J308" s="539"/>
      <c r="K308" s="539"/>
      <c r="L308" s="539"/>
      <c r="M308" s="539"/>
      <c r="N308" s="539"/>
      <c r="O308" s="539"/>
      <c r="P308" s="278"/>
      <c r="Q308" s="539"/>
      <c r="R308" s="539"/>
      <c r="S308" s="539"/>
      <c r="T308" s="539"/>
      <c r="U308" s="539"/>
      <c r="V308" s="539"/>
      <c r="W308" s="539"/>
      <c r="X308" s="539"/>
      <c r="Y308" s="539"/>
      <c r="Z308" s="539"/>
      <c r="AA308" s="539"/>
      <c r="AB308" s="539"/>
      <c r="AC308" s="539"/>
      <c r="AD308" s="43"/>
      <c r="AE308" s="43"/>
      <c r="AF308" s="238"/>
      <c r="AG308" s="43"/>
      <c r="AH308" s="43"/>
      <c r="AI308" s="43"/>
      <c r="AJ308" s="43"/>
      <c r="AK308" s="43"/>
      <c r="AL308" s="45"/>
      <c r="AM308" s="197">
        <f>IF(AQ308=1,SUM(H308:I308,L308:O308,R308:U308,X308:AA308,AD308:AG308,AI308:AK308),
IF(AQ308=2,SUM(H308:K308,N308:Q308,T308:W308,Z308:AC308,AF308:AI308),
IF(AQ308=3,SUM(J308:M308,P308:S308,V308:Y308,AB308:AE308,AH308:AK308),SUM(Таблица1[[#This Row],[1]:[31]])-Таблица1[[#This Row],[Столбец1]])))</f>
        <v>0</v>
      </c>
      <c r="AN308" s="269">
        <f t="array" ref="AN308">IF(AQ308=1,SUM(J308:K308,P308:Q308,V308:W308,AB308:AC308,AH308:AI308),
IF(AQ308=2,SUM(L308:M308,R308:S308,X308:Y308,AD308:AE308),
IF(AQ308=3,SUM(H308:I308,N308:O308,T308:U308,Z308:AA308,AF308:AG308),
SUM(IFERROR(WEEKDAY($H$2:$AL$2,2)&gt;5,)*H308:AL308))))</f>
        <v>0</v>
      </c>
      <c r="AO308" s="271" t="b">
        <f>IF(AR308&lt;=3,(IF((G308="5/24"),((база!$M$6*Таблица1[[#This Row],[сумма]]*Таблица1[[#This Row],[коэф]])),
IF((G308="4/24"),((база!$M$5*Таблица1[[#This Row],[сумма]]*Таблица1[[#This Row],[коэф]])),
IF((G308="3/24"),((база!$M$4*Таблица1[[#This Row],[сумма]]*Таблица1[[#This Row],[коэф]])),
IF((G308="5/16"),((база!$L$6*Таблица1[[#This Row],[сумма]]*Таблица1[[#This Row],[коэф]])),
IF((G308="4/16"),((база!$L$5*Таблица1[[#This Row],[сумма]]*Таблица1[[#This Row],[коэф]])),
IF((G308="3/16"),((база!$L$4*Таблица1[[#This Row],[сумма]]*Таблица1[[#This Row],[коэф]])),
IF((G308="4/4"),((база!$I$5*Таблица1[[#This Row],[сумма]]*Таблица1[[#This Row],[коэф]])),
IF(OR(G308="2/4",G308="3/4"),((база!$I$4*Таблица1[[#This Row],[сумма]]*Таблица1[[#This Row],[коэф]])),
IF((G308="5/8"),((база!$J$6*Таблица1[[#This Row],[сумма]]*Таблица1[[#This Row],[коэф]])),
IF((G308="4/8"),((база!$J$5*Таблица1[[#This Row],[сумма]]*Таблица1[[#This Row],[коэф]])),
IF(OR(G308="3/8",G308="2/8"),((база!$J$4*Таблица1[[#This Row],[сумма]]*Таблица1[[#This Row],[коэф]])))))))))))))),
(IF((G308="5/24"),((база!$M$6*Таблица1[[#This Row],[сумма]]*Таблица1[[#This Row],[коэф]])),
IF(OR(G308="4/24",G308="3/24"),((база!$M$5*Таблица1[[#This Row],[сумма]]*Таблица1[[#This Row],[коэф]])),
IF((G308="5/16"),((база!$L$6*Таблица1[[#This Row],[сумма]]*Таблица1[[#This Row],[коэф]])),
IF(OR(G308="4/16",G308="3/16"),((база!$L$5*Таблица1[[#This Row],[сумма]]*Таблица1[[#This Row],[коэф]])),
IF(OR(G308="2/4",G308="3/4",G308="4/4"),((база!$I$5*Таблица1[[#This Row],[сумма]]*Таблица1[[#This Row],[коэф]])),
IF((G308="5/8"),((база!$J$6*Таблица1[[#This Row],[сумма]]*Таблица1[[#This Row],[коэф]])),
IF(OR(G308="4/8",G308="3/8",G308="2/8"),((база!$J$5*Таблица1[[#This Row],[сумма]]*Таблица1[[#This Row],[коэф]])))))))))))</f>
        <v>0</v>
      </c>
      <c r="AP308" s="696" t="b">
        <f>IF(AR308&lt;=3,(IF((G308="5/24"),((база!$M$6*2*Таблица1[[#This Row],[Столбец1]]*Таблица1[[#This Row],[коэф]])),
IF((G308="4/24"),((база!$M$5*2*Таблица1[[#This Row],[Столбец1]]*Таблица1[[#This Row],[коэф]])),
IF((G308="3/24"),((база!$M$4*2*Таблица1[[#This Row],[Столбец1]]*Таблица1[[#This Row],[коэф]])),
IF((G308="5/16"),((база!$L$6*2*Таблица1[[#This Row],[Столбец1]]*Таблица1[[#This Row],[коэф]])),
IF((G308="4/16"),((база!$L$5*2*Таблица1[[#This Row],[Столбец1]]*Таблица1[[#This Row],[коэф]])),
IF((G308="3/16"),((база!$L$4*2*Таблица1[[#This Row],[Столбец1]]*Таблица1[[#This Row],[коэф]])),
IF((G308="4/4"),((база!$I$5*2*Таблица1[[#This Row],[Столбец1]]*Таблица1[[#This Row],[коэф]])),
IF(OR(G308="2/4",G308="3/4"),((база!$I$4*2*Таблица1[[#This Row],[Столбец1]]*Таблица1[[#This Row],[коэф]])),
IF((G308="5/8"),((база!$J$6*2*Таблица1[[#This Row],[Столбец1]]*Таблица1[[#This Row],[коэф]])),
IF((G308="4/8"),((база!$J$5*2*Таблица1[[#This Row],[Столбец1]]*Таблица1[[#This Row],[коэф]])),
IF(OR(G308="3/8",G308="2/8"),((база!$J$4*2*Таблица1[[#This Row],[Столбец1]]*Таблица1[[#This Row],[коэф]])))))))))))))),
(IF((G308="5/24"),((база!$M$6*2*Таблица1[[#This Row],[Столбец1]]*Таблица1[[#This Row],[коэф]])),
IF(OR(G308="4/24",G308="3/24"),((база!$M$5*2*Таблица1[[#This Row],[Столбец1]]*Таблица1[[#This Row],[коэф]])),
IF((G308="5/16"),((база!$L$6*2*Таблица1[[#This Row],[Столбец1]]*Таблица1[[#This Row],[коэф]])),
IF(OR(G308="4/16",G308="3/16"),((база!$L$5*2*Таблица1[[#This Row],[Столбец1]]*Таблица1[[#This Row],[коэф]])),
IF(OR(G308="2/4",G308="3/4",G308="4/4"),((база!$I$5*2*Таблица1[[#This Row],[Столбец1]]*Таблица1[[#This Row],[коэф]])),
IF((G308="5/8"),((база!$J$6*2*Таблица1[[#This Row],[Столбец1]]*Таблица1[[#This Row],[коэф]])),
IF(OR(G308="4/8",G308="3/8",G308="2/8"),((база!$J$5*2*Таблица1[[#This Row],[Столбец1]]*Таблица1[[#This Row],[коэф]])))))))))))</f>
        <v>0</v>
      </c>
      <c r="AQ308" s="678" t="str">
        <f>IFERROR(INDEX(база!T:T, MATCH(F308,база!Q:Q,0)),"")</f>
        <v/>
      </c>
      <c r="AR308" s="193">
        <f>IFERROR(INDEX(база!D:D, MATCH(F308,база!B:B,0)),"")</f>
        <v>0</v>
      </c>
    </row>
    <row r="309" spans="1:44" ht="15">
      <c r="A309" s="59"/>
      <c r="B309" s="215"/>
      <c r="C309" s="277"/>
      <c r="D309" s="55"/>
      <c r="E309" s="196"/>
      <c r="F309" s="651"/>
      <c r="G309" s="42"/>
      <c r="H309" s="539"/>
      <c r="I309" s="539"/>
      <c r="J309" s="539"/>
      <c r="K309" s="539"/>
      <c r="L309" s="539"/>
      <c r="M309" s="539"/>
      <c r="N309" s="539"/>
      <c r="O309" s="539"/>
      <c r="P309" s="278"/>
      <c r="Q309" s="539"/>
      <c r="R309" s="539"/>
      <c r="S309" s="539"/>
      <c r="T309" s="539"/>
      <c r="U309" s="539"/>
      <c r="V309" s="539"/>
      <c r="W309" s="539"/>
      <c r="X309" s="539"/>
      <c r="Y309" s="539"/>
      <c r="Z309" s="539"/>
      <c r="AA309" s="539"/>
      <c r="AB309" s="539"/>
      <c r="AC309" s="539"/>
      <c r="AD309" s="43"/>
      <c r="AE309" s="43"/>
      <c r="AF309" s="238"/>
      <c r="AG309" s="43"/>
      <c r="AH309" s="43"/>
      <c r="AI309" s="238"/>
      <c r="AJ309" s="238"/>
      <c r="AK309" s="238"/>
      <c r="AL309" s="238"/>
      <c r="AM309" s="197">
        <f>IF(AQ309=1,SUM(H309:I309,L309:O309,R309:U309,X309:AA309,AD309:AG309,AI309:AK309),
IF(AQ309=2,SUM(H309:K309,N309:Q309,T309:W309,Z309:AC309,AF309:AI309),
IF(AQ309=3,SUM(J309:M309,P309:S309,V309:Y309,AB309:AE309,AH309:AK309),SUM(Таблица1[[#This Row],[1]:[31]])-Таблица1[[#This Row],[Столбец1]])))</f>
        <v>0</v>
      </c>
      <c r="AN309" s="269">
        <f t="array" ref="AN309">IF(AQ309=1,SUM(J309:K309,P309:Q309,V309:W309,AB309:AC309,AH309:AI309),
IF(AQ309=2,SUM(L309:M309,R309:S309,X309:Y309,AD309:AE309),
IF(AQ309=3,SUM(H309:I309,N309:O309,T309:U309,Z309:AA309,AF309:AG309),
SUM(IFERROR(WEEKDAY($H$2:$AL$2,2)&gt;5,)*H309:AL309))))</f>
        <v>0</v>
      </c>
      <c r="AO309" s="271" t="b">
        <f>IF(AR309&lt;=3,(IF((G309="5/24"),((база!$M$6*Таблица1[[#This Row],[сумма]]*Таблица1[[#This Row],[коэф]])),
IF((G309="4/24"),((база!$M$5*Таблица1[[#This Row],[сумма]]*Таблица1[[#This Row],[коэф]])),
IF((G309="3/24"),((база!$M$4*Таблица1[[#This Row],[сумма]]*Таблица1[[#This Row],[коэф]])),
IF((G309="5/16"),((база!$L$6*Таблица1[[#This Row],[сумма]]*Таблица1[[#This Row],[коэф]])),
IF((G309="4/16"),((база!$L$5*Таблица1[[#This Row],[сумма]]*Таблица1[[#This Row],[коэф]])),
IF((G309="3/16"),((база!$L$4*Таблица1[[#This Row],[сумма]]*Таблица1[[#This Row],[коэф]])),
IF((G309="4/4"),((база!$I$5*Таблица1[[#This Row],[сумма]]*Таблица1[[#This Row],[коэф]])),
IF(OR(G309="2/4",G309="3/4"),((база!$I$4*Таблица1[[#This Row],[сумма]]*Таблица1[[#This Row],[коэф]])),
IF((G309="5/8"),((база!$J$6*Таблица1[[#This Row],[сумма]]*Таблица1[[#This Row],[коэф]])),
IF((G309="4/8"),((база!$J$5*Таблица1[[#This Row],[сумма]]*Таблица1[[#This Row],[коэф]])),
IF(OR(G309="3/8",G309="2/8"),((база!$J$4*Таблица1[[#This Row],[сумма]]*Таблица1[[#This Row],[коэф]])))))))))))))),
(IF((G309="5/24"),((база!$M$6*Таблица1[[#This Row],[сумма]]*Таблица1[[#This Row],[коэф]])),
IF(OR(G309="4/24",G309="3/24"),((база!$M$5*Таблица1[[#This Row],[сумма]]*Таблица1[[#This Row],[коэф]])),
IF((G309="5/16"),((база!$L$6*Таблица1[[#This Row],[сумма]]*Таблица1[[#This Row],[коэф]])),
IF(OR(G309="4/16",G309="3/16"),((база!$L$5*Таблица1[[#This Row],[сумма]]*Таблица1[[#This Row],[коэф]])),
IF(OR(G309="2/4",G309="3/4",G309="4/4"),((база!$I$5*Таблица1[[#This Row],[сумма]]*Таблица1[[#This Row],[коэф]])),
IF((G309="5/8"),((база!$J$6*Таблица1[[#This Row],[сумма]]*Таблица1[[#This Row],[коэф]])),
IF(OR(G309="4/8",G309="3/8",G309="2/8"),((база!$J$5*Таблица1[[#This Row],[сумма]]*Таблица1[[#This Row],[коэф]])))))))))))</f>
        <v>0</v>
      </c>
      <c r="AP309" s="696" t="b">
        <f>IF(AR309&lt;=3,(IF((G309="5/24"),((база!$M$6*2*Таблица1[[#This Row],[Столбец1]]*Таблица1[[#This Row],[коэф]])),
IF((G309="4/24"),((база!$M$5*2*Таблица1[[#This Row],[Столбец1]]*Таблица1[[#This Row],[коэф]])),
IF((G309="3/24"),((база!$M$4*2*Таблица1[[#This Row],[Столбец1]]*Таблица1[[#This Row],[коэф]])),
IF((G309="5/16"),((база!$L$6*2*Таблица1[[#This Row],[Столбец1]]*Таблица1[[#This Row],[коэф]])),
IF((G309="4/16"),((база!$L$5*2*Таблица1[[#This Row],[Столбец1]]*Таблица1[[#This Row],[коэф]])),
IF((G309="3/16"),((база!$L$4*2*Таблица1[[#This Row],[Столбец1]]*Таблица1[[#This Row],[коэф]])),
IF((G309="4/4"),((база!$I$5*2*Таблица1[[#This Row],[Столбец1]]*Таблица1[[#This Row],[коэф]])),
IF(OR(G309="2/4",G309="3/4"),((база!$I$4*2*Таблица1[[#This Row],[Столбец1]]*Таблица1[[#This Row],[коэф]])),
IF((G309="5/8"),((база!$J$6*2*Таблица1[[#This Row],[Столбец1]]*Таблица1[[#This Row],[коэф]])),
IF((G309="4/8"),((база!$J$5*2*Таблица1[[#This Row],[Столбец1]]*Таблица1[[#This Row],[коэф]])),
IF(OR(G309="3/8",G309="2/8"),((база!$J$4*2*Таблица1[[#This Row],[Столбец1]]*Таблица1[[#This Row],[коэф]])))))))))))))),
(IF((G309="5/24"),((база!$M$6*2*Таблица1[[#This Row],[Столбец1]]*Таблица1[[#This Row],[коэф]])),
IF(OR(G309="4/24",G309="3/24"),((база!$M$5*2*Таблица1[[#This Row],[Столбец1]]*Таблица1[[#This Row],[коэф]])),
IF((G309="5/16"),((база!$L$6*2*Таблица1[[#This Row],[Столбец1]]*Таблица1[[#This Row],[коэф]])),
IF(OR(G309="4/16",G309="3/16"),((база!$L$5*2*Таблица1[[#This Row],[Столбец1]]*Таблица1[[#This Row],[коэф]])),
IF(OR(G309="2/4",G309="3/4",G309="4/4"),((база!$I$5*2*Таблица1[[#This Row],[Столбец1]]*Таблица1[[#This Row],[коэф]])),
IF((G309="5/8"),((база!$J$6*2*Таблица1[[#This Row],[Столбец1]]*Таблица1[[#This Row],[коэф]])),
IF(OR(G309="4/8",G309="3/8",G309="2/8"),((база!$J$5*2*Таблица1[[#This Row],[Столбец1]]*Таблица1[[#This Row],[коэф]])))))))))))</f>
        <v>0</v>
      </c>
      <c r="AQ309" s="678" t="str">
        <f>IFERROR(INDEX(база!T:T, MATCH(F309,база!Q:Q,0)),"")</f>
        <v/>
      </c>
      <c r="AR309" s="193">
        <f>IFERROR(INDEX(база!D:D, MATCH(F309,база!B:B,0)),"")</f>
        <v>0</v>
      </c>
    </row>
    <row r="310" spans="1:44" ht="15">
      <c r="A310" s="59"/>
      <c r="B310" s="215"/>
      <c r="C310" s="54"/>
      <c r="D310" s="55"/>
      <c r="E310" s="196"/>
      <c r="F310" s="651"/>
      <c r="G310" s="42"/>
      <c r="H310" s="539"/>
      <c r="I310" s="539"/>
      <c r="J310" s="539"/>
      <c r="K310" s="539"/>
      <c r="L310" s="539"/>
      <c r="M310" s="539"/>
      <c r="N310" s="539"/>
      <c r="O310" s="539"/>
      <c r="P310" s="278"/>
      <c r="Q310" s="539"/>
      <c r="R310" s="539"/>
      <c r="S310" s="539"/>
      <c r="T310" s="539"/>
      <c r="U310" s="539"/>
      <c r="V310" s="539"/>
      <c r="W310" s="539"/>
      <c r="X310" s="539"/>
      <c r="Y310" s="539"/>
      <c r="Z310" s="539"/>
      <c r="AA310" s="539"/>
      <c r="AB310" s="539"/>
      <c r="AC310" s="539"/>
      <c r="AD310" s="43"/>
      <c r="AE310" s="43"/>
      <c r="AF310" s="238"/>
      <c r="AG310" s="43"/>
      <c r="AH310" s="43"/>
      <c r="AI310" s="43"/>
      <c r="AJ310" s="43"/>
      <c r="AK310" s="43"/>
      <c r="AL310" s="45"/>
      <c r="AM310" s="197">
        <f>IF(AQ310=1,SUM(H310:I310,L310:O310,R310:U310,X310:AA310,AD310:AG310,AI310:AK310),
IF(AQ310=2,SUM(H310:K310,N310:Q310,T310:W310,Z310:AC310,AF310:AI310),
IF(AQ310=3,SUM(J310:M310,P310:S310,V310:Y310,AB310:AE310,AH310:AK310),SUM(Таблица1[[#This Row],[1]:[31]])-Таблица1[[#This Row],[Столбец1]])))</f>
        <v>0</v>
      </c>
      <c r="AN310" s="269">
        <f t="array" ref="AN310">IF(AQ310=1,SUM(J310:K310,P310:Q310,V310:W310,AB310:AC310,AH310:AI310),
IF(AQ310=2,SUM(L310:M310,R310:S310,X310:Y310,AD310:AE310),
IF(AQ310=3,SUM(H310:I310,N310:O310,T310:U310,Z310:AA310,AF310:AG310),
SUM(IFERROR(WEEKDAY($H$2:$AL$2,2)&gt;5,)*H310:AL310))))</f>
        <v>0</v>
      </c>
      <c r="AO310" s="271" t="b">
        <f>IF(AR310&lt;=3,(IF((G310="5/24"),((база!$M$6*Таблица1[[#This Row],[сумма]]*Таблица1[[#This Row],[коэф]])),
IF((G310="4/24"),((база!$M$5*Таблица1[[#This Row],[сумма]]*Таблица1[[#This Row],[коэф]])),
IF((G310="3/24"),((база!$M$4*Таблица1[[#This Row],[сумма]]*Таблица1[[#This Row],[коэф]])),
IF((G310="5/16"),((база!$L$6*Таблица1[[#This Row],[сумма]]*Таблица1[[#This Row],[коэф]])),
IF((G310="4/16"),((база!$L$5*Таблица1[[#This Row],[сумма]]*Таблица1[[#This Row],[коэф]])),
IF((G310="3/16"),((база!$L$4*Таблица1[[#This Row],[сумма]]*Таблица1[[#This Row],[коэф]])),
IF((G310="4/4"),((база!$I$5*Таблица1[[#This Row],[сумма]]*Таблица1[[#This Row],[коэф]])),
IF(OR(G310="2/4",G310="3/4"),((база!$I$4*Таблица1[[#This Row],[сумма]]*Таблица1[[#This Row],[коэф]])),
IF((G310="5/8"),((база!$J$6*Таблица1[[#This Row],[сумма]]*Таблица1[[#This Row],[коэф]])),
IF((G310="4/8"),((база!$J$5*Таблица1[[#This Row],[сумма]]*Таблица1[[#This Row],[коэф]])),
IF(OR(G310="3/8",G310="2/8"),((база!$J$4*Таблица1[[#This Row],[сумма]]*Таблица1[[#This Row],[коэф]])))))))))))))),
(IF((G310="5/24"),((база!$M$6*Таблица1[[#This Row],[сумма]]*Таблица1[[#This Row],[коэф]])),
IF(OR(G310="4/24",G310="3/24"),((база!$M$5*Таблица1[[#This Row],[сумма]]*Таблица1[[#This Row],[коэф]])),
IF((G310="5/16"),((база!$L$6*Таблица1[[#This Row],[сумма]]*Таблица1[[#This Row],[коэф]])),
IF(OR(G310="4/16",G310="3/16"),((база!$L$5*Таблица1[[#This Row],[сумма]]*Таблица1[[#This Row],[коэф]])),
IF(OR(G310="2/4",G310="3/4",G310="4/4"),((база!$I$5*Таблица1[[#This Row],[сумма]]*Таблица1[[#This Row],[коэф]])),
IF((G310="5/8"),((база!$J$6*Таблица1[[#This Row],[сумма]]*Таблица1[[#This Row],[коэф]])),
IF(OR(G310="4/8",G310="3/8",G310="2/8"),((база!$J$5*Таблица1[[#This Row],[сумма]]*Таблица1[[#This Row],[коэф]])))))))))))</f>
        <v>0</v>
      </c>
      <c r="AP310" s="696" t="b">
        <f>IF(AR310&lt;=3,(IF((G310="5/24"),((база!$M$6*2*Таблица1[[#This Row],[Столбец1]]*Таблица1[[#This Row],[коэф]])),
IF((G310="4/24"),((база!$M$5*2*Таблица1[[#This Row],[Столбец1]]*Таблица1[[#This Row],[коэф]])),
IF((G310="3/24"),((база!$M$4*2*Таблица1[[#This Row],[Столбец1]]*Таблица1[[#This Row],[коэф]])),
IF((G310="5/16"),((база!$L$6*2*Таблица1[[#This Row],[Столбец1]]*Таблица1[[#This Row],[коэф]])),
IF((G310="4/16"),((база!$L$5*2*Таблица1[[#This Row],[Столбец1]]*Таблица1[[#This Row],[коэф]])),
IF((G310="3/16"),((база!$L$4*2*Таблица1[[#This Row],[Столбец1]]*Таблица1[[#This Row],[коэф]])),
IF((G310="4/4"),((база!$I$5*2*Таблица1[[#This Row],[Столбец1]]*Таблица1[[#This Row],[коэф]])),
IF(OR(G310="2/4",G310="3/4"),((база!$I$4*2*Таблица1[[#This Row],[Столбец1]]*Таблица1[[#This Row],[коэф]])),
IF((G310="5/8"),((база!$J$6*2*Таблица1[[#This Row],[Столбец1]]*Таблица1[[#This Row],[коэф]])),
IF((G310="4/8"),((база!$J$5*2*Таблица1[[#This Row],[Столбец1]]*Таблица1[[#This Row],[коэф]])),
IF(OR(G310="3/8",G310="2/8"),((база!$J$4*2*Таблица1[[#This Row],[Столбец1]]*Таблица1[[#This Row],[коэф]])))))))))))))),
(IF((G310="5/24"),((база!$M$6*2*Таблица1[[#This Row],[Столбец1]]*Таблица1[[#This Row],[коэф]])),
IF(OR(G310="4/24",G310="3/24"),((база!$M$5*2*Таблица1[[#This Row],[Столбец1]]*Таблица1[[#This Row],[коэф]])),
IF((G310="5/16"),((база!$L$6*2*Таблица1[[#This Row],[Столбец1]]*Таблица1[[#This Row],[коэф]])),
IF(OR(G310="4/16",G310="3/16"),((база!$L$5*2*Таблица1[[#This Row],[Столбец1]]*Таблица1[[#This Row],[коэф]])),
IF(OR(G310="2/4",G310="3/4",G310="4/4"),((база!$I$5*2*Таблица1[[#This Row],[Столбец1]]*Таблица1[[#This Row],[коэф]])),
IF((G310="5/8"),((база!$J$6*2*Таблица1[[#This Row],[Столбец1]]*Таблица1[[#This Row],[коэф]])),
IF(OR(G310="4/8",G310="3/8",G310="2/8"),((база!$J$5*2*Таблица1[[#This Row],[Столбец1]]*Таблица1[[#This Row],[коэф]])))))))))))</f>
        <v>0</v>
      </c>
      <c r="AQ310" s="678" t="str">
        <f>IFERROR(INDEX(база!T:T, MATCH(F310,база!Q:Q,0)),"")</f>
        <v/>
      </c>
      <c r="AR310" s="193">
        <f>IFERROR(INDEX(база!D:D, MATCH(F310,база!B:B,0)),"")</f>
        <v>0</v>
      </c>
    </row>
    <row r="311" spans="1:44" ht="15">
      <c r="A311" s="59"/>
      <c r="B311" s="215"/>
      <c r="C311" s="54"/>
      <c r="D311" s="55"/>
      <c r="E311" s="196"/>
      <c r="F311" s="651"/>
      <c r="G311" s="42"/>
      <c r="H311" s="539"/>
      <c r="I311" s="539"/>
      <c r="J311" s="539"/>
      <c r="K311" s="539"/>
      <c r="L311" s="539"/>
      <c r="M311" s="539"/>
      <c r="N311" s="539"/>
      <c r="O311" s="539"/>
      <c r="P311" s="278"/>
      <c r="Q311" s="539"/>
      <c r="R311" s="539"/>
      <c r="S311" s="539"/>
      <c r="T311" s="539"/>
      <c r="U311" s="539"/>
      <c r="V311" s="539"/>
      <c r="W311" s="539"/>
      <c r="X311" s="539"/>
      <c r="Y311" s="539"/>
      <c r="Z311" s="539"/>
      <c r="AA311" s="539"/>
      <c r="AB311" s="539"/>
      <c r="AC311" s="539"/>
      <c r="AD311" s="539"/>
      <c r="AE311" s="539"/>
      <c r="AF311" s="539"/>
      <c r="AG311" s="539"/>
      <c r="AH311" s="43"/>
      <c r="AI311" s="238"/>
      <c r="AJ311" s="238"/>
      <c r="AK311" s="238"/>
      <c r="AL311" s="238"/>
      <c r="AM311" s="197">
        <f>IF(AQ311=1,SUM(H311:I311,L311:O311,R311:U311,X311:AA311,AD311:AG311,AI311:AK311),
IF(AQ311=2,SUM(H311:K311,N311:Q311,T311:W311,Z311:AC311,AF311:AI311),
IF(AQ311=3,SUM(J311:M311,P311:S311,V311:Y311,AB311:AE311,AH311:AK311),SUM(Таблица1[[#This Row],[1]:[31]])-Таблица1[[#This Row],[Столбец1]])))</f>
        <v>0</v>
      </c>
      <c r="AN311" s="269">
        <f t="array" ref="AN311">IF(AQ311=1,SUM(J311:K311,P311:Q311,V311:W311,AB311:AC311,AH311:AI311),
IF(AQ311=2,SUM(L311:M311,R311:S311,X311:Y311,AD311:AE311),
IF(AQ311=3,SUM(H311:I311,N311:O311,T311:U311,Z311:AA311,AF311:AG311),
SUM(IFERROR(WEEKDAY($H$2:$AL$2,2)&gt;5,)*H311:AL311))))</f>
        <v>0</v>
      </c>
      <c r="AO311" s="271" t="b">
        <f>IF(AR311&lt;=3,(IF((G311="5/24"),((база!$M$6*Таблица1[[#This Row],[сумма]]*Таблица1[[#This Row],[коэф]])),
IF((G311="4/24"),((база!$M$5*Таблица1[[#This Row],[сумма]]*Таблица1[[#This Row],[коэф]])),
IF((G311="3/24"),((база!$M$4*Таблица1[[#This Row],[сумма]]*Таблица1[[#This Row],[коэф]])),
IF((G311="5/16"),((база!$L$6*Таблица1[[#This Row],[сумма]]*Таблица1[[#This Row],[коэф]])),
IF((G311="4/16"),((база!$L$5*Таблица1[[#This Row],[сумма]]*Таблица1[[#This Row],[коэф]])),
IF((G311="3/16"),((база!$L$4*Таблица1[[#This Row],[сумма]]*Таблица1[[#This Row],[коэф]])),
IF((G311="4/4"),((база!$I$5*Таблица1[[#This Row],[сумма]]*Таблица1[[#This Row],[коэф]])),
IF(OR(G311="2/4",G311="3/4"),((база!$I$4*Таблица1[[#This Row],[сумма]]*Таблица1[[#This Row],[коэф]])),
IF((G311="5/8"),((база!$J$6*Таблица1[[#This Row],[сумма]]*Таблица1[[#This Row],[коэф]])),
IF((G311="4/8"),((база!$J$5*Таблица1[[#This Row],[сумма]]*Таблица1[[#This Row],[коэф]])),
IF(OR(G311="3/8",G311="2/8"),((база!$J$4*Таблица1[[#This Row],[сумма]]*Таблица1[[#This Row],[коэф]])))))))))))))),
(IF((G311="5/24"),((база!$M$6*Таблица1[[#This Row],[сумма]]*Таблица1[[#This Row],[коэф]])),
IF(OR(G311="4/24",G311="3/24"),((база!$M$5*Таблица1[[#This Row],[сумма]]*Таблица1[[#This Row],[коэф]])),
IF((G311="5/16"),((база!$L$6*Таблица1[[#This Row],[сумма]]*Таблица1[[#This Row],[коэф]])),
IF(OR(G311="4/16",G311="3/16"),((база!$L$5*Таблица1[[#This Row],[сумма]]*Таблица1[[#This Row],[коэф]])),
IF(OR(G311="2/4",G311="3/4",G311="4/4"),((база!$I$5*Таблица1[[#This Row],[сумма]]*Таблица1[[#This Row],[коэф]])),
IF((G311="5/8"),((база!$J$6*Таблица1[[#This Row],[сумма]]*Таблица1[[#This Row],[коэф]])),
IF(OR(G311="4/8",G311="3/8",G311="2/8"),((база!$J$5*Таблица1[[#This Row],[сумма]]*Таблица1[[#This Row],[коэф]])))))))))))</f>
        <v>0</v>
      </c>
      <c r="AP311" s="696" t="b">
        <f>IF(AR311&lt;=3,(IF((G311="5/24"),((база!$M$6*2*Таблица1[[#This Row],[Столбец1]]*Таблица1[[#This Row],[коэф]])),
IF((G311="4/24"),((база!$M$5*2*Таблица1[[#This Row],[Столбец1]]*Таблица1[[#This Row],[коэф]])),
IF((G311="3/24"),((база!$M$4*2*Таблица1[[#This Row],[Столбец1]]*Таблица1[[#This Row],[коэф]])),
IF((G311="5/16"),((база!$L$6*2*Таблица1[[#This Row],[Столбец1]]*Таблица1[[#This Row],[коэф]])),
IF((G311="4/16"),((база!$L$5*2*Таблица1[[#This Row],[Столбец1]]*Таблица1[[#This Row],[коэф]])),
IF((G311="3/16"),((база!$L$4*2*Таблица1[[#This Row],[Столбец1]]*Таблица1[[#This Row],[коэф]])),
IF((G311="4/4"),((база!$I$5*2*Таблица1[[#This Row],[Столбец1]]*Таблица1[[#This Row],[коэф]])),
IF(OR(G311="2/4",G311="3/4"),((база!$I$4*2*Таблица1[[#This Row],[Столбец1]]*Таблица1[[#This Row],[коэф]])),
IF((G311="5/8"),((база!$J$6*2*Таблица1[[#This Row],[Столбец1]]*Таблица1[[#This Row],[коэф]])),
IF((G311="4/8"),((база!$J$5*2*Таблица1[[#This Row],[Столбец1]]*Таблица1[[#This Row],[коэф]])),
IF(OR(G311="3/8",G311="2/8"),((база!$J$4*2*Таблица1[[#This Row],[Столбец1]]*Таблица1[[#This Row],[коэф]])))))))))))))),
(IF((G311="5/24"),((база!$M$6*2*Таблица1[[#This Row],[Столбец1]]*Таблица1[[#This Row],[коэф]])),
IF(OR(G311="4/24",G311="3/24"),((база!$M$5*2*Таблица1[[#This Row],[Столбец1]]*Таблица1[[#This Row],[коэф]])),
IF((G311="5/16"),((база!$L$6*2*Таблица1[[#This Row],[Столбец1]]*Таблица1[[#This Row],[коэф]])),
IF(OR(G311="4/16",G311="3/16"),((база!$L$5*2*Таблица1[[#This Row],[Столбец1]]*Таблица1[[#This Row],[коэф]])),
IF(OR(G311="2/4",G311="3/4",G311="4/4"),((база!$I$5*2*Таблица1[[#This Row],[Столбец1]]*Таблица1[[#This Row],[коэф]])),
IF((G311="5/8"),((база!$J$6*2*Таблица1[[#This Row],[Столбец1]]*Таблица1[[#This Row],[коэф]])),
IF(OR(G311="4/8",G311="3/8",G311="2/8"),((база!$J$5*2*Таблица1[[#This Row],[Столбец1]]*Таблица1[[#This Row],[коэф]])))))))))))</f>
        <v>0</v>
      </c>
      <c r="AQ311" s="678" t="str">
        <f>IFERROR(INDEX(база!T:T, MATCH(F311,база!Q:Q,0)),"")</f>
        <v/>
      </c>
      <c r="AR311" s="193">
        <f>IFERROR(INDEX(база!D:D, MATCH(F311,база!B:B,0)),"")</f>
        <v>0</v>
      </c>
    </row>
    <row r="312" spans="1:44" ht="15">
      <c r="A312" s="59"/>
      <c r="B312" s="215"/>
      <c r="C312" s="54"/>
      <c r="D312" s="55"/>
      <c r="E312" s="196"/>
      <c r="F312" s="651"/>
      <c r="G312" s="42"/>
      <c r="H312" s="539"/>
      <c r="I312" s="539"/>
      <c r="J312" s="539"/>
      <c r="K312" s="539"/>
      <c r="L312" s="539"/>
      <c r="M312" s="539"/>
      <c r="N312" s="539"/>
      <c r="O312" s="539"/>
      <c r="P312" s="278"/>
      <c r="Q312" s="539"/>
      <c r="R312" s="539"/>
      <c r="S312" s="539"/>
      <c r="T312" s="539"/>
      <c r="U312" s="539"/>
      <c r="V312" s="539"/>
      <c r="W312" s="539"/>
      <c r="X312" s="539"/>
      <c r="Y312" s="539"/>
      <c r="Z312" s="539"/>
      <c r="AA312" s="539"/>
      <c r="AB312" s="539"/>
      <c r="AC312" s="539"/>
      <c r="AD312" s="43"/>
      <c r="AE312" s="43"/>
      <c r="AF312" s="238"/>
      <c r="AG312" s="43"/>
      <c r="AH312" s="43"/>
      <c r="AI312" s="43"/>
      <c r="AJ312" s="43"/>
      <c r="AK312" s="43"/>
      <c r="AL312" s="43"/>
      <c r="AM312" s="197">
        <f>IF(AQ312=1,SUM(H312:I312,L312:O312,R312:U312,X312:AA312,AD312:AG312,AI312:AK312),
IF(AQ312=2,SUM(H312:K312,N312:Q312,T312:W312,Z312:AC312,AF312:AI312),
IF(AQ312=3,SUM(J312:M312,P312:S312,V312:Y312,AB312:AE312,AH312:AK312),SUM(Таблица1[[#This Row],[1]:[31]])-Таблица1[[#This Row],[Столбец1]])))</f>
        <v>0</v>
      </c>
      <c r="AN312" s="269">
        <f t="array" ref="AN312">IF(AQ312=1,SUM(J312:K312,P312:Q312,V312:W312,AB312:AC312,AH312:AI312),
IF(AQ312=2,SUM(L312:M312,R312:S312,X312:Y312,AD312:AE312),
IF(AQ312=3,SUM(H312:I312,N312:O312,T312:U312,Z312:AA312,AF312:AG312),
SUM(IFERROR(WEEKDAY($H$2:$AL$2,2)&gt;5,)*H312:AL312))))</f>
        <v>0</v>
      </c>
      <c r="AO312" s="271" t="b">
        <f>IF(AR312&lt;=3,(IF((G312="5/24"),((база!$M$6*Таблица1[[#This Row],[сумма]]*Таблица1[[#This Row],[коэф]])),
IF((G312="4/24"),((база!$M$5*Таблица1[[#This Row],[сумма]]*Таблица1[[#This Row],[коэф]])),
IF((G312="3/24"),((база!$M$4*Таблица1[[#This Row],[сумма]]*Таблица1[[#This Row],[коэф]])),
IF((G312="5/16"),((база!$L$6*Таблица1[[#This Row],[сумма]]*Таблица1[[#This Row],[коэф]])),
IF((G312="4/16"),((база!$L$5*Таблица1[[#This Row],[сумма]]*Таблица1[[#This Row],[коэф]])),
IF((G312="3/16"),((база!$L$4*Таблица1[[#This Row],[сумма]]*Таблица1[[#This Row],[коэф]])),
IF((G312="4/4"),((база!$I$5*Таблица1[[#This Row],[сумма]]*Таблица1[[#This Row],[коэф]])),
IF(OR(G312="2/4",G312="3/4"),((база!$I$4*Таблица1[[#This Row],[сумма]]*Таблица1[[#This Row],[коэф]])),
IF((G312="5/8"),((база!$J$6*Таблица1[[#This Row],[сумма]]*Таблица1[[#This Row],[коэф]])),
IF((G312="4/8"),((база!$J$5*Таблица1[[#This Row],[сумма]]*Таблица1[[#This Row],[коэф]])),
IF(OR(G312="3/8",G312="2/8"),((база!$J$4*Таблица1[[#This Row],[сумма]]*Таблица1[[#This Row],[коэф]])))))))))))))),
(IF((G312="5/24"),((база!$M$6*Таблица1[[#This Row],[сумма]]*Таблица1[[#This Row],[коэф]])),
IF(OR(G312="4/24",G312="3/24"),((база!$M$5*Таблица1[[#This Row],[сумма]]*Таблица1[[#This Row],[коэф]])),
IF((G312="5/16"),((база!$L$6*Таблица1[[#This Row],[сумма]]*Таблица1[[#This Row],[коэф]])),
IF(OR(G312="4/16",G312="3/16"),((база!$L$5*Таблица1[[#This Row],[сумма]]*Таблица1[[#This Row],[коэф]])),
IF(OR(G312="2/4",G312="3/4",G312="4/4"),((база!$I$5*Таблица1[[#This Row],[сумма]]*Таблица1[[#This Row],[коэф]])),
IF((G312="5/8"),((база!$J$6*Таблица1[[#This Row],[сумма]]*Таблица1[[#This Row],[коэф]])),
IF(OR(G312="4/8",G312="3/8",G312="2/8"),((база!$J$5*Таблица1[[#This Row],[сумма]]*Таблица1[[#This Row],[коэф]])))))))))))</f>
        <v>0</v>
      </c>
      <c r="AP312" s="696" t="b">
        <f>IF(AR312&lt;=3,(IF((G312="5/24"),((база!$M$6*2*Таблица1[[#This Row],[Столбец1]]*Таблица1[[#This Row],[коэф]])),
IF((G312="4/24"),((база!$M$5*2*Таблица1[[#This Row],[Столбец1]]*Таблица1[[#This Row],[коэф]])),
IF((G312="3/24"),((база!$M$4*2*Таблица1[[#This Row],[Столбец1]]*Таблица1[[#This Row],[коэф]])),
IF((G312="5/16"),((база!$L$6*2*Таблица1[[#This Row],[Столбец1]]*Таблица1[[#This Row],[коэф]])),
IF((G312="4/16"),((база!$L$5*2*Таблица1[[#This Row],[Столбец1]]*Таблица1[[#This Row],[коэф]])),
IF((G312="3/16"),((база!$L$4*2*Таблица1[[#This Row],[Столбец1]]*Таблица1[[#This Row],[коэф]])),
IF((G312="4/4"),((база!$I$5*2*Таблица1[[#This Row],[Столбец1]]*Таблица1[[#This Row],[коэф]])),
IF(OR(G312="2/4",G312="3/4"),((база!$I$4*2*Таблица1[[#This Row],[Столбец1]]*Таблица1[[#This Row],[коэф]])),
IF((G312="5/8"),((база!$J$6*2*Таблица1[[#This Row],[Столбец1]]*Таблица1[[#This Row],[коэф]])),
IF((G312="4/8"),((база!$J$5*2*Таблица1[[#This Row],[Столбец1]]*Таблица1[[#This Row],[коэф]])),
IF(OR(G312="3/8",G312="2/8"),((база!$J$4*2*Таблица1[[#This Row],[Столбец1]]*Таблица1[[#This Row],[коэф]])))))))))))))),
(IF((G312="5/24"),((база!$M$6*2*Таблица1[[#This Row],[Столбец1]]*Таблица1[[#This Row],[коэф]])),
IF(OR(G312="4/24",G312="3/24"),((база!$M$5*2*Таблица1[[#This Row],[Столбец1]]*Таблица1[[#This Row],[коэф]])),
IF((G312="5/16"),((база!$L$6*2*Таблица1[[#This Row],[Столбец1]]*Таблица1[[#This Row],[коэф]])),
IF(OR(G312="4/16",G312="3/16"),((база!$L$5*2*Таблица1[[#This Row],[Столбец1]]*Таблица1[[#This Row],[коэф]])),
IF(OR(G312="2/4",G312="3/4",G312="4/4"),((база!$I$5*2*Таблица1[[#This Row],[Столбец1]]*Таблица1[[#This Row],[коэф]])),
IF((G312="5/8"),((база!$J$6*2*Таблица1[[#This Row],[Столбец1]]*Таблица1[[#This Row],[коэф]])),
IF(OR(G312="4/8",G312="3/8",G312="2/8"),((база!$J$5*2*Таблица1[[#This Row],[Столбец1]]*Таблица1[[#This Row],[коэф]])))))))))))</f>
        <v>0</v>
      </c>
      <c r="AQ312" s="678" t="str">
        <f>IFERROR(INDEX(база!T:T, MATCH(F312,база!Q:Q,0)),"")</f>
        <v/>
      </c>
      <c r="AR312" s="193">
        <f>IFERROR(INDEX(база!D:D, MATCH(F312,база!B:B,0)),"")</f>
        <v>0</v>
      </c>
    </row>
    <row r="313" spans="1:44" ht="15">
      <c r="A313" s="59"/>
      <c r="B313" s="215"/>
      <c r="C313" s="277"/>
      <c r="D313" s="55"/>
      <c r="E313" s="196"/>
      <c r="F313" s="651"/>
      <c r="G313" s="42"/>
      <c r="H313" s="539"/>
      <c r="I313" s="539"/>
      <c r="J313" s="539"/>
      <c r="K313" s="539"/>
      <c r="L313" s="539"/>
      <c r="M313" s="539"/>
      <c r="N313" s="539"/>
      <c r="O313" s="539"/>
      <c r="P313" s="278"/>
      <c r="Q313" s="539"/>
      <c r="R313" s="539"/>
      <c r="S313" s="539"/>
      <c r="T313" s="539"/>
      <c r="U313" s="539"/>
      <c r="V313" s="539"/>
      <c r="W313" s="539"/>
      <c r="X313" s="539"/>
      <c r="Y313" s="539"/>
      <c r="Z313" s="539"/>
      <c r="AA313" s="539"/>
      <c r="AB313" s="539"/>
      <c r="AC313" s="539"/>
      <c r="AD313" s="43"/>
      <c r="AE313" s="43"/>
      <c r="AF313" s="238"/>
      <c r="AG313" s="238"/>
      <c r="AH313" s="238"/>
      <c r="AI313" s="238"/>
      <c r="AJ313" s="238"/>
      <c r="AK313" s="238"/>
      <c r="AL313" s="238"/>
      <c r="AM313" s="197">
        <f>IF(AQ313=1,SUM(H313:I313,L313:O313,R313:U313,X313:AA313,AD313:AG313,AI313:AK313),
IF(AQ313=2,SUM(H313:K313,N313:Q313,T313:W313,Z313:AC313,AF313:AI313),
IF(AQ313=3,SUM(J313:M313,P313:S313,V313:Y313,AB313:AE313,AH313:AK313),SUM(Таблица1[[#This Row],[1]:[31]])-Таблица1[[#This Row],[Столбец1]])))</f>
        <v>0</v>
      </c>
      <c r="AN313" s="269">
        <f t="array" ref="AN313">IF(AQ313=1,SUM(J313:K313,P313:Q313,V313:W313,AB313:AC313,AH313:AI313),
IF(AQ313=2,SUM(L313:M313,R313:S313,X313:Y313,AD313:AE313),
IF(AQ313=3,SUM(H313:I313,N313:O313,T313:U313,Z313:AA313,AF313:AG313),
SUM(IFERROR(WEEKDAY($H$2:$AL$2,2)&gt;5,)*H313:AL313))))</f>
        <v>0</v>
      </c>
      <c r="AO313" s="271" t="b">
        <f>IF(AR313&lt;=3,(IF((G313="5/24"),((база!$M$6*Таблица1[[#This Row],[сумма]]*Таблица1[[#This Row],[коэф]])),
IF((G313="4/24"),((база!$M$5*Таблица1[[#This Row],[сумма]]*Таблица1[[#This Row],[коэф]])),
IF((G313="3/24"),((база!$M$4*Таблица1[[#This Row],[сумма]]*Таблица1[[#This Row],[коэф]])),
IF((G313="5/16"),((база!$L$6*Таблица1[[#This Row],[сумма]]*Таблица1[[#This Row],[коэф]])),
IF((G313="4/16"),((база!$L$5*Таблица1[[#This Row],[сумма]]*Таблица1[[#This Row],[коэф]])),
IF((G313="3/16"),((база!$L$4*Таблица1[[#This Row],[сумма]]*Таблица1[[#This Row],[коэф]])),
IF((G313="4/4"),((база!$I$5*Таблица1[[#This Row],[сумма]]*Таблица1[[#This Row],[коэф]])),
IF(OR(G313="2/4",G313="3/4"),((база!$I$4*Таблица1[[#This Row],[сумма]]*Таблица1[[#This Row],[коэф]])),
IF((G313="5/8"),((база!$J$6*Таблица1[[#This Row],[сумма]]*Таблица1[[#This Row],[коэф]])),
IF((G313="4/8"),((база!$J$5*Таблица1[[#This Row],[сумма]]*Таблица1[[#This Row],[коэф]])),
IF(OR(G313="3/8",G313="2/8"),((база!$J$4*Таблица1[[#This Row],[сумма]]*Таблица1[[#This Row],[коэф]])))))))))))))),
(IF((G313="5/24"),((база!$M$6*Таблица1[[#This Row],[сумма]]*Таблица1[[#This Row],[коэф]])),
IF(OR(G313="4/24",G313="3/24"),((база!$M$5*Таблица1[[#This Row],[сумма]]*Таблица1[[#This Row],[коэф]])),
IF((G313="5/16"),((база!$L$6*Таблица1[[#This Row],[сумма]]*Таблица1[[#This Row],[коэф]])),
IF(OR(G313="4/16",G313="3/16"),((база!$L$5*Таблица1[[#This Row],[сумма]]*Таблица1[[#This Row],[коэф]])),
IF(OR(G313="2/4",G313="3/4",G313="4/4"),((база!$I$5*Таблица1[[#This Row],[сумма]]*Таблица1[[#This Row],[коэф]])),
IF((G313="5/8"),((база!$J$6*Таблица1[[#This Row],[сумма]]*Таблица1[[#This Row],[коэф]])),
IF(OR(G313="4/8",G313="3/8",G313="2/8"),((база!$J$5*Таблица1[[#This Row],[сумма]]*Таблица1[[#This Row],[коэф]])))))))))))</f>
        <v>0</v>
      </c>
      <c r="AP313" s="696" t="b">
        <f>IF(AR313&lt;=3,(IF((G313="5/24"),((база!$M$6*2*Таблица1[[#This Row],[Столбец1]]*Таблица1[[#This Row],[коэф]])),
IF((G313="4/24"),((база!$M$5*2*Таблица1[[#This Row],[Столбец1]]*Таблица1[[#This Row],[коэф]])),
IF((G313="3/24"),((база!$M$4*2*Таблица1[[#This Row],[Столбец1]]*Таблица1[[#This Row],[коэф]])),
IF((G313="5/16"),((база!$L$6*2*Таблица1[[#This Row],[Столбец1]]*Таблица1[[#This Row],[коэф]])),
IF((G313="4/16"),((база!$L$5*2*Таблица1[[#This Row],[Столбец1]]*Таблица1[[#This Row],[коэф]])),
IF((G313="3/16"),((база!$L$4*2*Таблица1[[#This Row],[Столбец1]]*Таблица1[[#This Row],[коэф]])),
IF((G313="4/4"),((база!$I$5*2*Таблица1[[#This Row],[Столбец1]]*Таблица1[[#This Row],[коэф]])),
IF(OR(G313="2/4",G313="3/4"),((база!$I$4*2*Таблица1[[#This Row],[Столбец1]]*Таблица1[[#This Row],[коэф]])),
IF((G313="5/8"),((база!$J$6*2*Таблица1[[#This Row],[Столбец1]]*Таблица1[[#This Row],[коэф]])),
IF((G313="4/8"),((база!$J$5*2*Таблица1[[#This Row],[Столбец1]]*Таблица1[[#This Row],[коэф]])),
IF(OR(G313="3/8",G313="2/8"),((база!$J$4*2*Таблица1[[#This Row],[Столбец1]]*Таблица1[[#This Row],[коэф]])))))))))))))),
(IF((G313="5/24"),((база!$M$6*2*Таблица1[[#This Row],[Столбец1]]*Таблица1[[#This Row],[коэф]])),
IF(OR(G313="4/24",G313="3/24"),((база!$M$5*2*Таблица1[[#This Row],[Столбец1]]*Таблица1[[#This Row],[коэф]])),
IF((G313="5/16"),((база!$L$6*2*Таблица1[[#This Row],[Столбец1]]*Таблица1[[#This Row],[коэф]])),
IF(OR(G313="4/16",G313="3/16"),((база!$L$5*2*Таблица1[[#This Row],[Столбец1]]*Таблица1[[#This Row],[коэф]])),
IF(OR(G313="2/4",G313="3/4",G313="4/4"),((база!$I$5*2*Таблица1[[#This Row],[Столбец1]]*Таблица1[[#This Row],[коэф]])),
IF((G313="5/8"),((база!$J$6*2*Таблица1[[#This Row],[Столбец1]]*Таблица1[[#This Row],[коэф]])),
IF(OR(G313="4/8",G313="3/8",G313="2/8"),((база!$J$5*2*Таблица1[[#This Row],[Столбец1]]*Таблица1[[#This Row],[коэф]])))))))))))</f>
        <v>0</v>
      </c>
      <c r="AQ313" s="678" t="str">
        <f>IFERROR(INDEX(база!T:T, MATCH(F313,база!Q:Q,0)),"")</f>
        <v/>
      </c>
      <c r="AR313" s="193">
        <f>IFERROR(INDEX(база!D:D, MATCH(F313,база!B:B,0)),"")</f>
        <v>0</v>
      </c>
    </row>
    <row r="314" spans="1:44" ht="15">
      <c r="A314" s="59"/>
      <c r="B314" s="215"/>
      <c r="C314" s="277"/>
      <c r="D314" s="55"/>
      <c r="E314" s="196"/>
      <c r="F314" s="651"/>
      <c r="G314" s="42"/>
      <c r="H314" s="539"/>
      <c r="I314" s="539"/>
      <c r="J314" s="539"/>
      <c r="K314" s="539"/>
      <c r="L314" s="539"/>
      <c r="M314" s="539"/>
      <c r="N314" s="539"/>
      <c r="O314" s="539"/>
      <c r="P314" s="278"/>
      <c r="Q314" s="539"/>
      <c r="R314" s="539"/>
      <c r="S314" s="539"/>
      <c r="T314" s="539"/>
      <c r="U314" s="539"/>
      <c r="V314" s="539"/>
      <c r="W314" s="539"/>
      <c r="X314" s="539"/>
      <c r="Y314" s="539"/>
      <c r="Z314" s="539"/>
      <c r="AA314" s="539"/>
      <c r="AB314" s="539"/>
      <c r="AC314" s="539"/>
      <c r="AD314" s="43"/>
      <c r="AE314" s="43"/>
      <c r="AF314" s="238"/>
      <c r="AG314" s="43"/>
      <c r="AH314" s="43"/>
      <c r="AI314" s="43"/>
      <c r="AJ314" s="43"/>
      <c r="AK314" s="43"/>
      <c r="AL314" s="45"/>
      <c r="AM314" s="197">
        <f>IF(AQ314=1,SUM(H314:I314,L314:O314,R314:U314,X314:AA314,AD314:AG314,AI314:AK314),
IF(AQ314=2,SUM(H314:K314,N314:Q314,T314:W314,Z314:AC314,AF314:AI314),
IF(AQ314=3,SUM(J314:M314,P314:S314,V314:Y314,AB314:AE314,AH314:AK314),SUM(Таблица1[[#This Row],[1]:[31]])-Таблица1[[#This Row],[Столбец1]])))</f>
        <v>0</v>
      </c>
      <c r="AN314" s="269">
        <f t="array" ref="AN314">IF(AQ314=1,SUM(J314:K314,P314:Q314,V314:W314,AB314:AC314,AH314:AI314),
IF(AQ314=2,SUM(L314:M314,R314:S314,X314:Y314,AD314:AE314),
IF(AQ314=3,SUM(H314:I314,N314:O314,T314:U314,Z314:AA314,AF314:AG314),
SUM(IFERROR(WEEKDAY($H$2:$AL$2,2)&gt;5,)*H314:AL314))))</f>
        <v>0</v>
      </c>
      <c r="AO314" s="271" t="b">
        <f>IF(AR314&lt;=3,(IF((G314="5/24"),((база!$M$6*Таблица1[[#This Row],[сумма]]*Таблица1[[#This Row],[коэф]])),
IF((G314="4/24"),((база!$M$5*Таблица1[[#This Row],[сумма]]*Таблица1[[#This Row],[коэф]])),
IF((G314="3/24"),((база!$M$4*Таблица1[[#This Row],[сумма]]*Таблица1[[#This Row],[коэф]])),
IF((G314="5/16"),((база!$L$6*Таблица1[[#This Row],[сумма]]*Таблица1[[#This Row],[коэф]])),
IF((G314="4/16"),((база!$L$5*Таблица1[[#This Row],[сумма]]*Таблица1[[#This Row],[коэф]])),
IF((G314="3/16"),((база!$L$4*Таблица1[[#This Row],[сумма]]*Таблица1[[#This Row],[коэф]])),
IF((G314="4/4"),((база!$I$5*Таблица1[[#This Row],[сумма]]*Таблица1[[#This Row],[коэф]])),
IF(OR(G314="2/4",G314="3/4"),((база!$I$4*Таблица1[[#This Row],[сумма]]*Таблица1[[#This Row],[коэф]])),
IF((G314="5/8"),((база!$J$6*Таблица1[[#This Row],[сумма]]*Таблица1[[#This Row],[коэф]])),
IF((G314="4/8"),((база!$J$5*Таблица1[[#This Row],[сумма]]*Таблица1[[#This Row],[коэф]])),
IF(OR(G314="3/8",G314="2/8"),((база!$J$4*Таблица1[[#This Row],[сумма]]*Таблица1[[#This Row],[коэф]])))))))))))))),
(IF((G314="5/24"),((база!$M$6*Таблица1[[#This Row],[сумма]]*Таблица1[[#This Row],[коэф]])),
IF(OR(G314="4/24",G314="3/24"),((база!$M$5*Таблица1[[#This Row],[сумма]]*Таблица1[[#This Row],[коэф]])),
IF((G314="5/16"),((база!$L$6*Таблица1[[#This Row],[сумма]]*Таблица1[[#This Row],[коэф]])),
IF(OR(G314="4/16",G314="3/16"),((база!$L$5*Таблица1[[#This Row],[сумма]]*Таблица1[[#This Row],[коэф]])),
IF(OR(G314="2/4",G314="3/4",G314="4/4"),((база!$I$5*Таблица1[[#This Row],[сумма]]*Таблица1[[#This Row],[коэф]])),
IF((G314="5/8"),((база!$J$6*Таблица1[[#This Row],[сумма]]*Таблица1[[#This Row],[коэф]])),
IF(OR(G314="4/8",G314="3/8",G314="2/8"),((база!$J$5*Таблица1[[#This Row],[сумма]]*Таблица1[[#This Row],[коэф]])))))))))))</f>
        <v>0</v>
      </c>
      <c r="AP314" s="696" t="b">
        <f>IF(AR314&lt;=3,(IF((G314="5/24"),((база!$M$6*2*Таблица1[[#This Row],[Столбец1]]*Таблица1[[#This Row],[коэф]])),
IF((G314="4/24"),((база!$M$5*2*Таблица1[[#This Row],[Столбец1]]*Таблица1[[#This Row],[коэф]])),
IF((G314="3/24"),((база!$M$4*2*Таблица1[[#This Row],[Столбец1]]*Таблица1[[#This Row],[коэф]])),
IF((G314="5/16"),((база!$L$6*2*Таблица1[[#This Row],[Столбец1]]*Таблица1[[#This Row],[коэф]])),
IF((G314="4/16"),((база!$L$5*2*Таблица1[[#This Row],[Столбец1]]*Таблица1[[#This Row],[коэф]])),
IF((G314="3/16"),((база!$L$4*2*Таблица1[[#This Row],[Столбец1]]*Таблица1[[#This Row],[коэф]])),
IF((G314="4/4"),((база!$I$5*2*Таблица1[[#This Row],[Столбец1]]*Таблица1[[#This Row],[коэф]])),
IF(OR(G314="2/4",G314="3/4"),((база!$I$4*2*Таблица1[[#This Row],[Столбец1]]*Таблица1[[#This Row],[коэф]])),
IF((G314="5/8"),((база!$J$6*2*Таблица1[[#This Row],[Столбец1]]*Таблица1[[#This Row],[коэф]])),
IF((G314="4/8"),((база!$J$5*2*Таблица1[[#This Row],[Столбец1]]*Таблица1[[#This Row],[коэф]])),
IF(OR(G314="3/8",G314="2/8"),((база!$J$4*2*Таблица1[[#This Row],[Столбец1]]*Таблица1[[#This Row],[коэф]])))))))))))))),
(IF((G314="5/24"),((база!$M$6*2*Таблица1[[#This Row],[Столбец1]]*Таблица1[[#This Row],[коэф]])),
IF(OR(G314="4/24",G314="3/24"),((база!$M$5*2*Таблица1[[#This Row],[Столбец1]]*Таблица1[[#This Row],[коэф]])),
IF((G314="5/16"),((база!$L$6*2*Таблица1[[#This Row],[Столбец1]]*Таблица1[[#This Row],[коэф]])),
IF(OR(G314="4/16",G314="3/16"),((база!$L$5*2*Таблица1[[#This Row],[Столбец1]]*Таблица1[[#This Row],[коэф]])),
IF(OR(G314="2/4",G314="3/4",G314="4/4"),((база!$I$5*2*Таблица1[[#This Row],[Столбец1]]*Таблица1[[#This Row],[коэф]])),
IF((G314="5/8"),((база!$J$6*2*Таблица1[[#This Row],[Столбец1]]*Таблица1[[#This Row],[коэф]])),
IF(OR(G314="4/8",G314="3/8",G314="2/8"),((база!$J$5*2*Таблица1[[#This Row],[Столбец1]]*Таблица1[[#This Row],[коэф]])))))))))))</f>
        <v>0</v>
      </c>
      <c r="AQ314" s="678" t="str">
        <f>IFERROR(INDEX(база!T:T, MATCH(F314,база!Q:Q,0)),"")</f>
        <v/>
      </c>
      <c r="AR314" s="193">
        <f>IFERROR(INDEX(база!D:D, MATCH(F314,база!B:B,0)),"")</f>
        <v>0</v>
      </c>
    </row>
    <row r="315" spans="1:44" ht="15">
      <c r="A315" s="59"/>
      <c r="B315" s="215"/>
      <c r="C315" s="277"/>
      <c r="D315" s="55"/>
      <c r="E315" s="196"/>
      <c r="F315" s="651"/>
      <c r="G315" s="42"/>
      <c r="H315" s="539"/>
      <c r="I315" s="539"/>
      <c r="J315" s="539"/>
      <c r="K315" s="539"/>
      <c r="L315" s="539"/>
      <c r="M315" s="539"/>
      <c r="N315" s="539"/>
      <c r="O315" s="539"/>
      <c r="P315" s="278"/>
      <c r="Q315" s="539"/>
      <c r="R315" s="539"/>
      <c r="S315" s="539"/>
      <c r="T315" s="539"/>
      <c r="U315" s="539"/>
      <c r="V315" s="539"/>
      <c r="W315" s="539"/>
      <c r="X315" s="539"/>
      <c r="Y315" s="539"/>
      <c r="Z315" s="539"/>
      <c r="AA315" s="539"/>
      <c r="AB315" s="539"/>
      <c r="AC315" s="539"/>
      <c r="AD315" s="43"/>
      <c r="AE315" s="43"/>
      <c r="AF315" s="238"/>
      <c r="AG315" s="43"/>
      <c r="AH315" s="43"/>
      <c r="AI315" s="238"/>
      <c r="AJ315" s="238"/>
      <c r="AK315" s="238"/>
      <c r="AL315" s="238"/>
      <c r="AM315" s="197">
        <f>IF(AQ315=1,SUM(H315:I315,L315:O315,R315:U315,X315:AA315,AD315:AG315,AI315:AK315),
IF(AQ315=2,SUM(H315:K315,N315:Q315,T315:W315,Z315:AC315,AF315:AI315),
IF(AQ315=3,SUM(J315:M315,P315:S315,V315:Y315,AB315:AE315,AH315:AK315),SUM(Таблица1[[#This Row],[1]:[31]])-Таблица1[[#This Row],[Столбец1]])))</f>
        <v>0</v>
      </c>
      <c r="AN315" s="269">
        <f t="array" ref="AN315">IF(AQ315=1,SUM(J315:K315,P315:Q315,V315:W315,AB315:AC315,AH315:AI315),
IF(AQ315=2,SUM(L315:M315,R315:S315,X315:Y315,AD315:AE315),
IF(AQ315=3,SUM(H315:I315,N315:O315,T315:U315,Z315:AA315,AF315:AG315),
SUM(IFERROR(WEEKDAY($H$2:$AL$2,2)&gt;5,)*H315:AL315))))</f>
        <v>0</v>
      </c>
      <c r="AO315" s="271" t="b">
        <f>IF(AR315&lt;=3,(IF((G315="5/24"),((база!$M$6*Таблица1[[#This Row],[сумма]]*Таблица1[[#This Row],[коэф]])),
IF((G315="4/24"),((база!$M$5*Таблица1[[#This Row],[сумма]]*Таблица1[[#This Row],[коэф]])),
IF((G315="3/24"),((база!$M$4*Таблица1[[#This Row],[сумма]]*Таблица1[[#This Row],[коэф]])),
IF((G315="5/16"),((база!$L$6*Таблица1[[#This Row],[сумма]]*Таблица1[[#This Row],[коэф]])),
IF((G315="4/16"),((база!$L$5*Таблица1[[#This Row],[сумма]]*Таблица1[[#This Row],[коэф]])),
IF((G315="3/16"),((база!$L$4*Таблица1[[#This Row],[сумма]]*Таблица1[[#This Row],[коэф]])),
IF((G315="4/4"),((база!$I$5*Таблица1[[#This Row],[сумма]]*Таблица1[[#This Row],[коэф]])),
IF(OR(G315="2/4",G315="3/4"),((база!$I$4*Таблица1[[#This Row],[сумма]]*Таблица1[[#This Row],[коэф]])),
IF((G315="5/8"),((база!$J$6*Таблица1[[#This Row],[сумма]]*Таблица1[[#This Row],[коэф]])),
IF((G315="4/8"),((база!$J$5*Таблица1[[#This Row],[сумма]]*Таблица1[[#This Row],[коэф]])),
IF(OR(G315="3/8",G315="2/8"),((база!$J$4*Таблица1[[#This Row],[сумма]]*Таблица1[[#This Row],[коэф]])))))))))))))),
(IF((G315="5/24"),((база!$M$6*Таблица1[[#This Row],[сумма]]*Таблица1[[#This Row],[коэф]])),
IF(OR(G315="4/24",G315="3/24"),((база!$M$5*Таблица1[[#This Row],[сумма]]*Таблица1[[#This Row],[коэф]])),
IF((G315="5/16"),((база!$L$6*Таблица1[[#This Row],[сумма]]*Таблица1[[#This Row],[коэф]])),
IF(OR(G315="4/16",G315="3/16"),((база!$L$5*Таблица1[[#This Row],[сумма]]*Таблица1[[#This Row],[коэф]])),
IF(OR(G315="2/4",G315="3/4",G315="4/4"),((база!$I$5*Таблица1[[#This Row],[сумма]]*Таблица1[[#This Row],[коэф]])),
IF((G315="5/8"),((база!$J$6*Таблица1[[#This Row],[сумма]]*Таблица1[[#This Row],[коэф]])),
IF(OR(G315="4/8",G315="3/8",G315="2/8"),((база!$J$5*Таблица1[[#This Row],[сумма]]*Таблица1[[#This Row],[коэф]])))))))))))</f>
        <v>0</v>
      </c>
      <c r="AP315" s="696" t="b">
        <f>IF(AR315&lt;=3,(IF((G315="5/24"),((база!$M$6*2*Таблица1[[#This Row],[Столбец1]]*Таблица1[[#This Row],[коэф]])),
IF((G315="4/24"),((база!$M$5*2*Таблица1[[#This Row],[Столбец1]]*Таблица1[[#This Row],[коэф]])),
IF((G315="3/24"),((база!$M$4*2*Таблица1[[#This Row],[Столбец1]]*Таблица1[[#This Row],[коэф]])),
IF((G315="5/16"),((база!$L$6*2*Таблица1[[#This Row],[Столбец1]]*Таблица1[[#This Row],[коэф]])),
IF((G315="4/16"),((база!$L$5*2*Таблица1[[#This Row],[Столбец1]]*Таблица1[[#This Row],[коэф]])),
IF((G315="3/16"),((база!$L$4*2*Таблица1[[#This Row],[Столбец1]]*Таблица1[[#This Row],[коэф]])),
IF((G315="4/4"),((база!$I$5*2*Таблица1[[#This Row],[Столбец1]]*Таблица1[[#This Row],[коэф]])),
IF(OR(G315="2/4",G315="3/4"),((база!$I$4*2*Таблица1[[#This Row],[Столбец1]]*Таблица1[[#This Row],[коэф]])),
IF((G315="5/8"),((база!$J$6*2*Таблица1[[#This Row],[Столбец1]]*Таблица1[[#This Row],[коэф]])),
IF((G315="4/8"),((база!$J$5*2*Таблица1[[#This Row],[Столбец1]]*Таблица1[[#This Row],[коэф]])),
IF(OR(G315="3/8",G315="2/8"),((база!$J$4*2*Таблица1[[#This Row],[Столбец1]]*Таблица1[[#This Row],[коэф]])))))))))))))),
(IF((G315="5/24"),((база!$M$6*2*Таблица1[[#This Row],[Столбец1]]*Таблица1[[#This Row],[коэф]])),
IF(OR(G315="4/24",G315="3/24"),((база!$M$5*2*Таблица1[[#This Row],[Столбец1]]*Таблица1[[#This Row],[коэф]])),
IF((G315="5/16"),((база!$L$6*2*Таблица1[[#This Row],[Столбец1]]*Таблица1[[#This Row],[коэф]])),
IF(OR(G315="4/16",G315="3/16"),((база!$L$5*2*Таблица1[[#This Row],[Столбец1]]*Таблица1[[#This Row],[коэф]])),
IF(OR(G315="2/4",G315="3/4",G315="4/4"),((база!$I$5*2*Таблица1[[#This Row],[Столбец1]]*Таблица1[[#This Row],[коэф]])),
IF((G315="5/8"),((база!$J$6*2*Таблица1[[#This Row],[Столбец1]]*Таблица1[[#This Row],[коэф]])),
IF(OR(G315="4/8",G315="3/8",G315="2/8"),((база!$J$5*2*Таблица1[[#This Row],[Столбец1]]*Таблица1[[#This Row],[коэф]])))))))))))</f>
        <v>0</v>
      </c>
      <c r="AQ315" s="678" t="str">
        <f>IFERROR(INDEX(база!T:T, MATCH(F315,база!Q:Q,0)),"")</f>
        <v/>
      </c>
      <c r="AR315" s="193">
        <f>IFERROR(INDEX(база!D:D, MATCH(F315,база!B:B,0)),"")</f>
        <v>0</v>
      </c>
    </row>
    <row r="316" spans="1:44" ht="15">
      <c r="A316" s="59"/>
      <c r="B316" s="215"/>
      <c r="C316" s="54"/>
      <c r="D316" s="55"/>
      <c r="E316" s="196"/>
      <c r="F316" s="651"/>
      <c r="G316" s="42"/>
      <c r="H316" s="539"/>
      <c r="I316" s="539"/>
      <c r="J316" s="539"/>
      <c r="K316" s="539"/>
      <c r="L316" s="539"/>
      <c r="M316" s="539"/>
      <c r="N316" s="539"/>
      <c r="O316" s="539"/>
      <c r="P316" s="278"/>
      <c r="Q316" s="539"/>
      <c r="R316" s="539"/>
      <c r="S316" s="539"/>
      <c r="T316" s="539"/>
      <c r="U316" s="539"/>
      <c r="V316" s="539"/>
      <c r="W316" s="539"/>
      <c r="X316" s="539"/>
      <c r="Y316" s="539"/>
      <c r="Z316" s="539"/>
      <c r="AA316" s="539"/>
      <c r="AB316" s="539"/>
      <c r="AC316" s="539"/>
      <c r="AD316" s="43"/>
      <c r="AE316" s="43"/>
      <c r="AF316" s="238"/>
      <c r="AG316" s="43"/>
      <c r="AH316" s="43"/>
      <c r="AI316" s="43"/>
      <c r="AJ316" s="43"/>
      <c r="AK316" s="43"/>
      <c r="AL316" s="45"/>
      <c r="AM316" s="197">
        <f>IF(AQ316=1,SUM(H316:I316,L316:O316,R316:U316,X316:AA316,AD316:AG316,AI316:AK316),
IF(AQ316=2,SUM(H316:K316,N316:Q316,T316:W316,Z316:AC316,AF316:AI316),
IF(AQ316=3,SUM(J316:M316,P316:S316,V316:Y316,AB316:AE316,AH316:AK316),SUM(Таблица1[[#This Row],[1]:[31]])-Таблица1[[#This Row],[Столбец1]])))</f>
        <v>0</v>
      </c>
      <c r="AN316" s="269">
        <f t="array" ref="AN316">IF(AQ316=1,SUM(J316:K316,P316:Q316,V316:W316,AB316:AC316,AH316:AI316),
IF(AQ316=2,SUM(L316:M316,R316:S316,X316:Y316,AD316:AE316),
IF(AQ316=3,SUM(H316:I316,N316:O316,T316:U316,Z316:AA316,AF316:AG316),
SUM(IFERROR(WEEKDAY($H$2:$AL$2,2)&gt;5,)*H316:AL316))))</f>
        <v>0</v>
      </c>
      <c r="AO316" s="271" t="b">
        <f>IF(AR316&lt;=3,(IF((G316="5/24"),((база!$M$6*Таблица1[[#This Row],[сумма]]*Таблица1[[#This Row],[коэф]])),
IF((G316="4/24"),((база!$M$5*Таблица1[[#This Row],[сумма]]*Таблица1[[#This Row],[коэф]])),
IF((G316="3/24"),((база!$M$4*Таблица1[[#This Row],[сумма]]*Таблица1[[#This Row],[коэф]])),
IF((G316="5/16"),((база!$L$6*Таблица1[[#This Row],[сумма]]*Таблица1[[#This Row],[коэф]])),
IF((G316="4/16"),((база!$L$5*Таблица1[[#This Row],[сумма]]*Таблица1[[#This Row],[коэф]])),
IF((G316="3/16"),((база!$L$4*Таблица1[[#This Row],[сумма]]*Таблица1[[#This Row],[коэф]])),
IF((G316="4/4"),((база!$I$5*Таблица1[[#This Row],[сумма]]*Таблица1[[#This Row],[коэф]])),
IF(OR(G316="2/4",G316="3/4"),((база!$I$4*Таблица1[[#This Row],[сумма]]*Таблица1[[#This Row],[коэф]])),
IF((G316="5/8"),((база!$J$6*Таблица1[[#This Row],[сумма]]*Таблица1[[#This Row],[коэф]])),
IF((G316="4/8"),((база!$J$5*Таблица1[[#This Row],[сумма]]*Таблица1[[#This Row],[коэф]])),
IF(OR(G316="3/8",G316="2/8"),((база!$J$4*Таблица1[[#This Row],[сумма]]*Таблица1[[#This Row],[коэф]])))))))))))))),
(IF((G316="5/24"),((база!$M$6*Таблица1[[#This Row],[сумма]]*Таблица1[[#This Row],[коэф]])),
IF(OR(G316="4/24",G316="3/24"),((база!$M$5*Таблица1[[#This Row],[сумма]]*Таблица1[[#This Row],[коэф]])),
IF((G316="5/16"),((база!$L$6*Таблица1[[#This Row],[сумма]]*Таблица1[[#This Row],[коэф]])),
IF(OR(G316="4/16",G316="3/16"),((база!$L$5*Таблица1[[#This Row],[сумма]]*Таблица1[[#This Row],[коэф]])),
IF(OR(G316="2/4",G316="3/4",G316="4/4"),((база!$I$5*Таблица1[[#This Row],[сумма]]*Таблица1[[#This Row],[коэф]])),
IF((G316="5/8"),((база!$J$6*Таблица1[[#This Row],[сумма]]*Таблица1[[#This Row],[коэф]])),
IF(OR(G316="4/8",G316="3/8",G316="2/8"),((база!$J$5*Таблица1[[#This Row],[сумма]]*Таблица1[[#This Row],[коэф]])))))))))))</f>
        <v>0</v>
      </c>
      <c r="AP316" s="696" t="b">
        <f>IF(AR316&lt;=3,(IF((G316="5/24"),((база!$M$6*2*Таблица1[[#This Row],[Столбец1]]*Таблица1[[#This Row],[коэф]])),
IF((G316="4/24"),((база!$M$5*2*Таблица1[[#This Row],[Столбец1]]*Таблица1[[#This Row],[коэф]])),
IF((G316="3/24"),((база!$M$4*2*Таблица1[[#This Row],[Столбец1]]*Таблица1[[#This Row],[коэф]])),
IF((G316="5/16"),((база!$L$6*2*Таблица1[[#This Row],[Столбец1]]*Таблица1[[#This Row],[коэф]])),
IF((G316="4/16"),((база!$L$5*2*Таблица1[[#This Row],[Столбец1]]*Таблица1[[#This Row],[коэф]])),
IF((G316="3/16"),((база!$L$4*2*Таблица1[[#This Row],[Столбец1]]*Таблица1[[#This Row],[коэф]])),
IF((G316="4/4"),((база!$I$5*2*Таблица1[[#This Row],[Столбец1]]*Таблица1[[#This Row],[коэф]])),
IF(OR(G316="2/4",G316="3/4"),((база!$I$4*2*Таблица1[[#This Row],[Столбец1]]*Таблица1[[#This Row],[коэф]])),
IF((G316="5/8"),((база!$J$6*2*Таблица1[[#This Row],[Столбец1]]*Таблица1[[#This Row],[коэф]])),
IF((G316="4/8"),((база!$J$5*2*Таблица1[[#This Row],[Столбец1]]*Таблица1[[#This Row],[коэф]])),
IF(OR(G316="3/8",G316="2/8"),((база!$J$4*2*Таблица1[[#This Row],[Столбец1]]*Таблица1[[#This Row],[коэф]])))))))))))))),
(IF((G316="5/24"),((база!$M$6*2*Таблица1[[#This Row],[Столбец1]]*Таблица1[[#This Row],[коэф]])),
IF(OR(G316="4/24",G316="3/24"),((база!$M$5*2*Таблица1[[#This Row],[Столбец1]]*Таблица1[[#This Row],[коэф]])),
IF((G316="5/16"),((база!$L$6*2*Таблица1[[#This Row],[Столбец1]]*Таблица1[[#This Row],[коэф]])),
IF(OR(G316="4/16",G316="3/16"),((база!$L$5*2*Таблица1[[#This Row],[Столбец1]]*Таблица1[[#This Row],[коэф]])),
IF(OR(G316="2/4",G316="3/4",G316="4/4"),((база!$I$5*2*Таблица1[[#This Row],[Столбец1]]*Таблица1[[#This Row],[коэф]])),
IF((G316="5/8"),((база!$J$6*2*Таблица1[[#This Row],[Столбец1]]*Таблица1[[#This Row],[коэф]])),
IF(OR(G316="4/8",G316="3/8",G316="2/8"),((база!$J$5*2*Таблица1[[#This Row],[Столбец1]]*Таблица1[[#This Row],[коэф]])))))))))))</f>
        <v>0</v>
      </c>
      <c r="AQ316" s="678" t="str">
        <f>IFERROR(INDEX(база!T:T, MATCH(F316,база!Q:Q,0)),"")</f>
        <v/>
      </c>
      <c r="AR316" s="193">
        <f>IFERROR(INDEX(база!D:D, MATCH(F316,база!B:B,0)),"")</f>
        <v>0</v>
      </c>
    </row>
    <row r="317" spans="1:44" ht="15">
      <c r="A317" s="59"/>
      <c r="B317" s="215"/>
      <c r="C317" s="277"/>
      <c r="D317" s="55"/>
      <c r="E317" s="196"/>
      <c r="F317" s="651"/>
      <c r="G317" s="42"/>
      <c r="H317" s="539"/>
      <c r="I317" s="539"/>
      <c r="J317" s="539"/>
      <c r="K317" s="539"/>
      <c r="L317" s="539"/>
      <c r="M317" s="539"/>
      <c r="N317" s="539"/>
      <c r="O317" s="539"/>
      <c r="P317" s="278"/>
      <c r="Q317" s="539"/>
      <c r="R317" s="539"/>
      <c r="S317" s="539"/>
      <c r="T317" s="539"/>
      <c r="U317" s="539"/>
      <c r="V317" s="539"/>
      <c r="W317" s="539"/>
      <c r="X317" s="539"/>
      <c r="Y317" s="539"/>
      <c r="Z317" s="539"/>
      <c r="AA317" s="539"/>
      <c r="AB317" s="539"/>
      <c r="AC317" s="539"/>
      <c r="AD317" s="43"/>
      <c r="AE317" s="43"/>
      <c r="AF317" s="238"/>
      <c r="AG317" s="43"/>
      <c r="AH317" s="43"/>
      <c r="AI317" s="238"/>
      <c r="AJ317" s="238"/>
      <c r="AK317" s="238"/>
      <c r="AL317" s="238"/>
      <c r="AM317" s="197">
        <f>IF(AQ317=1,SUM(H317:I317,L317:O317,R317:U317,X317:AA317,AD317:AG317,AI317:AK317),
IF(AQ317=2,SUM(H317:K317,N317:Q317,T317:W317,Z317:AC317,AF317:AI317),
IF(AQ317=3,SUM(J317:M317,P317:S317,V317:Y317,AB317:AE317,AH317:AK317),SUM(Таблица1[[#This Row],[1]:[31]])-Таблица1[[#This Row],[Столбец1]])))</f>
        <v>0</v>
      </c>
      <c r="AN317" s="269">
        <f t="array" ref="AN317">IF(AQ317=1,SUM(J317:K317,P317:Q317,V317:W317,AB317:AC317,AH317:AI317),
IF(AQ317=2,SUM(L317:M317,R317:S317,X317:Y317,AD317:AE317),
IF(AQ317=3,SUM(H317:I317,N317:O317,T317:U317,Z317:AA317,AF317:AG317),
SUM(IFERROR(WEEKDAY($H$2:$AL$2,2)&gt;5,)*H317:AL317))))</f>
        <v>0</v>
      </c>
      <c r="AO317" s="271" t="b">
        <f>IF(AR317&lt;=3,(IF((G317="5/24"),((база!$M$6*Таблица1[[#This Row],[сумма]]*Таблица1[[#This Row],[коэф]])),
IF((G317="4/24"),((база!$M$5*Таблица1[[#This Row],[сумма]]*Таблица1[[#This Row],[коэф]])),
IF((G317="3/24"),((база!$M$4*Таблица1[[#This Row],[сумма]]*Таблица1[[#This Row],[коэф]])),
IF((G317="5/16"),((база!$L$6*Таблица1[[#This Row],[сумма]]*Таблица1[[#This Row],[коэф]])),
IF((G317="4/16"),((база!$L$5*Таблица1[[#This Row],[сумма]]*Таблица1[[#This Row],[коэф]])),
IF((G317="3/16"),((база!$L$4*Таблица1[[#This Row],[сумма]]*Таблица1[[#This Row],[коэф]])),
IF((G317="4/4"),((база!$I$5*Таблица1[[#This Row],[сумма]]*Таблица1[[#This Row],[коэф]])),
IF(OR(G317="2/4",G317="3/4"),((база!$I$4*Таблица1[[#This Row],[сумма]]*Таблица1[[#This Row],[коэф]])),
IF((G317="5/8"),((база!$J$6*Таблица1[[#This Row],[сумма]]*Таблица1[[#This Row],[коэф]])),
IF((G317="4/8"),((база!$J$5*Таблица1[[#This Row],[сумма]]*Таблица1[[#This Row],[коэф]])),
IF(OR(G317="3/8",G317="2/8"),((база!$J$4*Таблица1[[#This Row],[сумма]]*Таблица1[[#This Row],[коэф]])))))))))))))),
(IF((G317="5/24"),((база!$M$6*Таблица1[[#This Row],[сумма]]*Таблица1[[#This Row],[коэф]])),
IF(OR(G317="4/24",G317="3/24"),((база!$M$5*Таблица1[[#This Row],[сумма]]*Таблица1[[#This Row],[коэф]])),
IF((G317="5/16"),((база!$L$6*Таблица1[[#This Row],[сумма]]*Таблица1[[#This Row],[коэф]])),
IF(OR(G317="4/16",G317="3/16"),((база!$L$5*Таблица1[[#This Row],[сумма]]*Таблица1[[#This Row],[коэф]])),
IF(OR(G317="2/4",G317="3/4",G317="4/4"),((база!$I$5*Таблица1[[#This Row],[сумма]]*Таблица1[[#This Row],[коэф]])),
IF((G317="5/8"),((база!$J$6*Таблица1[[#This Row],[сумма]]*Таблица1[[#This Row],[коэф]])),
IF(OR(G317="4/8",G317="3/8",G317="2/8"),((база!$J$5*Таблица1[[#This Row],[сумма]]*Таблица1[[#This Row],[коэф]])))))))))))</f>
        <v>0</v>
      </c>
      <c r="AP317" s="696" t="b">
        <f>IF(AR317&lt;=3,(IF((G317="5/24"),((база!$M$6*2*Таблица1[[#This Row],[Столбец1]]*Таблица1[[#This Row],[коэф]])),
IF((G317="4/24"),((база!$M$5*2*Таблица1[[#This Row],[Столбец1]]*Таблица1[[#This Row],[коэф]])),
IF((G317="3/24"),((база!$M$4*2*Таблица1[[#This Row],[Столбец1]]*Таблица1[[#This Row],[коэф]])),
IF((G317="5/16"),((база!$L$6*2*Таблица1[[#This Row],[Столбец1]]*Таблица1[[#This Row],[коэф]])),
IF((G317="4/16"),((база!$L$5*2*Таблица1[[#This Row],[Столбец1]]*Таблица1[[#This Row],[коэф]])),
IF((G317="3/16"),((база!$L$4*2*Таблица1[[#This Row],[Столбец1]]*Таблица1[[#This Row],[коэф]])),
IF((G317="4/4"),((база!$I$5*2*Таблица1[[#This Row],[Столбец1]]*Таблица1[[#This Row],[коэф]])),
IF(OR(G317="2/4",G317="3/4"),((база!$I$4*2*Таблица1[[#This Row],[Столбец1]]*Таблица1[[#This Row],[коэф]])),
IF((G317="5/8"),((база!$J$6*2*Таблица1[[#This Row],[Столбец1]]*Таблица1[[#This Row],[коэф]])),
IF((G317="4/8"),((база!$J$5*2*Таблица1[[#This Row],[Столбец1]]*Таблица1[[#This Row],[коэф]])),
IF(OR(G317="3/8",G317="2/8"),((база!$J$4*2*Таблица1[[#This Row],[Столбец1]]*Таблица1[[#This Row],[коэф]])))))))))))))),
(IF((G317="5/24"),((база!$M$6*2*Таблица1[[#This Row],[Столбец1]]*Таблица1[[#This Row],[коэф]])),
IF(OR(G317="4/24",G317="3/24"),((база!$M$5*2*Таблица1[[#This Row],[Столбец1]]*Таблица1[[#This Row],[коэф]])),
IF((G317="5/16"),((база!$L$6*2*Таблица1[[#This Row],[Столбец1]]*Таблица1[[#This Row],[коэф]])),
IF(OR(G317="4/16",G317="3/16"),((база!$L$5*2*Таблица1[[#This Row],[Столбец1]]*Таблица1[[#This Row],[коэф]])),
IF(OR(G317="2/4",G317="3/4",G317="4/4"),((база!$I$5*2*Таблица1[[#This Row],[Столбец1]]*Таблица1[[#This Row],[коэф]])),
IF((G317="5/8"),((база!$J$6*2*Таблица1[[#This Row],[Столбец1]]*Таблица1[[#This Row],[коэф]])),
IF(OR(G317="4/8",G317="3/8",G317="2/8"),((база!$J$5*2*Таблица1[[#This Row],[Столбец1]]*Таблица1[[#This Row],[коэф]])))))))))))</f>
        <v>0</v>
      </c>
      <c r="AQ317" s="678" t="str">
        <f>IFERROR(INDEX(база!T:T, MATCH(F317,база!Q:Q,0)),"")</f>
        <v/>
      </c>
      <c r="AR317" s="193">
        <f>IFERROR(INDEX(база!D:D, MATCH(F317,база!B:B,0)),"")</f>
        <v>0</v>
      </c>
    </row>
    <row r="318" spans="1:44" ht="15">
      <c r="A318" s="59"/>
      <c r="B318" s="215"/>
      <c r="C318" s="54"/>
      <c r="D318" s="55"/>
      <c r="E318" s="196"/>
      <c r="F318" s="651"/>
      <c r="G318" s="42"/>
      <c r="H318" s="539"/>
      <c r="I318" s="539"/>
      <c r="J318" s="539"/>
      <c r="K318" s="539"/>
      <c r="L318" s="539"/>
      <c r="M318" s="539"/>
      <c r="N318" s="539"/>
      <c r="O318" s="539"/>
      <c r="P318" s="278"/>
      <c r="Q318" s="539"/>
      <c r="R318" s="539"/>
      <c r="S318" s="539"/>
      <c r="T318" s="539"/>
      <c r="U318" s="539"/>
      <c r="V318" s="539"/>
      <c r="W318" s="539"/>
      <c r="X318" s="539"/>
      <c r="Y318" s="539"/>
      <c r="Z318" s="539"/>
      <c r="AA318" s="539"/>
      <c r="AB318" s="539"/>
      <c r="AC318" s="539"/>
      <c r="AD318" s="43"/>
      <c r="AE318" s="43"/>
      <c r="AF318" s="238"/>
      <c r="AG318" s="43"/>
      <c r="AH318" s="43"/>
      <c r="AI318" s="43"/>
      <c r="AJ318" s="43"/>
      <c r="AK318" s="43"/>
      <c r="AL318" s="45"/>
      <c r="AM318" s="197">
        <f>IF(AQ318=1,SUM(H318:I318,L318:O318,R318:U318,X318:AA318,AD318:AG318,AI318:AK318),
IF(AQ318=2,SUM(H318:K318,N318:Q318,T318:W318,Z318:AC318,AF318:AI318),
IF(AQ318=3,SUM(J318:M318,P318:S318,V318:Y318,AB318:AE318,AH318:AK318),SUM(Таблица1[[#This Row],[1]:[31]])-Таблица1[[#This Row],[Столбец1]])))</f>
        <v>0</v>
      </c>
      <c r="AN318" s="269">
        <f t="array" ref="AN318">IF(AQ318=1,SUM(J318:K318,P318:Q318,V318:W318,AB318:AC318,AH318:AI318),
IF(AQ318=2,SUM(L318:M318,R318:S318,X318:Y318,AD318:AE318),
IF(AQ318=3,SUM(H318:I318,N318:O318,T318:U318,Z318:AA318,AF318:AG318),
SUM(IFERROR(WEEKDAY($H$2:$AL$2,2)&gt;5,)*H318:AL318))))</f>
        <v>0</v>
      </c>
      <c r="AO318" s="271" t="b">
        <f>IF(AR318&lt;=3,(IF((G318="5/24"),((база!$M$6*Таблица1[[#This Row],[сумма]]*Таблица1[[#This Row],[коэф]])),
IF((G318="4/24"),((база!$M$5*Таблица1[[#This Row],[сумма]]*Таблица1[[#This Row],[коэф]])),
IF((G318="3/24"),((база!$M$4*Таблица1[[#This Row],[сумма]]*Таблица1[[#This Row],[коэф]])),
IF((G318="5/16"),((база!$L$6*Таблица1[[#This Row],[сумма]]*Таблица1[[#This Row],[коэф]])),
IF((G318="4/16"),((база!$L$5*Таблица1[[#This Row],[сумма]]*Таблица1[[#This Row],[коэф]])),
IF((G318="3/16"),((база!$L$4*Таблица1[[#This Row],[сумма]]*Таблица1[[#This Row],[коэф]])),
IF((G318="4/4"),((база!$I$5*Таблица1[[#This Row],[сумма]]*Таблица1[[#This Row],[коэф]])),
IF(OR(G318="2/4",G318="3/4"),((база!$I$4*Таблица1[[#This Row],[сумма]]*Таблица1[[#This Row],[коэф]])),
IF((G318="5/8"),((база!$J$6*Таблица1[[#This Row],[сумма]]*Таблица1[[#This Row],[коэф]])),
IF((G318="4/8"),((база!$J$5*Таблица1[[#This Row],[сумма]]*Таблица1[[#This Row],[коэф]])),
IF(OR(G318="3/8",G318="2/8"),((база!$J$4*Таблица1[[#This Row],[сумма]]*Таблица1[[#This Row],[коэф]])))))))))))))),
(IF((G318="5/24"),((база!$M$6*Таблица1[[#This Row],[сумма]]*Таблица1[[#This Row],[коэф]])),
IF(OR(G318="4/24",G318="3/24"),((база!$M$5*Таблица1[[#This Row],[сумма]]*Таблица1[[#This Row],[коэф]])),
IF((G318="5/16"),((база!$L$6*Таблица1[[#This Row],[сумма]]*Таблица1[[#This Row],[коэф]])),
IF(OR(G318="4/16",G318="3/16"),((база!$L$5*Таблица1[[#This Row],[сумма]]*Таблица1[[#This Row],[коэф]])),
IF(OR(G318="2/4",G318="3/4",G318="4/4"),((база!$I$5*Таблица1[[#This Row],[сумма]]*Таблица1[[#This Row],[коэф]])),
IF((G318="5/8"),((база!$J$6*Таблица1[[#This Row],[сумма]]*Таблица1[[#This Row],[коэф]])),
IF(OR(G318="4/8",G318="3/8",G318="2/8"),((база!$J$5*Таблица1[[#This Row],[сумма]]*Таблица1[[#This Row],[коэф]])))))))))))</f>
        <v>0</v>
      </c>
      <c r="AP318" s="696" t="b">
        <f>IF(AR318&lt;=3,(IF((G318="5/24"),((база!$M$6*2*Таблица1[[#This Row],[Столбец1]]*Таблица1[[#This Row],[коэф]])),
IF((G318="4/24"),((база!$M$5*2*Таблица1[[#This Row],[Столбец1]]*Таблица1[[#This Row],[коэф]])),
IF((G318="3/24"),((база!$M$4*2*Таблица1[[#This Row],[Столбец1]]*Таблица1[[#This Row],[коэф]])),
IF((G318="5/16"),((база!$L$6*2*Таблица1[[#This Row],[Столбец1]]*Таблица1[[#This Row],[коэф]])),
IF((G318="4/16"),((база!$L$5*2*Таблица1[[#This Row],[Столбец1]]*Таблица1[[#This Row],[коэф]])),
IF((G318="3/16"),((база!$L$4*2*Таблица1[[#This Row],[Столбец1]]*Таблица1[[#This Row],[коэф]])),
IF((G318="4/4"),((база!$I$5*2*Таблица1[[#This Row],[Столбец1]]*Таблица1[[#This Row],[коэф]])),
IF(OR(G318="2/4",G318="3/4"),((база!$I$4*2*Таблица1[[#This Row],[Столбец1]]*Таблица1[[#This Row],[коэф]])),
IF((G318="5/8"),((база!$J$6*2*Таблица1[[#This Row],[Столбец1]]*Таблица1[[#This Row],[коэф]])),
IF((G318="4/8"),((база!$J$5*2*Таблица1[[#This Row],[Столбец1]]*Таблица1[[#This Row],[коэф]])),
IF(OR(G318="3/8",G318="2/8"),((база!$J$4*2*Таблица1[[#This Row],[Столбец1]]*Таблица1[[#This Row],[коэф]])))))))))))))),
(IF((G318="5/24"),((база!$M$6*2*Таблица1[[#This Row],[Столбец1]]*Таблица1[[#This Row],[коэф]])),
IF(OR(G318="4/24",G318="3/24"),((база!$M$5*2*Таблица1[[#This Row],[Столбец1]]*Таблица1[[#This Row],[коэф]])),
IF((G318="5/16"),((база!$L$6*2*Таблица1[[#This Row],[Столбец1]]*Таблица1[[#This Row],[коэф]])),
IF(OR(G318="4/16",G318="3/16"),((база!$L$5*2*Таблица1[[#This Row],[Столбец1]]*Таблица1[[#This Row],[коэф]])),
IF(OR(G318="2/4",G318="3/4",G318="4/4"),((база!$I$5*2*Таблица1[[#This Row],[Столбец1]]*Таблица1[[#This Row],[коэф]])),
IF((G318="5/8"),((база!$J$6*2*Таблица1[[#This Row],[Столбец1]]*Таблица1[[#This Row],[коэф]])),
IF(OR(G318="4/8",G318="3/8",G318="2/8"),((база!$J$5*2*Таблица1[[#This Row],[Столбец1]]*Таблица1[[#This Row],[коэф]])))))))))))</f>
        <v>0</v>
      </c>
      <c r="AQ318" s="678" t="str">
        <f>IFERROR(INDEX(база!T:T, MATCH(F318,база!Q:Q,0)),"")</f>
        <v/>
      </c>
      <c r="AR318" s="193">
        <f>IFERROR(INDEX(база!D:D, MATCH(F318,база!B:B,0)),"")</f>
        <v>0</v>
      </c>
    </row>
    <row r="319" spans="1:44" ht="15">
      <c r="A319" s="59"/>
      <c r="B319" s="215"/>
      <c r="C319" s="54"/>
      <c r="D319" s="55"/>
      <c r="E319" s="196"/>
      <c r="F319" s="651"/>
      <c r="G319" s="42"/>
      <c r="H319" s="539"/>
      <c r="I319" s="539"/>
      <c r="J319" s="539"/>
      <c r="K319" s="539"/>
      <c r="L319" s="539"/>
      <c r="M319" s="539"/>
      <c r="N319" s="539"/>
      <c r="O319" s="539"/>
      <c r="P319" s="278"/>
      <c r="Q319" s="539"/>
      <c r="R319" s="539"/>
      <c r="S319" s="539"/>
      <c r="T319" s="539"/>
      <c r="U319" s="539"/>
      <c r="V319" s="539"/>
      <c r="W319" s="539"/>
      <c r="X319" s="539"/>
      <c r="Y319" s="539"/>
      <c r="Z319" s="539"/>
      <c r="AA319" s="539"/>
      <c r="AB319" s="539"/>
      <c r="AC319" s="539"/>
      <c r="AD319" s="43"/>
      <c r="AE319" s="43"/>
      <c r="AF319" s="238"/>
      <c r="AG319" s="43"/>
      <c r="AH319" s="43"/>
      <c r="AI319" s="238"/>
      <c r="AJ319" s="238"/>
      <c r="AK319" s="238"/>
      <c r="AL319" s="238"/>
      <c r="AM319" s="197">
        <f>IF(AQ319=1,SUM(H319:I319,L319:O319,R319:U319,X319:AA319,AD319:AG319,AI319:AK319),
IF(AQ319=2,SUM(H319:K319,N319:Q319,T319:W319,Z319:AC319,AF319:AI319),
IF(AQ319=3,SUM(J319:M319,P319:S319,V319:Y319,AB319:AE319,AH319:AK319),SUM(Таблица1[[#This Row],[1]:[31]])-Таблица1[[#This Row],[Столбец1]])))</f>
        <v>0</v>
      </c>
      <c r="AN319" s="269">
        <f t="array" ref="AN319">IF(AQ319=1,SUM(J319:K319,P319:Q319,V319:W319,AB319:AC319,AH319:AI319),
IF(AQ319=2,SUM(L319:M319,R319:S319,X319:Y319,AD319:AE319),
IF(AQ319=3,SUM(H319:I319,N319:O319,T319:U319,Z319:AA319,AF319:AG319),
SUM(IFERROR(WEEKDAY($H$2:$AL$2,2)&gt;5,)*H319:AL319))))</f>
        <v>0</v>
      </c>
      <c r="AO319" s="271" t="b">
        <f>IF(AR319&lt;=3,(IF((G319="5/24"),((база!$M$6*Таблица1[[#This Row],[сумма]]*Таблица1[[#This Row],[коэф]])),
IF((G319="4/24"),((база!$M$5*Таблица1[[#This Row],[сумма]]*Таблица1[[#This Row],[коэф]])),
IF((G319="3/24"),((база!$M$4*Таблица1[[#This Row],[сумма]]*Таблица1[[#This Row],[коэф]])),
IF((G319="5/16"),((база!$L$6*Таблица1[[#This Row],[сумма]]*Таблица1[[#This Row],[коэф]])),
IF((G319="4/16"),((база!$L$5*Таблица1[[#This Row],[сумма]]*Таблица1[[#This Row],[коэф]])),
IF((G319="3/16"),((база!$L$4*Таблица1[[#This Row],[сумма]]*Таблица1[[#This Row],[коэф]])),
IF((G319="4/4"),((база!$I$5*Таблица1[[#This Row],[сумма]]*Таблица1[[#This Row],[коэф]])),
IF(OR(G319="2/4",G319="3/4"),((база!$I$4*Таблица1[[#This Row],[сумма]]*Таблица1[[#This Row],[коэф]])),
IF((G319="5/8"),((база!$J$6*Таблица1[[#This Row],[сумма]]*Таблица1[[#This Row],[коэф]])),
IF((G319="4/8"),((база!$J$5*Таблица1[[#This Row],[сумма]]*Таблица1[[#This Row],[коэф]])),
IF(OR(G319="3/8",G319="2/8"),((база!$J$4*Таблица1[[#This Row],[сумма]]*Таблица1[[#This Row],[коэф]])))))))))))))),
(IF((G319="5/24"),((база!$M$6*Таблица1[[#This Row],[сумма]]*Таблица1[[#This Row],[коэф]])),
IF(OR(G319="4/24",G319="3/24"),((база!$M$5*Таблица1[[#This Row],[сумма]]*Таблица1[[#This Row],[коэф]])),
IF((G319="5/16"),((база!$L$6*Таблица1[[#This Row],[сумма]]*Таблица1[[#This Row],[коэф]])),
IF(OR(G319="4/16",G319="3/16"),((база!$L$5*Таблица1[[#This Row],[сумма]]*Таблица1[[#This Row],[коэф]])),
IF(OR(G319="2/4",G319="3/4",G319="4/4"),((база!$I$5*Таблица1[[#This Row],[сумма]]*Таблица1[[#This Row],[коэф]])),
IF((G319="5/8"),((база!$J$6*Таблица1[[#This Row],[сумма]]*Таблица1[[#This Row],[коэф]])),
IF(OR(G319="4/8",G319="3/8",G319="2/8"),((база!$J$5*Таблица1[[#This Row],[сумма]]*Таблица1[[#This Row],[коэф]])))))))))))</f>
        <v>0</v>
      </c>
      <c r="AP319" s="696" t="b">
        <f>IF(AR319&lt;=3,(IF((G319="5/24"),((база!$M$6*2*Таблица1[[#This Row],[Столбец1]]*Таблица1[[#This Row],[коэф]])),
IF((G319="4/24"),((база!$M$5*2*Таблица1[[#This Row],[Столбец1]]*Таблица1[[#This Row],[коэф]])),
IF((G319="3/24"),((база!$M$4*2*Таблица1[[#This Row],[Столбец1]]*Таблица1[[#This Row],[коэф]])),
IF((G319="5/16"),((база!$L$6*2*Таблица1[[#This Row],[Столбец1]]*Таблица1[[#This Row],[коэф]])),
IF((G319="4/16"),((база!$L$5*2*Таблица1[[#This Row],[Столбец1]]*Таблица1[[#This Row],[коэф]])),
IF((G319="3/16"),((база!$L$4*2*Таблица1[[#This Row],[Столбец1]]*Таблица1[[#This Row],[коэф]])),
IF((G319="4/4"),((база!$I$5*2*Таблица1[[#This Row],[Столбец1]]*Таблица1[[#This Row],[коэф]])),
IF(OR(G319="2/4",G319="3/4"),((база!$I$4*2*Таблица1[[#This Row],[Столбец1]]*Таблица1[[#This Row],[коэф]])),
IF((G319="5/8"),((база!$J$6*2*Таблица1[[#This Row],[Столбец1]]*Таблица1[[#This Row],[коэф]])),
IF((G319="4/8"),((база!$J$5*2*Таблица1[[#This Row],[Столбец1]]*Таблица1[[#This Row],[коэф]])),
IF(OR(G319="3/8",G319="2/8"),((база!$J$4*2*Таблица1[[#This Row],[Столбец1]]*Таблица1[[#This Row],[коэф]])))))))))))))),
(IF((G319="5/24"),((база!$M$6*2*Таблица1[[#This Row],[Столбец1]]*Таблица1[[#This Row],[коэф]])),
IF(OR(G319="4/24",G319="3/24"),((база!$M$5*2*Таблица1[[#This Row],[Столбец1]]*Таблица1[[#This Row],[коэф]])),
IF((G319="5/16"),((база!$L$6*2*Таблица1[[#This Row],[Столбец1]]*Таблица1[[#This Row],[коэф]])),
IF(OR(G319="4/16",G319="3/16"),((база!$L$5*2*Таблица1[[#This Row],[Столбец1]]*Таблица1[[#This Row],[коэф]])),
IF(OR(G319="2/4",G319="3/4",G319="4/4"),((база!$I$5*2*Таблица1[[#This Row],[Столбец1]]*Таблица1[[#This Row],[коэф]])),
IF((G319="5/8"),((база!$J$6*2*Таблица1[[#This Row],[Столбец1]]*Таблица1[[#This Row],[коэф]])),
IF(OR(G319="4/8",G319="3/8",G319="2/8"),((база!$J$5*2*Таблица1[[#This Row],[Столбец1]]*Таблица1[[#This Row],[коэф]])))))))))))</f>
        <v>0</v>
      </c>
      <c r="AQ319" s="678" t="str">
        <f>IFERROR(INDEX(база!T:T, MATCH(F319,база!Q:Q,0)),"")</f>
        <v/>
      </c>
      <c r="AR319" s="193">
        <f>IFERROR(INDEX(база!D:D, MATCH(F319,база!B:B,0)),"")</f>
        <v>0</v>
      </c>
    </row>
    <row r="320" spans="1:44" ht="15">
      <c r="A320" s="59"/>
      <c r="B320" s="215"/>
      <c r="C320" s="277"/>
      <c r="D320" s="55"/>
      <c r="E320" s="196"/>
      <c r="F320" s="651"/>
      <c r="G320" s="42"/>
      <c r="H320" s="539"/>
      <c r="I320" s="539"/>
      <c r="J320" s="539"/>
      <c r="K320" s="539"/>
      <c r="L320" s="539"/>
      <c r="M320" s="539"/>
      <c r="N320" s="539"/>
      <c r="O320" s="539"/>
      <c r="P320" s="278"/>
      <c r="Q320" s="539"/>
      <c r="R320" s="539"/>
      <c r="S320" s="539"/>
      <c r="T320" s="539"/>
      <c r="U320" s="539"/>
      <c r="V320" s="539"/>
      <c r="W320" s="539"/>
      <c r="X320" s="539"/>
      <c r="Y320" s="539"/>
      <c r="Z320" s="539"/>
      <c r="AA320" s="539"/>
      <c r="AB320" s="539"/>
      <c r="AC320" s="539"/>
      <c r="AD320" s="539"/>
      <c r="AE320" s="539"/>
      <c r="AF320" s="539"/>
      <c r="AG320" s="539"/>
      <c r="AH320" s="43"/>
      <c r="AI320" s="43"/>
      <c r="AJ320" s="43"/>
      <c r="AK320" s="43"/>
      <c r="AL320" s="45"/>
      <c r="AM320" s="197">
        <f>IF(AQ320=1,SUM(H320:I320,L320:O320,R320:U320,X320:AA320,AD320:AG320,AI320:AK320),
IF(AQ320=2,SUM(H320:K320,N320:Q320,T320:W320,Z320:AC320,AF320:AI320),
IF(AQ320=3,SUM(J320:M320,P320:S320,V320:Y320,AB320:AE320,AH320:AK320),SUM(Таблица1[[#This Row],[1]:[31]])-Таблица1[[#This Row],[Столбец1]])))</f>
        <v>0</v>
      </c>
      <c r="AN320" s="269">
        <f t="array" ref="AN320">IF(AQ320=1,SUM(J320:K320,P320:Q320,V320:W320,AB320:AC320,AH320:AI320),
IF(AQ320=2,SUM(L320:M320,R320:S320,X320:Y320,AD320:AE320),
IF(AQ320=3,SUM(H320:I320,N320:O320,T320:U320,Z320:AA320,AF320:AG320),
SUM(IFERROR(WEEKDAY($H$2:$AL$2,2)&gt;5,)*H320:AL320))))</f>
        <v>0</v>
      </c>
      <c r="AO320" s="271" t="b">
        <f>IF(AR320&lt;=3,(IF((G320="5/24"),((база!$M$6*Таблица1[[#This Row],[сумма]]*Таблица1[[#This Row],[коэф]])),
IF((G320="4/24"),((база!$M$5*Таблица1[[#This Row],[сумма]]*Таблица1[[#This Row],[коэф]])),
IF((G320="3/24"),((база!$M$4*Таблица1[[#This Row],[сумма]]*Таблица1[[#This Row],[коэф]])),
IF((G320="5/16"),((база!$L$6*Таблица1[[#This Row],[сумма]]*Таблица1[[#This Row],[коэф]])),
IF((G320="4/16"),((база!$L$5*Таблица1[[#This Row],[сумма]]*Таблица1[[#This Row],[коэф]])),
IF((G320="3/16"),((база!$L$4*Таблица1[[#This Row],[сумма]]*Таблица1[[#This Row],[коэф]])),
IF((G320="4/4"),((база!$I$5*Таблица1[[#This Row],[сумма]]*Таблица1[[#This Row],[коэф]])),
IF(OR(G320="2/4",G320="3/4"),((база!$I$4*Таблица1[[#This Row],[сумма]]*Таблица1[[#This Row],[коэф]])),
IF((G320="5/8"),((база!$J$6*Таблица1[[#This Row],[сумма]]*Таблица1[[#This Row],[коэф]])),
IF((G320="4/8"),((база!$J$5*Таблица1[[#This Row],[сумма]]*Таблица1[[#This Row],[коэф]])),
IF(OR(G320="3/8",G320="2/8"),((база!$J$4*Таблица1[[#This Row],[сумма]]*Таблица1[[#This Row],[коэф]])))))))))))))),
(IF((G320="5/24"),((база!$M$6*Таблица1[[#This Row],[сумма]]*Таблица1[[#This Row],[коэф]])),
IF(OR(G320="4/24",G320="3/24"),((база!$M$5*Таблица1[[#This Row],[сумма]]*Таблица1[[#This Row],[коэф]])),
IF((G320="5/16"),((база!$L$6*Таблица1[[#This Row],[сумма]]*Таблица1[[#This Row],[коэф]])),
IF(OR(G320="4/16",G320="3/16"),((база!$L$5*Таблица1[[#This Row],[сумма]]*Таблица1[[#This Row],[коэф]])),
IF(OR(G320="2/4",G320="3/4",G320="4/4"),((база!$I$5*Таблица1[[#This Row],[сумма]]*Таблица1[[#This Row],[коэф]])),
IF((G320="5/8"),((база!$J$6*Таблица1[[#This Row],[сумма]]*Таблица1[[#This Row],[коэф]])),
IF(OR(G320="4/8",G320="3/8",G320="2/8"),((база!$J$5*Таблица1[[#This Row],[сумма]]*Таблица1[[#This Row],[коэф]])))))))))))</f>
        <v>0</v>
      </c>
      <c r="AP320" s="696" t="b">
        <f>IF(AR320&lt;=3,(IF((G320="5/24"),((база!$M$6*2*Таблица1[[#This Row],[Столбец1]]*Таблица1[[#This Row],[коэф]])),
IF((G320="4/24"),((база!$M$5*2*Таблица1[[#This Row],[Столбец1]]*Таблица1[[#This Row],[коэф]])),
IF((G320="3/24"),((база!$M$4*2*Таблица1[[#This Row],[Столбец1]]*Таблица1[[#This Row],[коэф]])),
IF((G320="5/16"),((база!$L$6*2*Таблица1[[#This Row],[Столбец1]]*Таблица1[[#This Row],[коэф]])),
IF((G320="4/16"),((база!$L$5*2*Таблица1[[#This Row],[Столбец1]]*Таблица1[[#This Row],[коэф]])),
IF((G320="3/16"),((база!$L$4*2*Таблица1[[#This Row],[Столбец1]]*Таблица1[[#This Row],[коэф]])),
IF((G320="4/4"),((база!$I$5*2*Таблица1[[#This Row],[Столбец1]]*Таблица1[[#This Row],[коэф]])),
IF(OR(G320="2/4",G320="3/4"),((база!$I$4*2*Таблица1[[#This Row],[Столбец1]]*Таблица1[[#This Row],[коэф]])),
IF((G320="5/8"),((база!$J$6*2*Таблица1[[#This Row],[Столбец1]]*Таблица1[[#This Row],[коэф]])),
IF((G320="4/8"),((база!$J$5*2*Таблица1[[#This Row],[Столбец1]]*Таблица1[[#This Row],[коэф]])),
IF(OR(G320="3/8",G320="2/8"),((база!$J$4*2*Таблица1[[#This Row],[Столбец1]]*Таблица1[[#This Row],[коэф]])))))))))))))),
(IF((G320="5/24"),((база!$M$6*2*Таблица1[[#This Row],[Столбец1]]*Таблица1[[#This Row],[коэф]])),
IF(OR(G320="4/24",G320="3/24"),((база!$M$5*2*Таблица1[[#This Row],[Столбец1]]*Таблица1[[#This Row],[коэф]])),
IF((G320="5/16"),((база!$L$6*2*Таблица1[[#This Row],[Столбец1]]*Таблица1[[#This Row],[коэф]])),
IF(OR(G320="4/16",G320="3/16"),((база!$L$5*2*Таблица1[[#This Row],[Столбец1]]*Таблица1[[#This Row],[коэф]])),
IF(OR(G320="2/4",G320="3/4",G320="4/4"),((база!$I$5*2*Таблица1[[#This Row],[Столбец1]]*Таблица1[[#This Row],[коэф]])),
IF((G320="5/8"),((база!$J$6*2*Таблица1[[#This Row],[Столбец1]]*Таблица1[[#This Row],[коэф]])),
IF(OR(G320="4/8",G320="3/8",G320="2/8"),((база!$J$5*2*Таблица1[[#This Row],[Столбец1]]*Таблица1[[#This Row],[коэф]])))))))))))</f>
        <v>0</v>
      </c>
      <c r="AQ320" s="678" t="str">
        <f>IFERROR(INDEX(база!T:T, MATCH(F320,база!Q:Q,0)),"")</f>
        <v/>
      </c>
      <c r="AR320" s="193">
        <f>IFERROR(INDEX(база!D:D, MATCH(F320,база!B:B,0)),"")</f>
        <v>0</v>
      </c>
    </row>
    <row r="321" spans="1:44" ht="15">
      <c r="A321" s="59"/>
      <c r="B321" s="215"/>
      <c r="C321" s="54"/>
      <c r="D321" s="55"/>
      <c r="E321" s="196"/>
      <c r="F321" s="651"/>
      <c r="G321" s="42"/>
      <c r="H321" s="539"/>
      <c r="I321" s="539"/>
      <c r="J321" s="539"/>
      <c r="K321" s="539"/>
      <c r="L321" s="539"/>
      <c r="M321" s="539"/>
      <c r="N321" s="539"/>
      <c r="O321" s="539"/>
      <c r="P321" s="278"/>
      <c r="Q321" s="539"/>
      <c r="R321" s="539"/>
      <c r="S321" s="539"/>
      <c r="T321" s="539"/>
      <c r="U321" s="539"/>
      <c r="V321" s="539"/>
      <c r="W321" s="539"/>
      <c r="X321" s="539"/>
      <c r="Y321" s="539"/>
      <c r="Z321" s="539"/>
      <c r="AA321" s="539"/>
      <c r="AB321" s="539"/>
      <c r="AC321" s="539"/>
      <c r="AD321" s="43"/>
      <c r="AE321" s="43"/>
      <c r="AF321" s="238"/>
      <c r="AG321" s="43"/>
      <c r="AH321" s="43"/>
      <c r="AI321" s="238"/>
      <c r="AJ321" s="238"/>
      <c r="AK321" s="238"/>
      <c r="AL321" s="238"/>
      <c r="AM321" s="197">
        <f>IF(AQ321=1,SUM(H321:I321,L321:O321,R321:U321,X321:AA321,AD321:AG321,AI321:AK321),
IF(AQ321=2,SUM(H321:K321,N321:Q321,T321:W321,Z321:AC321,AF321:AI321),
IF(AQ321=3,SUM(J321:M321,P321:S321,V321:Y321,AB321:AE321,AH321:AK321),SUM(Таблица1[[#This Row],[1]:[31]])-Таблица1[[#This Row],[Столбец1]])))</f>
        <v>0</v>
      </c>
      <c r="AN321" s="269">
        <f t="array" ref="AN321">IF(AQ321=1,SUM(J321:K321,P321:Q321,V321:W321,AB321:AC321,AH321:AI321),
IF(AQ321=2,SUM(L321:M321,R321:S321,X321:Y321,AD321:AE321),
IF(AQ321=3,SUM(H321:I321,N321:O321,T321:U321,Z321:AA321,AF321:AG321),
SUM(IFERROR(WEEKDAY($H$2:$AL$2,2)&gt;5,)*H321:AL321))))</f>
        <v>0</v>
      </c>
      <c r="AO321" s="271" t="b">
        <f>IF(AR321&lt;=3,(IF((G321="5/24"),((база!$M$6*Таблица1[[#This Row],[сумма]]*Таблица1[[#This Row],[коэф]])),
IF((G321="4/24"),((база!$M$5*Таблица1[[#This Row],[сумма]]*Таблица1[[#This Row],[коэф]])),
IF((G321="3/24"),((база!$M$4*Таблица1[[#This Row],[сумма]]*Таблица1[[#This Row],[коэф]])),
IF((G321="5/16"),((база!$L$6*Таблица1[[#This Row],[сумма]]*Таблица1[[#This Row],[коэф]])),
IF((G321="4/16"),((база!$L$5*Таблица1[[#This Row],[сумма]]*Таблица1[[#This Row],[коэф]])),
IF((G321="3/16"),((база!$L$4*Таблица1[[#This Row],[сумма]]*Таблица1[[#This Row],[коэф]])),
IF((G321="4/4"),((база!$I$5*Таблица1[[#This Row],[сумма]]*Таблица1[[#This Row],[коэф]])),
IF(OR(G321="2/4",G321="3/4"),((база!$I$4*Таблица1[[#This Row],[сумма]]*Таблица1[[#This Row],[коэф]])),
IF((G321="5/8"),((база!$J$6*Таблица1[[#This Row],[сумма]]*Таблица1[[#This Row],[коэф]])),
IF((G321="4/8"),((база!$J$5*Таблица1[[#This Row],[сумма]]*Таблица1[[#This Row],[коэф]])),
IF(OR(G321="3/8",G321="2/8"),((база!$J$4*Таблица1[[#This Row],[сумма]]*Таблица1[[#This Row],[коэф]])))))))))))))),
(IF((G321="5/24"),((база!$M$6*Таблица1[[#This Row],[сумма]]*Таблица1[[#This Row],[коэф]])),
IF(OR(G321="4/24",G321="3/24"),((база!$M$5*Таблица1[[#This Row],[сумма]]*Таблица1[[#This Row],[коэф]])),
IF((G321="5/16"),((база!$L$6*Таблица1[[#This Row],[сумма]]*Таблица1[[#This Row],[коэф]])),
IF(OR(G321="4/16",G321="3/16"),((база!$L$5*Таблица1[[#This Row],[сумма]]*Таблица1[[#This Row],[коэф]])),
IF(OR(G321="2/4",G321="3/4",G321="4/4"),((база!$I$5*Таблица1[[#This Row],[сумма]]*Таблица1[[#This Row],[коэф]])),
IF((G321="5/8"),((база!$J$6*Таблица1[[#This Row],[сумма]]*Таблица1[[#This Row],[коэф]])),
IF(OR(G321="4/8",G321="3/8",G321="2/8"),((база!$J$5*Таблица1[[#This Row],[сумма]]*Таблица1[[#This Row],[коэф]])))))))))))</f>
        <v>0</v>
      </c>
      <c r="AP321" s="696" t="b">
        <f>IF(AR321&lt;=3,(IF((G321="5/24"),((база!$M$6*2*Таблица1[[#This Row],[Столбец1]]*Таблица1[[#This Row],[коэф]])),
IF((G321="4/24"),((база!$M$5*2*Таблица1[[#This Row],[Столбец1]]*Таблица1[[#This Row],[коэф]])),
IF((G321="3/24"),((база!$M$4*2*Таблица1[[#This Row],[Столбец1]]*Таблица1[[#This Row],[коэф]])),
IF((G321="5/16"),((база!$L$6*2*Таблица1[[#This Row],[Столбец1]]*Таблица1[[#This Row],[коэф]])),
IF((G321="4/16"),((база!$L$5*2*Таблица1[[#This Row],[Столбец1]]*Таблица1[[#This Row],[коэф]])),
IF((G321="3/16"),((база!$L$4*2*Таблица1[[#This Row],[Столбец1]]*Таблица1[[#This Row],[коэф]])),
IF((G321="4/4"),((база!$I$5*2*Таблица1[[#This Row],[Столбец1]]*Таблица1[[#This Row],[коэф]])),
IF(OR(G321="2/4",G321="3/4"),((база!$I$4*2*Таблица1[[#This Row],[Столбец1]]*Таблица1[[#This Row],[коэф]])),
IF((G321="5/8"),((база!$J$6*2*Таблица1[[#This Row],[Столбец1]]*Таблица1[[#This Row],[коэф]])),
IF((G321="4/8"),((база!$J$5*2*Таблица1[[#This Row],[Столбец1]]*Таблица1[[#This Row],[коэф]])),
IF(OR(G321="3/8",G321="2/8"),((база!$J$4*2*Таблица1[[#This Row],[Столбец1]]*Таблица1[[#This Row],[коэф]])))))))))))))),
(IF((G321="5/24"),((база!$M$6*2*Таблица1[[#This Row],[Столбец1]]*Таблица1[[#This Row],[коэф]])),
IF(OR(G321="4/24",G321="3/24"),((база!$M$5*2*Таблица1[[#This Row],[Столбец1]]*Таблица1[[#This Row],[коэф]])),
IF((G321="5/16"),((база!$L$6*2*Таблица1[[#This Row],[Столбец1]]*Таблица1[[#This Row],[коэф]])),
IF(OR(G321="4/16",G321="3/16"),((база!$L$5*2*Таблица1[[#This Row],[Столбец1]]*Таблица1[[#This Row],[коэф]])),
IF(OR(G321="2/4",G321="3/4",G321="4/4"),((база!$I$5*2*Таблица1[[#This Row],[Столбец1]]*Таблица1[[#This Row],[коэф]])),
IF((G321="5/8"),((база!$J$6*2*Таблица1[[#This Row],[Столбец1]]*Таблица1[[#This Row],[коэф]])),
IF(OR(G321="4/8",G321="3/8",G321="2/8"),((база!$J$5*2*Таблица1[[#This Row],[Столбец1]]*Таблица1[[#This Row],[коэф]])))))))))))</f>
        <v>0</v>
      </c>
      <c r="AQ321" s="678" t="str">
        <f>IFERROR(INDEX(база!T:T, MATCH(F321,база!Q:Q,0)),"")</f>
        <v/>
      </c>
      <c r="AR321" s="193">
        <f>IFERROR(INDEX(база!D:D, MATCH(F321,база!B:B,0)),"")</f>
        <v>0</v>
      </c>
    </row>
    <row r="322" spans="1:44" ht="15">
      <c r="A322" s="59"/>
      <c r="B322" s="215"/>
      <c r="C322" s="277"/>
      <c r="D322" s="55"/>
      <c r="E322" s="196"/>
      <c r="F322" s="651"/>
      <c r="G322" s="42"/>
      <c r="H322" s="539"/>
      <c r="I322" s="539"/>
      <c r="J322" s="539"/>
      <c r="K322" s="539"/>
      <c r="L322" s="539"/>
      <c r="M322" s="539"/>
      <c r="N322" s="539"/>
      <c r="O322" s="539"/>
      <c r="P322" s="278"/>
      <c r="Q322" s="539"/>
      <c r="R322" s="539"/>
      <c r="S322" s="539"/>
      <c r="T322" s="539"/>
      <c r="U322" s="539"/>
      <c r="V322" s="539"/>
      <c r="W322" s="539"/>
      <c r="X322" s="539"/>
      <c r="Y322" s="539"/>
      <c r="Z322" s="539"/>
      <c r="AA322" s="539"/>
      <c r="AB322" s="539"/>
      <c r="AC322" s="539"/>
      <c r="AD322" s="43"/>
      <c r="AE322" s="43"/>
      <c r="AF322" s="238"/>
      <c r="AG322" s="43"/>
      <c r="AH322" s="43"/>
      <c r="AI322" s="43"/>
      <c r="AJ322" s="43"/>
      <c r="AK322" s="43"/>
      <c r="AL322" s="45"/>
      <c r="AM322" s="197">
        <f>IF(AQ322=1,SUM(H322:I322,L322:O322,R322:U322,X322:AA322,AD322:AG322,AI322:AK322),
IF(AQ322=2,SUM(H322:K322,N322:Q322,T322:W322,Z322:AC322,AF322:AI322),
IF(AQ322=3,SUM(J322:M322,P322:S322,V322:Y322,AB322:AE322,AH322:AK322),SUM(Таблица1[[#This Row],[1]:[31]])-Таблица1[[#This Row],[Столбец1]])))</f>
        <v>0</v>
      </c>
      <c r="AN322" s="269">
        <f t="array" ref="AN322">IF(AQ322=1,SUM(J322:K322,P322:Q322,V322:W322,AB322:AC322,AH322:AI322),
IF(AQ322=2,SUM(L322:M322,R322:S322,X322:Y322,AD322:AE322),
IF(AQ322=3,SUM(H322:I322,N322:O322,T322:U322,Z322:AA322,AF322:AG322),
SUM(IFERROR(WEEKDAY($H$2:$AL$2,2)&gt;5,)*H322:AL322))))</f>
        <v>0</v>
      </c>
      <c r="AO322" s="271" t="b">
        <f>IF(AR322&lt;=3,(IF((G322="5/24"),((база!$M$6*Таблица1[[#This Row],[сумма]]*Таблица1[[#This Row],[коэф]])),
IF((G322="4/24"),((база!$M$5*Таблица1[[#This Row],[сумма]]*Таблица1[[#This Row],[коэф]])),
IF((G322="3/24"),((база!$M$4*Таблица1[[#This Row],[сумма]]*Таблица1[[#This Row],[коэф]])),
IF((G322="5/16"),((база!$L$6*Таблица1[[#This Row],[сумма]]*Таблица1[[#This Row],[коэф]])),
IF((G322="4/16"),((база!$L$5*Таблица1[[#This Row],[сумма]]*Таблица1[[#This Row],[коэф]])),
IF((G322="3/16"),((база!$L$4*Таблица1[[#This Row],[сумма]]*Таблица1[[#This Row],[коэф]])),
IF((G322="4/4"),((база!$I$5*Таблица1[[#This Row],[сумма]]*Таблица1[[#This Row],[коэф]])),
IF(OR(G322="2/4",G322="3/4"),((база!$I$4*Таблица1[[#This Row],[сумма]]*Таблица1[[#This Row],[коэф]])),
IF((G322="5/8"),((база!$J$6*Таблица1[[#This Row],[сумма]]*Таблица1[[#This Row],[коэф]])),
IF((G322="4/8"),((база!$J$5*Таблица1[[#This Row],[сумма]]*Таблица1[[#This Row],[коэф]])),
IF(OR(G322="3/8",G322="2/8"),((база!$J$4*Таблица1[[#This Row],[сумма]]*Таблица1[[#This Row],[коэф]])))))))))))))),
(IF((G322="5/24"),((база!$M$6*Таблица1[[#This Row],[сумма]]*Таблица1[[#This Row],[коэф]])),
IF(OR(G322="4/24",G322="3/24"),((база!$M$5*Таблица1[[#This Row],[сумма]]*Таблица1[[#This Row],[коэф]])),
IF((G322="5/16"),((база!$L$6*Таблица1[[#This Row],[сумма]]*Таблица1[[#This Row],[коэф]])),
IF(OR(G322="4/16",G322="3/16"),((база!$L$5*Таблица1[[#This Row],[сумма]]*Таблица1[[#This Row],[коэф]])),
IF(OR(G322="2/4",G322="3/4",G322="4/4"),((база!$I$5*Таблица1[[#This Row],[сумма]]*Таблица1[[#This Row],[коэф]])),
IF((G322="5/8"),((база!$J$6*Таблица1[[#This Row],[сумма]]*Таблица1[[#This Row],[коэф]])),
IF(OR(G322="4/8",G322="3/8",G322="2/8"),((база!$J$5*Таблица1[[#This Row],[сумма]]*Таблица1[[#This Row],[коэф]])))))))))))</f>
        <v>0</v>
      </c>
      <c r="AP322" s="696" t="b">
        <f>IF(AR322&lt;=3,(IF((G322="5/24"),((база!$M$6*2*Таблица1[[#This Row],[Столбец1]]*Таблица1[[#This Row],[коэф]])),
IF((G322="4/24"),((база!$M$5*2*Таблица1[[#This Row],[Столбец1]]*Таблица1[[#This Row],[коэф]])),
IF((G322="3/24"),((база!$M$4*2*Таблица1[[#This Row],[Столбец1]]*Таблица1[[#This Row],[коэф]])),
IF((G322="5/16"),((база!$L$6*2*Таблица1[[#This Row],[Столбец1]]*Таблица1[[#This Row],[коэф]])),
IF((G322="4/16"),((база!$L$5*2*Таблица1[[#This Row],[Столбец1]]*Таблица1[[#This Row],[коэф]])),
IF((G322="3/16"),((база!$L$4*2*Таблица1[[#This Row],[Столбец1]]*Таблица1[[#This Row],[коэф]])),
IF((G322="4/4"),((база!$I$5*2*Таблица1[[#This Row],[Столбец1]]*Таблица1[[#This Row],[коэф]])),
IF(OR(G322="2/4",G322="3/4"),((база!$I$4*2*Таблица1[[#This Row],[Столбец1]]*Таблица1[[#This Row],[коэф]])),
IF((G322="5/8"),((база!$J$6*2*Таблица1[[#This Row],[Столбец1]]*Таблица1[[#This Row],[коэф]])),
IF((G322="4/8"),((база!$J$5*2*Таблица1[[#This Row],[Столбец1]]*Таблица1[[#This Row],[коэф]])),
IF(OR(G322="3/8",G322="2/8"),((база!$J$4*2*Таблица1[[#This Row],[Столбец1]]*Таблица1[[#This Row],[коэф]])))))))))))))),
(IF((G322="5/24"),((база!$M$6*2*Таблица1[[#This Row],[Столбец1]]*Таблица1[[#This Row],[коэф]])),
IF(OR(G322="4/24",G322="3/24"),((база!$M$5*2*Таблица1[[#This Row],[Столбец1]]*Таблица1[[#This Row],[коэф]])),
IF((G322="5/16"),((база!$L$6*2*Таблица1[[#This Row],[Столбец1]]*Таблица1[[#This Row],[коэф]])),
IF(OR(G322="4/16",G322="3/16"),((база!$L$5*2*Таблица1[[#This Row],[Столбец1]]*Таблица1[[#This Row],[коэф]])),
IF(OR(G322="2/4",G322="3/4",G322="4/4"),((база!$I$5*2*Таблица1[[#This Row],[Столбец1]]*Таблица1[[#This Row],[коэф]])),
IF((G322="5/8"),((база!$J$6*2*Таблица1[[#This Row],[Столбец1]]*Таблица1[[#This Row],[коэф]])),
IF(OR(G322="4/8",G322="3/8",G322="2/8"),((база!$J$5*2*Таблица1[[#This Row],[Столбец1]]*Таблица1[[#This Row],[коэф]])))))))))))</f>
        <v>0</v>
      </c>
      <c r="AQ322" s="678" t="str">
        <f>IFERROR(INDEX(база!T:T, MATCH(F322,база!Q:Q,0)),"")</f>
        <v/>
      </c>
      <c r="AR322" s="193">
        <f>IFERROR(INDEX(база!D:D, MATCH(F322,база!B:B,0)),"")</f>
        <v>0</v>
      </c>
    </row>
    <row r="323" spans="1:44" ht="15">
      <c r="A323" s="59"/>
      <c r="B323" s="215"/>
      <c r="C323" s="277"/>
      <c r="D323" s="55"/>
      <c r="E323" s="196"/>
      <c r="F323" s="651"/>
      <c r="G323" s="42"/>
      <c r="H323" s="539"/>
      <c r="I323" s="539"/>
      <c r="J323" s="539"/>
      <c r="K323" s="539"/>
      <c r="L323" s="539"/>
      <c r="M323" s="539"/>
      <c r="N323" s="539"/>
      <c r="O323" s="539"/>
      <c r="P323" s="278"/>
      <c r="Q323" s="539"/>
      <c r="R323" s="539"/>
      <c r="S323" s="539"/>
      <c r="T323" s="539"/>
      <c r="U323" s="539"/>
      <c r="V323" s="539"/>
      <c r="W323" s="539"/>
      <c r="X323" s="539"/>
      <c r="Y323" s="539"/>
      <c r="Z323" s="539"/>
      <c r="AA323" s="539"/>
      <c r="AB323" s="539"/>
      <c r="AC323" s="539"/>
      <c r="AD323" s="43"/>
      <c r="AE323" s="43"/>
      <c r="AF323" s="43"/>
      <c r="AG323" s="43"/>
      <c r="AH323" s="43"/>
      <c r="AI323" s="43"/>
      <c r="AJ323" s="238"/>
      <c r="AK323" s="238"/>
      <c r="AL323" s="238"/>
      <c r="AM323" s="197">
        <f>IF(AQ323=1,SUM(H323:I323,L323:O323,R323:U323,X323:AA323,AD323:AG323,AI323:AK323),
IF(AQ323=2,SUM(H323:K323,N323:Q323,T323:W323,Z323:AC323,AF323:AI323),
IF(AQ323=3,SUM(J323:M323,P323:S323,V323:Y323,AB323:AE323,AH323:AK323),SUM(Таблица1[[#This Row],[1]:[31]])-Таблица1[[#This Row],[Столбец1]])))</f>
        <v>0</v>
      </c>
      <c r="AN323" s="269">
        <f t="array" ref="AN323">IF(AQ323=1,SUM(J323:K323,P323:Q323,V323:W323,AB323:AC323,AH323:AI323),
IF(AQ323=2,SUM(L323:M323,R323:S323,X323:Y323,AD323:AE323),
IF(AQ323=3,SUM(H323:I323,N323:O323,T323:U323,Z323:AA323,AF323:AG323),
SUM(IFERROR(WEEKDAY($H$2:$AL$2,2)&gt;5,)*H323:AL323))))</f>
        <v>0</v>
      </c>
      <c r="AO323" s="271" t="b">
        <f>IF(AR323&lt;=3,(IF((G323="5/24"),((база!$M$6*Таблица1[[#This Row],[сумма]]*Таблица1[[#This Row],[коэф]])),
IF((G323="4/24"),((база!$M$5*Таблица1[[#This Row],[сумма]]*Таблица1[[#This Row],[коэф]])),
IF((G323="3/24"),((база!$M$4*Таблица1[[#This Row],[сумма]]*Таблица1[[#This Row],[коэф]])),
IF((G323="5/16"),((база!$L$6*Таблица1[[#This Row],[сумма]]*Таблица1[[#This Row],[коэф]])),
IF((G323="4/16"),((база!$L$5*Таблица1[[#This Row],[сумма]]*Таблица1[[#This Row],[коэф]])),
IF((G323="3/16"),((база!$L$4*Таблица1[[#This Row],[сумма]]*Таблица1[[#This Row],[коэф]])),
IF((G323="4/4"),((база!$I$5*Таблица1[[#This Row],[сумма]]*Таблица1[[#This Row],[коэф]])),
IF(OR(G323="2/4",G323="3/4"),((база!$I$4*Таблица1[[#This Row],[сумма]]*Таблица1[[#This Row],[коэф]])),
IF((G323="5/8"),((база!$J$6*Таблица1[[#This Row],[сумма]]*Таблица1[[#This Row],[коэф]])),
IF((G323="4/8"),((база!$J$5*Таблица1[[#This Row],[сумма]]*Таблица1[[#This Row],[коэф]])),
IF(OR(G323="3/8",G323="2/8"),((база!$J$4*Таблица1[[#This Row],[сумма]]*Таблица1[[#This Row],[коэф]])))))))))))))),
(IF((G323="5/24"),((база!$M$6*Таблица1[[#This Row],[сумма]]*Таблица1[[#This Row],[коэф]])),
IF(OR(G323="4/24",G323="3/24"),((база!$M$5*Таблица1[[#This Row],[сумма]]*Таблица1[[#This Row],[коэф]])),
IF((G323="5/16"),((база!$L$6*Таблица1[[#This Row],[сумма]]*Таблица1[[#This Row],[коэф]])),
IF(OR(G323="4/16",G323="3/16"),((база!$L$5*Таблица1[[#This Row],[сумма]]*Таблица1[[#This Row],[коэф]])),
IF(OR(G323="2/4",G323="3/4",G323="4/4"),((база!$I$5*Таблица1[[#This Row],[сумма]]*Таблица1[[#This Row],[коэф]])),
IF((G323="5/8"),((база!$J$6*Таблица1[[#This Row],[сумма]]*Таблица1[[#This Row],[коэф]])),
IF(OR(G323="4/8",G323="3/8",G323="2/8"),((база!$J$5*Таблица1[[#This Row],[сумма]]*Таблица1[[#This Row],[коэф]])))))))))))</f>
        <v>0</v>
      </c>
      <c r="AP323" s="696" t="b">
        <f>IF(AR323&lt;=3,(IF((G323="5/24"),((база!$M$6*2*Таблица1[[#This Row],[Столбец1]]*Таблица1[[#This Row],[коэф]])),
IF((G323="4/24"),((база!$M$5*2*Таблица1[[#This Row],[Столбец1]]*Таблица1[[#This Row],[коэф]])),
IF((G323="3/24"),((база!$M$4*2*Таблица1[[#This Row],[Столбец1]]*Таблица1[[#This Row],[коэф]])),
IF((G323="5/16"),((база!$L$6*2*Таблица1[[#This Row],[Столбец1]]*Таблица1[[#This Row],[коэф]])),
IF((G323="4/16"),((база!$L$5*2*Таблица1[[#This Row],[Столбец1]]*Таблица1[[#This Row],[коэф]])),
IF((G323="3/16"),((база!$L$4*2*Таблица1[[#This Row],[Столбец1]]*Таблица1[[#This Row],[коэф]])),
IF((G323="4/4"),((база!$I$5*2*Таблица1[[#This Row],[Столбец1]]*Таблица1[[#This Row],[коэф]])),
IF(OR(G323="2/4",G323="3/4"),((база!$I$4*2*Таблица1[[#This Row],[Столбец1]]*Таблица1[[#This Row],[коэф]])),
IF((G323="5/8"),((база!$J$6*2*Таблица1[[#This Row],[Столбец1]]*Таблица1[[#This Row],[коэф]])),
IF((G323="4/8"),((база!$J$5*2*Таблица1[[#This Row],[Столбец1]]*Таблица1[[#This Row],[коэф]])),
IF(OR(G323="3/8",G323="2/8"),((база!$J$4*2*Таблица1[[#This Row],[Столбец1]]*Таблица1[[#This Row],[коэф]])))))))))))))),
(IF((G323="5/24"),((база!$M$6*2*Таблица1[[#This Row],[Столбец1]]*Таблица1[[#This Row],[коэф]])),
IF(OR(G323="4/24",G323="3/24"),((база!$M$5*2*Таблица1[[#This Row],[Столбец1]]*Таблица1[[#This Row],[коэф]])),
IF((G323="5/16"),((база!$L$6*2*Таблица1[[#This Row],[Столбец1]]*Таблица1[[#This Row],[коэф]])),
IF(OR(G323="4/16",G323="3/16"),((база!$L$5*2*Таблица1[[#This Row],[Столбец1]]*Таблица1[[#This Row],[коэф]])),
IF(OR(G323="2/4",G323="3/4",G323="4/4"),((база!$I$5*2*Таблица1[[#This Row],[Столбец1]]*Таблица1[[#This Row],[коэф]])),
IF((G323="5/8"),((база!$J$6*2*Таблица1[[#This Row],[Столбец1]]*Таблица1[[#This Row],[коэф]])),
IF(OR(G323="4/8",G323="3/8",G323="2/8"),((база!$J$5*2*Таблица1[[#This Row],[Столбец1]]*Таблица1[[#This Row],[коэф]])))))))))))</f>
        <v>0</v>
      </c>
      <c r="AQ323" s="678" t="str">
        <f>IFERROR(INDEX(база!T:T, MATCH(F323,база!Q:Q,0)),"")</f>
        <v/>
      </c>
      <c r="AR323" s="193">
        <f>IFERROR(INDEX(база!D:D, MATCH(F323,база!B:B,0)),"")</f>
        <v>0</v>
      </c>
    </row>
    <row r="324" spans="1:44" ht="15">
      <c r="A324" s="59"/>
      <c r="B324" s="215"/>
      <c r="C324" s="277"/>
      <c r="D324" s="55"/>
      <c r="E324" s="196"/>
      <c r="F324" s="651"/>
      <c r="G324" s="42"/>
      <c r="H324" s="539"/>
      <c r="I324" s="539"/>
      <c r="J324" s="539"/>
      <c r="K324" s="539"/>
      <c r="L324" s="539"/>
      <c r="M324" s="539"/>
      <c r="N324" s="539"/>
      <c r="O324" s="539"/>
      <c r="P324" s="278"/>
      <c r="Q324" s="539"/>
      <c r="R324" s="539"/>
      <c r="S324" s="539"/>
      <c r="T324" s="539"/>
      <c r="U324" s="539"/>
      <c r="V324" s="539"/>
      <c r="W324" s="539"/>
      <c r="X324" s="539"/>
      <c r="Y324" s="539"/>
      <c r="Z324" s="539"/>
      <c r="AA324" s="539"/>
      <c r="AB324" s="539"/>
      <c r="AC324" s="539"/>
      <c r="AD324" s="43"/>
      <c r="AE324" s="43"/>
      <c r="AF324" s="238"/>
      <c r="AG324" s="43"/>
      <c r="AH324" s="43"/>
      <c r="AI324" s="43"/>
      <c r="AJ324" s="43"/>
      <c r="AK324" s="43"/>
      <c r="AL324" s="45"/>
      <c r="AM324" s="197">
        <f>IF(AQ324=1,SUM(H324:I324,L324:O324,R324:U324,X324:AA324,AD324:AG324,AI324:AK324),
IF(AQ324=2,SUM(H324:K324,N324:Q324,T324:W324,Z324:AC324,AF324:AI324),
IF(AQ324=3,SUM(J324:M324,P324:S324,V324:Y324,AB324:AE324,AH324:AK324),SUM(Таблица1[[#This Row],[1]:[31]])-Таблица1[[#This Row],[Столбец1]])))</f>
        <v>0</v>
      </c>
      <c r="AN324" s="269">
        <f t="array" ref="AN324">IF(AQ324=1,SUM(J324:K324,P324:Q324,V324:W324,AB324:AC324,AH324:AI324),
IF(AQ324=2,SUM(L324:M324,R324:S324,X324:Y324,AD324:AE324),
IF(AQ324=3,SUM(H324:I324,N324:O324,T324:U324,Z324:AA324,AF324:AG324),
SUM(IFERROR(WEEKDAY($H$2:$AL$2,2)&gt;5,)*H324:AL324))))</f>
        <v>0</v>
      </c>
      <c r="AO324" s="271" t="b">
        <f>IF(AR324&lt;=3,(IF((G324="5/24"),((база!$M$6*Таблица1[[#This Row],[сумма]]*Таблица1[[#This Row],[коэф]])),
IF((G324="4/24"),((база!$M$5*Таблица1[[#This Row],[сумма]]*Таблица1[[#This Row],[коэф]])),
IF((G324="3/24"),((база!$M$4*Таблица1[[#This Row],[сумма]]*Таблица1[[#This Row],[коэф]])),
IF((G324="5/16"),((база!$L$6*Таблица1[[#This Row],[сумма]]*Таблица1[[#This Row],[коэф]])),
IF((G324="4/16"),((база!$L$5*Таблица1[[#This Row],[сумма]]*Таблица1[[#This Row],[коэф]])),
IF((G324="3/16"),((база!$L$4*Таблица1[[#This Row],[сумма]]*Таблица1[[#This Row],[коэф]])),
IF((G324="4/4"),((база!$I$5*Таблица1[[#This Row],[сумма]]*Таблица1[[#This Row],[коэф]])),
IF(OR(G324="2/4",G324="3/4"),((база!$I$4*Таблица1[[#This Row],[сумма]]*Таблица1[[#This Row],[коэф]])),
IF((G324="5/8"),((база!$J$6*Таблица1[[#This Row],[сумма]]*Таблица1[[#This Row],[коэф]])),
IF((G324="4/8"),((база!$J$5*Таблица1[[#This Row],[сумма]]*Таблица1[[#This Row],[коэф]])),
IF(OR(G324="3/8",G324="2/8"),((база!$J$4*Таблица1[[#This Row],[сумма]]*Таблица1[[#This Row],[коэф]])))))))))))))),
(IF((G324="5/24"),((база!$M$6*Таблица1[[#This Row],[сумма]]*Таблица1[[#This Row],[коэф]])),
IF(OR(G324="4/24",G324="3/24"),((база!$M$5*Таблица1[[#This Row],[сумма]]*Таблица1[[#This Row],[коэф]])),
IF((G324="5/16"),((база!$L$6*Таблица1[[#This Row],[сумма]]*Таблица1[[#This Row],[коэф]])),
IF(OR(G324="4/16",G324="3/16"),((база!$L$5*Таблица1[[#This Row],[сумма]]*Таблица1[[#This Row],[коэф]])),
IF(OR(G324="2/4",G324="3/4",G324="4/4"),((база!$I$5*Таблица1[[#This Row],[сумма]]*Таблица1[[#This Row],[коэф]])),
IF((G324="5/8"),((база!$J$6*Таблица1[[#This Row],[сумма]]*Таблица1[[#This Row],[коэф]])),
IF(OR(G324="4/8",G324="3/8",G324="2/8"),((база!$J$5*Таблица1[[#This Row],[сумма]]*Таблица1[[#This Row],[коэф]])))))))))))</f>
        <v>0</v>
      </c>
      <c r="AP324" s="696" t="b">
        <f>IF(AR324&lt;=3,(IF((G324="5/24"),((база!$M$6*2*Таблица1[[#This Row],[Столбец1]]*Таблица1[[#This Row],[коэф]])),
IF((G324="4/24"),((база!$M$5*2*Таблица1[[#This Row],[Столбец1]]*Таблица1[[#This Row],[коэф]])),
IF((G324="3/24"),((база!$M$4*2*Таблица1[[#This Row],[Столбец1]]*Таблица1[[#This Row],[коэф]])),
IF((G324="5/16"),((база!$L$6*2*Таблица1[[#This Row],[Столбец1]]*Таблица1[[#This Row],[коэф]])),
IF((G324="4/16"),((база!$L$5*2*Таблица1[[#This Row],[Столбец1]]*Таблица1[[#This Row],[коэф]])),
IF((G324="3/16"),((база!$L$4*2*Таблица1[[#This Row],[Столбец1]]*Таблица1[[#This Row],[коэф]])),
IF((G324="4/4"),((база!$I$5*2*Таблица1[[#This Row],[Столбец1]]*Таблица1[[#This Row],[коэф]])),
IF(OR(G324="2/4",G324="3/4"),((база!$I$4*2*Таблица1[[#This Row],[Столбец1]]*Таблица1[[#This Row],[коэф]])),
IF((G324="5/8"),((база!$J$6*2*Таблица1[[#This Row],[Столбец1]]*Таблица1[[#This Row],[коэф]])),
IF((G324="4/8"),((база!$J$5*2*Таблица1[[#This Row],[Столбец1]]*Таблица1[[#This Row],[коэф]])),
IF(OR(G324="3/8",G324="2/8"),((база!$J$4*2*Таблица1[[#This Row],[Столбец1]]*Таблица1[[#This Row],[коэф]])))))))))))))),
(IF((G324="5/24"),((база!$M$6*2*Таблица1[[#This Row],[Столбец1]]*Таблица1[[#This Row],[коэф]])),
IF(OR(G324="4/24",G324="3/24"),((база!$M$5*2*Таблица1[[#This Row],[Столбец1]]*Таблица1[[#This Row],[коэф]])),
IF((G324="5/16"),((база!$L$6*2*Таблица1[[#This Row],[Столбец1]]*Таблица1[[#This Row],[коэф]])),
IF(OR(G324="4/16",G324="3/16"),((база!$L$5*2*Таблица1[[#This Row],[Столбец1]]*Таблица1[[#This Row],[коэф]])),
IF(OR(G324="2/4",G324="3/4",G324="4/4"),((база!$I$5*2*Таблица1[[#This Row],[Столбец1]]*Таблица1[[#This Row],[коэф]])),
IF((G324="5/8"),((база!$J$6*2*Таблица1[[#This Row],[Столбец1]]*Таблица1[[#This Row],[коэф]])),
IF(OR(G324="4/8",G324="3/8",G324="2/8"),((база!$J$5*2*Таблица1[[#This Row],[Столбец1]]*Таблица1[[#This Row],[коэф]])))))))))))</f>
        <v>0</v>
      </c>
      <c r="AQ324" s="678" t="str">
        <f>IFERROR(INDEX(база!T:T, MATCH(F324,база!Q:Q,0)),"")</f>
        <v/>
      </c>
      <c r="AR324" s="193">
        <f>IFERROR(INDEX(база!D:D, MATCH(F324,база!B:B,0)),"")</f>
        <v>0</v>
      </c>
    </row>
    <row r="325" spans="1:44" ht="15">
      <c r="A325" s="59"/>
      <c r="B325" s="215"/>
      <c r="C325" s="54"/>
      <c r="D325" s="55"/>
      <c r="E325" s="196"/>
      <c r="F325" s="651"/>
      <c r="G325" s="42"/>
      <c r="H325" s="539"/>
      <c r="I325" s="539"/>
      <c r="J325" s="539"/>
      <c r="K325" s="539"/>
      <c r="L325" s="539"/>
      <c r="M325" s="539"/>
      <c r="N325" s="539"/>
      <c r="O325" s="539"/>
      <c r="P325" s="278"/>
      <c r="Q325" s="539"/>
      <c r="R325" s="539"/>
      <c r="S325" s="539"/>
      <c r="T325" s="539"/>
      <c r="U325" s="539"/>
      <c r="V325" s="539"/>
      <c r="W325" s="539"/>
      <c r="X325" s="539"/>
      <c r="Y325" s="539"/>
      <c r="Z325" s="539"/>
      <c r="AA325" s="539"/>
      <c r="AB325" s="539"/>
      <c r="AC325" s="539"/>
      <c r="AD325" s="43"/>
      <c r="AE325" s="43"/>
      <c r="AF325" s="43"/>
      <c r="AG325" s="43"/>
      <c r="AH325" s="43"/>
      <c r="AI325" s="238"/>
      <c r="AJ325" s="238"/>
      <c r="AK325" s="238"/>
      <c r="AL325" s="238"/>
      <c r="AM325" s="197">
        <f>IF(AQ325=1,SUM(H325:I325,L325:O325,R325:U325,X325:AA325,AD325:AG325,AI325:AK325),
IF(AQ325=2,SUM(H325:K325,N325:Q325,T325:W325,Z325:AC325,AF325:AI325),
IF(AQ325=3,SUM(J325:M325,P325:S325,V325:Y325,AB325:AE325,AH325:AK325),SUM(Таблица1[[#This Row],[1]:[31]])-Таблица1[[#This Row],[Столбец1]])))</f>
        <v>0</v>
      </c>
      <c r="AN325" s="269">
        <f t="array" ref="AN325">IF(AQ325=1,SUM(J325:K325,P325:Q325,V325:W325,AB325:AC325,AH325:AI325),
IF(AQ325=2,SUM(L325:M325,R325:S325,X325:Y325,AD325:AE325),
IF(AQ325=3,SUM(H325:I325,N325:O325,T325:U325,Z325:AA325,AF325:AG325),
SUM(IFERROR(WEEKDAY($H$2:$AL$2,2)&gt;5,)*H325:AL325))))</f>
        <v>0</v>
      </c>
      <c r="AO325" s="271" t="b">
        <f>IF(AR325&lt;=3,(IF((G325="5/24"),((база!$M$6*Таблица1[[#This Row],[сумма]]*Таблица1[[#This Row],[коэф]])),
IF((G325="4/24"),((база!$M$5*Таблица1[[#This Row],[сумма]]*Таблица1[[#This Row],[коэф]])),
IF((G325="3/24"),((база!$M$4*Таблица1[[#This Row],[сумма]]*Таблица1[[#This Row],[коэф]])),
IF((G325="5/16"),((база!$L$6*Таблица1[[#This Row],[сумма]]*Таблица1[[#This Row],[коэф]])),
IF((G325="4/16"),((база!$L$5*Таблица1[[#This Row],[сумма]]*Таблица1[[#This Row],[коэф]])),
IF((G325="3/16"),((база!$L$4*Таблица1[[#This Row],[сумма]]*Таблица1[[#This Row],[коэф]])),
IF((G325="4/4"),((база!$I$5*Таблица1[[#This Row],[сумма]]*Таблица1[[#This Row],[коэф]])),
IF(OR(G325="2/4",G325="3/4"),((база!$I$4*Таблица1[[#This Row],[сумма]]*Таблица1[[#This Row],[коэф]])),
IF((G325="5/8"),((база!$J$6*Таблица1[[#This Row],[сумма]]*Таблица1[[#This Row],[коэф]])),
IF((G325="4/8"),((база!$J$5*Таблица1[[#This Row],[сумма]]*Таблица1[[#This Row],[коэф]])),
IF(OR(G325="3/8",G325="2/8"),((база!$J$4*Таблица1[[#This Row],[сумма]]*Таблица1[[#This Row],[коэф]])))))))))))))),
(IF((G325="5/24"),((база!$M$6*Таблица1[[#This Row],[сумма]]*Таблица1[[#This Row],[коэф]])),
IF(OR(G325="4/24",G325="3/24"),((база!$M$5*Таблица1[[#This Row],[сумма]]*Таблица1[[#This Row],[коэф]])),
IF((G325="5/16"),((база!$L$6*Таблица1[[#This Row],[сумма]]*Таблица1[[#This Row],[коэф]])),
IF(OR(G325="4/16",G325="3/16"),((база!$L$5*Таблица1[[#This Row],[сумма]]*Таблица1[[#This Row],[коэф]])),
IF(OR(G325="2/4",G325="3/4",G325="4/4"),((база!$I$5*Таблица1[[#This Row],[сумма]]*Таблица1[[#This Row],[коэф]])),
IF((G325="5/8"),((база!$J$6*Таблица1[[#This Row],[сумма]]*Таблица1[[#This Row],[коэф]])),
IF(OR(G325="4/8",G325="3/8",G325="2/8"),((база!$J$5*Таблица1[[#This Row],[сумма]]*Таблица1[[#This Row],[коэф]])))))))))))</f>
        <v>0</v>
      </c>
      <c r="AP325" s="696" t="b">
        <f>IF(AR325&lt;=3,(IF((G325="5/24"),((база!$M$6*2*Таблица1[[#This Row],[Столбец1]]*Таблица1[[#This Row],[коэф]])),
IF((G325="4/24"),((база!$M$5*2*Таблица1[[#This Row],[Столбец1]]*Таблица1[[#This Row],[коэф]])),
IF((G325="3/24"),((база!$M$4*2*Таблица1[[#This Row],[Столбец1]]*Таблица1[[#This Row],[коэф]])),
IF((G325="5/16"),((база!$L$6*2*Таблица1[[#This Row],[Столбец1]]*Таблица1[[#This Row],[коэф]])),
IF((G325="4/16"),((база!$L$5*2*Таблица1[[#This Row],[Столбец1]]*Таблица1[[#This Row],[коэф]])),
IF((G325="3/16"),((база!$L$4*2*Таблица1[[#This Row],[Столбец1]]*Таблица1[[#This Row],[коэф]])),
IF((G325="4/4"),((база!$I$5*2*Таблица1[[#This Row],[Столбец1]]*Таблица1[[#This Row],[коэф]])),
IF(OR(G325="2/4",G325="3/4"),((база!$I$4*2*Таблица1[[#This Row],[Столбец1]]*Таблица1[[#This Row],[коэф]])),
IF((G325="5/8"),((база!$J$6*2*Таблица1[[#This Row],[Столбец1]]*Таблица1[[#This Row],[коэф]])),
IF((G325="4/8"),((база!$J$5*2*Таблица1[[#This Row],[Столбец1]]*Таблица1[[#This Row],[коэф]])),
IF(OR(G325="3/8",G325="2/8"),((база!$J$4*2*Таблица1[[#This Row],[Столбец1]]*Таблица1[[#This Row],[коэф]])))))))))))))),
(IF((G325="5/24"),((база!$M$6*2*Таблица1[[#This Row],[Столбец1]]*Таблица1[[#This Row],[коэф]])),
IF(OR(G325="4/24",G325="3/24"),((база!$M$5*2*Таблица1[[#This Row],[Столбец1]]*Таблица1[[#This Row],[коэф]])),
IF((G325="5/16"),((база!$L$6*2*Таблица1[[#This Row],[Столбец1]]*Таблица1[[#This Row],[коэф]])),
IF(OR(G325="4/16",G325="3/16"),((база!$L$5*2*Таблица1[[#This Row],[Столбец1]]*Таблица1[[#This Row],[коэф]])),
IF(OR(G325="2/4",G325="3/4",G325="4/4"),((база!$I$5*2*Таблица1[[#This Row],[Столбец1]]*Таблица1[[#This Row],[коэф]])),
IF((G325="5/8"),((база!$J$6*2*Таблица1[[#This Row],[Столбец1]]*Таблица1[[#This Row],[коэф]])),
IF(OR(G325="4/8",G325="3/8",G325="2/8"),((база!$J$5*2*Таблица1[[#This Row],[Столбец1]]*Таблица1[[#This Row],[коэф]])))))))))))</f>
        <v>0</v>
      </c>
      <c r="AQ325" s="678" t="str">
        <f>IFERROR(INDEX(база!T:T, MATCH(F325,база!Q:Q,0)),"")</f>
        <v/>
      </c>
      <c r="AR325" s="193">
        <f>IFERROR(INDEX(база!D:D, MATCH(F325,база!B:B,0)),"")</f>
        <v>0</v>
      </c>
    </row>
    <row r="326" spans="1:44" ht="15">
      <c r="A326" s="59"/>
      <c r="B326" s="215"/>
      <c r="C326" s="54"/>
      <c r="D326" s="55"/>
      <c r="E326" s="196"/>
      <c r="F326" s="651"/>
      <c r="G326" s="42"/>
      <c r="H326" s="539"/>
      <c r="I326" s="539"/>
      <c r="J326" s="539"/>
      <c r="K326" s="539"/>
      <c r="L326" s="539"/>
      <c r="M326" s="539"/>
      <c r="N326" s="539"/>
      <c r="O326" s="539"/>
      <c r="P326" s="278"/>
      <c r="Q326" s="539"/>
      <c r="R326" s="539"/>
      <c r="S326" s="539"/>
      <c r="T326" s="539"/>
      <c r="U326" s="539"/>
      <c r="V326" s="539"/>
      <c r="W326" s="539"/>
      <c r="X326" s="539"/>
      <c r="Y326" s="539"/>
      <c r="Z326" s="539"/>
      <c r="AA326" s="539"/>
      <c r="AB326" s="539"/>
      <c r="AC326" s="539"/>
      <c r="AD326" s="43"/>
      <c r="AE326" s="43"/>
      <c r="AF326" s="238"/>
      <c r="AG326" s="43"/>
      <c r="AH326" s="43"/>
      <c r="AI326" s="43"/>
      <c r="AJ326" s="43"/>
      <c r="AK326" s="43"/>
      <c r="AL326" s="43"/>
      <c r="AM326" s="197">
        <f>IF(AQ326=1,SUM(H326:I326,L326:O326,R326:U326,X326:AA326,AD326:AG326,AI326:AK326),
IF(AQ326=2,SUM(H326:K326,N326:Q326,T326:W326,Z326:AC326,AF326:AI326),
IF(AQ326=3,SUM(J326:M326,P326:S326,V326:Y326,AB326:AE326,AH326:AK326),SUM(Таблица1[[#This Row],[1]:[31]])-Таблица1[[#This Row],[Столбец1]])))</f>
        <v>0</v>
      </c>
      <c r="AN326" s="269">
        <f t="array" ref="AN326">IF(AQ326=1,SUM(J326:K326,P326:Q326,V326:W326,AB326:AC326,AH326:AI326),
IF(AQ326=2,SUM(L326:M326,R326:S326,X326:Y326,AD326:AE326),
IF(AQ326=3,SUM(H326:I326,N326:O326,T326:U326,Z326:AA326,AF326:AG326),
SUM(IFERROR(WEEKDAY($H$2:$AL$2,2)&gt;5,)*H326:AL326))))</f>
        <v>0</v>
      </c>
      <c r="AO326" s="271" t="b">
        <f>IF(AR326&lt;=3,(IF((G326="5/24"),((база!$M$6*Таблица1[[#This Row],[сумма]]*Таблица1[[#This Row],[коэф]])),
IF((G326="4/24"),((база!$M$5*Таблица1[[#This Row],[сумма]]*Таблица1[[#This Row],[коэф]])),
IF((G326="3/24"),((база!$M$4*Таблица1[[#This Row],[сумма]]*Таблица1[[#This Row],[коэф]])),
IF((G326="5/16"),((база!$L$6*Таблица1[[#This Row],[сумма]]*Таблица1[[#This Row],[коэф]])),
IF((G326="4/16"),((база!$L$5*Таблица1[[#This Row],[сумма]]*Таблица1[[#This Row],[коэф]])),
IF((G326="3/16"),((база!$L$4*Таблица1[[#This Row],[сумма]]*Таблица1[[#This Row],[коэф]])),
IF((G326="4/4"),((база!$I$5*Таблица1[[#This Row],[сумма]]*Таблица1[[#This Row],[коэф]])),
IF(OR(G326="2/4",G326="3/4"),((база!$I$4*Таблица1[[#This Row],[сумма]]*Таблица1[[#This Row],[коэф]])),
IF((G326="5/8"),((база!$J$6*Таблица1[[#This Row],[сумма]]*Таблица1[[#This Row],[коэф]])),
IF((G326="4/8"),((база!$J$5*Таблица1[[#This Row],[сумма]]*Таблица1[[#This Row],[коэф]])),
IF(OR(G326="3/8",G326="2/8"),((база!$J$4*Таблица1[[#This Row],[сумма]]*Таблица1[[#This Row],[коэф]])))))))))))))),
(IF((G326="5/24"),((база!$M$6*Таблица1[[#This Row],[сумма]]*Таблица1[[#This Row],[коэф]])),
IF(OR(G326="4/24",G326="3/24"),((база!$M$5*Таблица1[[#This Row],[сумма]]*Таблица1[[#This Row],[коэф]])),
IF((G326="5/16"),((база!$L$6*Таблица1[[#This Row],[сумма]]*Таблица1[[#This Row],[коэф]])),
IF(OR(G326="4/16",G326="3/16"),((база!$L$5*Таблица1[[#This Row],[сумма]]*Таблица1[[#This Row],[коэф]])),
IF(OR(G326="2/4",G326="3/4",G326="4/4"),((база!$I$5*Таблица1[[#This Row],[сумма]]*Таблица1[[#This Row],[коэф]])),
IF((G326="5/8"),((база!$J$6*Таблица1[[#This Row],[сумма]]*Таблица1[[#This Row],[коэф]])),
IF(OR(G326="4/8",G326="3/8",G326="2/8"),((база!$J$5*Таблица1[[#This Row],[сумма]]*Таблица1[[#This Row],[коэф]])))))))))))</f>
        <v>0</v>
      </c>
      <c r="AP326" s="696" t="b">
        <f>IF(AR326&lt;=3,(IF((G326="5/24"),((база!$M$6*2*Таблица1[[#This Row],[Столбец1]]*Таблица1[[#This Row],[коэф]])),
IF((G326="4/24"),((база!$M$5*2*Таблица1[[#This Row],[Столбец1]]*Таблица1[[#This Row],[коэф]])),
IF((G326="3/24"),((база!$M$4*2*Таблица1[[#This Row],[Столбец1]]*Таблица1[[#This Row],[коэф]])),
IF((G326="5/16"),((база!$L$6*2*Таблица1[[#This Row],[Столбец1]]*Таблица1[[#This Row],[коэф]])),
IF((G326="4/16"),((база!$L$5*2*Таблица1[[#This Row],[Столбец1]]*Таблица1[[#This Row],[коэф]])),
IF((G326="3/16"),((база!$L$4*2*Таблица1[[#This Row],[Столбец1]]*Таблица1[[#This Row],[коэф]])),
IF((G326="4/4"),((база!$I$5*2*Таблица1[[#This Row],[Столбец1]]*Таблица1[[#This Row],[коэф]])),
IF(OR(G326="2/4",G326="3/4"),((база!$I$4*2*Таблица1[[#This Row],[Столбец1]]*Таблица1[[#This Row],[коэф]])),
IF((G326="5/8"),((база!$J$6*2*Таблица1[[#This Row],[Столбец1]]*Таблица1[[#This Row],[коэф]])),
IF((G326="4/8"),((база!$J$5*2*Таблица1[[#This Row],[Столбец1]]*Таблица1[[#This Row],[коэф]])),
IF(OR(G326="3/8",G326="2/8"),((база!$J$4*2*Таблица1[[#This Row],[Столбец1]]*Таблица1[[#This Row],[коэф]])))))))))))))),
(IF((G326="5/24"),((база!$M$6*2*Таблица1[[#This Row],[Столбец1]]*Таблица1[[#This Row],[коэф]])),
IF(OR(G326="4/24",G326="3/24"),((база!$M$5*2*Таблица1[[#This Row],[Столбец1]]*Таблица1[[#This Row],[коэф]])),
IF((G326="5/16"),((база!$L$6*2*Таблица1[[#This Row],[Столбец1]]*Таблица1[[#This Row],[коэф]])),
IF(OR(G326="4/16",G326="3/16"),((база!$L$5*2*Таблица1[[#This Row],[Столбец1]]*Таблица1[[#This Row],[коэф]])),
IF(OR(G326="2/4",G326="3/4",G326="4/4"),((база!$I$5*2*Таблица1[[#This Row],[Столбец1]]*Таблица1[[#This Row],[коэф]])),
IF((G326="5/8"),((база!$J$6*2*Таблица1[[#This Row],[Столбец1]]*Таблица1[[#This Row],[коэф]])),
IF(OR(G326="4/8",G326="3/8",G326="2/8"),((база!$J$5*2*Таблица1[[#This Row],[Столбец1]]*Таблица1[[#This Row],[коэф]])))))))))))</f>
        <v>0</v>
      </c>
      <c r="AQ326" s="678" t="str">
        <f>IFERROR(INDEX(база!T:T, MATCH(F326,база!Q:Q,0)),"")</f>
        <v/>
      </c>
      <c r="AR326" s="193">
        <f>IFERROR(INDEX(база!D:D, MATCH(F326,база!B:B,0)),"")</f>
        <v>0</v>
      </c>
    </row>
    <row r="327" spans="1:44" ht="15">
      <c r="A327" s="59"/>
      <c r="B327" s="215"/>
      <c r="C327" s="277"/>
      <c r="D327" s="55"/>
      <c r="E327" s="196"/>
      <c r="F327" s="651"/>
      <c r="G327" s="42"/>
      <c r="H327" s="539"/>
      <c r="I327" s="539"/>
      <c r="J327" s="539"/>
      <c r="K327" s="539"/>
      <c r="L327" s="539"/>
      <c r="M327" s="539"/>
      <c r="N327" s="539"/>
      <c r="O327" s="539"/>
      <c r="P327" s="278"/>
      <c r="Q327" s="539"/>
      <c r="R327" s="539"/>
      <c r="S327" s="539"/>
      <c r="T327" s="539"/>
      <c r="U327" s="539"/>
      <c r="V327" s="539"/>
      <c r="W327" s="539"/>
      <c r="X327" s="539"/>
      <c r="Y327" s="539"/>
      <c r="Z327" s="539"/>
      <c r="AA327" s="539"/>
      <c r="AB327" s="539"/>
      <c r="AC327" s="539"/>
      <c r="AD327" s="43"/>
      <c r="AE327" s="43"/>
      <c r="AF327" s="238"/>
      <c r="AG327" s="43"/>
      <c r="AH327" s="43"/>
      <c r="AI327" s="238"/>
      <c r="AJ327" s="238"/>
      <c r="AK327" s="238"/>
      <c r="AL327" s="238"/>
      <c r="AM327" s="197">
        <f>IF(AQ327=1,SUM(H327:I327,L327:O327,R327:U327,X327:AA327,AD327:AG327,AI327:AK327),
IF(AQ327=2,SUM(H327:K327,N327:Q327,T327:W327,Z327:AC327,AF327:AI327),
IF(AQ327=3,SUM(J327:M327,P327:S327,V327:Y327,AB327:AE327,AH327:AK327),SUM(Таблица1[[#This Row],[1]:[31]])-Таблица1[[#This Row],[Столбец1]])))</f>
        <v>0</v>
      </c>
      <c r="AN327" s="269">
        <f t="array" ref="AN327">IF(AQ327=1,SUM(J327:K327,P327:Q327,V327:W327,AB327:AC327,AH327:AI327),
IF(AQ327=2,SUM(L327:M327,R327:S327,X327:Y327,AD327:AE327),
IF(AQ327=3,SUM(H327:I327,N327:O327,T327:U327,Z327:AA327,AF327:AG327),
SUM(IFERROR(WEEKDAY($H$2:$AL$2,2)&gt;5,)*H327:AL327))))</f>
        <v>0</v>
      </c>
      <c r="AO327" s="271" t="b">
        <f>IF(AR327&lt;=3,(IF((G327="5/24"),((база!$M$6*Таблица1[[#This Row],[сумма]]*Таблица1[[#This Row],[коэф]])),
IF((G327="4/24"),((база!$M$5*Таблица1[[#This Row],[сумма]]*Таблица1[[#This Row],[коэф]])),
IF((G327="3/24"),((база!$M$4*Таблица1[[#This Row],[сумма]]*Таблица1[[#This Row],[коэф]])),
IF((G327="5/16"),((база!$L$6*Таблица1[[#This Row],[сумма]]*Таблица1[[#This Row],[коэф]])),
IF((G327="4/16"),((база!$L$5*Таблица1[[#This Row],[сумма]]*Таблица1[[#This Row],[коэф]])),
IF((G327="3/16"),((база!$L$4*Таблица1[[#This Row],[сумма]]*Таблица1[[#This Row],[коэф]])),
IF((G327="4/4"),((база!$I$5*Таблица1[[#This Row],[сумма]]*Таблица1[[#This Row],[коэф]])),
IF(OR(G327="2/4",G327="3/4"),((база!$I$4*Таблица1[[#This Row],[сумма]]*Таблица1[[#This Row],[коэф]])),
IF((G327="5/8"),((база!$J$6*Таблица1[[#This Row],[сумма]]*Таблица1[[#This Row],[коэф]])),
IF((G327="4/8"),((база!$J$5*Таблица1[[#This Row],[сумма]]*Таблица1[[#This Row],[коэф]])),
IF(OR(G327="3/8",G327="2/8"),((база!$J$4*Таблица1[[#This Row],[сумма]]*Таблица1[[#This Row],[коэф]])))))))))))))),
(IF((G327="5/24"),((база!$M$6*Таблица1[[#This Row],[сумма]]*Таблица1[[#This Row],[коэф]])),
IF(OR(G327="4/24",G327="3/24"),((база!$M$5*Таблица1[[#This Row],[сумма]]*Таблица1[[#This Row],[коэф]])),
IF((G327="5/16"),((база!$L$6*Таблица1[[#This Row],[сумма]]*Таблица1[[#This Row],[коэф]])),
IF(OR(G327="4/16",G327="3/16"),((база!$L$5*Таблица1[[#This Row],[сумма]]*Таблица1[[#This Row],[коэф]])),
IF(OR(G327="2/4",G327="3/4",G327="4/4"),((база!$I$5*Таблица1[[#This Row],[сумма]]*Таблица1[[#This Row],[коэф]])),
IF((G327="5/8"),((база!$J$6*Таблица1[[#This Row],[сумма]]*Таблица1[[#This Row],[коэф]])),
IF(OR(G327="4/8",G327="3/8",G327="2/8"),((база!$J$5*Таблица1[[#This Row],[сумма]]*Таблица1[[#This Row],[коэф]])))))))))))</f>
        <v>0</v>
      </c>
      <c r="AP327" s="696" t="b">
        <f>IF(AR327&lt;=3,(IF((G327="5/24"),((база!$M$6*2*Таблица1[[#This Row],[Столбец1]]*Таблица1[[#This Row],[коэф]])),
IF((G327="4/24"),((база!$M$5*2*Таблица1[[#This Row],[Столбец1]]*Таблица1[[#This Row],[коэф]])),
IF((G327="3/24"),((база!$M$4*2*Таблица1[[#This Row],[Столбец1]]*Таблица1[[#This Row],[коэф]])),
IF((G327="5/16"),((база!$L$6*2*Таблица1[[#This Row],[Столбец1]]*Таблица1[[#This Row],[коэф]])),
IF((G327="4/16"),((база!$L$5*2*Таблица1[[#This Row],[Столбец1]]*Таблица1[[#This Row],[коэф]])),
IF((G327="3/16"),((база!$L$4*2*Таблица1[[#This Row],[Столбец1]]*Таблица1[[#This Row],[коэф]])),
IF((G327="4/4"),((база!$I$5*2*Таблица1[[#This Row],[Столбец1]]*Таблица1[[#This Row],[коэф]])),
IF(OR(G327="2/4",G327="3/4"),((база!$I$4*2*Таблица1[[#This Row],[Столбец1]]*Таблица1[[#This Row],[коэф]])),
IF((G327="5/8"),((база!$J$6*2*Таблица1[[#This Row],[Столбец1]]*Таблица1[[#This Row],[коэф]])),
IF((G327="4/8"),((база!$J$5*2*Таблица1[[#This Row],[Столбец1]]*Таблица1[[#This Row],[коэф]])),
IF(OR(G327="3/8",G327="2/8"),((база!$J$4*2*Таблица1[[#This Row],[Столбец1]]*Таблица1[[#This Row],[коэф]])))))))))))))),
(IF((G327="5/24"),((база!$M$6*2*Таблица1[[#This Row],[Столбец1]]*Таблица1[[#This Row],[коэф]])),
IF(OR(G327="4/24",G327="3/24"),((база!$M$5*2*Таблица1[[#This Row],[Столбец1]]*Таблица1[[#This Row],[коэф]])),
IF((G327="5/16"),((база!$L$6*2*Таблица1[[#This Row],[Столбец1]]*Таблица1[[#This Row],[коэф]])),
IF(OR(G327="4/16",G327="3/16"),((база!$L$5*2*Таблица1[[#This Row],[Столбец1]]*Таблица1[[#This Row],[коэф]])),
IF(OR(G327="2/4",G327="3/4",G327="4/4"),((база!$I$5*2*Таблица1[[#This Row],[Столбец1]]*Таблица1[[#This Row],[коэф]])),
IF((G327="5/8"),((база!$J$6*2*Таблица1[[#This Row],[Столбец1]]*Таблица1[[#This Row],[коэф]])),
IF(OR(G327="4/8",G327="3/8",G327="2/8"),((база!$J$5*2*Таблица1[[#This Row],[Столбец1]]*Таблица1[[#This Row],[коэф]])))))))))))</f>
        <v>0</v>
      </c>
      <c r="AQ327" s="678" t="str">
        <f>IFERROR(INDEX(база!T:T, MATCH(F327,база!Q:Q,0)),"")</f>
        <v/>
      </c>
      <c r="AR327" s="193">
        <f>IFERROR(INDEX(база!D:D, MATCH(F327,база!B:B,0)),"")</f>
        <v>0</v>
      </c>
    </row>
    <row r="328" spans="1:44" ht="15">
      <c r="A328" s="59"/>
      <c r="B328" s="215"/>
      <c r="C328" s="277"/>
      <c r="D328" s="55"/>
      <c r="E328" s="196"/>
      <c r="F328" s="651"/>
      <c r="G328" s="42"/>
      <c r="H328" s="539"/>
      <c r="I328" s="539"/>
      <c r="J328" s="539"/>
      <c r="K328" s="539"/>
      <c r="L328" s="539"/>
      <c r="M328" s="539"/>
      <c r="N328" s="539"/>
      <c r="O328" s="539"/>
      <c r="P328" s="278"/>
      <c r="Q328" s="539"/>
      <c r="R328" s="539"/>
      <c r="S328" s="539"/>
      <c r="T328" s="539"/>
      <c r="U328" s="539"/>
      <c r="V328" s="539"/>
      <c r="W328" s="539"/>
      <c r="X328" s="539"/>
      <c r="Y328" s="539"/>
      <c r="Z328" s="539"/>
      <c r="AA328" s="539"/>
      <c r="AB328" s="539"/>
      <c r="AC328" s="539"/>
      <c r="AD328" s="43"/>
      <c r="AE328" s="43"/>
      <c r="AF328" s="238"/>
      <c r="AG328" s="43"/>
      <c r="AH328" s="43"/>
      <c r="AI328" s="43"/>
      <c r="AJ328" s="43"/>
      <c r="AK328" s="43"/>
      <c r="AL328" s="45"/>
      <c r="AM328" s="197">
        <f>IF(AQ328=1,SUM(H328:I328,L328:O328,R328:U328,X328:AA328,AD328:AG328,AI328:AK328),
IF(AQ328=2,SUM(H328:K328,N328:Q328,T328:W328,Z328:AC328,AF328:AI328),
IF(AQ328=3,SUM(J328:M328,P328:S328,V328:Y328,AB328:AE328,AH328:AK328),SUM(Таблица1[[#This Row],[1]:[31]])-Таблица1[[#This Row],[Столбец1]])))</f>
        <v>0</v>
      </c>
      <c r="AN328" s="269">
        <f t="array" ref="AN328">IF(AQ328=1,SUM(J328:K328,P328:Q328,V328:W328,AB328:AC328,AH328:AI328),
IF(AQ328=2,SUM(L328:M328,R328:S328,X328:Y328,AD328:AE328),
IF(AQ328=3,SUM(H328:I328,N328:O328,T328:U328,Z328:AA328,AF328:AG328),
SUM(IFERROR(WEEKDAY($H$2:$AL$2,2)&gt;5,)*H328:AL328))))</f>
        <v>0</v>
      </c>
      <c r="AO328" s="271" t="b">
        <f>IF(AR328&lt;=3,(IF((G328="5/24"),((база!$M$6*Таблица1[[#This Row],[сумма]]*Таблица1[[#This Row],[коэф]])),
IF((G328="4/24"),((база!$M$5*Таблица1[[#This Row],[сумма]]*Таблица1[[#This Row],[коэф]])),
IF((G328="3/24"),((база!$M$4*Таблица1[[#This Row],[сумма]]*Таблица1[[#This Row],[коэф]])),
IF((G328="5/16"),((база!$L$6*Таблица1[[#This Row],[сумма]]*Таблица1[[#This Row],[коэф]])),
IF((G328="4/16"),((база!$L$5*Таблица1[[#This Row],[сумма]]*Таблица1[[#This Row],[коэф]])),
IF((G328="3/16"),((база!$L$4*Таблица1[[#This Row],[сумма]]*Таблица1[[#This Row],[коэф]])),
IF((G328="4/4"),((база!$I$5*Таблица1[[#This Row],[сумма]]*Таблица1[[#This Row],[коэф]])),
IF(OR(G328="2/4",G328="3/4"),((база!$I$4*Таблица1[[#This Row],[сумма]]*Таблица1[[#This Row],[коэф]])),
IF((G328="5/8"),((база!$J$6*Таблица1[[#This Row],[сумма]]*Таблица1[[#This Row],[коэф]])),
IF((G328="4/8"),((база!$J$5*Таблица1[[#This Row],[сумма]]*Таблица1[[#This Row],[коэф]])),
IF(OR(G328="3/8",G328="2/8"),((база!$J$4*Таблица1[[#This Row],[сумма]]*Таблица1[[#This Row],[коэф]])))))))))))))),
(IF((G328="5/24"),((база!$M$6*Таблица1[[#This Row],[сумма]]*Таблица1[[#This Row],[коэф]])),
IF(OR(G328="4/24",G328="3/24"),((база!$M$5*Таблица1[[#This Row],[сумма]]*Таблица1[[#This Row],[коэф]])),
IF((G328="5/16"),((база!$L$6*Таблица1[[#This Row],[сумма]]*Таблица1[[#This Row],[коэф]])),
IF(OR(G328="4/16",G328="3/16"),((база!$L$5*Таблица1[[#This Row],[сумма]]*Таблица1[[#This Row],[коэф]])),
IF(OR(G328="2/4",G328="3/4",G328="4/4"),((база!$I$5*Таблица1[[#This Row],[сумма]]*Таблица1[[#This Row],[коэф]])),
IF((G328="5/8"),((база!$J$6*Таблица1[[#This Row],[сумма]]*Таблица1[[#This Row],[коэф]])),
IF(OR(G328="4/8",G328="3/8",G328="2/8"),((база!$J$5*Таблица1[[#This Row],[сумма]]*Таблица1[[#This Row],[коэф]])))))))))))</f>
        <v>0</v>
      </c>
      <c r="AP328" s="696" t="b">
        <f>IF(AR328&lt;=3,(IF((G328="5/24"),((база!$M$6*2*Таблица1[[#This Row],[Столбец1]]*Таблица1[[#This Row],[коэф]])),
IF((G328="4/24"),((база!$M$5*2*Таблица1[[#This Row],[Столбец1]]*Таблица1[[#This Row],[коэф]])),
IF((G328="3/24"),((база!$M$4*2*Таблица1[[#This Row],[Столбец1]]*Таблица1[[#This Row],[коэф]])),
IF((G328="5/16"),((база!$L$6*2*Таблица1[[#This Row],[Столбец1]]*Таблица1[[#This Row],[коэф]])),
IF((G328="4/16"),((база!$L$5*2*Таблица1[[#This Row],[Столбец1]]*Таблица1[[#This Row],[коэф]])),
IF((G328="3/16"),((база!$L$4*2*Таблица1[[#This Row],[Столбец1]]*Таблица1[[#This Row],[коэф]])),
IF((G328="4/4"),((база!$I$5*2*Таблица1[[#This Row],[Столбец1]]*Таблица1[[#This Row],[коэф]])),
IF(OR(G328="2/4",G328="3/4"),((база!$I$4*2*Таблица1[[#This Row],[Столбец1]]*Таблица1[[#This Row],[коэф]])),
IF((G328="5/8"),((база!$J$6*2*Таблица1[[#This Row],[Столбец1]]*Таблица1[[#This Row],[коэф]])),
IF((G328="4/8"),((база!$J$5*2*Таблица1[[#This Row],[Столбец1]]*Таблица1[[#This Row],[коэф]])),
IF(OR(G328="3/8",G328="2/8"),((база!$J$4*2*Таблица1[[#This Row],[Столбец1]]*Таблица1[[#This Row],[коэф]])))))))))))))),
(IF((G328="5/24"),((база!$M$6*2*Таблица1[[#This Row],[Столбец1]]*Таблица1[[#This Row],[коэф]])),
IF(OR(G328="4/24",G328="3/24"),((база!$M$5*2*Таблица1[[#This Row],[Столбец1]]*Таблица1[[#This Row],[коэф]])),
IF((G328="5/16"),((база!$L$6*2*Таблица1[[#This Row],[Столбец1]]*Таблица1[[#This Row],[коэф]])),
IF(OR(G328="4/16",G328="3/16"),((база!$L$5*2*Таблица1[[#This Row],[Столбец1]]*Таблица1[[#This Row],[коэф]])),
IF(OR(G328="2/4",G328="3/4",G328="4/4"),((база!$I$5*2*Таблица1[[#This Row],[Столбец1]]*Таблица1[[#This Row],[коэф]])),
IF((G328="5/8"),((база!$J$6*2*Таблица1[[#This Row],[Столбец1]]*Таблица1[[#This Row],[коэф]])),
IF(OR(G328="4/8",G328="3/8",G328="2/8"),((база!$J$5*2*Таблица1[[#This Row],[Столбец1]]*Таблица1[[#This Row],[коэф]])))))))))))</f>
        <v>0</v>
      </c>
      <c r="AQ328" s="678" t="str">
        <f>IFERROR(INDEX(база!T:T, MATCH(F328,база!Q:Q,0)),"")</f>
        <v/>
      </c>
      <c r="AR328" s="193">
        <f>IFERROR(INDEX(база!D:D, MATCH(F328,база!B:B,0)),"")</f>
        <v>0</v>
      </c>
    </row>
    <row r="329" spans="1:44" ht="15">
      <c r="A329" s="59"/>
      <c r="B329" s="215"/>
      <c r="C329" s="277"/>
      <c r="D329" s="55"/>
      <c r="E329" s="196"/>
      <c r="F329" s="651"/>
      <c r="G329" s="42"/>
      <c r="H329" s="539"/>
      <c r="I329" s="539"/>
      <c r="J329" s="539"/>
      <c r="K329" s="539"/>
      <c r="L329" s="539"/>
      <c r="M329" s="539"/>
      <c r="N329" s="539"/>
      <c r="O329" s="539"/>
      <c r="P329" s="278"/>
      <c r="Q329" s="539"/>
      <c r="R329" s="539"/>
      <c r="S329" s="539"/>
      <c r="T329" s="539"/>
      <c r="U329" s="539"/>
      <c r="V329" s="539"/>
      <c r="W329" s="539"/>
      <c r="X329" s="539"/>
      <c r="Y329" s="539"/>
      <c r="Z329" s="539"/>
      <c r="AA329" s="539"/>
      <c r="AB329" s="539"/>
      <c r="AC329" s="539"/>
      <c r="AD329" s="43"/>
      <c r="AE329" s="43"/>
      <c r="AF329" s="238"/>
      <c r="AG329" s="43"/>
      <c r="AH329" s="43"/>
      <c r="AI329" s="238"/>
      <c r="AJ329" s="238"/>
      <c r="AK329" s="238"/>
      <c r="AL329" s="238"/>
      <c r="AM329" s="197">
        <f>IF(AQ329=1,SUM(H329:I329,L329:O329,R329:U329,X329:AA329,AD329:AG329,AI329:AK329),
IF(AQ329=2,SUM(H329:K329,N329:Q329,T329:W329,Z329:AC329,AF329:AI329),
IF(AQ329=3,SUM(J329:M329,P329:S329,V329:Y329,AB329:AE329,AH329:AK329),SUM(Таблица1[[#This Row],[1]:[31]])-Таблица1[[#This Row],[Столбец1]])))</f>
        <v>0</v>
      </c>
      <c r="AN329" s="269">
        <f t="array" ref="AN329">IF(AQ329=1,SUM(J329:K329,P329:Q329,V329:W329,AB329:AC329,AH329:AI329),
IF(AQ329=2,SUM(L329:M329,R329:S329,X329:Y329,AD329:AE329),
IF(AQ329=3,SUM(H329:I329,N329:O329,T329:U329,Z329:AA329,AF329:AG329),
SUM(IFERROR(WEEKDAY($H$2:$AL$2,2)&gt;5,)*H329:AL329))))</f>
        <v>0</v>
      </c>
      <c r="AO329" s="271" t="b">
        <f>IF(AR329&lt;=3,(IF((G329="5/24"),((база!$M$6*Таблица1[[#This Row],[сумма]]*Таблица1[[#This Row],[коэф]])),
IF((G329="4/24"),((база!$M$5*Таблица1[[#This Row],[сумма]]*Таблица1[[#This Row],[коэф]])),
IF((G329="3/24"),((база!$M$4*Таблица1[[#This Row],[сумма]]*Таблица1[[#This Row],[коэф]])),
IF((G329="5/16"),((база!$L$6*Таблица1[[#This Row],[сумма]]*Таблица1[[#This Row],[коэф]])),
IF((G329="4/16"),((база!$L$5*Таблица1[[#This Row],[сумма]]*Таблица1[[#This Row],[коэф]])),
IF((G329="3/16"),((база!$L$4*Таблица1[[#This Row],[сумма]]*Таблица1[[#This Row],[коэф]])),
IF((G329="4/4"),((база!$I$5*Таблица1[[#This Row],[сумма]]*Таблица1[[#This Row],[коэф]])),
IF(OR(G329="2/4",G329="3/4"),((база!$I$4*Таблица1[[#This Row],[сумма]]*Таблица1[[#This Row],[коэф]])),
IF((G329="5/8"),((база!$J$6*Таблица1[[#This Row],[сумма]]*Таблица1[[#This Row],[коэф]])),
IF((G329="4/8"),((база!$J$5*Таблица1[[#This Row],[сумма]]*Таблица1[[#This Row],[коэф]])),
IF(OR(G329="3/8",G329="2/8"),((база!$J$4*Таблица1[[#This Row],[сумма]]*Таблица1[[#This Row],[коэф]])))))))))))))),
(IF((G329="5/24"),((база!$M$6*Таблица1[[#This Row],[сумма]]*Таблица1[[#This Row],[коэф]])),
IF(OR(G329="4/24",G329="3/24"),((база!$M$5*Таблица1[[#This Row],[сумма]]*Таблица1[[#This Row],[коэф]])),
IF((G329="5/16"),((база!$L$6*Таблица1[[#This Row],[сумма]]*Таблица1[[#This Row],[коэф]])),
IF(OR(G329="4/16",G329="3/16"),((база!$L$5*Таблица1[[#This Row],[сумма]]*Таблица1[[#This Row],[коэф]])),
IF(OR(G329="2/4",G329="3/4",G329="4/4"),((база!$I$5*Таблица1[[#This Row],[сумма]]*Таблица1[[#This Row],[коэф]])),
IF((G329="5/8"),((база!$J$6*Таблица1[[#This Row],[сумма]]*Таблица1[[#This Row],[коэф]])),
IF(OR(G329="4/8",G329="3/8",G329="2/8"),((база!$J$5*Таблица1[[#This Row],[сумма]]*Таблица1[[#This Row],[коэф]])))))))))))</f>
        <v>0</v>
      </c>
      <c r="AP329" s="696" t="b">
        <f>IF(AR329&lt;=3,(IF((G329="5/24"),((база!$M$6*2*Таблица1[[#This Row],[Столбец1]]*Таблица1[[#This Row],[коэф]])),
IF((G329="4/24"),((база!$M$5*2*Таблица1[[#This Row],[Столбец1]]*Таблица1[[#This Row],[коэф]])),
IF((G329="3/24"),((база!$M$4*2*Таблица1[[#This Row],[Столбец1]]*Таблица1[[#This Row],[коэф]])),
IF((G329="5/16"),((база!$L$6*2*Таблица1[[#This Row],[Столбец1]]*Таблица1[[#This Row],[коэф]])),
IF((G329="4/16"),((база!$L$5*2*Таблица1[[#This Row],[Столбец1]]*Таблица1[[#This Row],[коэф]])),
IF((G329="3/16"),((база!$L$4*2*Таблица1[[#This Row],[Столбец1]]*Таблица1[[#This Row],[коэф]])),
IF((G329="4/4"),((база!$I$5*2*Таблица1[[#This Row],[Столбец1]]*Таблица1[[#This Row],[коэф]])),
IF(OR(G329="2/4",G329="3/4"),((база!$I$4*2*Таблица1[[#This Row],[Столбец1]]*Таблица1[[#This Row],[коэф]])),
IF((G329="5/8"),((база!$J$6*2*Таблица1[[#This Row],[Столбец1]]*Таблица1[[#This Row],[коэф]])),
IF((G329="4/8"),((база!$J$5*2*Таблица1[[#This Row],[Столбец1]]*Таблица1[[#This Row],[коэф]])),
IF(OR(G329="3/8",G329="2/8"),((база!$J$4*2*Таблица1[[#This Row],[Столбец1]]*Таблица1[[#This Row],[коэф]])))))))))))))),
(IF((G329="5/24"),((база!$M$6*2*Таблица1[[#This Row],[Столбец1]]*Таблица1[[#This Row],[коэф]])),
IF(OR(G329="4/24",G329="3/24"),((база!$M$5*2*Таблица1[[#This Row],[Столбец1]]*Таблица1[[#This Row],[коэф]])),
IF((G329="5/16"),((база!$L$6*2*Таблица1[[#This Row],[Столбец1]]*Таблица1[[#This Row],[коэф]])),
IF(OR(G329="4/16",G329="3/16"),((база!$L$5*2*Таблица1[[#This Row],[Столбец1]]*Таблица1[[#This Row],[коэф]])),
IF(OR(G329="2/4",G329="3/4",G329="4/4"),((база!$I$5*2*Таблица1[[#This Row],[Столбец1]]*Таблица1[[#This Row],[коэф]])),
IF((G329="5/8"),((база!$J$6*2*Таблица1[[#This Row],[Столбец1]]*Таблица1[[#This Row],[коэф]])),
IF(OR(G329="4/8",G329="3/8",G329="2/8"),((база!$J$5*2*Таблица1[[#This Row],[Столбец1]]*Таблица1[[#This Row],[коэф]])))))))))))</f>
        <v>0</v>
      </c>
      <c r="AQ329" s="678" t="str">
        <f>IFERROR(INDEX(база!T:T, MATCH(F329,база!Q:Q,0)),"")</f>
        <v/>
      </c>
      <c r="AR329" s="193">
        <f>IFERROR(INDEX(база!D:D, MATCH(F329,база!B:B,0)),"")</f>
        <v>0</v>
      </c>
    </row>
    <row r="330" spans="1:44" ht="15">
      <c r="A330" s="59"/>
      <c r="B330" s="215"/>
      <c r="C330" s="54"/>
      <c r="D330" s="55"/>
      <c r="E330" s="196"/>
      <c r="F330" s="651"/>
      <c r="G330" s="42"/>
      <c r="H330" s="539"/>
      <c r="I330" s="539"/>
      <c r="J330" s="539"/>
      <c r="K330" s="539"/>
      <c r="L330" s="539"/>
      <c r="M330" s="539"/>
      <c r="N330" s="539"/>
      <c r="O330" s="539"/>
      <c r="P330" s="278"/>
      <c r="Q330" s="539"/>
      <c r="R330" s="539"/>
      <c r="S330" s="539"/>
      <c r="T330" s="539"/>
      <c r="U330" s="539"/>
      <c r="V330" s="539"/>
      <c r="W330" s="539"/>
      <c r="X330" s="539"/>
      <c r="Y330" s="539"/>
      <c r="Z330" s="539"/>
      <c r="AA330" s="539"/>
      <c r="AB330" s="539"/>
      <c r="AC330" s="539"/>
      <c r="AD330" s="43"/>
      <c r="AE330" s="43"/>
      <c r="AF330" s="238"/>
      <c r="AG330" s="43"/>
      <c r="AH330" s="43"/>
      <c r="AI330" s="43"/>
      <c r="AJ330" s="43"/>
      <c r="AK330" s="43"/>
      <c r="AL330" s="45"/>
      <c r="AM330" s="197">
        <f>IF(AQ330=1,SUM(H330:I330,L330:O330,R330:U330,X330:AA330,AD330:AG330,AI330:AK330),
IF(AQ330=2,SUM(H330:K330,N330:Q330,T330:W330,Z330:AC330,AF330:AI330),
IF(AQ330=3,SUM(J330:M330,P330:S330,V330:Y330,AB330:AE330,AH330:AK330),SUM(Таблица1[[#This Row],[1]:[31]])-Таблица1[[#This Row],[Столбец1]])))</f>
        <v>0</v>
      </c>
      <c r="AN330" s="269">
        <f t="array" ref="AN330">IF(AQ330=1,SUM(J330:K330,P330:Q330,V330:W330,AB330:AC330,AH330:AI330),
IF(AQ330=2,SUM(L330:M330,R330:S330,X330:Y330,AD330:AE330),
IF(AQ330=3,SUM(H330:I330,N330:O330,T330:U330,Z330:AA330,AF330:AG330),
SUM(IFERROR(WEEKDAY($H$2:$AL$2,2)&gt;5,)*H330:AL330))))</f>
        <v>0</v>
      </c>
      <c r="AO330" s="271" t="b">
        <f>IF(AR330&lt;=3,(IF((G330="5/24"),((база!$M$6*Таблица1[[#This Row],[сумма]]*Таблица1[[#This Row],[коэф]])),
IF((G330="4/24"),((база!$M$5*Таблица1[[#This Row],[сумма]]*Таблица1[[#This Row],[коэф]])),
IF((G330="3/24"),((база!$M$4*Таблица1[[#This Row],[сумма]]*Таблица1[[#This Row],[коэф]])),
IF((G330="5/16"),((база!$L$6*Таблица1[[#This Row],[сумма]]*Таблица1[[#This Row],[коэф]])),
IF((G330="4/16"),((база!$L$5*Таблица1[[#This Row],[сумма]]*Таблица1[[#This Row],[коэф]])),
IF((G330="3/16"),((база!$L$4*Таблица1[[#This Row],[сумма]]*Таблица1[[#This Row],[коэф]])),
IF((G330="4/4"),((база!$I$5*Таблица1[[#This Row],[сумма]]*Таблица1[[#This Row],[коэф]])),
IF(OR(G330="2/4",G330="3/4"),((база!$I$4*Таблица1[[#This Row],[сумма]]*Таблица1[[#This Row],[коэф]])),
IF((G330="5/8"),((база!$J$6*Таблица1[[#This Row],[сумма]]*Таблица1[[#This Row],[коэф]])),
IF((G330="4/8"),((база!$J$5*Таблица1[[#This Row],[сумма]]*Таблица1[[#This Row],[коэф]])),
IF(OR(G330="3/8",G330="2/8"),((база!$J$4*Таблица1[[#This Row],[сумма]]*Таблица1[[#This Row],[коэф]])))))))))))))),
(IF((G330="5/24"),((база!$M$6*Таблица1[[#This Row],[сумма]]*Таблица1[[#This Row],[коэф]])),
IF(OR(G330="4/24",G330="3/24"),((база!$M$5*Таблица1[[#This Row],[сумма]]*Таблица1[[#This Row],[коэф]])),
IF((G330="5/16"),((база!$L$6*Таблица1[[#This Row],[сумма]]*Таблица1[[#This Row],[коэф]])),
IF(OR(G330="4/16",G330="3/16"),((база!$L$5*Таблица1[[#This Row],[сумма]]*Таблица1[[#This Row],[коэф]])),
IF(OR(G330="2/4",G330="3/4",G330="4/4"),((база!$I$5*Таблица1[[#This Row],[сумма]]*Таблица1[[#This Row],[коэф]])),
IF((G330="5/8"),((база!$J$6*Таблица1[[#This Row],[сумма]]*Таблица1[[#This Row],[коэф]])),
IF(OR(G330="4/8",G330="3/8",G330="2/8"),((база!$J$5*Таблица1[[#This Row],[сумма]]*Таблица1[[#This Row],[коэф]])))))))))))</f>
        <v>0</v>
      </c>
      <c r="AP330" s="696" t="b">
        <f>IF(AR330&lt;=3,(IF((G330="5/24"),((база!$M$6*2*Таблица1[[#This Row],[Столбец1]]*Таблица1[[#This Row],[коэф]])),
IF((G330="4/24"),((база!$M$5*2*Таблица1[[#This Row],[Столбец1]]*Таблица1[[#This Row],[коэф]])),
IF((G330="3/24"),((база!$M$4*2*Таблица1[[#This Row],[Столбец1]]*Таблица1[[#This Row],[коэф]])),
IF((G330="5/16"),((база!$L$6*2*Таблица1[[#This Row],[Столбец1]]*Таблица1[[#This Row],[коэф]])),
IF((G330="4/16"),((база!$L$5*2*Таблица1[[#This Row],[Столбец1]]*Таблица1[[#This Row],[коэф]])),
IF((G330="3/16"),((база!$L$4*2*Таблица1[[#This Row],[Столбец1]]*Таблица1[[#This Row],[коэф]])),
IF((G330="4/4"),((база!$I$5*2*Таблица1[[#This Row],[Столбец1]]*Таблица1[[#This Row],[коэф]])),
IF(OR(G330="2/4",G330="3/4"),((база!$I$4*2*Таблица1[[#This Row],[Столбец1]]*Таблица1[[#This Row],[коэф]])),
IF((G330="5/8"),((база!$J$6*2*Таблица1[[#This Row],[Столбец1]]*Таблица1[[#This Row],[коэф]])),
IF((G330="4/8"),((база!$J$5*2*Таблица1[[#This Row],[Столбец1]]*Таблица1[[#This Row],[коэф]])),
IF(OR(G330="3/8",G330="2/8"),((база!$J$4*2*Таблица1[[#This Row],[Столбец1]]*Таблица1[[#This Row],[коэф]])))))))))))))),
(IF((G330="5/24"),((база!$M$6*2*Таблица1[[#This Row],[Столбец1]]*Таблица1[[#This Row],[коэф]])),
IF(OR(G330="4/24",G330="3/24"),((база!$M$5*2*Таблица1[[#This Row],[Столбец1]]*Таблица1[[#This Row],[коэф]])),
IF((G330="5/16"),((база!$L$6*2*Таблица1[[#This Row],[Столбец1]]*Таблица1[[#This Row],[коэф]])),
IF(OR(G330="4/16",G330="3/16"),((база!$L$5*2*Таблица1[[#This Row],[Столбец1]]*Таблица1[[#This Row],[коэф]])),
IF(OR(G330="2/4",G330="3/4",G330="4/4"),((база!$I$5*2*Таблица1[[#This Row],[Столбец1]]*Таблица1[[#This Row],[коэф]])),
IF((G330="5/8"),((база!$J$6*2*Таблица1[[#This Row],[Столбец1]]*Таблица1[[#This Row],[коэф]])),
IF(OR(G330="4/8",G330="3/8",G330="2/8"),((база!$J$5*2*Таблица1[[#This Row],[Столбец1]]*Таблица1[[#This Row],[коэф]])))))))))))</f>
        <v>0</v>
      </c>
      <c r="AQ330" s="678" t="str">
        <f>IFERROR(INDEX(база!T:T, MATCH(F330,база!Q:Q,0)),"")</f>
        <v/>
      </c>
      <c r="AR330" s="193">
        <f>IFERROR(INDEX(база!D:D, MATCH(F330,база!B:B,0)),"")</f>
        <v>0</v>
      </c>
    </row>
    <row r="331" spans="1:44" ht="15">
      <c r="A331" s="59"/>
      <c r="B331" s="215"/>
      <c r="C331" s="54"/>
      <c r="D331" s="55"/>
      <c r="E331" s="196"/>
      <c r="F331" s="651"/>
      <c r="G331" s="42"/>
      <c r="H331" s="539"/>
      <c r="I331" s="539"/>
      <c r="J331" s="539"/>
      <c r="K331" s="539"/>
      <c r="L331" s="539"/>
      <c r="M331" s="539"/>
      <c r="N331" s="539"/>
      <c r="O331" s="539"/>
      <c r="P331" s="278"/>
      <c r="Q331" s="539"/>
      <c r="R331" s="539"/>
      <c r="S331" s="539"/>
      <c r="T331" s="539"/>
      <c r="U331" s="539"/>
      <c r="V331" s="539"/>
      <c r="W331" s="539"/>
      <c r="X331" s="539"/>
      <c r="Y331" s="539"/>
      <c r="Z331" s="539"/>
      <c r="AA331" s="539"/>
      <c r="AB331" s="539"/>
      <c r="AC331" s="539"/>
      <c r="AD331" s="43"/>
      <c r="AE331" s="43"/>
      <c r="AF331" s="238"/>
      <c r="AG331" s="43"/>
      <c r="AH331" s="43"/>
      <c r="AI331" s="238"/>
      <c r="AJ331" s="238"/>
      <c r="AK331" s="238"/>
      <c r="AL331" s="238"/>
      <c r="AM331" s="197">
        <f>IF(AQ331=1,SUM(H331:I331,L331:O331,R331:U331,X331:AA331,AD331:AG331,AI331:AK331),
IF(AQ331=2,SUM(H331:K331,N331:Q331,T331:W331,Z331:AC331,AF331:AI331),
IF(AQ331=3,SUM(J331:M331,P331:S331,V331:Y331,AB331:AE331,AH331:AK331),SUM(Таблица1[[#This Row],[1]:[31]])-Таблица1[[#This Row],[Столбец1]])))</f>
        <v>0</v>
      </c>
      <c r="AN331" s="269">
        <f t="array" ref="AN331">IF(AQ331=1,SUM(J331:K331,P331:Q331,V331:W331,AB331:AC331,AH331:AI331),
IF(AQ331=2,SUM(L331:M331,R331:S331,X331:Y331,AD331:AE331),
IF(AQ331=3,SUM(H331:I331,N331:O331,T331:U331,Z331:AA331,AF331:AG331),
SUM(IFERROR(WEEKDAY($H$2:$AL$2,2)&gt;5,)*H331:AL331))))</f>
        <v>0</v>
      </c>
      <c r="AO331" s="271" t="b">
        <f>IF(AR331&lt;=3,(IF((G331="5/24"),((база!$M$6*Таблица1[[#This Row],[сумма]]*Таблица1[[#This Row],[коэф]])),
IF((G331="4/24"),((база!$M$5*Таблица1[[#This Row],[сумма]]*Таблица1[[#This Row],[коэф]])),
IF((G331="3/24"),((база!$M$4*Таблица1[[#This Row],[сумма]]*Таблица1[[#This Row],[коэф]])),
IF((G331="5/16"),((база!$L$6*Таблица1[[#This Row],[сумма]]*Таблица1[[#This Row],[коэф]])),
IF((G331="4/16"),((база!$L$5*Таблица1[[#This Row],[сумма]]*Таблица1[[#This Row],[коэф]])),
IF((G331="3/16"),((база!$L$4*Таблица1[[#This Row],[сумма]]*Таблица1[[#This Row],[коэф]])),
IF((G331="4/4"),((база!$I$5*Таблица1[[#This Row],[сумма]]*Таблица1[[#This Row],[коэф]])),
IF(OR(G331="2/4",G331="3/4"),((база!$I$4*Таблица1[[#This Row],[сумма]]*Таблица1[[#This Row],[коэф]])),
IF((G331="5/8"),((база!$J$6*Таблица1[[#This Row],[сумма]]*Таблица1[[#This Row],[коэф]])),
IF((G331="4/8"),((база!$J$5*Таблица1[[#This Row],[сумма]]*Таблица1[[#This Row],[коэф]])),
IF(OR(G331="3/8",G331="2/8"),((база!$J$4*Таблица1[[#This Row],[сумма]]*Таблица1[[#This Row],[коэф]])))))))))))))),
(IF((G331="5/24"),((база!$M$6*Таблица1[[#This Row],[сумма]]*Таблица1[[#This Row],[коэф]])),
IF(OR(G331="4/24",G331="3/24"),((база!$M$5*Таблица1[[#This Row],[сумма]]*Таблица1[[#This Row],[коэф]])),
IF((G331="5/16"),((база!$L$6*Таблица1[[#This Row],[сумма]]*Таблица1[[#This Row],[коэф]])),
IF(OR(G331="4/16",G331="3/16"),((база!$L$5*Таблица1[[#This Row],[сумма]]*Таблица1[[#This Row],[коэф]])),
IF(OR(G331="2/4",G331="3/4",G331="4/4"),((база!$I$5*Таблица1[[#This Row],[сумма]]*Таблица1[[#This Row],[коэф]])),
IF((G331="5/8"),((база!$J$6*Таблица1[[#This Row],[сумма]]*Таблица1[[#This Row],[коэф]])),
IF(OR(G331="4/8",G331="3/8",G331="2/8"),((база!$J$5*Таблица1[[#This Row],[сумма]]*Таблица1[[#This Row],[коэф]])))))))))))</f>
        <v>0</v>
      </c>
      <c r="AP331" s="696" t="b">
        <f>IF(AR331&lt;=3,(IF((G331="5/24"),((база!$M$6*2*Таблица1[[#This Row],[Столбец1]]*Таблица1[[#This Row],[коэф]])),
IF((G331="4/24"),((база!$M$5*2*Таблица1[[#This Row],[Столбец1]]*Таблица1[[#This Row],[коэф]])),
IF((G331="3/24"),((база!$M$4*2*Таблица1[[#This Row],[Столбец1]]*Таблица1[[#This Row],[коэф]])),
IF((G331="5/16"),((база!$L$6*2*Таблица1[[#This Row],[Столбец1]]*Таблица1[[#This Row],[коэф]])),
IF((G331="4/16"),((база!$L$5*2*Таблица1[[#This Row],[Столбец1]]*Таблица1[[#This Row],[коэф]])),
IF((G331="3/16"),((база!$L$4*2*Таблица1[[#This Row],[Столбец1]]*Таблица1[[#This Row],[коэф]])),
IF((G331="4/4"),((база!$I$5*2*Таблица1[[#This Row],[Столбец1]]*Таблица1[[#This Row],[коэф]])),
IF(OR(G331="2/4",G331="3/4"),((база!$I$4*2*Таблица1[[#This Row],[Столбец1]]*Таблица1[[#This Row],[коэф]])),
IF((G331="5/8"),((база!$J$6*2*Таблица1[[#This Row],[Столбец1]]*Таблица1[[#This Row],[коэф]])),
IF((G331="4/8"),((база!$J$5*2*Таблица1[[#This Row],[Столбец1]]*Таблица1[[#This Row],[коэф]])),
IF(OR(G331="3/8",G331="2/8"),((база!$J$4*2*Таблица1[[#This Row],[Столбец1]]*Таблица1[[#This Row],[коэф]])))))))))))))),
(IF((G331="5/24"),((база!$M$6*2*Таблица1[[#This Row],[Столбец1]]*Таблица1[[#This Row],[коэф]])),
IF(OR(G331="4/24",G331="3/24"),((база!$M$5*2*Таблица1[[#This Row],[Столбец1]]*Таблица1[[#This Row],[коэф]])),
IF((G331="5/16"),((база!$L$6*2*Таблица1[[#This Row],[Столбец1]]*Таблица1[[#This Row],[коэф]])),
IF(OR(G331="4/16",G331="3/16"),((база!$L$5*2*Таблица1[[#This Row],[Столбец1]]*Таблица1[[#This Row],[коэф]])),
IF(OR(G331="2/4",G331="3/4",G331="4/4"),((база!$I$5*2*Таблица1[[#This Row],[Столбец1]]*Таблица1[[#This Row],[коэф]])),
IF((G331="5/8"),((база!$J$6*2*Таблица1[[#This Row],[Столбец1]]*Таблица1[[#This Row],[коэф]])),
IF(OR(G331="4/8",G331="3/8",G331="2/8"),((база!$J$5*2*Таблица1[[#This Row],[Столбец1]]*Таблица1[[#This Row],[коэф]])))))))))))</f>
        <v>0</v>
      </c>
      <c r="AQ331" s="678" t="str">
        <f>IFERROR(INDEX(база!T:T, MATCH(F331,база!Q:Q,0)),"")</f>
        <v/>
      </c>
      <c r="AR331" s="193">
        <f>IFERROR(INDEX(база!D:D, MATCH(F331,база!B:B,0)),"")</f>
        <v>0</v>
      </c>
    </row>
    <row r="332" spans="1:44" ht="15">
      <c r="A332" s="59"/>
      <c r="B332" s="215"/>
      <c r="C332" s="277"/>
      <c r="D332" s="55"/>
      <c r="E332" s="196"/>
      <c r="F332" s="651"/>
      <c r="G332" s="42"/>
      <c r="H332" s="539"/>
      <c r="I332" s="539"/>
      <c r="J332" s="539"/>
      <c r="K332" s="539"/>
      <c r="L332" s="539"/>
      <c r="M332" s="539"/>
      <c r="N332" s="539"/>
      <c r="O332" s="539"/>
      <c r="P332" s="278"/>
      <c r="Q332" s="539"/>
      <c r="R332" s="539"/>
      <c r="S332" s="539"/>
      <c r="T332" s="539"/>
      <c r="U332" s="539"/>
      <c r="V332" s="539"/>
      <c r="W332" s="539"/>
      <c r="X332" s="539"/>
      <c r="Y332" s="539"/>
      <c r="Z332" s="539"/>
      <c r="AA332" s="539"/>
      <c r="AB332" s="539"/>
      <c r="AC332" s="539"/>
      <c r="AD332" s="43"/>
      <c r="AE332" s="43"/>
      <c r="AF332" s="238"/>
      <c r="AG332" s="43"/>
      <c r="AH332" s="43"/>
      <c r="AI332" s="43"/>
      <c r="AJ332" s="43"/>
      <c r="AK332" s="43"/>
      <c r="AL332" s="45"/>
      <c r="AM332" s="197">
        <f>IF(AQ332=1,SUM(H332:I332,L332:O332,R332:U332,X332:AA332,AD332:AG332,AI332:AK332),
IF(AQ332=2,SUM(H332:K332,N332:Q332,T332:W332,Z332:AC332,AF332:AI332),
IF(AQ332=3,SUM(J332:M332,P332:S332,V332:Y332,AB332:AE332,AH332:AK332),SUM(Таблица1[[#This Row],[1]:[31]])-Таблица1[[#This Row],[Столбец1]])))</f>
        <v>0</v>
      </c>
      <c r="AN332" s="269">
        <f t="array" ref="AN332">IF(AQ332=1,SUM(J332:K332,P332:Q332,V332:W332,AB332:AC332,AH332:AI332),
IF(AQ332=2,SUM(L332:M332,R332:S332,X332:Y332,AD332:AE332),
IF(AQ332=3,SUM(H332:I332,N332:O332,T332:U332,Z332:AA332,AF332:AG332),
SUM(IFERROR(WEEKDAY($H$2:$AL$2,2)&gt;5,)*H332:AL332))))</f>
        <v>0</v>
      </c>
      <c r="AO332" s="271" t="b">
        <f>IF(AR332&lt;=3,(IF((G332="5/24"),((база!$M$6*Таблица1[[#This Row],[сумма]]*Таблица1[[#This Row],[коэф]])),
IF((G332="4/24"),((база!$M$5*Таблица1[[#This Row],[сумма]]*Таблица1[[#This Row],[коэф]])),
IF((G332="3/24"),((база!$M$4*Таблица1[[#This Row],[сумма]]*Таблица1[[#This Row],[коэф]])),
IF((G332="5/16"),((база!$L$6*Таблица1[[#This Row],[сумма]]*Таблица1[[#This Row],[коэф]])),
IF((G332="4/16"),((база!$L$5*Таблица1[[#This Row],[сумма]]*Таблица1[[#This Row],[коэф]])),
IF((G332="3/16"),((база!$L$4*Таблица1[[#This Row],[сумма]]*Таблица1[[#This Row],[коэф]])),
IF((G332="4/4"),((база!$I$5*Таблица1[[#This Row],[сумма]]*Таблица1[[#This Row],[коэф]])),
IF(OR(G332="2/4",G332="3/4"),((база!$I$4*Таблица1[[#This Row],[сумма]]*Таблица1[[#This Row],[коэф]])),
IF((G332="5/8"),((база!$J$6*Таблица1[[#This Row],[сумма]]*Таблица1[[#This Row],[коэф]])),
IF((G332="4/8"),((база!$J$5*Таблица1[[#This Row],[сумма]]*Таблица1[[#This Row],[коэф]])),
IF(OR(G332="3/8",G332="2/8"),((база!$J$4*Таблица1[[#This Row],[сумма]]*Таблица1[[#This Row],[коэф]])))))))))))))),
(IF((G332="5/24"),((база!$M$6*Таблица1[[#This Row],[сумма]]*Таблица1[[#This Row],[коэф]])),
IF(OR(G332="4/24",G332="3/24"),((база!$M$5*Таблица1[[#This Row],[сумма]]*Таблица1[[#This Row],[коэф]])),
IF((G332="5/16"),((база!$L$6*Таблица1[[#This Row],[сумма]]*Таблица1[[#This Row],[коэф]])),
IF(OR(G332="4/16",G332="3/16"),((база!$L$5*Таблица1[[#This Row],[сумма]]*Таблица1[[#This Row],[коэф]])),
IF(OR(G332="2/4",G332="3/4",G332="4/4"),((база!$I$5*Таблица1[[#This Row],[сумма]]*Таблица1[[#This Row],[коэф]])),
IF((G332="5/8"),((база!$J$6*Таблица1[[#This Row],[сумма]]*Таблица1[[#This Row],[коэф]])),
IF(OR(G332="4/8",G332="3/8",G332="2/8"),((база!$J$5*Таблица1[[#This Row],[сумма]]*Таблица1[[#This Row],[коэф]])))))))))))</f>
        <v>0</v>
      </c>
      <c r="AP332" s="696" t="b">
        <f>IF(AR332&lt;=3,(IF((G332="5/24"),((база!$M$6*2*Таблица1[[#This Row],[Столбец1]]*Таблица1[[#This Row],[коэф]])),
IF((G332="4/24"),((база!$M$5*2*Таблица1[[#This Row],[Столбец1]]*Таблица1[[#This Row],[коэф]])),
IF((G332="3/24"),((база!$M$4*2*Таблица1[[#This Row],[Столбец1]]*Таблица1[[#This Row],[коэф]])),
IF((G332="5/16"),((база!$L$6*2*Таблица1[[#This Row],[Столбец1]]*Таблица1[[#This Row],[коэф]])),
IF((G332="4/16"),((база!$L$5*2*Таблица1[[#This Row],[Столбец1]]*Таблица1[[#This Row],[коэф]])),
IF((G332="3/16"),((база!$L$4*2*Таблица1[[#This Row],[Столбец1]]*Таблица1[[#This Row],[коэф]])),
IF((G332="4/4"),((база!$I$5*2*Таблица1[[#This Row],[Столбец1]]*Таблица1[[#This Row],[коэф]])),
IF(OR(G332="2/4",G332="3/4"),((база!$I$4*2*Таблица1[[#This Row],[Столбец1]]*Таблица1[[#This Row],[коэф]])),
IF((G332="5/8"),((база!$J$6*2*Таблица1[[#This Row],[Столбец1]]*Таблица1[[#This Row],[коэф]])),
IF((G332="4/8"),((база!$J$5*2*Таблица1[[#This Row],[Столбец1]]*Таблица1[[#This Row],[коэф]])),
IF(OR(G332="3/8",G332="2/8"),((база!$J$4*2*Таблица1[[#This Row],[Столбец1]]*Таблица1[[#This Row],[коэф]])))))))))))))),
(IF((G332="5/24"),((база!$M$6*2*Таблица1[[#This Row],[Столбец1]]*Таблица1[[#This Row],[коэф]])),
IF(OR(G332="4/24",G332="3/24"),((база!$M$5*2*Таблица1[[#This Row],[Столбец1]]*Таблица1[[#This Row],[коэф]])),
IF((G332="5/16"),((база!$L$6*2*Таблица1[[#This Row],[Столбец1]]*Таблица1[[#This Row],[коэф]])),
IF(OR(G332="4/16",G332="3/16"),((база!$L$5*2*Таблица1[[#This Row],[Столбец1]]*Таблица1[[#This Row],[коэф]])),
IF(OR(G332="2/4",G332="3/4",G332="4/4"),((база!$I$5*2*Таблица1[[#This Row],[Столбец1]]*Таблица1[[#This Row],[коэф]])),
IF((G332="5/8"),((база!$J$6*2*Таблица1[[#This Row],[Столбец1]]*Таблица1[[#This Row],[коэф]])),
IF(OR(G332="4/8",G332="3/8",G332="2/8"),((база!$J$5*2*Таблица1[[#This Row],[Столбец1]]*Таблица1[[#This Row],[коэф]])))))))))))</f>
        <v>0</v>
      </c>
      <c r="AQ332" s="678" t="str">
        <f>IFERROR(INDEX(база!T:T, MATCH(F332,база!Q:Q,0)),"")</f>
        <v/>
      </c>
      <c r="AR332" s="193">
        <f>IFERROR(INDEX(база!D:D, MATCH(F332,база!B:B,0)),"")</f>
        <v>0</v>
      </c>
    </row>
    <row r="333" spans="1:44" ht="15">
      <c r="A333" s="59"/>
      <c r="B333" s="215"/>
      <c r="C333" s="54"/>
      <c r="D333" s="55"/>
      <c r="E333" s="196"/>
      <c r="F333" s="651"/>
      <c r="G333" s="42"/>
      <c r="H333" s="539"/>
      <c r="I333" s="539"/>
      <c r="J333" s="539"/>
      <c r="K333" s="539"/>
      <c r="L333" s="539"/>
      <c r="M333" s="539"/>
      <c r="N333" s="539"/>
      <c r="O333" s="539"/>
      <c r="P333" s="278"/>
      <c r="Q333" s="539"/>
      <c r="R333" s="539"/>
      <c r="S333" s="539"/>
      <c r="T333" s="539"/>
      <c r="U333" s="539"/>
      <c r="V333" s="539"/>
      <c r="W333" s="539"/>
      <c r="X333" s="539"/>
      <c r="Y333" s="539"/>
      <c r="Z333" s="539"/>
      <c r="AA333" s="539"/>
      <c r="AB333" s="539"/>
      <c r="AC333" s="539"/>
      <c r="AD333" s="43"/>
      <c r="AE333" s="43"/>
      <c r="AF333" s="238"/>
      <c r="AG333" s="43"/>
      <c r="AH333" s="43"/>
      <c r="AI333" s="238"/>
      <c r="AJ333" s="238"/>
      <c r="AK333" s="238"/>
      <c r="AL333" s="238"/>
      <c r="AM333" s="197">
        <f>IF(AQ333=1,SUM(H333:I333,L333:O333,R333:U333,X333:AA333,AD333:AG333,AI333:AK333),
IF(AQ333=2,SUM(H333:K333,N333:Q333,T333:W333,Z333:AC333,AF333:AI333),
IF(AQ333=3,SUM(J333:M333,P333:S333,V333:Y333,AB333:AE333,AH333:AK333),SUM(Таблица1[[#This Row],[1]:[31]])-Таблица1[[#This Row],[Столбец1]])))</f>
        <v>0</v>
      </c>
      <c r="AN333" s="269">
        <f t="array" ref="AN333">IF(AQ333=1,SUM(J333:K333,P333:Q333,V333:W333,AB333:AC333,AH333:AI333),
IF(AQ333=2,SUM(L333:M333,R333:S333,X333:Y333,AD333:AE333),
IF(AQ333=3,SUM(H333:I333,N333:O333,T333:U333,Z333:AA333,AF333:AG333),
SUM(IFERROR(WEEKDAY($H$2:$AL$2,2)&gt;5,)*H333:AL333))))</f>
        <v>0</v>
      </c>
      <c r="AO333" s="271" t="b">
        <f>IF(AR333&lt;=3,(IF((G333="5/24"),((база!$M$6*Таблица1[[#This Row],[сумма]]*Таблица1[[#This Row],[коэф]])),
IF((G333="4/24"),((база!$M$5*Таблица1[[#This Row],[сумма]]*Таблица1[[#This Row],[коэф]])),
IF((G333="3/24"),((база!$M$4*Таблица1[[#This Row],[сумма]]*Таблица1[[#This Row],[коэф]])),
IF((G333="5/16"),((база!$L$6*Таблица1[[#This Row],[сумма]]*Таблица1[[#This Row],[коэф]])),
IF((G333="4/16"),((база!$L$5*Таблица1[[#This Row],[сумма]]*Таблица1[[#This Row],[коэф]])),
IF((G333="3/16"),((база!$L$4*Таблица1[[#This Row],[сумма]]*Таблица1[[#This Row],[коэф]])),
IF((G333="4/4"),((база!$I$5*Таблица1[[#This Row],[сумма]]*Таблица1[[#This Row],[коэф]])),
IF(OR(G333="2/4",G333="3/4"),((база!$I$4*Таблица1[[#This Row],[сумма]]*Таблица1[[#This Row],[коэф]])),
IF((G333="5/8"),((база!$J$6*Таблица1[[#This Row],[сумма]]*Таблица1[[#This Row],[коэф]])),
IF((G333="4/8"),((база!$J$5*Таблица1[[#This Row],[сумма]]*Таблица1[[#This Row],[коэф]])),
IF(OR(G333="3/8",G333="2/8"),((база!$J$4*Таблица1[[#This Row],[сумма]]*Таблица1[[#This Row],[коэф]])))))))))))))),
(IF((G333="5/24"),((база!$M$6*Таблица1[[#This Row],[сумма]]*Таблица1[[#This Row],[коэф]])),
IF(OR(G333="4/24",G333="3/24"),((база!$M$5*Таблица1[[#This Row],[сумма]]*Таблица1[[#This Row],[коэф]])),
IF((G333="5/16"),((база!$L$6*Таблица1[[#This Row],[сумма]]*Таблица1[[#This Row],[коэф]])),
IF(OR(G333="4/16",G333="3/16"),((база!$L$5*Таблица1[[#This Row],[сумма]]*Таблица1[[#This Row],[коэф]])),
IF(OR(G333="2/4",G333="3/4",G333="4/4"),((база!$I$5*Таблица1[[#This Row],[сумма]]*Таблица1[[#This Row],[коэф]])),
IF((G333="5/8"),((база!$J$6*Таблица1[[#This Row],[сумма]]*Таблица1[[#This Row],[коэф]])),
IF(OR(G333="4/8",G333="3/8",G333="2/8"),((база!$J$5*Таблица1[[#This Row],[сумма]]*Таблица1[[#This Row],[коэф]])))))))))))</f>
        <v>0</v>
      </c>
      <c r="AP333" s="696" t="b">
        <f>IF(AR333&lt;=3,(IF((G333="5/24"),((база!$M$6*2*Таблица1[[#This Row],[Столбец1]]*Таблица1[[#This Row],[коэф]])),
IF((G333="4/24"),((база!$M$5*2*Таблица1[[#This Row],[Столбец1]]*Таблица1[[#This Row],[коэф]])),
IF((G333="3/24"),((база!$M$4*2*Таблица1[[#This Row],[Столбец1]]*Таблица1[[#This Row],[коэф]])),
IF((G333="5/16"),((база!$L$6*2*Таблица1[[#This Row],[Столбец1]]*Таблица1[[#This Row],[коэф]])),
IF((G333="4/16"),((база!$L$5*2*Таблица1[[#This Row],[Столбец1]]*Таблица1[[#This Row],[коэф]])),
IF((G333="3/16"),((база!$L$4*2*Таблица1[[#This Row],[Столбец1]]*Таблица1[[#This Row],[коэф]])),
IF((G333="4/4"),((база!$I$5*2*Таблица1[[#This Row],[Столбец1]]*Таблица1[[#This Row],[коэф]])),
IF(OR(G333="2/4",G333="3/4"),((база!$I$4*2*Таблица1[[#This Row],[Столбец1]]*Таблица1[[#This Row],[коэф]])),
IF((G333="5/8"),((база!$J$6*2*Таблица1[[#This Row],[Столбец1]]*Таблица1[[#This Row],[коэф]])),
IF((G333="4/8"),((база!$J$5*2*Таблица1[[#This Row],[Столбец1]]*Таблица1[[#This Row],[коэф]])),
IF(OR(G333="3/8",G333="2/8"),((база!$J$4*2*Таблица1[[#This Row],[Столбец1]]*Таблица1[[#This Row],[коэф]])))))))))))))),
(IF((G333="5/24"),((база!$M$6*2*Таблица1[[#This Row],[Столбец1]]*Таблица1[[#This Row],[коэф]])),
IF(OR(G333="4/24",G333="3/24"),((база!$M$5*2*Таблица1[[#This Row],[Столбец1]]*Таблица1[[#This Row],[коэф]])),
IF((G333="5/16"),((база!$L$6*2*Таблица1[[#This Row],[Столбец1]]*Таблица1[[#This Row],[коэф]])),
IF(OR(G333="4/16",G333="3/16"),((база!$L$5*2*Таблица1[[#This Row],[Столбец1]]*Таблица1[[#This Row],[коэф]])),
IF(OR(G333="2/4",G333="3/4",G333="4/4"),((база!$I$5*2*Таблица1[[#This Row],[Столбец1]]*Таблица1[[#This Row],[коэф]])),
IF((G333="5/8"),((база!$J$6*2*Таблица1[[#This Row],[Столбец1]]*Таблица1[[#This Row],[коэф]])),
IF(OR(G333="4/8",G333="3/8",G333="2/8"),((база!$J$5*2*Таблица1[[#This Row],[Столбец1]]*Таблица1[[#This Row],[коэф]])))))))))))</f>
        <v>0</v>
      </c>
      <c r="AQ333" s="678" t="str">
        <f>IFERROR(INDEX(база!T:T, MATCH(F333,база!Q:Q,0)),"")</f>
        <v/>
      </c>
      <c r="AR333" s="193">
        <f>IFERROR(INDEX(база!D:D, MATCH(F333,база!B:B,0)),"")</f>
        <v>0</v>
      </c>
    </row>
    <row r="334" spans="1:44" ht="15">
      <c r="A334" s="59"/>
      <c r="B334" s="215"/>
      <c r="C334" s="277"/>
      <c r="D334" s="55"/>
      <c r="E334" s="196"/>
      <c r="F334" s="651"/>
      <c r="G334" s="42"/>
      <c r="H334" s="539"/>
      <c r="I334" s="539"/>
      <c r="J334" s="539"/>
      <c r="K334" s="539"/>
      <c r="L334" s="539"/>
      <c r="M334" s="539"/>
      <c r="N334" s="539"/>
      <c r="O334" s="539"/>
      <c r="P334" s="278"/>
      <c r="Q334" s="539"/>
      <c r="R334" s="539"/>
      <c r="S334" s="539"/>
      <c r="T334" s="539"/>
      <c r="U334" s="539"/>
      <c r="V334" s="539"/>
      <c r="W334" s="539"/>
      <c r="X334" s="539"/>
      <c r="Y334" s="539"/>
      <c r="Z334" s="539"/>
      <c r="AA334" s="539"/>
      <c r="AB334" s="539"/>
      <c r="AC334" s="539"/>
      <c r="AD334" s="43"/>
      <c r="AE334" s="43"/>
      <c r="AF334" s="238"/>
      <c r="AG334" s="43"/>
      <c r="AH334" s="43"/>
      <c r="AI334" s="43"/>
      <c r="AJ334" s="43"/>
      <c r="AK334" s="43"/>
      <c r="AL334" s="45"/>
      <c r="AM334" s="197">
        <f>IF(AQ334=1,SUM(H334:I334,L334:O334,R334:U334,X334:AA334,AD334:AG334,AI334:AK334),
IF(AQ334=2,SUM(H334:K334,N334:Q334,T334:W334,Z334:AC334,AF334:AI334),
IF(AQ334=3,SUM(J334:M334,P334:S334,V334:Y334,AB334:AE334,AH334:AK334),SUM(Таблица1[[#This Row],[1]:[31]])-Таблица1[[#This Row],[Столбец1]])))</f>
        <v>0</v>
      </c>
      <c r="AN334" s="269">
        <f t="array" ref="AN334">IF(AQ334=1,SUM(J334:K334,P334:Q334,V334:W334,AB334:AC334,AH334:AI334),
IF(AQ334=2,SUM(L334:M334,R334:S334,X334:Y334,AD334:AE334),
IF(AQ334=3,SUM(H334:I334,N334:O334,T334:U334,Z334:AA334,AF334:AG334),
SUM(IFERROR(WEEKDAY($H$2:$AL$2,2)&gt;5,)*H334:AL334))))</f>
        <v>0</v>
      </c>
      <c r="AO334" s="271" t="b">
        <f>IF(AR334&lt;=3,(IF((G334="5/24"),((база!$M$6*Таблица1[[#This Row],[сумма]]*Таблица1[[#This Row],[коэф]])),
IF((G334="4/24"),((база!$M$5*Таблица1[[#This Row],[сумма]]*Таблица1[[#This Row],[коэф]])),
IF((G334="3/24"),((база!$M$4*Таблица1[[#This Row],[сумма]]*Таблица1[[#This Row],[коэф]])),
IF((G334="5/16"),((база!$L$6*Таблица1[[#This Row],[сумма]]*Таблица1[[#This Row],[коэф]])),
IF((G334="4/16"),((база!$L$5*Таблица1[[#This Row],[сумма]]*Таблица1[[#This Row],[коэф]])),
IF((G334="3/16"),((база!$L$4*Таблица1[[#This Row],[сумма]]*Таблица1[[#This Row],[коэф]])),
IF((G334="4/4"),((база!$I$5*Таблица1[[#This Row],[сумма]]*Таблица1[[#This Row],[коэф]])),
IF(OR(G334="2/4",G334="3/4"),((база!$I$4*Таблица1[[#This Row],[сумма]]*Таблица1[[#This Row],[коэф]])),
IF((G334="5/8"),((база!$J$6*Таблица1[[#This Row],[сумма]]*Таблица1[[#This Row],[коэф]])),
IF((G334="4/8"),((база!$J$5*Таблица1[[#This Row],[сумма]]*Таблица1[[#This Row],[коэф]])),
IF(OR(G334="3/8",G334="2/8"),((база!$J$4*Таблица1[[#This Row],[сумма]]*Таблица1[[#This Row],[коэф]])))))))))))))),
(IF((G334="5/24"),((база!$M$6*Таблица1[[#This Row],[сумма]]*Таблица1[[#This Row],[коэф]])),
IF(OR(G334="4/24",G334="3/24"),((база!$M$5*Таблица1[[#This Row],[сумма]]*Таблица1[[#This Row],[коэф]])),
IF((G334="5/16"),((база!$L$6*Таблица1[[#This Row],[сумма]]*Таблица1[[#This Row],[коэф]])),
IF(OR(G334="4/16",G334="3/16"),((база!$L$5*Таблица1[[#This Row],[сумма]]*Таблица1[[#This Row],[коэф]])),
IF(OR(G334="2/4",G334="3/4",G334="4/4"),((база!$I$5*Таблица1[[#This Row],[сумма]]*Таблица1[[#This Row],[коэф]])),
IF((G334="5/8"),((база!$J$6*Таблица1[[#This Row],[сумма]]*Таблица1[[#This Row],[коэф]])),
IF(OR(G334="4/8",G334="3/8",G334="2/8"),((база!$J$5*Таблица1[[#This Row],[сумма]]*Таблица1[[#This Row],[коэф]])))))))))))</f>
        <v>0</v>
      </c>
      <c r="AP334" s="696" t="b">
        <f>IF(AR334&lt;=3,(IF((G334="5/24"),((база!$M$6*2*Таблица1[[#This Row],[Столбец1]]*Таблица1[[#This Row],[коэф]])),
IF((G334="4/24"),((база!$M$5*2*Таблица1[[#This Row],[Столбец1]]*Таблица1[[#This Row],[коэф]])),
IF((G334="3/24"),((база!$M$4*2*Таблица1[[#This Row],[Столбец1]]*Таблица1[[#This Row],[коэф]])),
IF((G334="5/16"),((база!$L$6*2*Таблица1[[#This Row],[Столбец1]]*Таблица1[[#This Row],[коэф]])),
IF((G334="4/16"),((база!$L$5*2*Таблица1[[#This Row],[Столбец1]]*Таблица1[[#This Row],[коэф]])),
IF((G334="3/16"),((база!$L$4*2*Таблица1[[#This Row],[Столбец1]]*Таблица1[[#This Row],[коэф]])),
IF((G334="4/4"),((база!$I$5*2*Таблица1[[#This Row],[Столбец1]]*Таблица1[[#This Row],[коэф]])),
IF(OR(G334="2/4",G334="3/4"),((база!$I$4*2*Таблица1[[#This Row],[Столбец1]]*Таблица1[[#This Row],[коэф]])),
IF((G334="5/8"),((база!$J$6*2*Таблица1[[#This Row],[Столбец1]]*Таблица1[[#This Row],[коэф]])),
IF((G334="4/8"),((база!$J$5*2*Таблица1[[#This Row],[Столбец1]]*Таблица1[[#This Row],[коэф]])),
IF(OR(G334="3/8",G334="2/8"),((база!$J$4*2*Таблица1[[#This Row],[Столбец1]]*Таблица1[[#This Row],[коэф]])))))))))))))),
(IF((G334="5/24"),((база!$M$6*2*Таблица1[[#This Row],[Столбец1]]*Таблица1[[#This Row],[коэф]])),
IF(OR(G334="4/24",G334="3/24"),((база!$M$5*2*Таблица1[[#This Row],[Столбец1]]*Таблица1[[#This Row],[коэф]])),
IF((G334="5/16"),((база!$L$6*2*Таблица1[[#This Row],[Столбец1]]*Таблица1[[#This Row],[коэф]])),
IF(OR(G334="4/16",G334="3/16"),((база!$L$5*2*Таблица1[[#This Row],[Столбец1]]*Таблица1[[#This Row],[коэф]])),
IF(OR(G334="2/4",G334="3/4",G334="4/4"),((база!$I$5*2*Таблица1[[#This Row],[Столбец1]]*Таблица1[[#This Row],[коэф]])),
IF((G334="5/8"),((база!$J$6*2*Таблица1[[#This Row],[Столбец1]]*Таблица1[[#This Row],[коэф]])),
IF(OR(G334="4/8",G334="3/8",G334="2/8"),((база!$J$5*2*Таблица1[[#This Row],[Столбец1]]*Таблица1[[#This Row],[коэф]])))))))))))</f>
        <v>0</v>
      </c>
      <c r="AQ334" s="678" t="str">
        <f>IFERROR(INDEX(база!T:T, MATCH(F334,база!Q:Q,0)),"")</f>
        <v/>
      </c>
      <c r="AR334" s="193">
        <f>IFERROR(INDEX(база!D:D, MATCH(F334,база!B:B,0)),"")</f>
        <v>0</v>
      </c>
    </row>
    <row r="335" spans="1:44" ht="15">
      <c r="A335" s="59"/>
      <c r="B335" s="215"/>
      <c r="C335" s="277"/>
      <c r="D335" s="55"/>
      <c r="E335" s="196"/>
      <c r="F335" s="651"/>
      <c r="G335" s="42"/>
      <c r="H335" s="539"/>
      <c r="I335" s="539"/>
      <c r="J335" s="539"/>
      <c r="K335" s="539"/>
      <c r="L335" s="539"/>
      <c r="M335" s="539"/>
      <c r="N335" s="539"/>
      <c r="O335" s="539"/>
      <c r="P335" s="278"/>
      <c r="Q335" s="539"/>
      <c r="R335" s="539"/>
      <c r="S335" s="539"/>
      <c r="T335" s="539"/>
      <c r="U335" s="539"/>
      <c r="V335" s="539"/>
      <c r="W335" s="539"/>
      <c r="X335" s="539"/>
      <c r="Y335" s="539"/>
      <c r="Z335" s="539"/>
      <c r="AA335" s="539"/>
      <c r="AB335" s="539"/>
      <c r="AC335" s="539"/>
      <c r="AD335" s="43"/>
      <c r="AE335" s="43"/>
      <c r="AF335" s="238"/>
      <c r="AG335" s="43"/>
      <c r="AH335" s="43"/>
      <c r="AI335" s="238"/>
      <c r="AJ335" s="238"/>
      <c r="AK335" s="238"/>
      <c r="AL335" s="238"/>
      <c r="AM335" s="197">
        <f>IF(AQ335=1,SUM(H335:I335,L335:O335,R335:U335,X335:AA335,AD335:AG335,AI335:AK335),
IF(AQ335=2,SUM(H335:K335,N335:Q335,T335:W335,Z335:AC335,AF335:AI335),
IF(AQ335=3,SUM(J335:M335,P335:S335,V335:Y335,AB335:AE335,AH335:AK335),SUM(Таблица1[[#This Row],[1]:[31]])-Таблица1[[#This Row],[Столбец1]])))</f>
        <v>0</v>
      </c>
      <c r="AN335" s="269">
        <f t="array" ref="AN335">IF(AQ335=1,SUM(J335:K335,P335:Q335,V335:W335,AB335:AC335,AH335:AI335),
IF(AQ335=2,SUM(L335:M335,R335:S335,X335:Y335,AD335:AE335),
IF(AQ335=3,SUM(H335:I335,N335:O335,T335:U335,Z335:AA335,AF335:AG335),
SUM(IFERROR(WEEKDAY($H$2:$AL$2,2)&gt;5,)*H335:AL335))))</f>
        <v>0</v>
      </c>
      <c r="AO335" s="271" t="b">
        <f>IF(AR335&lt;=3,(IF((G335="5/24"),((база!$M$6*Таблица1[[#This Row],[сумма]]*Таблица1[[#This Row],[коэф]])),
IF((G335="4/24"),((база!$M$5*Таблица1[[#This Row],[сумма]]*Таблица1[[#This Row],[коэф]])),
IF((G335="3/24"),((база!$M$4*Таблица1[[#This Row],[сумма]]*Таблица1[[#This Row],[коэф]])),
IF((G335="5/16"),((база!$L$6*Таблица1[[#This Row],[сумма]]*Таблица1[[#This Row],[коэф]])),
IF((G335="4/16"),((база!$L$5*Таблица1[[#This Row],[сумма]]*Таблица1[[#This Row],[коэф]])),
IF((G335="3/16"),((база!$L$4*Таблица1[[#This Row],[сумма]]*Таблица1[[#This Row],[коэф]])),
IF((G335="4/4"),((база!$I$5*Таблица1[[#This Row],[сумма]]*Таблица1[[#This Row],[коэф]])),
IF(OR(G335="2/4",G335="3/4"),((база!$I$4*Таблица1[[#This Row],[сумма]]*Таблица1[[#This Row],[коэф]])),
IF((G335="5/8"),((база!$J$6*Таблица1[[#This Row],[сумма]]*Таблица1[[#This Row],[коэф]])),
IF((G335="4/8"),((база!$J$5*Таблица1[[#This Row],[сумма]]*Таблица1[[#This Row],[коэф]])),
IF(OR(G335="3/8",G335="2/8"),((база!$J$4*Таблица1[[#This Row],[сумма]]*Таблица1[[#This Row],[коэф]])))))))))))))),
(IF((G335="5/24"),((база!$M$6*Таблица1[[#This Row],[сумма]]*Таблица1[[#This Row],[коэф]])),
IF(OR(G335="4/24",G335="3/24"),((база!$M$5*Таблица1[[#This Row],[сумма]]*Таблица1[[#This Row],[коэф]])),
IF((G335="5/16"),((база!$L$6*Таблица1[[#This Row],[сумма]]*Таблица1[[#This Row],[коэф]])),
IF(OR(G335="4/16",G335="3/16"),((база!$L$5*Таблица1[[#This Row],[сумма]]*Таблица1[[#This Row],[коэф]])),
IF(OR(G335="2/4",G335="3/4",G335="4/4"),((база!$I$5*Таблица1[[#This Row],[сумма]]*Таблица1[[#This Row],[коэф]])),
IF((G335="5/8"),((база!$J$6*Таблица1[[#This Row],[сумма]]*Таблица1[[#This Row],[коэф]])),
IF(OR(G335="4/8",G335="3/8",G335="2/8"),((база!$J$5*Таблица1[[#This Row],[сумма]]*Таблица1[[#This Row],[коэф]])))))))))))</f>
        <v>0</v>
      </c>
      <c r="AP335" s="696" t="b">
        <f>IF(AR335&lt;=3,(IF((G335="5/24"),((база!$M$6*2*Таблица1[[#This Row],[Столбец1]]*Таблица1[[#This Row],[коэф]])),
IF((G335="4/24"),((база!$M$5*2*Таблица1[[#This Row],[Столбец1]]*Таблица1[[#This Row],[коэф]])),
IF((G335="3/24"),((база!$M$4*2*Таблица1[[#This Row],[Столбец1]]*Таблица1[[#This Row],[коэф]])),
IF((G335="5/16"),((база!$L$6*2*Таблица1[[#This Row],[Столбец1]]*Таблица1[[#This Row],[коэф]])),
IF((G335="4/16"),((база!$L$5*2*Таблица1[[#This Row],[Столбец1]]*Таблица1[[#This Row],[коэф]])),
IF((G335="3/16"),((база!$L$4*2*Таблица1[[#This Row],[Столбец1]]*Таблица1[[#This Row],[коэф]])),
IF((G335="4/4"),((база!$I$5*2*Таблица1[[#This Row],[Столбец1]]*Таблица1[[#This Row],[коэф]])),
IF(OR(G335="2/4",G335="3/4"),((база!$I$4*2*Таблица1[[#This Row],[Столбец1]]*Таблица1[[#This Row],[коэф]])),
IF((G335="5/8"),((база!$J$6*2*Таблица1[[#This Row],[Столбец1]]*Таблица1[[#This Row],[коэф]])),
IF((G335="4/8"),((база!$J$5*2*Таблица1[[#This Row],[Столбец1]]*Таблица1[[#This Row],[коэф]])),
IF(OR(G335="3/8",G335="2/8"),((база!$J$4*2*Таблица1[[#This Row],[Столбец1]]*Таблица1[[#This Row],[коэф]])))))))))))))),
(IF((G335="5/24"),((база!$M$6*2*Таблица1[[#This Row],[Столбец1]]*Таблица1[[#This Row],[коэф]])),
IF(OR(G335="4/24",G335="3/24"),((база!$M$5*2*Таблица1[[#This Row],[Столбец1]]*Таблица1[[#This Row],[коэф]])),
IF((G335="5/16"),((база!$L$6*2*Таблица1[[#This Row],[Столбец1]]*Таблица1[[#This Row],[коэф]])),
IF(OR(G335="4/16",G335="3/16"),((база!$L$5*2*Таблица1[[#This Row],[Столбец1]]*Таблица1[[#This Row],[коэф]])),
IF(OR(G335="2/4",G335="3/4",G335="4/4"),((база!$I$5*2*Таблица1[[#This Row],[Столбец1]]*Таблица1[[#This Row],[коэф]])),
IF((G335="5/8"),((база!$J$6*2*Таблица1[[#This Row],[Столбец1]]*Таблица1[[#This Row],[коэф]])),
IF(OR(G335="4/8",G335="3/8",G335="2/8"),((база!$J$5*2*Таблица1[[#This Row],[Столбец1]]*Таблица1[[#This Row],[коэф]])))))))))))</f>
        <v>0</v>
      </c>
      <c r="AQ335" s="678" t="str">
        <f>IFERROR(INDEX(база!T:T, MATCH(F335,база!Q:Q,0)),"")</f>
        <v/>
      </c>
      <c r="AR335" s="193">
        <f>IFERROR(INDEX(база!D:D, MATCH(F335,база!B:B,0)),"")</f>
        <v>0</v>
      </c>
    </row>
    <row r="336" spans="1:44" ht="15">
      <c r="A336" s="59"/>
      <c r="B336" s="215"/>
      <c r="C336" s="277"/>
      <c r="D336" s="55"/>
      <c r="E336" s="196"/>
      <c r="F336" s="651"/>
      <c r="G336" s="42"/>
      <c r="H336" s="539"/>
      <c r="I336" s="539"/>
      <c r="J336" s="539"/>
      <c r="K336" s="539"/>
      <c r="L336" s="539"/>
      <c r="M336" s="539"/>
      <c r="N336" s="539"/>
      <c r="O336" s="539"/>
      <c r="P336" s="278"/>
      <c r="Q336" s="539"/>
      <c r="R336" s="539"/>
      <c r="S336" s="539"/>
      <c r="T336" s="539"/>
      <c r="U336" s="539"/>
      <c r="V336" s="539"/>
      <c r="W336" s="539"/>
      <c r="X336" s="539"/>
      <c r="Y336" s="539"/>
      <c r="Z336" s="539"/>
      <c r="AA336" s="539"/>
      <c r="AB336" s="539"/>
      <c r="AC336" s="539"/>
      <c r="AD336" s="43"/>
      <c r="AE336" s="43"/>
      <c r="AF336" s="238"/>
      <c r="AG336" s="43"/>
      <c r="AH336" s="43"/>
      <c r="AI336" s="43"/>
      <c r="AJ336" s="43"/>
      <c r="AK336" s="43"/>
      <c r="AL336" s="45"/>
      <c r="AM336" s="197">
        <f>IF(AQ336=1,SUM(H336:I336,L336:O336,R336:U336,X336:AA336,AD336:AG336,AI336:AK336),
IF(AQ336=2,SUM(H336:K336,N336:Q336,T336:W336,Z336:AC336,AF336:AI336),
IF(AQ336=3,SUM(J336:M336,P336:S336,V336:Y336,AB336:AE336,AH336:AK336),SUM(Таблица1[[#This Row],[1]:[31]])-Таблица1[[#This Row],[Столбец1]])))</f>
        <v>0</v>
      </c>
      <c r="AN336" s="269">
        <f t="array" ref="AN336">IF(AQ336=1,SUM(J336:K336,P336:Q336,V336:W336,AB336:AC336,AH336:AI336),
IF(AQ336=2,SUM(L336:M336,R336:S336,X336:Y336,AD336:AE336),
IF(AQ336=3,SUM(H336:I336,N336:O336,T336:U336,Z336:AA336,AF336:AG336),
SUM(IFERROR(WEEKDAY($H$2:$AL$2,2)&gt;5,)*H336:AL336))))</f>
        <v>0</v>
      </c>
      <c r="AO336" s="271" t="b">
        <f>IF(AR336&lt;=3,(IF((G336="5/24"),((база!$M$6*Таблица1[[#This Row],[сумма]]*Таблица1[[#This Row],[коэф]])),
IF((G336="4/24"),((база!$M$5*Таблица1[[#This Row],[сумма]]*Таблица1[[#This Row],[коэф]])),
IF((G336="3/24"),((база!$M$4*Таблица1[[#This Row],[сумма]]*Таблица1[[#This Row],[коэф]])),
IF((G336="5/16"),((база!$L$6*Таблица1[[#This Row],[сумма]]*Таблица1[[#This Row],[коэф]])),
IF((G336="4/16"),((база!$L$5*Таблица1[[#This Row],[сумма]]*Таблица1[[#This Row],[коэф]])),
IF((G336="3/16"),((база!$L$4*Таблица1[[#This Row],[сумма]]*Таблица1[[#This Row],[коэф]])),
IF((G336="4/4"),((база!$I$5*Таблица1[[#This Row],[сумма]]*Таблица1[[#This Row],[коэф]])),
IF(OR(G336="2/4",G336="3/4"),((база!$I$4*Таблица1[[#This Row],[сумма]]*Таблица1[[#This Row],[коэф]])),
IF((G336="5/8"),((база!$J$6*Таблица1[[#This Row],[сумма]]*Таблица1[[#This Row],[коэф]])),
IF((G336="4/8"),((база!$J$5*Таблица1[[#This Row],[сумма]]*Таблица1[[#This Row],[коэф]])),
IF(OR(G336="3/8",G336="2/8"),((база!$J$4*Таблица1[[#This Row],[сумма]]*Таблица1[[#This Row],[коэф]])))))))))))))),
(IF((G336="5/24"),((база!$M$6*Таблица1[[#This Row],[сумма]]*Таблица1[[#This Row],[коэф]])),
IF(OR(G336="4/24",G336="3/24"),((база!$M$5*Таблица1[[#This Row],[сумма]]*Таблица1[[#This Row],[коэф]])),
IF((G336="5/16"),((база!$L$6*Таблица1[[#This Row],[сумма]]*Таблица1[[#This Row],[коэф]])),
IF(OR(G336="4/16",G336="3/16"),((база!$L$5*Таблица1[[#This Row],[сумма]]*Таблица1[[#This Row],[коэф]])),
IF(OR(G336="2/4",G336="3/4",G336="4/4"),((база!$I$5*Таблица1[[#This Row],[сумма]]*Таблица1[[#This Row],[коэф]])),
IF((G336="5/8"),((база!$J$6*Таблица1[[#This Row],[сумма]]*Таблица1[[#This Row],[коэф]])),
IF(OR(G336="4/8",G336="3/8",G336="2/8"),((база!$J$5*Таблица1[[#This Row],[сумма]]*Таблица1[[#This Row],[коэф]])))))))))))</f>
        <v>0</v>
      </c>
      <c r="AP336" s="696" t="b">
        <f>IF(AR336&lt;=3,(IF((G336="5/24"),((база!$M$6*2*Таблица1[[#This Row],[Столбец1]]*Таблица1[[#This Row],[коэф]])),
IF((G336="4/24"),((база!$M$5*2*Таблица1[[#This Row],[Столбец1]]*Таблица1[[#This Row],[коэф]])),
IF((G336="3/24"),((база!$M$4*2*Таблица1[[#This Row],[Столбец1]]*Таблица1[[#This Row],[коэф]])),
IF((G336="5/16"),((база!$L$6*2*Таблица1[[#This Row],[Столбец1]]*Таблица1[[#This Row],[коэф]])),
IF((G336="4/16"),((база!$L$5*2*Таблица1[[#This Row],[Столбец1]]*Таблица1[[#This Row],[коэф]])),
IF((G336="3/16"),((база!$L$4*2*Таблица1[[#This Row],[Столбец1]]*Таблица1[[#This Row],[коэф]])),
IF((G336="4/4"),((база!$I$5*2*Таблица1[[#This Row],[Столбец1]]*Таблица1[[#This Row],[коэф]])),
IF(OR(G336="2/4",G336="3/4"),((база!$I$4*2*Таблица1[[#This Row],[Столбец1]]*Таблица1[[#This Row],[коэф]])),
IF((G336="5/8"),((база!$J$6*2*Таблица1[[#This Row],[Столбец1]]*Таблица1[[#This Row],[коэф]])),
IF((G336="4/8"),((база!$J$5*2*Таблица1[[#This Row],[Столбец1]]*Таблица1[[#This Row],[коэф]])),
IF(OR(G336="3/8",G336="2/8"),((база!$J$4*2*Таблица1[[#This Row],[Столбец1]]*Таблица1[[#This Row],[коэф]])))))))))))))),
(IF((G336="5/24"),((база!$M$6*2*Таблица1[[#This Row],[Столбец1]]*Таблица1[[#This Row],[коэф]])),
IF(OR(G336="4/24",G336="3/24"),((база!$M$5*2*Таблица1[[#This Row],[Столбец1]]*Таблица1[[#This Row],[коэф]])),
IF((G336="5/16"),((база!$L$6*2*Таблица1[[#This Row],[Столбец1]]*Таблица1[[#This Row],[коэф]])),
IF(OR(G336="4/16",G336="3/16"),((база!$L$5*2*Таблица1[[#This Row],[Столбец1]]*Таблица1[[#This Row],[коэф]])),
IF(OR(G336="2/4",G336="3/4",G336="4/4"),((база!$I$5*2*Таблица1[[#This Row],[Столбец1]]*Таблица1[[#This Row],[коэф]])),
IF((G336="5/8"),((база!$J$6*2*Таблица1[[#This Row],[Столбец1]]*Таблица1[[#This Row],[коэф]])),
IF(OR(G336="4/8",G336="3/8",G336="2/8"),((база!$J$5*2*Таблица1[[#This Row],[Столбец1]]*Таблица1[[#This Row],[коэф]])))))))))))</f>
        <v>0</v>
      </c>
      <c r="AQ336" s="678" t="str">
        <f>IFERROR(INDEX(база!T:T, MATCH(F336,база!Q:Q,0)),"")</f>
        <v/>
      </c>
      <c r="AR336" s="193">
        <f>IFERROR(INDEX(база!D:D, MATCH(F336,база!B:B,0)),"")</f>
        <v>0</v>
      </c>
    </row>
    <row r="337" spans="1:44" ht="15">
      <c r="A337" s="59"/>
      <c r="B337" s="215"/>
      <c r="C337" s="277"/>
      <c r="D337" s="55"/>
      <c r="E337" s="196"/>
      <c r="F337" s="651"/>
      <c r="G337" s="42"/>
      <c r="H337" s="539"/>
      <c r="I337" s="539"/>
      <c r="J337" s="539"/>
      <c r="K337" s="539"/>
      <c r="L337" s="539"/>
      <c r="M337" s="539"/>
      <c r="N337" s="539"/>
      <c r="O337" s="539"/>
      <c r="P337" s="278"/>
      <c r="Q337" s="539"/>
      <c r="R337" s="539"/>
      <c r="S337" s="539"/>
      <c r="T337" s="539"/>
      <c r="U337" s="539"/>
      <c r="V337" s="539"/>
      <c r="W337" s="539"/>
      <c r="X337" s="539"/>
      <c r="Y337" s="539"/>
      <c r="Z337" s="539"/>
      <c r="AA337" s="539"/>
      <c r="AB337" s="539"/>
      <c r="AC337" s="539"/>
      <c r="AD337" s="43"/>
      <c r="AE337" s="43"/>
      <c r="AF337" s="238"/>
      <c r="AG337" s="43"/>
      <c r="AH337" s="43"/>
      <c r="AI337" s="238"/>
      <c r="AJ337" s="238"/>
      <c r="AK337" s="238"/>
      <c r="AL337" s="238"/>
      <c r="AM337" s="197">
        <f>IF(AQ337=1,SUM(H337:I337,L337:O337,R337:U337,X337:AA337,AD337:AG337,AI337:AK337),
IF(AQ337=2,SUM(H337:K337,N337:Q337,T337:W337,Z337:AC337,AF337:AI337),
IF(AQ337=3,SUM(J337:M337,P337:S337,V337:Y337,AB337:AE337,AH337:AK337),SUM(Таблица1[[#This Row],[1]:[31]])-Таблица1[[#This Row],[Столбец1]])))</f>
        <v>0</v>
      </c>
      <c r="AN337" s="269">
        <f t="array" ref="AN337">IF(AQ337=1,SUM(J337:K337,P337:Q337,V337:W337,AB337:AC337,AH337:AI337),
IF(AQ337=2,SUM(L337:M337,R337:S337,X337:Y337,AD337:AE337),
IF(AQ337=3,SUM(H337:I337,N337:O337,T337:U337,Z337:AA337,AF337:AG337),
SUM(IFERROR(WEEKDAY($H$2:$AL$2,2)&gt;5,)*H337:AL337))))</f>
        <v>0</v>
      </c>
      <c r="AO337" s="271" t="b">
        <f>IF(AR337&lt;=3,(IF((G337="5/24"),((база!$M$6*Таблица1[[#This Row],[сумма]]*Таблица1[[#This Row],[коэф]])),
IF((G337="4/24"),((база!$M$5*Таблица1[[#This Row],[сумма]]*Таблица1[[#This Row],[коэф]])),
IF((G337="3/24"),((база!$M$4*Таблица1[[#This Row],[сумма]]*Таблица1[[#This Row],[коэф]])),
IF((G337="5/16"),((база!$L$6*Таблица1[[#This Row],[сумма]]*Таблица1[[#This Row],[коэф]])),
IF((G337="4/16"),((база!$L$5*Таблица1[[#This Row],[сумма]]*Таблица1[[#This Row],[коэф]])),
IF((G337="3/16"),((база!$L$4*Таблица1[[#This Row],[сумма]]*Таблица1[[#This Row],[коэф]])),
IF((G337="4/4"),((база!$I$5*Таблица1[[#This Row],[сумма]]*Таблица1[[#This Row],[коэф]])),
IF(OR(G337="2/4",G337="3/4"),((база!$I$4*Таблица1[[#This Row],[сумма]]*Таблица1[[#This Row],[коэф]])),
IF((G337="5/8"),((база!$J$6*Таблица1[[#This Row],[сумма]]*Таблица1[[#This Row],[коэф]])),
IF((G337="4/8"),((база!$J$5*Таблица1[[#This Row],[сумма]]*Таблица1[[#This Row],[коэф]])),
IF(OR(G337="3/8",G337="2/8"),((база!$J$4*Таблица1[[#This Row],[сумма]]*Таблица1[[#This Row],[коэф]])))))))))))))),
(IF((G337="5/24"),((база!$M$6*Таблица1[[#This Row],[сумма]]*Таблица1[[#This Row],[коэф]])),
IF(OR(G337="4/24",G337="3/24"),((база!$M$5*Таблица1[[#This Row],[сумма]]*Таблица1[[#This Row],[коэф]])),
IF((G337="5/16"),((база!$L$6*Таблица1[[#This Row],[сумма]]*Таблица1[[#This Row],[коэф]])),
IF(OR(G337="4/16",G337="3/16"),((база!$L$5*Таблица1[[#This Row],[сумма]]*Таблица1[[#This Row],[коэф]])),
IF(OR(G337="2/4",G337="3/4",G337="4/4"),((база!$I$5*Таблица1[[#This Row],[сумма]]*Таблица1[[#This Row],[коэф]])),
IF((G337="5/8"),((база!$J$6*Таблица1[[#This Row],[сумма]]*Таблица1[[#This Row],[коэф]])),
IF(OR(G337="4/8",G337="3/8",G337="2/8"),((база!$J$5*Таблица1[[#This Row],[сумма]]*Таблица1[[#This Row],[коэф]])))))))))))</f>
        <v>0</v>
      </c>
      <c r="AP337" s="696" t="b">
        <f>IF(AR337&lt;=3,(IF((G337="5/24"),((база!$M$6*2*Таблица1[[#This Row],[Столбец1]]*Таблица1[[#This Row],[коэф]])),
IF((G337="4/24"),((база!$M$5*2*Таблица1[[#This Row],[Столбец1]]*Таблица1[[#This Row],[коэф]])),
IF((G337="3/24"),((база!$M$4*2*Таблица1[[#This Row],[Столбец1]]*Таблица1[[#This Row],[коэф]])),
IF((G337="5/16"),((база!$L$6*2*Таблица1[[#This Row],[Столбец1]]*Таблица1[[#This Row],[коэф]])),
IF((G337="4/16"),((база!$L$5*2*Таблица1[[#This Row],[Столбец1]]*Таблица1[[#This Row],[коэф]])),
IF((G337="3/16"),((база!$L$4*2*Таблица1[[#This Row],[Столбец1]]*Таблица1[[#This Row],[коэф]])),
IF((G337="4/4"),((база!$I$5*2*Таблица1[[#This Row],[Столбец1]]*Таблица1[[#This Row],[коэф]])),
IF(OR(G337="2/4",G337="3/4"),((база!$I$4*2*Таблица1[[#This Row],[Столбец1]]*Таблица1[[#This Row],[коэф]])),
IF((G337="5/8"),((база!$J$6*2*Таблица1[[#This Row],[Столбец1]]*Таблица1[[#This Row],[коэф]])),
IF((G337="4/8"),((база!$J$5*2*Таблица1[[#This Row],[Столбец1]]*Таблица1[[#This Row],[коэф]])),
IF(OR(G337="3/8",G337="2/8"),((база!$J$4*2*Таблица1[[#This Row],[Столбец1]]*Таблица1[[#This Row],[коэф]])))))))))))))),
(IF((G337="5/24"),((база!$M$6*2*Таблица1[[#This Row],[Столбец1]]*Таблица1[[#This Row],[коэф]])),
IF(OR(G337="4/24",G337="3/24"),((база!$M$5*2*Таблица1[[#This Row],[Столбец1]]*Таблица1[[#This Row],[коэф]])),
IF((G337="5/16"),((база!$L$6*2*Таблица1[[#This Row],[Столбец1]]*Таблица1[[#This Row],[коэф]])),
IF(OR(G337="4/16",G337="3/16"),((база!$L$5*2*Таблица1[[#This Row],[Столбец1]]*Таблица1[[#This Row],[коэф]])),
IF(OR(G337="2/4",G337="3/4",G337="4/4"),((база!$I$5*2*Таблица1[[#This Row],[Столбец1]]*Таблица1[[#This Row],[коэф]])),
IF((G337="5/8"),((база!$J$6*2*Таблица1[[#This Row],[Столбец1]]*Таблица1[[#This Row],[коэф]])),
IF(OR(G337="4/8",G337="3/8",G337="2/8"),((база!$J$5*2*Таблица1[[#This Row],[Столбец1]]*Таблица1[[#This Row],[коэф]])))))))))))</f>
        <v>0</v>
      </c>
      <c r="AQ337" s="678" t="str">
        <f>IFERROR(INDEX(база!T:T, MATCH(F337,база!Q:Q,0)),"")</f>
        <v/>
      </c>
      <c r="AR337" s="193">
        <f>IFERROR(INDEX(база!D:D, MATCH(F337,база!B:B,0)),"")</f>
        <v>0</v>
      </c>
    </row>
    <row r="338" spans="1:44" ht="15">
      <c r="A338" s="59"/>
      <c r="B338" s="215"/>
      <c r="C338" s="277"/>
      <c r="D338" s="55"/>
      <c r="E338" s="196"/>
      <c r="F338" s="651"/>
      <c r="G338" s="42"/>
      <c r="H338" s="539"/>
      <c r="I338" s="539"/>
      <c r="J338" s="539"/>
      <c r="K338" s="539"/>
      <c r="L338" s="539"/>
      <c r="M338" s="539"/>
      <c r="N338" s="539"/>
      <c r="O338" s="539"/>
      <c r="P338" s="278"/>
      <c r="Q338" s="539"/>
      <c r="R338" s="539"/>
      <c r="S338" s="539"/>
      <c r="T338" s="539"/>
      <c r="U338" s="539"/>
      <c r="V338" s="539"/>
      <c r="W338" s="539"/>
      <c r="X338" s="539"/>
      <c r="Y338" s="539"/>
      <c r="Z338" s="539"/>
      <c r="AA338" s="539"/>
      <c r="AB338" s="539"/>
      <c r="AC338" s="539"/>
      <c r="AD338" s="43"/>
      <c r="AE338" s="43"/>
      <c r="AF338" s="238"/>
      <c r="AG338" s="43"/>
      <c r="AH338" s="43"/>
      <c r="AI338" s="43"/>
      <c r="AJ338" s="43"/>
      <c r="AK338" s="43"/>
      <c r="AL338" s="45"/>
      <c r="AM338" s="197">
        <f>IF(AQ338=1,SUM(H338:I338,L338:O338,R338:U338,X338:AA338,AD338:AG338,AI338:AK338),
IF(AQ338=2,SUM(H338:K338,N338:Q338,T338:W338,Z338:AC338,AF338:AI338),
IF(AQ338=3,SUM(J338:M338,P338:S338,V338:Y338,AB338:AE338,AH338:AK338),SUM(Таблица1[[#This Row],[1]:[31]])-Таблица1[[#This Row],[Столбец1]])))</f>
        <v>0</v>
      </c>
      <c r="AN338" s="269">
        <f t="array" ref="AN338">IF(AQ338=1,SUM(J338:K338,P338:Q338,V338:W338,AB338:AC338,AH338:AI338),
IF(AQ338=2,SUM(L338:M338,R338:S338,X338:Y338,AD338:AE338),
IF(AQ338=3,SUM(H338:I338,N338:O338,T338:U338,Z338:AA338,AF338:AG338),
SUM(IFERROR(WEEKDAY($H$2:$AL$2,2)&gt;5,)*H338:AL338))))</f>
        <v>0</v>
      </c>
      <c r="AO338" s="271" t="b">
        <f>IF(AR338&lt;=3,(IF((G338="5/24"),((база!$M$6*Таблица1[[#This Row],[сумма]]*Таблица1[[#This Row],[коэф]])),
IF((G338="4/24"),((база!$M$5*Таблица1[[#This Row],[сумма]]*Таблица1[[#This Row],[коэф]])),
IF((G338="3/24"),((база!$M$4*Таблица1[[#This Row],[сумма]]*Таблица1[[#This Row],[коэф]])),
IF((G338="5/16"),((база!$L$6*Таблица1[[#This Row],[сумма]]*Таблица1[[#This Row],[коэф]])),
IF((G338="4/16"),((база!$L$5*Таблица1[[#This Row],[сумма]]*Таблица1[[#This Row],[коэф]])),
IF((G338="3/16"),((база!$L$4*Таблица1[[#This Row],[сумма]]*Таблица1[[#This Row],[коэф]])),
IF((G338="4/4"),((база!$I$5*Таблица1[[#This Row],[сумма]]*Таблица1[[#This Row],[коэф]])),
IF(OR(G338="2/4",G338="3/4"),((база!$I$4*Таблица1[[#This Row],[сумма]]*Таблица1[[#This Row],[коэф]])),
IF((G338="5/8"),((база!$J$6*Таблица1[[#This Row],[сумма]]*Таблица1[[#This Row],[коэф]])),
IF((G338="4/8"),((база!$J$5*Таблица1[[#This Row],[сумма]]*Таблица1[[#This Row],[коэф]])),
IF(OR(G338="3/8",G338="2/8"),((база!$J$4*Таблица1[[#This Row],[сумма]]*Таблица1[[#This Row],[коэф]])))))))))))))),
(IF((G338="5/24"),((база!$M$6*Таблица1[[#This Row],[сумма]]*Таблица1[[#This Row],[коэф]])),
IF(OR(G338="4/24",G338="3/24"),((база!$M$5*Таблица1[[#This Row],[сумма]]*Таблица1[[#This Row],[коэф]])),
IF((G338="5/16"),((база!$L$6*Таблица1[[#This Row],[сумма]]*Таблица1[[#This Row],[коэф]])),
IF(OR(G338="4/16",G338="3/16"),((база!$L$5*Таблица1[[#This Row],[сумма]]*Таблица1[[#This Row],[коэф]])),
IF(OR(G338="2/4",G338="3/4",G338="4/4"),((база!$I$5*Таблица1[[#This Row],[сумма]]*Таблица1[[#This Row],[коэф]])),
IF((G338="5/8"),((база!$J$6*Таблица1[[#This Row],[сумма]]*Таблица1[[#This Row],[коэф]])),
IF(OR(G338="4/8",G338="3/8",G338="2/8"),((база!$J$5*Таблица1[[#This Row],[сумма]]*Таблица1[[#This Row],[коэф]])))))))))))</f>
        <v>0</v>
      </c>
      <c r="AP338" s="696" t="b">
        <f>IF(AR338&lt;=3,(IF((G338="5/24"),((база!$M$6*2*Таблица1[[#This Row],[Столбец1]]*Таблица1[[#This Row],[коэф]])),
IF((G338="4/24"),((база!$M$5*2*Таблица1[[#This Row],[Столбец1]]*Таблица1[[#This Row],[коэф]])),
IF((G338="3/24"),((база!$M$4*2*Таблица1[[#This Row],[Столбец1]]*Таблица1[[#This Row],[коэф]])),
IF((G338="5/16"),((база!$L$6*2*Таблица1[[#This Row],[Столбец1]]*Таблица1[[#This Row],[коэф]])),
IF((G338="4/16"),((база!$L$5*2*Таблица1[[#This Row],[Столбец1]]*Таблица1[[#This Row],[коэф]])),
IF((G338="3/16"),((база!$L$4*2*Таблица1[[#This Row],[Столбец1]]*Таблица1[[#This Row],[коэф]])),
IF((G338="4/4"),((база!$I$5*2*Таблица1[[#This Row],[Столбец1]]*Таблица1[[#This Row],[коэф]])),
IF(OR(G338="2/4",G338="3/4"),((база!$I$4*2*Таблица1[[#This Row],[Столбец1]]*Таблица1[[#This Row],[коэф]])),
IF((G338="5/8"),((база!$J$6*2*Таблица1[[#This Row],[Столбец1]]*Таблица1[[#This Row],[коэф]])),
IF((G338="4/8"),((база!$J$5*2*Таблица1[[#This Row],[Столбец1]]*Таблица1[[#This Row],[коэф]])),
IF(OR(G338="3/8",G338="2/8"),((база!$J$4*2*Таблица1[[#This Row],[Столбец1]]*Таблица1[[#This Row],[коэф]])))))))))))))),
(IF((G338="5/24"),((база!$M$6*2*Таблица1[[#This Row],[Столбец1]]*Таблица1[[#This Row],[коэф]])),
IF(OR(G338="4/24",G338="3/24"),((база!$M$5*2*Таблица1[[#This Row],[Столбец1]]*Таблица1[[#This Row],[коэф]])),
IF((G338="5/16"),((база!$L$6*2*Таблица1[[#This Row],[Столбец1]]*Таблица1[[#This Row],[коэф]])),
IF(OR(G338="4/16",G338="3/16"),((база!$L$5*2*Таблица1[[#This Row],[Столбец1]]*Таблица1[[#This Row],[коэф]])),
IF(OR(G338="2/4",G338="3/4",G338="4/4"),((база!$I$5*2*Таблица1[[#This Row],[Столбец1]]*Таблица1[[#This Row],[коэф]])),
IF((G338="5/8"),((база!$J$6*2*Таблица1[[#This Row],[Столбец1]]*Таблица1[[#This Row],[коэф]])),
IF(OR(G338="4/8",G338="3/8",G338="2/8"),((база!$J$5*2*Таблица1[[#This Row],[Столбец1]]*Таблица1[[#This Row],[коэф]])))))))))))</f>
        <v>0</v>
      </c>
      <c r="AQ338" s="678" t="str">
        <f>IFERROR(INDEX(база!T:T, MATCH(F338,база!Q:Q,0)),"")</f>
        <v/>
      </c>
      <c r="AR338" s="193">
        <f>IFERROR(INDEX(база!D:D, MATCH(F338,база!B:B,0)),"")</f>
        <v>0</v>
      </c>
    </row>
    <row r="339" spans="1:44" ht="15">
      <c r="A339" s="59"/>
      <c r="B339" s="215"/>
      <c r="C339" s="277"/>
      <c r="D339" s="55"/>
      <c r="E339" s="196"/>
      <c r="F339" s="651"/>
      <c r="G339" s="42"/>
      <c r="H339" s="539"/>
      <c r="I339" s="539"/>
      <c r="J339" s="539"/>
      <c r="K339" s="539"/>
      <c r="L339" s="539"/>
      <c r="M339" s="539"/>
      <c r="N339" s="539"/>
      <c r="O339" s="539"/>
      <c r="P339" s="278"/>
      <c r="Q339" s="539"/>
      <c r="R339" s="539"/>
      <c r="S339" s="539"/>
      <c r="T339" s="539"/>
      <c r="U339" s="539"/>
      <c r="V339" s="539"/>
      <c r="W339" s="539"/>
      <c r="X339" s="539"/>
      <c r="Y339" s="539"/>
      <c r="Z339" s="539"/>
      <c r="AA339" s="539"/>
      <c r="AB339" s="539"/>
      <c r="AC339" s="539"/>
      <c r="AD339" s="43"/>
      <c r="AE339" s="43"/>
      <c r="AF339" s="238"/>
      <c r="AG339" s="43"/>
      <c r="AH339" s="43"/>
      <c r="AI339" s="238"/>
      <c r="AJ339" s="238"/>
      <c r="AK339" s="238"/>
      <c r="AL339" s="238"/>
      <c r="AM339" s="197">
        <f>IF(AQ339=1,SUM(H339:I339,L339:O339,R339:U339,X339:AA339,AD339:AG339,AI339:AK339),
IF(AQ339=2,SUM(H339:K339,N339:Q339,T339:W339,Z339:AC339,AF339:AI339),
IF(AQ339=3,SUM(J339:M339,P339:S339,V339:Y339,AB339:AE339,AH339:AK339),SUM(Таблица1[[#This Row],[1]:[31]])-Таблица1[[#This Row],[Столбец1]])))</f>
        <v>0</v>
      </c>
      <c r="AN339" s="269">
        <f t="array" ref="AN339">IF(AQ339=1,SUM(J339:K339,P339:Q339,V339:W339,AB339:AC339,AH339:AI339),
IF(AQ339=2,SUM(L339:M339,R339:S339,X339:Y339,AD339:AE339),
IF(AQ339=3,SUM(H339:I339,N339:O339,T339:U339,Z339:AA339,AF339:AG339),
SUM(IFERROR(WEEKDAY($H$2:$AL$2,2)&gt;5,)*H339:AL339))))</f>
        <v>0</v>
      </c>
      <c r="AO339" s="271" t="b">
        <f>IF(AR339&lt;=3,(IF((G339="5/24"),((база!$M$6*Таблица1[[#This Row],[сумма]]*Таблица1[[#This Row],[коэф]])),
IF((G339="4/24"),((база!$M$5*Таблица1[[#This Row],[сумма]]*Таблица1[[#This Row],[коэф]])),
IF((G339="3/24"),((база!$M$4*Таблица1[[#This Row],[сумма]]*Таблица1[[#This Row],[коэф]])),
IF((G339="5/16"),((база!$L$6*Таблица1[[#This Row],[сумма]]*Таблица1[[#This Row],[коэф]])),
IF((G339="4/16"),((база!$L$5*Таблица1[[#This Row],[сумма]]*Таблица1[[#This Row],[коэф]])),
IF((G339="3/16"),((база!$L$4*Таблица1[[#This Row],[сумма]]*Таблица1[[#This Row],[коэф]])),
IF((G339="4/4"),((база!$I$5*Таблица1[[#This Row],[сумма]]*Таблица1[[#This Row],[коэф]])),
IF(OR(G339="2/4",G339="3/4"),((база!$I$4*Таблица1[[#This Row],[сумма]]*Таблица1[[#This Row],[коэф]])),
IF((G339="5/8"),((база!$J$6*Таблица1[[#This Row],[сумма]]*Таблица1[[#This Row],[коэф]])),
IF((G339="4/8"),((база!$J$5*Таблица1[[#This Row],[сумма]]*Таблица1[[#This Row],[коэф]])),
IF(OR(G339="3/8",G339="2/8"),((база!$J$4*Таблица1[[#This Row],[сумма]]*Таблица1[[#This Row],[коэф]])))))))))))))),
(IF((G339="5/24"),((база!$M$6*Таблица1[[#This Row],[сумма]]*Таблица1[[#This Row],[коэф]])),
IF(OR(G339="4/24",G339="3/24"),((база!$M$5*Таблица1[[#This Row],[сумма]]*Таблица1[[#This Row],[коэф]])),
IF((G339="5/16"),((база!$L$6*Таблица1[[#This Row],[сумма]]*Таблица1[[#This Row],[коэф]])),
IF(OR(G339="4/16",G339="3/16"),((база!$L$5*Таблица1[[#This Row],[сумма]]*Таблица1[[#This Row],[коэф]])),
IF(OR(G339="2/4",G339="3/4",G339="4/4"),((база!$I$5*Таблица1[[#This Row],[сумма]]*Таблица1[[#This Row],[коэф]])),
IF((G339="5/8"),((база!$J$6*Таблица1[[#This Row],[сумма]]*Таблица1[[#This Row],[коэф]])),
IF(OR(G339="4/8",G339="3/8",G339="2/8"),((база!$J$5*Таблица1[[#This Row],[сумма]]*Таблица1[[#This Row],[коэф]])))))))))))</f>
        <v>0</v>
      </c>
      <c r="AP339" s="696" t="b">
        <f>IF(AR339&lt;=3,(IF((G339="5/24"),((база!$M$6*2*Таблица1[[#This Row],[Столбец1]]*Таблица1[[#This Row],[коэф]])),
IF((G339="4/24"),((база!$M$5*2*Таблица1[[#This Row],[Столбец1]]*Таблица1[[#This Row],[коэф]])),
IF((G339="3/24"),((база!$M$4*2*Таблица1[[#This Row],[Столбец1]]*Таблица1[[#This Row],[коэф]])),
IF((G339="5/16"),((база!$L$6*2*Таблица1[[#This Row],[Столбец1]]*Таблица1[[#This Row],[коэф]])),
IF((G339="4/16"),((база!$L$5*2*Таблица1[[#This Row],[Столбец1]]*Таблица1[[#This Row],[коэф]])),
IF((G339="3/16"),((база!$L$4*2*Таблица1[[#This Row],[Столбец1]]*Таблица1[[#This Row],[коэф]])),
IF((G339="4/4"),((база!$I$5*2*Таблица1[[#This Row],[Столбец1]]*Таблица1[[#This Row],[коэф]])),
IF(OR(G339="2/4",G339="3/4"),((база!$I$4*2*Таблица1[[#This Row],[Столбец1]]*Таблица1[[#This Row],[коэф]])),
IF((G339="5/8"),((база!$J$6*2*Таблица1[[#This Row],[Столбец1]]*Таблица1[[#This Row],[коэф]])),
IF((G339="4/8"),((база!$J$5*2*Таблица1[[#This Row],[Столбец1]]*Таблица1[[#This Row],[коэф]])),
IF(OR(G339="3/8",G339="2/8"),((база!$J$4*2*Таблица1[[#This Row],[Столбец1]]*Таблица1[[#This Row],[коэф]])))))))))))))),
(IF((G339="5/24"),((база!$M$6*2*Таблица1[[#This Row],[Столбец1]]*Таблица1[[#This Row],[коэф]])),
IF(OR(G339="4/24",G339="3/24"),((база!$M$5*2*Таблица1[[#This Row],[Столбец1]]*Таблица1[[#This Row],[коэф]])),
IF((G339="5/16"),((база!$L$6*2*Таблица1[[#This Row],[Столбец1]]*Таблица1[[#This Row],[коэф]])),
IF(OR(G339="4/16",G339="3/16"),((база!$L$5*2*Таблица1[[#This Row],[Столбец1]]*Таблица1[[#This Row],[коэф]])),
IF(OR(G339="2/4",G339="3/4",G339="4/4"),((база!$I$5*2*Таблица1[[#This Row],[Столбец1]]*Таблица1[[#This Row],[коэф]])),
IF((G339="5/8"),((база!$J$6*2*Таблица1[[#This Row],[Столбец1]]*Таблица1[[#This Row],[коэф]])),
IF(OR(G339="4/8",G339="3/8",G339="2/8"),((база!$J$5*2*Таблица1[[#This Row],[Столбец1]]*Таблица1[[#This Row],[коэф]])))))))))))</f>
        <v>0</v>
      </c>
      <c r="AQ339" s="678" t="str">
        <f>IFERROR(INDEX(база!T:T, MATCH(F339,база!Q:Q,0)),"")</f>
        <v/>
      </c>
      <c r="AR339" s="193">
        <f>IFERROR(INDEX(база!D:D, MATCH(F339,база!B:B,0)),"")</f>
        <v>0</v>
      </c>
    </row>
    <row r="340" spans="1:44" ht="15">
      <c r="A340" s="59"/>
      <c r="B340" s="215"/>
      <c r="C340" s="277"/>
      <c r="D340" s="55"/>
      <c r="E340" s="196"/>
      <c r="F340" s="651"/>
      <c r="G340" s="42"/>
      <c r="H340" s="539"/>
      <c r="I340" s="539"/>
      <c r="J340" s="539"/>
      <c r="K340" s="539"/>
      <c r="L340" s="539"/>
      <c r="M340" s="539"/>
      <c r="N340" s="539"/>
      <c r="O340" s="539"/>
      <c r="P340" s="278"/>
      <c r="Q340" s="539"/>
      <c r="R340" s="539"/>
      <c r="S340" s="539"/>
      <c r="T340" s="539"/>
      <c r="U340" s="539"/>
      <c r="V340" s="539"/>
      <c r="W340" s="539"/>
      <c r="X340" s="539"/>
      <c r="Y340" s="539"/>
      <c r="Z340" s="539"/>
      <c r="AA340" s="539"/>
      <c r="AB340" s="539"/>
      <c r="AC340" s="539"/>
      <c r="AD340" s="43"/>
      <c r="AE340" s="43"/>
      <c r="AF340" s="238"/>
      <c r="AG340" s="43"/>
      <c r="AH340" s="43"/>
      <c r="AI340" s="43"/>
      <c r="AJ340" s="43"/>
      <c r="AK340" s="43"/>
      <c r="AL340" s="45"/>
      <c r="AM340" s="197">
        <f>IF(AQ340=1,SUM(H340:I340,L340:O340,R340:U340,X340:AA340,AD340:AG340,AI340:AK340),
IF(AQ340=2,SUM(H340:K340,N340:Q340,T340:W340,Z340:AC340,AF340:AI340),
IF(AQ340=3,SUM(J340:M340,P340:S340,V340:Y340,AB340:AE340,AH340:AK340),SUM(Таблица1[[#This Row],[1]:[31]])-Таблица1[[#This Row],[Столбец1]])))</f>
        <v>0</v>
      </c>
      <c r="AN340" s="269">
        <f t="array" ref="AN340">IF(AQ340=1,SUM(J340:K340,P340:Q340,V340:W340,AB340:AC340,AH340:AI340),
IF(AQ340=2,SUM(L340:M340,R340:S340,X340:Y340,AD340:AE340),
IF(AQ340=3,SUM(H340:I340,N340:O340,T340:U340,Z340:AA340,AF340:AG340),
SUM(IFERROR(WEEKDAY($H$2:$AL$2,2)&gt;5,)*H340:AL340))))</f>
        <v>0</v>
      </c>
      <c r="AO340" s="271" t="b">
        <f>IF(AR340&lt;=3,(IF((G340="5/24"),((база!$M$6*Таблица1[[#This Row],[сумма]]*Таблица1[[#This Row],[коэф]])),
IF((G340="4/24"),((база!$M$5*Таблица1[[#This Row],[сумма]]*Таблица1[[#This Row],[коэф]])),
IF((G340="3/24"),((база!$M$4*Таблица1[[#This Row],[сумма]]*Таблица1[[#This Row],[коэф]])),
IF((G340="5/16"),((база!$L$6*Таблица1[[#This Row],[сумма]]*Таблица1[[#This Row],[коэф]])),
IF((G340="4/16"),((база!$L$5*Таблица1[[#This Row],[сумма]]*Таблица1[[#This Row],[коэф]])),
IF((G340="3/16"),((база!$L$4*Таблица1[[#This Row],[сумма]]*Таблица1[[#This Row],[коэф]])),
IF((G340="4/4"),((база!$I$5*Таблица1[[#This Row],[сумма]]*Таблица1[[#This Row],[коэф]])),
IF(OR(G340="2/4",G340="3/4"),((база!$I$4*Таблица1[[#This Row],[сумма]]*Таблица1[[#This Row],[коэф]])),
IF((G340="5/8"),((база!$J$6*Таблица1[[#This Row],[сумма]]*Таблица1[[#This Row],[коэф]])),
IF((G340="4/8"),((база!$J$5*Таблица1[[#This Row],[сумма]]*Таблица1[[#This Row],[коэф]])),
IF(OR(G340="3/8",G340="2/8"),((база!$J$4*Таблица1[[#This Row],[сумма]]*Таблица1[[#This Row],[коэф]])))))))))))))),
(IF((G340="5/24"),((база!$M$6*Таблица1[[#This Row],[сумма]]*Таблица1[[#This Row],[коэф]])),
IF(OR(G340="4/24",G340="3/24"),((база!$M$5*Таблица1[[#This Row],[сумма]]*Таблица1[[#This Row],[коэф]])),
IF((G340="5/16"),((база!$L$6*Таблица1[[#This Row],[сумма]]*Таблица1[[#This Row],[коэф]])),
IF(OR(G340="4/16",G340="3/16"),((база!$L$5*Таблица1[[#This Row],[сумма]]*Таблица1[[#This Row],[коэф]])),
IF(OR(G340="2/4",G340="3/4",G340="4/4"),((база!$I$5*Таблица1[[#This Row],[сумма]]*Таблица1[[#This Row],[коэф]])),
IF((G340="5/8"),((база!$J$6*Таблица1[[#This Row],[сумма]]*Таблица1[[#This Row],[коэф]])),
IF(OR(G340="4/8",G340="3/8",G340="2/8"),((база!$J$5*Таблица1[[#This Row],[сумма]]*Таблица1[[#This Row],[коэф]])))))))))))</f>
        <v>0</v>
      </c>
      <c r="AP340" s="696" t="b">
        <f>IF(AR340&lt;=3,(IF((G340="5/24"),((база!$M$6*2*Таблица1[[#This Row],[Столбец1]]*Таблица1[[#This Row],[коэф]])),
IF((G340="4/24"),((база!$M$5*2*Таблица1[[#This Row],[Столбец1]]*Таблица1[[#This Row],[коэф]])),
IF((G340="3/24"),((база!$M$4*2*Таблица1[[#This Row],[Столбец1]]*Таблица1[[#This Row],[коэф]])),
IF((G340="5/16"),((база!$L$6*2*Таблица1[[#This Row],[Столбец1]]*Таблица1[[#This Row],[коэф]])),
IF((G340="4/16"),((база!$L$5*2*Таблица1[[#This Row],[Столбец1]]*Таблица1[[#This Row],[коэф]])),
IF((G340="3/16"),((база!$L$4*2*Таблица1[[#This Row],[Столбец1]]*Таблица1[[#This Row],[коэф]])),
IF((G340="4/4"),((база!$I$5*2*Таблица1[[#This Row],[Столбец1]]*Таблица1[[#This Row],[коэф]])),
IF(OR(G340="2/4",G340="3/4"),((база!$I$4*2*Таблица1[[#This Row],[Столбец1]]*Таблица1[[#This Row],[коэф]])),
IF((G340="5/8"),((база!$J$6*2*Таблица1[[#This Row],[Столбец1]]*Таблица1[[#This Row],[коэф]])),
IF((G340="4/8"),((база!$J$5*2*Таблица1[[#This Row],[Столбец1]]*Таблица1[[#This Row],[коэф]])),
IF(OR(G340="3/8",G340="2/8"),((база!$J$4*2*Таблица1[[#This Row],[Столбец1]]*Таблица1[[#This Row],[коэф]])))))))))))))),
(IF((G340="5/24"),((база!$M$6*2*Таблица1[[#This Row],[Столбец1]]*Таблица1[[#This Row],[коэф]])),
IF(OR(G340="4/24",G340="3/24"),((база!$M$5*2*Таблица1[[#This Row],[Столбец1]]*Таблица1[[#This Row],[коэф]])),
IF((G340="5/16"),((база!$L$6*2*Таблица1[[#This Row],[Столбец1]]*Таблица1[[#This Row],[коэф]])),
IF(OR(G340="4/16",G340="3/16"),((база!$L$5*2*Таблица1[[#This Row],[Столбец1]]*Таблица1[[#This Row],[коэф]])),
IF(OR(G340="2/4",G340="3/4",G340="4/4"),((база!$I$5*2*Таблица1[[#This Row],[Столбец1]]*Таблица1[[#This Row],[коэф]])),
IF((G340="5/8"),((база!$J$6*2*Таблица1[[#This Row],[Столбец1]]*Таблица1[[#This Row],[коэф]])),
IF(OR(G340="4/8",G340="3/8",G340="2/8"),((база!$J$5*2*Таблица1[[#This Row],[Столбец1]]*Таблица1[[#This Row],[коэф]])))))))))))</f>
        <v>0</v>
      </c>
      <c r="AQ340" s="678" t="str">
        <f>IFERROR(INDEX(база!T:T, MATCH(F340,база!Q:Q,0)),"")</f>
        <v/>
      </c>
      <c r="AR340" s="193">
        <f>IFERROR(INDEX(база!D:D, MATCH(F340,база!B:B,0)),"")</f>
        <v>0</v>
      </c>
    </row>
    <row r="341" spans="1:44" ht="15">
      <c r="A341" s="59"/>
      <c r="B341" s="215"/>
      <c r="C341" s="277"/>
      <c r="D341" s="55"/>
      <c r="E341" s="196"/>
      <c r="F341" s="651"/>
      <c r="G341" s="42"/>
      <c r="H341" s="539"/>
      <c r="I341" s="539"/>
      <c r="J341" s="539"/>
      <c r="K341" s="539"/>
      <c r="L341" s="539"/>
      <c r="M341" s="539"/>
      <c r="N341" s="539"/>
      <c r="O341" s="539"/>
      <c r="P341" s="278"/>
      <c r="Q341" s="539"/>
      <c r="R341" s="539"/>
      <c r="S341" s="539"/>
      <c r="T341" s="539"/>
      <c r="U341" s="539"/>
      <c r="V341" s="539"/>
      <c r="W341" s="539"/>
      <c r="X341" s="539"/>
      <c r="Y341" s="539"/>
      <c r="Z341" s="539"/>
      <c r="AA341" s="539"/>
      <c r="AB341" s="539"/>
      <c r="AC341" s="539"/>
      <c r="AD341" s="43"/>
      <c r="AE341" s="43"/>
      <c r="AF341" s="238"/>
      <c r="AG341" s="43"/>
      <c r="AH341" s="43"/>
      <c r="AI341" s="238"/>
      <c r="AJ341" s="238"/>
      <c r="AK341" s="238"/>
      <c r="AL341" s="238"/>
      <c r="AM341" s="197">
        <f>IF(AQ341=1,SUM(H341:I341,L341:O341,R341:U341,X341:AA341,AD341:AG341,AI341:AK341),
IF(AQ341=2,SUM(H341:K341,N341:Q341,T341:W341,Z341:AC341,AF341:AI341),
IF(AQ341=3,SUM(J341:M341,P341:S341,V341:Y341,AB341:AE341,AH341:AK341),SUM(Таблица1[[#This Row],[1]:[31]])-Таблица1[[#This Row],[Столбец1]])))</f>
        <v>0</v>
      </c>
      <c r="AN341" s="269">
        <f t="array" ref="AN341">IF(AQ341=1,SUM(J341:K341,P341:Q341,V341:W341,AB341:AC341,AH341:AI341),
IF(AQ341=2,SUM(L341:M341,R341:S341,X341:Y341,AD341:AE341),
IF(AQ341=3,SUM(H341:I341,N341:O341,T341:U341,Z341:AA341,AF341:AG341),
SUM(IFERROR(WEEKDAY($H$2:$AL$2,2)&gt;5,)*H341:AL341))))</f>
        <v>0</v>
      </c>
      <c r="AO341" s="271" t="b">
        <f>IF(AR341&lt;=3,(IF((G341="5/24"),((база!$M$6*Таблица1[[#This Row],[сумма]]*Таблица1[[#This Row],[коэф]])),
IF((G341="4/24"),((база!$M$5*Таблица1[[#This Row],[сумма]]*Таблица1[[#This Row],[коэф]])),
IF((G341="3/24"),((база!$M$4*Таблица1[[#This Row],[сумма]]*Таблица1[[#This Row],[коэф]])),
IF((G341="5/16"),((база!$L$6*Таблица1[[#This Row],[сумма]]*Таблица1[[#This Row],[коэф]])),
IF((G341="4/16"),((база!$L$5*Таблица1[[#This Row],[сумма]]*Таблица1[[#This Row],[коэф]])),
IF((G341="3/16"),((база!$L$4*Таблица1[[#This Row],[сумма]]*Таблица1[[#This Row],[коэф]])),
IF((G341="4/4"),((база!$I$5*Таблица1[[#This Row],[сумма]]*Таблица1[[#This Row],[коэф]])),
IF(OR(G341="2/4",G341="3/4"),((база!$I$4*Таблица1[[#This Row],[сумма]]*Таблица1[[#This Row],[коэф]])),
IF((G341="5/8"),((база!$J$6*Таблица1[[#This Row],[сумма]]*Таблица1[[#This Row],[коэф]])),
IF((G341="4/8"),((база!$J$5*Таблица1[[#This Row],[сумма]]*Таблица1[[#This Row],[коэф]])),
IF(OR(G341="3/8",G341="2/8"),((база!$J$4*Таблица1[[#This Row],[сумма]]*Таблица1[[#This Row],[коэф]])))))))))))))),
(IF((G341="5/24"),((база!$M$6*Таблица1[[#This Row],[сумма]]*Таблица1[[#This Row],[коэф]])),
IF(OR(G341="4/24",G341="3/24"),((база!$M$5*Таблица1[[#This Row],[сумма]]*Таблица1[[#This Row],[коэф]])),
IF((G341="5/16"),((база!$L$6*Таблица1[[#This Row],[сумма]]*Таблица1[[#This Row],[коэф]])),
IF(OR(G341="4/16",G341="3/16"),((база!$L$5*Таблица1[[#This Row],[сумма]]*Таблица1[[#This Row],[коэф]])),
IF(OR(G341="2/4",G341="3/4",G341="4/4"),((база!$I$5*Таблица1[[#This Row],[сумма]]*Таблица1[[#This Row],[коэф]])),
IF((G341="5/8"),((база!$J$6*Таблица1[[#This Row],[сумма]]*Таблица1[[#This Row],[коэф]])),
IF(OR(G341="4/8",G341="3/8",G341="2/8"),((база!$J$5*Таблица1[[#This Row],[сумма]]*Таблица1[[#This Row],[коэф]])))))))))))</f>
        <v>0</v>
      </c>
      <c r="AP341" s="696" t="b">
        <f>IF(AR341&lt;=3,(IF((G341="5/24"),((база!$M$6*2*Таблица1[[#This Row],[Столбец1]]*Таблица1[[#This Row],[коэф]])),
IF((G341="4/24"),((база!$M$5*2*Таблица1[[#This Row],[Столбец1]]*Таблица1[[#This Row],[коэф]])),
IF((G341="3/24"),((база!$M$4*2*Таблица1[[#This Row],[Столбец1]]*Таблица1[[#This Row],[коэф]])),
IF((G341="5/16"),((база!$L$6*2*Таблица1[[#This Row],[Столбец1]]*Таблица1[[#This Row],[коэф]])),
IF((G341="4/16"),((база!$L$5*2*Таблица1[[#This Row],[Столбец1]]*Таблица1[[#This Row],[коэф]])),
IF((G341="3/16"),((база!$L$4*2*Таблица1[[#This Row],[Столбец1]]*Таблица1[[#This Row],[коэф]])),
IF((G341="4/4"),((база!$I$5*2*Таблица1[[#This Row],[Столбец1]]*Таблица1[[#This Row],[коэф]])),
IF(OR(G341="2/4",G341="3/4"),((база!$I$4*2*Таблица1[[#This Row],[Столбец1]]*Таблица1[[#This Row],[коэф]])),
IF((G341="5/8"),((база!$J$6*2*Таблица1[[#This Row],[Столбец1]]*Таблица1[[#This Row],[коэф]])),
IF((G341="4/8"),((база!$J$5*2*Таблица1[[#This Row],[Столбец1]]*Таблица1[[#This Row],[коэф]])),
IF(OR(G341="3/8",G341="2/8"),((база!$J$4*2*Таблица1[[#This Row],[Столбец1]]*Таблица1[[#This Row],[коэф]])))))))))))))),
(IF((G341="5/24"),((база!$M$6*2*Таблица1[[#This Row],[Столбец1]]*Таблица1[[#This Row],[коэф]])),
IF(OR(G341="4/24",G341="3/24"),((база!$M$5*2*Таблица1[[#This Row],[Столбец1]]*Таблица1[[#This Row],[коэф]])),
IF((G341="5/16"),((база!$L$6*2*Таблица1[[#This Row],[Столбец1]]*Таблица1[[#This Row],[коэф]])),
IF(OR(G341="4/16",G341="3/16"),((база!$L$5*2*Таблица1[[#This Row],[Столбец1]]*Таблица1[[#This Row],[коэф]])),
IF(OR(G341="2/4",G341="3/4",G341="4/4"),((база!$I$5*2*Таблица1[[#This Row],[Столбец1]]*Таблица1[[#This Row],[коэф]])),
IF((G341="5/8"),((база!$J$6*2*Таблица1[[#This Row],[Столбец1]]*Таблица1[[#This Row],[коэф]])),
IF(OR(G341="4/8",G341="3/8",G341="2/8"),((база!$J$5*2*Таблица1[[#This Row],[Столбец1]]*Таблица1[[#This Row],[коэф]])))))))))))</f>
        <v>0</v>
      </c>
      <c r="AQ341" s="678" t="str">
        <f>IFERROR(INDEX(база!T:T, MATCH(F341,база!Q:Q,0)),"")</f>
        <v/>
      </c>
      <c r="AR341" s="193">
        <f>IFERROR(INDEX(база!D:D, MATCH(F341,база!B:B,0)),"")</f>
        <v>0</v>
      </c>
    </row>
    <row r="342" spans="1:44" ht="15">
      <c r="A342" s="59"/>
      <c r="B342" s="215"/>
      <c r="C342" s="277"/>
      <c r="D342" s="55"/>
      <c r="E342" s="196"/>
      <c r="F342" s="651"/>
      <c r="G342" s="42"/>
      <c r="H342" s="539"/>
      <c r="I342" s="539"/>
      <c r="J342" s="539"/>
      <c r="K342" s="539"/>
      <c r="L342" s="539"/>
      <c r="M342" s="539"/>
      <c r="N342" s="539"/>
      <c r="O342" s="539"/>
      <c r="P342" s="278"/>
      <c r="Q342" s="539"/>
      <c r="R342" s="539"/>
      <c r="S342" s="539"/>
      <c r="T342" s="539"/>
      <c r="U342" s="539"/>
      <c r="V342" s="539"/>
      <c r="W342" s="539"/>
      <c r="X342" s="539"/>
      <c r="Y342" s="539"/>
      <c r="Z342" s="539"/>
      <c r="AA342" s="539"/>
      <c r="AB342" s="539"/>
      <c r="AC342" s="539"/>
      <c r="AD342" s="43"/>
      <c r="AE342" s="43"/>
      <c r="AF342" s="238"/>
      <c r="AG342" s="43"/>
      <c r="AH342" s="43"/>
      <c r="AI342" s="43"/>
      <c r="AJ342" s="43"/>
      <c r="AK342" s="43"/>
      <c r="AL342" s="45"/>
      <c r="AM342" s="197">
        <f>IF(AQ342=1,SUM(H342:I342,L342:O342,R342:U342,X342:AA342,AD342:AG342,AI342:AK342),
IF(AQ342=2,SUM(H342:K342,N342:Q342,T342:W342,Z342:AC342,AF342:AI342),
IF(AQ342=3,SUM(J342:M342,P342:S342,V342:Y342,AB342:AE342,AH342:AK342),SUM(Таблица1[[#This Row],[1]:[31]])-Таблица1[[#This Row],[Столбец1]])))</f>
        <v>0</v>
      </c>
      <c r="AN342" s="269">
        <f t="array" ref="AN342">IF(AQ342=1,SUM(J342:K342,P342:Q342,V342:W342,AB342:AC342,AH342:AI342),
IF(AQ342=2,SUM(L342:M342,R342:S342,X342:Y342,AD342:AE342),
IF(AQ342=3,SUM(H342:I342,N342:O342,T342:U342,Z342:AA342,AF342:AG342),
SUM(IFERROR(WEEKDAY($H$2:$AL$2,2)&gt;5,)*H342:AL342))))</f>
        <v>0</v>
      </c>
      <c r="AO342" s="271" t="b">
        <f>IF(AR342&lt;=3,(IF((G342="5/24"),((база!$M$6*Таблица1[[#This Row],[сумма]]*Таблица1[[#This Row],[коэф]])),
IF((G342="4/24"),((база!$M$5*Таблица1[[#This Row],[сумма]]*Таблица1[[#This Row],[коэф]])),
IF((G342="3/24"),((база!$M$4*Таблица1[[#This Row],[сумма]]*Таблица1[[#This Row],[коэф]])),
IF((G342="5/16"),((база!$L$6*Таблица1[[#This Row],[сумма]]*Таблица1[[#This Row],[коэф]])),
IF((G342="4/16"),((база!$L$5*Таблица1[[#This Row],[сумма]]*Таблица1[[#This Row],[коэф]])),
IF((G342="3/16"),((база!$L$4*Таблица1[[#This Row],[сумма]]*Таблица1[[#This Row],[коэф]])),
IF((G342="4/4"),((база!$I$5*Таблица1[[#This Row],[сумма]]*Таблица1[[#This Row],[коэф]])),
IF(OR(G342="2/4",G342="3/4"),((база!$I$4*Таблица1[[#This Row],[сумма]]*Таблица1[[#This Row],[коэф]])),
IF((G342="5/8"),((база!$J$6*Таблица1[[#This Row],[сумма]]*Таблица1[[#This Row],[коэф]])),
IF((G342="4/8"),((база!$J$5*Таблица1[[#This Row],[сумма]]*Таблица1[[#This Row],[коэф]])),
IF(OR(G342="3/8",G342="2/8"),((база!$J$4*Таблица1[[#This Row],[сумма]]*Таблица1[[#This Row],[коэф]])))))))))))))),
(IF((G342="5/24"),((база!$M$6*Таблица1[[#This Row],[сумма]]*Таблица1[[#This Row],[коэф]])),
IF(OR(G342="4/24",G342="3/24"),((база!$M$5*Таблица1[[#This Row],[сумма]]*Таблица1[[#This Row],[коэф]])),
IF((G342="5/16"),((база!$L$6*Таблица1[[#This Row],[сумма]]*Таблица1[[#This Row],[коэф]])),
IF(OR(G342="4/16",G342="3/16"),((база!$L$5*Таблица1[[#This Row],[сумма]]*Таблица1[[#This Row],[коэф]])),
IF(OR(G342="2/4",G342="3/4",G342="4/4"),((база!$I$5*Таблица1[[#This Row],[сумма]]*Таблица1[[#This Row],[коэф]])),
IF((G342="5/8"),((база!$J$6*Таблица1[[#This Row],[сумма]]*Таблица1[[#This Row],[коэф]])),
IF(OR(G342="4/8",G342="3/8",G342="2/8"),((база!$J$5*Таблица1[[#This Row],[сумма]]*Таблица1[[#This Row],[коэф]])))))))))))</f>
        <v>0</v>
      </c>
      <c r="AP342" s="696" t="b">
        <f>IF(AR342&lt;=3,(IF((G342="5/24"),((база!$M$6*2*Таблица1[[#This Row],[Столбец1]]*Таблица1[[#This Row],[коэф]])),
IF((G342="4/24"),((база!$M$5*2*Таблица1[[#This Row],[Столбец1]]*Таблица1[[#This Row],[коэф]])),
IF((G342="3/24"),((база!$M$4*2*Таблица1[[#This Row],[Столбец1]]*Таблица1[[#This Row],[коэф]])),
IF((G342="5/16"),((база!$L$6*2*Таблица1[[#This Row],[Столбец1]]*Таблица1[[#This Row],[коэф]])),
IF((G342="4/16"),((база!$L$5*2*Таблица1[[#This Row],[Столбец1]]*Таблица1[[#This Row],[коэф]])),
IF((G342="3/16"),((база!$L$4*2*Таблица1[[#This Row],[Столбец1]]*Таблица1[[#This Row],[коэф]])),
IF((G342="4/4"),((база!$I$5*2*Таблица1[[#This Row],[Столбец1]]*Таблица1[[#This Row],[коэф]])),
IF(OR(G342="2/4",G342="3/4"),((база!$I$4*2*Таблица1[[#This Row],[Столбец1]]*Таблица1[[#This Row],[коэф]])),
IF((G342="5/8"),((база!$J$6*2*Таблица1[[#This Row],[Столбец1]]*Таблица1[[#This Row],[коэф]])),
IF((G342="4/8"),((база!$J$5*2*Таблица1[[#This Row],[Столбец1]]*Таблица1[[#This Row],[коэф]])),
IF(OR(G342="3/8",G342="2/8"),((база!$J$4*2*Таблица1[[#This Row],[Столбец1]]*Таблица1[[#This Row],[коэф]])))))))))))))),
(IF((G342="5/24"),((база!$M$6*2*Таблица1[[#This Row],[Столбец1]]*Таблица1[[#This Row],[коэф]])),
IF(OR(G342="4/24",G342="3/24"),((база!$M$5*2*Таблица1[[#This Row],[Столбец1]]*Таблица1[[#This Row],[коэф]])),
IF((G342="5/16"),((база!$L$6*2*Таблица1[[#This Row],[Столбец1]]*Таблица1[[#This Row],[коэф]])),
IF(OR(G342="4/16",G342="3/16"),((база!$L$5*2*Таблица1[[#This Row],[Столбец1]]*Таблица1[[#This Row],[коэф]])),
IF(OR(G342="2/4",G342="3/4",G342="4/4"),((база!$I$5*2*Таблица1[[#This Row],[Столбец1]]*Таблица1[[#This Row],[коэф]])),
IF((G342="5/8"),((база!$J$6*2*Таблица1[[#This Row],[Столбец1]]*Таблица1[[#This Row],[коэф]])),
IF(OR(G342="4/8",G342="3/8",G342="2/8"),((база!$J$5*2*Таблица1[[#This Row],[Столбец1]]*Таблица1[[#This Row],[коэф]])))))))))))</f>
        <v>0</v>
      </c>
      <c r="AQ342" s="678" t="str">
        <f>IFERROR(INDEX(база!T:T, MATCH(F342,база!Q:Q,0)),"")</f>
        <v/>
      </c>
      <c r="AR342" s="193">
        <f>IFERROR(INDEX(база!D:D, MATCH(F342,база!B:B,0)),"")</f>
        <v>0</v>
      </c>
    </row>
    <row r="343" spans="1:44" ht="15">
      <c r="A343" s="59"/>
      <c r="B343" s="215"/>
      <c r="C343" s="277"/>
      <c r="D343" s="55"/>
      <c r="E343" s="196"/>
      <c r="F343" s="651"/>
      <c r="G343" s="42"/>
      <c r="H343" s="539"/>
      <c r="I343" s="539"/>
      <c r="J343" s="539"/>
      <c r="K343" s="539"/>
      <c r="L343" s="539"/>
      <c r="M343" s="539"/>
      <c r="N343" s="539"/>
      <c r="O343" s="539"/>
      <c r="P343" s="278"/>
      <c r="Q343" s="539"/>
      <c r="R343" s="539"/>
      <c r="S343" s="539"/>
      <c r="T343" s="539"/>
      <c r="U343" s="539"/>
      <c r="V343" s="539"/>
      <c r="W343" s="539"/>
      <c r="X343" s="539"/>
      <c r="Y343" s="539"/>
      <c r="Z343" s="539"/>
      <c r="AA343" s="539"/>
      <c r="AB343" s="539"/>
      <c r="AC343" s="539"/>
      <c r="AD343" s="43"/>
      <c r="AE343" s="43"/>
      <c r="AF343" s="238"/>
      <c r="AG343" s="43"/>
      <c r="AH343" s="43"/>
      <c r="AI343" s="238"/>
      <c r="AJ343" s="238"/>
      <c r="AK343" s="238"/>
      <c r="AL343" s="238"/>
      <c r="AM343" s="197">
        <f>IF(AQ343=1,SUM(H343:I343,L343:O343,R343:U343,X343:AA343,AD343:AG343,AI343:AK343),
IF(AQ343=2,SUM(H343:K343,N343:Q343,T343:W343,Z343:AC343,AF343:AI343),
IF(AQ343=3,SUM(J343:M343,P343:S343,V343:Y343,AB343:AE343,AH343:AK343),SUM(Таблица1[[#This Row],[1]:[31]])-Таблица1[[#This Row],[Столбец1]])))</f>
        <v>0</v>
      </c>
      <c r="AN343" s="269">
        <f t="array" ref="AN343">IF(AQ343=1,SUM(J343:K343,P343:Q343,V343:W343,AB343:AC343,AH343:AI343),
IF(AQ343=2,SUM(L343:M343,R343:S343,X343:Y343,AD343:AE343),
IF(AQ343=3,SUM(H343:I343,N343:O343,T343:U343,Z343:AA343,AF343:AG343),
SUM(IFERROR(WEEKDAY($H$2:$AL$2,2)&gt;5,)*H343:AL343))))</f>
        <v>0</v>
      </c>
      <c r="AO343" s="271" t="b">
        <f>IF(AR343&lt;=3,(IF((G343="5/24"),((база!$M$6*Таблица1[[#This Row],[сумма]]*Таблица1[[#This Row],[коэф]])),
IF((G343="4/24"),((база!$M$5*Таблица1[[#This Row],[сумма]]*Таблица1[[#This Row],[коэф]])),
IF((G343="3/24"),((база!$M$4*Таблица1[[#This Row],[сумма]]*Таблица1[[#This Row],[коэф]])),
IF((G343="5/16"),((база!$L$6*Таблица1[[#This Row],[сумма]]*Таблица1[[#This Row],[коэф]])),
IF((G343="4/16"),((база!$L$5*Таблица1[[#This Row],[сумма]]*Таблица1[[#This Row],[коэф]])),
IF((G343="3/16"),((база!$L$4*Таблица1[[#This Row],[сумма]]*Таблица1[[#This Row],[коэф]])),
IF((G343="4/4"),((база!$I$5*Таблица1[[#This Row],[сумма]]*Таблица1[[#This Row],[коэф]])),
IF(OR(G343="2/4",G343="3/4"),((база!$I$4*Таблица1[[#This Row],[сумма]]*Таблица1[[#This Row],[коэф]])),
IF((G343="5/8"),((база!$J$6*Таблица1[[#This Row],[сумма]]*Таблица1[[#This Row],[коэф]])),
IF((G343="4/8"),((база!$J$5*Таблица1[[#This Row],[сумма]]*Таблица1[[#This Row],[коэф]])),
IF(OR(G343="3/8",G343="2/8"),((база!$J$4*Таблица1[[#This Row],[сумма]]*Таблица1[[#This Row],[коэф]])))))))))))))),
(IF((G343="5/24"),((база!$M$6*Таблица1[[#This Row],[сумма]]*Таблица1[[#This Row],[коэф]])),
IF(OR(G343="4/24",G343="3/24"),((база!$M$5*Таблица1[[#This Row],[сумма]]*Таблица1[[#This Row],[коэф]])),
IF((G343="5/16"),((база!$L$6*Таблица1[[#This Row],[сумма]]*Таблица1[[#This Row],[коэф]])),
IF(OR(G343="4/16",G343="3/16"),((база!$L$5*Таблица1[[#This Row],[сумма]]*Таблица1[[#This Row],[коэф]])),
IF(OR(G343="2/4",G343="3/4",G343="4/4"),((база!$I$5*Таблица1[[#This Row],[сумма]]*Таблица1[[#This Row],[коэф]])),
IF((G343="5/8"),((база!$J$6*Таблица1[[#This Row],[сумма]]*Таблица1[[#This Row],[коэф]])),
IF(OR(G343="4/8",G343="3/8",G343="2/8"),((база!$J$5*Таблица1[[#This Row],[сумма]]*Таблица1[[#This Row],[коэф]])))))))))))</f>
        <v>0</v>
      </c>
      <c r="AP343" s="696" t="b">
        <f>IF(AR343&lt;=3,(IF((G343="5/24"),((база!$M$6*2*Таблица1[[#This Row],[Столбец1]]*Таблица1[[#This Row],[коэф]])),
IF((G343="4/24"),((база!$M$5*2*Таблица1[[#This Row],[Столбец1]]*Таблица1[[#This Row],[коэф]])),
IF((G343="3/24"),((база!$M$4*2*Таблица1[[#This Row],[Столбец1]]*Таблица1[[#This Row],[коэф]])),
IF((G343="5/16"),((база!$L$6*2*Таблица1[[#This Row],[Столбец1]]*Таблица1[[#This Row],[коэф]])),
IF((G343="4/16"),((база!$L$5*2*Таблица1[[#This Row],[Столбец1]]*Таблица1[[#This Row],[коэф]])),
IF((G343="3/16"),((база!$L$4*2*Таблица1[[#This Row],[Столбец1]]*Таблица1[[#This Row],[коэф]])),
IF((G343="4/4"),((база!$I$5*2*Таблица1[[#This Row],[Столбец1]]*Таблица1[[#This Row],[коэф]])),
IF(OR(G343="2/4",G343="3/4"),((база!$I$4*2*Таблица1[[#This Row],[Столбец1]]*Таблица1[[#This Row],[коэф]])),
IF((G343="5/8"),((база!$J$6*2*Таблица1[[#This Row],[Столбец1]]*Таблица1[[#This Row],[коэф]])),
IF((G343="4/8"),((база!$J$5*2*Таблица1[[#This Row],[Столбец1]]*Таблица1[[#This Row],[коэф]])),
IF(OR(G343="3/8",G343="2/8"),((база!$J$4*2*Таблица1[[#This Row],[Столбец1]]*Таблица1[[#This Row],[коэф]])))))))))))))),
(IF((G343="5/24"),((база!$M$6*2*Таблица1[[#This Row],[Столбец1]]*Таблица1[[#This Row],[коэф]])),
IF(OR(G343="4/24",G343="3/24"),((база!$M$5*2*Таблица1[[#This Row],[Столбец1]]*Таблица1[[#This Row],[коэф]])),
IF((G343="5/16"),((база!$L$6*2*Таблица1[[#This Row],[Столбец1]]*Таблица1[[#This Row],[коэф]])),
IF(OR(G343="4/16",G343="3/16"),((база!$L$5*2*Таблица1[[#This Row],[Столбец1]]*Таблица1[[#This Row],[коэф]])),
IF(OR(G343="2/4",G343="3/4",G343="4/4"),((база!$I$5*2*Таблица1[[#This Row],[Столбец1]]*Таблица1[[#This Row],[коэф]])),
IF((G343="5/8"),((база!$J$6*2*Таблица1[[#This Row],[Столбец1]]*Таблица1[[#This Row],[коэф]])),
IF(OR(G343="4/8",G343="3/8",G343="2/8"),((база!$J$5*2*Таблица1[[#This Row],[Столбец1]]*Таблица1[[#This Row],[коэф]])))))))))))</f>
        <v>0</v>
      </c>
      <c r="AQ343" s="678" t="str">
        <f>IFERROR(INDEX(база!T:T, MATCH(F343,база!Q:Q,0)),"")</f>
        <v/>
      </c>
      <c r="AR343" s="193">
        <f>IFERROR(INDEX(база!D:D, MATCH(F343,база!B:B,0)),"")</f>
        <v>0</v>
      </c>
    </row>
    <row r="344" spans="1:44" ht="15">
      <c r="A344" s="59"/>
      <c r="B344" s="215"/>
      <c r="C344" s="277"/>
      <c r="D344" s="55"/>
      <c r="E344" s="196"/>
      <c r="F344" s="651"/>
      <c r="G344" s="42"/>
      <c r="H344" s="539"/>
      <c r="I344" s="539"/>
      <c r="J344" s="539"/>
      <c r="K344" s="539"/>
      <c r="L344" s="539"/>
      <c r="M344" s="539"/>
      <c r="N344" s="539"/>
      <c r="O344" s="539"/>
      <c r="P344" s="278"/>
      <c r="Q344" s="539"/>
      <c r="R344" s="539"/>
      <c r="S344" s="539"/>
      <c r="T344" s="539"/>
      <c r="U344" s="539"/>
      <c r="V344" s="539"/>
      <c r="W344" s="539"/>
      <c r="X344" s="539"/>
      <c r="Y344" s="539"/>
      <c r="Z344" s="539"/>
      <c r="AA344" s="539"/>
      <c r="AB344" s="539"/>
      <c r="AC344" s="539"/>
      <c r="AD344" s="43"/>
      <c r="AE344" s="43"/>
      <c r="AF344" s="238"/>
      <c r="AG344" s="43"/>
      <c r="AH344" s="43"/>
      <c r="AI344" s="43"/>
      <c r="AJ344" s="43"/>
      <c r="AK344" s="43"/>
      <c r="AL344" s="45"/>
      <c r="AM344" s="197">
        <f>IF(AQ344=1,SUM(H344:I344,L344:O344,R344:U344,X344:AA344,AD344:AG344,AI344:AK344),
IF(AQ344=2,SUM(H344:K344,N344:Q344,T344:W344,Z344:AC344,AF344:AI344),
IF(AQ344=3,SUM(J344:M344,P344:S344,V344:Y344,AB344:AE344,AH344:AK344),SUM(Таблица1[[#This Row],[1]:[31]])-Таблица1[[#This Row],[Столбец1]])))</f>
        <v>0</v>
      </c>
      <c r="AN344" s="269">
        <f t="array" ref="AN344">IF(AQ344=1,SUM(J344:K344,P344:Q344,V344:W344,AB344:AC344,AH344:AI344),
IF(AQ344=2,SUM(L344:M344,R344:S344,X344:Y344,AD344:AE344),
IF(AQ344=3,SUM(H344:I344,N344:O344,T344:U344,Z344:AA344,AF344:AG344),
SUM(IFERROR(WEEKDAY($H$2:$AL$2,2)&gt;5,)*H344:AL344))))</f>
        <v>0</v>
      </c>
      <c r="AO344" s="271" t="b">
        <f>IF(AR344&lt;=3,(IF((G344="5/24"),((база!$M$6*Таблица1[[#This Row],[сумма]]*Таблица1[[#This Row],[коэф]])),
IF((G344="4/24"),((база!$M$5*Таблица1[[#This Row],[сумма]]*Таблица1[[#This Row],[коэф]])),
IF((G344="3/24"),((база!$M$4*Таблица1[[#This Row],[сумма]]*Таблица1[[#This Row],[коэф]])),
IF((G344="5/16"),((база!$L$6*Таблица1[[#This Row],[сумма]]*Таблица1[[#This Row],[коэф]])),
IF((G344="4/16"),((база!$L$5*Таблица1[[#This Row],[сумма]]*Таблица1[[#This Row],[коэф]])),
IF((G344="3/16"),((база!$L$4*Таблица1[[#This Row],[сумма]]*Таблица1[[#This Row],[коэф]])),
IF((G344="4/4"),((база!$I$5*Таблица1[[#This Row],[сумма]]*Таблица1[[#This Row],[коэф]])),
IF(OR(G344="2/4",G344="3/4"),((база!$I$4*Таблица1[[#This Row],[сумма]]*Таблица1[[#This Row],[коэф]])),
IF((G344="5/8"),((база!$J$6*Таблица1[[#This Row],[сумма]]*Таблица1[[#This Row],[коэф]])),
IF((G344="4/8"),((база!$J$5*Таблица1[[#This Row],[сумма]]*Таблица1[[#This Row],[коэф]])),
IF(OR(G344="3/8",G344="2/8"),((база!$J$4*Таблица1[[#This Row],[сумма]]*Таблица1[[#This Row],[коэф]])))))))))))))),
(IF((G344="5/24"),((база!$M$6*Таблица1[[#This Row],[сумма]]*Таблица1[[#This Row],[коэф]])),
IF(OR(G344="4/24",G344="3/24"),((база!$M$5*Таблица1[[#This Row],[сумма]]*Таблица1[[#This Row],[коэф]])),
IF((G344="5/16"),((база!$L$6*Таблица1[[#This Row],[сумма]]*Таблица1[[#This Row],[коэф]])),
IF(OR(G344="4/16",G344="3/16"),((база!$L$5*Таблица1[[#This Row],[сумма]]*Таблица1[[#This Row],[коэф]])),
IF(OR(G344="2/4",G344="3/4",G344="4/4"),((база!$I$5*Таблица1[[#This Row],[сумма]]*Таблица1[[#This Row],[коэф]])),
IF((G344="5/8"),((база!$J$6*Таблица1[[#This Row],[сумма]]*Таблица1[[#This Row],[коэф]])),
IF(OR(G344="4/8",G344="3/8",G344="2/8"),((база!$J$5*Таблица1[[#This Row],[сумма]]*Таблица1[[#This Row],[коэф]])))))))))))</f>
        <v>0</v>
      </c>
      <c r="AP344" s="696" t="b">
        <f>IF(AR344&lt;=3,(IF((G344="5/24"),((база!$M$6*2*Таблица1[[#This Row],[Столбец1]]*Таблица1[[#This Row],[коэф]])),
IF((G344="4/24"),((база!$M$5*2*Таблица1[[#This Row],[Столбец1]]*Таблица1[[#This Row],[коэф]])),
IF((G344="3/24"),((база!$M$4*2*Таблица1[[#This Row],[Столбец1]]*Таблица1[[#This Row],[коэф]])),
IF((G344="5/16"),((база!$L$6*2*Таблица1[[#This Row],[Столбец1]]*Таблица1[[#This Row],[коэф]])),
IF((G344="4/16"),((база!$L$5*2*Таблица1[[#This Row],[Столбец1]]*Таблица1[[#This Row],[коэф]])),
IF((G344="3/16"),((база!$L$4*2*Таблица1[[#This Row],[Столбец1]]*Таблица1[[#This Row],[коэф]])),
IF((G344="4/4"),((база!$I$5*2*Таблица1[[#This Row],[Столбец1]]*Таблица1[[#This Row],[коэф]])),
IF(OR(G344="2/4",G344="3/4"),((база!$I$4*2*Таблица1[[#This Row],[Столбец1]]*Таблица1[[#This Row],[коэф]])),
IF((G344="5/8"),((база!$J$6*2*Таблица1[[#This Row],[Столбец1]]*Таблица1[[#This Row],[коэф]])),
IF((G344="4/8"),((база!$J$5*2*Таблица1[[#This Row],[Столбец1]]*Таблица1[[#This Row],[коэф]])),
IF(OR(G344="3/8",G344="2/8"),((база!$J$4*2*Таблица1[[#This Row],[Столбец1]]*Таблица1[[#This Row],[коэф]])))))))))))))),
(IF((G344="5/24"),((база!$M$6*2*Таблица1[[#This Row],[Столбец1]]*Таблица1[[#This Row],[коэф]])),
IF(OR(G344="4/24",G344="3/24"),((база!$M$5*2*Таблица1[[#This Row],[Столбец1]]*Таблица1[[#This Row],[коэф]])),
IF((G344="5/16"),((база!$L$6*2*Таблица1[[#This Row],[Столбец1]]*Таблица1[[#This Row],[коэф]])),
IF(OR(G344="4/16",G344="3/16"),((база!$L$5*2*Таблица1[[#This Row],[Столбец1]]*Таблица1[[#This Row],[коэф]])),
IF(OR(G344="2/4",G344="3/4",G344="4/4"),((база!$I$5*2*Таблица1[[#This Row],[Столбец1]]*Таблица1[[#This Row],[коэф]])),
IF((G344="5/8"),((база!$J$6*2*Таблица1[[#This Row],[Столбец1]]*Таблица1[[#This Row],[коэф]])),
IF(OR(G344="4/8",G344="3/8",G344="2/8"),((база!$J$5*2*Таблица1[[#This Row],[Столбец1]]*Таблица1[[#This Row],[коэф]])))))))))))</f>
        <v>0</v>
      </c>
      <c r="AQ344" s="678" t="str">
        <f>IFERROR(INDEX(база!T:T, MATCH(F344,база!Q:Q,0)),"")</f>
        <v/>
      </c>
      <c r="AR344" s="193">
        <f>IFERROR(INDEX(база!D:D, MATCH(F344,база!B:B,0)),"")</f>
        <v>0</v>
      </c>
    </row>
    <row r="345" spans="1:44" ht="15">
      <c r="A345" s="59"/>
      <c r="B345" s="215"/>
      <c r="C345" s="54"/>
      <c r="D345" s="55"/>
      <c r="E345" s="196"/>
      <c r="F345" s="651"/>
      <c r="G345" s="42"/>
      <c r="H345" s="539"/>
      <c r="I345" s="539"/>
      <c r="J345" s="539"/>
      <c r="K345" s="539"/>
      <c r="L345" s="539"/>
      <c r="M345" s="539"/>
      <c r="N345" s="539"/>
      <c r="O345" s="539"/>
      <c r="P345" s="278"/>
      <c r="Q345" s="539"/>
      <c r="R345" s="539"/>
      <c r="S345" s="539"/>
      <c r="T345" s="539"/>
      <c r="U345" s="539"/>
      <c r="V345" s="539"/>
      <c r="W345" s="539"/>
      <c r="X345" s="539"/>
      <c r="Y345" s="539"/>
      <c r="Z345" s="539"/>
      <c r="AA345" s="539"/>
      <c r="AB345" s="539"/>
      <c r="AC345" s="539"/>
      <c r="AD345" s="539"/>
      <c r="AE345" s="539"/>
      <c r="AF345" s="539"/>
      <c r="AG345" s="43"/>
      <c r="AH345" s="43"/>
      <c r="AI345" s="238"/>
      <c r="AJ345" s="238"/>
      <c r="AK345" s="238"/>
      <c r="AL345" s="238"/>
      <c r="AM345" s="197">
        <f>IF(AQ345=1,SUM(H345:I345,L345:O345,R345:U345,X345:AA345,AD345:AG345,AI345:AK345),
IF(AQ345=2,SUM(H345:K345,N345:Q345,T345:W345,Z345:AC345,AF345:AI345),
IF(AQ345=3,SUM(J345:M345,P345:S345,V345:Y345,AB345:AE345,AH345:AK345),SUM(Таблица1[[#This Row],[1]:[31]])-Таблица1[[#This Row],[Столбец1]])))</f>
        <v>0</v>
      </c>
      <c r="AN345" s="269">
        <f t="array" ref="AN345">IF(AQ345=1,SUM(J345:K345,P345:Q345,V345:W345,AB345:AC345,AH345:AI345),
IF(AQ345=2,SUM(L345:M345,R345:S345,X345:Y345,AD345:AE345),
IF(AQ345=3,SUM(H345:I345,N345:O345,T345:U345,Z345:AA345,AF345:AG345),
SUM(IFERROR(WEEKDAY($H$2:$AL$2,2)&gt;5,)*H345:AL345))))</f>
        <v>0</v>
      </c>
      <c r="AO345" s="271" t="b">
        <f>IF(AR345&lt;=3,(IF((G345="5/24"),((база!$M$6*Таблица1[[#This Row],[сумма]]*Таблица1[[#This Row],[коэф]])),
IF((G345="4/24"),((база!$M$5*Таблица1[[#This Row],[сумма]]*Таблица1[[#This Row],[коэф]])),
IF((G345="3/24"),((база!$M$4*Таблица1[[#This Row],[сумма]]*Таблица1[[#This Row],[коэф]])),
IF((G345="5/16"),((база!$L$6*Таблица1[[#This Row],[сумма]]*Таблица1[[#This Row],[коэф]])),
IF((G345="4/16"),((база!$L$5*Таблица1[[#This Row],[сумма]]*Таблица1[[#This Row],[коэф]])),
IF((G345="3/16"),((база!$L$4*Таблица1[[#This Row],[сумма]]*Таблица1[[#This Row],[коэф]])),
IF((G345="4/4"),((база!$I$5*Таблица1[[#This Row],[сумма]]*Таблица1[[#This Row],[коэф]])),
IF(OR(G345="2/4",G345="3/4"),((база!$I$4*Таблица1[[#This Row],[сумма]]*Таблица1[[#This Row],[коэф]])),
IF((G345="5/8"),((база!$J$6*Таблица1[[#This Row],[сумма]]*Таблица1[[#This Row],[коэф]])),
IF((G345="4/8"),((база!$J$5*Таблица1[[#This Row],[сумма]]*Таблица1[[#This Row],[коэф]])),
IF(OR(G345="3/8",G345="2/8"),((база!$J$4*Таблица1[[#This Row],[сумма]]*Таблица1[[#This Row],[коэф]])))))))))))))),
(IF((G345="5/24"),((база!$M$6*Таблица1[[#This Row],[сумма]]*Таблица1[[#This Row],[коэф]])),
IF(OR(G345="4/24",G345="3/24"),((база!$M$5*Таблица1[[#This Row],[сумма]]*Таблица1[[#This Row],[коэф]])),
IF((G345="5/16"),((база!$L$6*Таблица1[[#This Row],[сумма]]*Таблица1[[#This Row],[коэф]])),
IF(OR(G345="4/16",G345="3/16"),((база!$L$5*Таблица1[[#This Row],[сумма]]*Таблица1[[#This Row],[коэф]])),
IF(OR(G345="2/4",G345="3/4",G345="4/4"),((база!$I$5*Таблица1[[#This Row],[сумма]]*Таблица1[[#This Row],[коэф]])),
IF((G345="5/8"),((база!$J$6*Таблица1[[#This Row],[сумма]]*Таблица1[[#This Row],[коэф]])),
IF(OR(G345="4/8",G345="3/8",G345="2/8"),((база!$J$5*Таблица1[[#This Row],[сумма]]*Таблица1[[#This Row],[коэф]])))))))))))</f>
        <v>0</v>
      </c>
      <c r="AP345" s="696" t="b">
        <f>IF(AR345&lt;=3,(IF((G345="5/24"),((база!$M$6*2*Таблица1[[#This Row],[Столбец1]]*Таблица1[[#This Row],[коэф]])),
IF((G345="4/24"),((база!$M$5*2*Таблица1[[#This Row],[Столбец1]]*Таблица1[[#This Row],[коэф]])),
IF((G345="3/24"),((база!$M$4*2*Таблица1[[#This Row],[Столбец1]]*Таблица1[[#This Row],[коэф]])),
IF((G345="5/16"),((база!$L$6*2*Таблица1[[#This Row],[Столбец1]]*Таблица1[[#This Row],[коэф]])),
IF((G345="4/16"),((база!$L$5*2*Таблица1[[#This Row],[Столбец1]]*Таблица1[[#This Row],[коэф]])),
IF((G345="3/16"),((база!$L$4*2*Таблица1[[#This Row],[Столбец1]]*Таблица1[[#This Row],[коэф]])),
IF((G345="4/4"),((база!$I$5*2*Таблица1[[#This Row],[Столбец1]]*Таблица1[[#This Row],[коэф]])),
IF(OR(G345="2/4",G345="3/4"),((база!$I$4*2*Таблица1[[#This Row],[Столбец1]]*Таблица1[[#This Row],[коэф]])),
IF((G345="5/8"),((база!$J$6*2*Таблица1[[#This Row],[Столбец1]]*Таблица1[[#This Row],[коэф]])),
IF((G345="4/8"),((база!$J$5*2*Таблица1[[#This Row],[Столбец1]]*Таблица1[[#This Row],[коэф]])),
IF(OR(G345="3/8",G345="2/8"),((база!$J$4*2*Таблица1[[#This Row],[Столбец1]]*Таблица1[[#This Row],[коэф]])))))))))))))),
(IF((G345="5/24"),((база!$M$6*2*Таблица1[[#This Row],[Столбец1]]*Таблица1[[#This Row],[коэф]])),
IF(OR(G345="4/24",G345="3/24"),((база!$M$5*2*Таблица1[[#This Row],[Столбец1]]*Таблица1[[#This Row],[коэф]])),
IF((G345="5/16"),((база!$L$6*2*Таблица1[[#This Row],[Столбец1]]*Таблица1[[#This Row],[коэф]])),
IF(OR(G345="4/16",G345="3/16"),((база!$L$5*2*Таблица1[[#This Row],[Столбец1]]*Таблица1[[#This Row],[коэф]])),
IF(OR(G345="2/4",G345="3/4",G345="4/4"),((база!$I$5*2*Таблица1[[#This Row],[Столбец1]]*Таблица1[[#This Row],[коэф]])),
IF((G345="5/8"),((база!$J$6*2*Таблица1[[#This Row],[Столбец1]]*Таблица1[[#This Row],[коэф]])),
IF(OR(G345="4/8",G345="3/8",G345="2/8"),((база!$J$5*2*Таблица1[[#This Row],[Столбец1]]*Таблица1[[#This Row],[коэф]])))))))))))</f>
        <v>0</v>
      </c>
      <c r="AQ345" s="678" t="str">
        <f>IFERROR(INDEX(база!T:T, MATCH(F345,база!Q:Q,0)),"")</f>
        <v/>
      </c>
      <c r="AR345" s="193">
        <f>IFERROR(INDEX(база!D:D, MATCH(F345,база!B:B,0)),"")</f>
        <v>0</v>
      </c>
    </row>
    <row r="346" spans="1:44" ht="15">
      <c r="A346" s="59"/>
      <c r="B346" s="215"/>
      <c r="C346" s="277"/>
      <c r="D346" s="55"/>
      <c r="E346" s="196"/>
      <c r="F346" s="651"/>
      <c r="G346" s="42"/>
      <c r="H346" s="539"/>
      <c r="I346" s="539"/>
      <c r="J346" s="539"/>
      <c r="K346" s="539"/>
      <c r="L346" s="539"/>
      <c r="M346" s="539"/>
      <c r="N346" s="539"/>
      <c r="O346" s="539"/>
      <c r="P346" s="278"/>
      <c r="Q346" s="539"/>
      <c r="R346" s="539"/>
      <c r="S346" s="539"/>
      <c r="T346" s="539"/>
      <c r="U346" s="539"/>
      <c r="V346" s="539"/>
      <c r="W346" s="539"/>
      <c r="X346" s="539"/>
      <c r="Y346" s="539"/>
      <c r="Z346" s="539"/>
      <c r="AA346" s="539"/>
      <c r="AB346" s="539"/>
      <c r="AC346" s="539"/>
      <c r="AD346" s="43"/>
      <c r="AE346" s="43"/>
      <c r="AF346" s="238"/>
      <c r="AG346" s="43"/>
      <c r="AH346" s="43"/>
      <c r="AI346" s="43"/>
      <c r="AJ346" s="43"/>
      <c r="AK346" s="43"/>
      <c r="AL346" s="45"/>
      <c r="AM346" s="197">
        <f>IF(AQ346=1,SUM(H346:I346,L346:O346,R346:U346,X346:AA346,AD346:AG346,AI346:AK346),
IF(AQ346=2,SUM(H346:K346,N346:Q346,T346:W346,Z346:AC346,AF346:AI346),
IF(AQ346=3,SUM(J346:M346,P346:S346,V346:Y346,AB346:AE346,AH346:AK346),SUM(Таблица1[[#This Row],[1]:[31]])-Таблица1[[#This Row],[Столбец1]])))</f>
        <v>0</v>
      </c>
      <c r="AN346" s="269">
        <f t="array" ref="AN346">IF(AQ346=1,SUM(J346:K346,P346:Q346,V346:W346,AB346:AC346,AH346:AI346),
IF(AQ346=2,SUM(L346:M346,R346:S346,X346:Y346,AD346:AE346),
IF(AQ346=3,SUM(H346:I346,N346:O346,T346:U346,Z346:AA346,AF346:AG346),
SUM(IFERROR(WEEKDAY($H$2:$AL$2,2)&gt;5,)*H346:AL346))))</f>
        <v>0</v>
      </c>
      <c r="AO346" s="271" t="b">
        <f>IF(AR346&lt;=3,(IF((G346="5/24"),((база!$M$6*Таблица1[[#This Row],[сумма]]*Таблица1[[#This Row],[коэф]])),
IF((G346="4/24"),((база!$M$5*Таблица1[[#This Row],[сумма]]*Таблица1[[#This Row],[коэф]])),
IF((G346="3/24"),((база!$M$4*Таблица1[[#This Row],[сумма]]*Таблица1[[#This Row],[коэф]])),
IF((G346="5/16"),((база!$L$6*Таблица1[[#This Row],[сумма]]*Таблица1[[#This Row],[коэф]])),
IF((G346="4/16"),((база!$L$5*Таблица1[[#This Row],[сумма]]*Таблица1[[#This Row],[коэф]])),
IF((G346="3/16"),((база!$L$4*Таблица1[[#This Row],[сумма]]*Таблица1[[#This Row],[коэф]])),
IF((G346="4/4"),((база!$I$5*Таблица1[[#This Row],[сумма]]*Таблица1[[#This Row],[коэф]])),
IF(OR(G346="2/4",G346="3/4"),((база!$I$4*Таблица1[[#This Row],[сумма]]*Таблица1[[#This Row],[коэф]])),
IF((G346="5/8"),((база!$J$6*Таблица1[[#This Row],[сумма]]*Таблица1[[#This Row],[коэф]])),
IF((G346="4/8"),((база!$J$5*Таблица1[[#This Row],[сумма]]*Таблица1[[#This Row],[коэф]])),
IF(OR(G346="3/8",G346="2/8"),((база!$J$4*Таблица1[[#This Row],[сумма]]*Таблица1[[#This Row],[коэф]])))))))))))))),
(IF((G346="5/24"),((база!$M$6*Таблица1[[#This Row],[сумма]]*Таблица1[[#This Row],[коэф]])),
IF(OR(G346="4/24",G346="3/24"),((база!$M$5*Таблица1[[#This Row],[сумма]]*Таблица1[[#This Row],[коэф]])),
IF((G346="5/16"),((база!$L$6*Таблица1[[#This Row],[сумма]]*Таблица1[[#This Row],[коэф]])),
IF(OR(G346="4/16",G346="3/16"),((база!$L$5*Таблица1[[#This Row],[сумма]]*Таблица1[[#This Row],[коэф]])),
IF(OR(G346="2/4",G346="3/4",G346="4/4"),((база!$I$5*Таблица1[[#This Row],[сумма]]*Таблица1[[#This Row],[коэф]])),
IF((G346="5/8"),((база!$J$6*Таблица1[[#This Row],[сумма]]*Таблица1[[#This Row],[коэф]])),
IF(OR(G346="4/8",G346="3/8",G346="2/8"),((база!$J$5*Таблица1[[#This Row],[сумма]]*Таблица1[[#This Row],[коэф]])))))))))))</f>
        <v>0</v>
      </c>
      <c r="AP346" s="696" t="b">
        <f>IF(AR346&lt;=3,(IF((G346="5/24"),((база!$M$6*2*Таблица1[[#This Row],[Столбец1]]*Таблица1[[#This Row],[коэф]])),
IF((G346="4/24"),((база!$M$5*2*Таблица1[[#This Row],[Столбец1]]*Таблица1[[#This Row],[коэф]])),
IF((G346="3/24"),((база!$M$4*2*Таблица1[[#This Row],[Столбец1]]*Таблица1[[#This Row],[коэф]])),
IF((G346="5/16"),((база!$L$6*2*Таблица1[[#This Row],[Столбец1]]*Таблица1[[#This Row],[коэф]])),
IF((G346="4/16"),((база!$L$5*2*Таблица1[[#This Row],[Столбец1]]*Таблица1[[#This Row],[коэф]])),
IF((G346="3/16"),((база!$L$4*2*Таблица1[[#This Row],[Столбец1]]*Таблица1[[#This Row],[коэф]])),
IF((G346="4/4"),((база!$I$5*2*Таблица1[[#This Row],[Столбец1]]*Таблица1[[#This Row],[коэф]])),
IF(OR(G346="2/4",G346="3/4"),((база!$I$4*2*Таблица1[[#This Row],[Столбец1]]*Таблица1[[#This Row],[коэф]])),
IF((G346="5/8"),((база!$J$6*2*Таблица1[[#This Row],[Столбец1]]*Таблица1[[#This Row],[коэф]])),
IF((G346="4/8"),((база!$J$5*2*Таблица1[[#This Row],[Столбец1]]*Таблица1[[#This Row],[коэф]])),
IF(OR(G346="3/8",G346="2/8"),((база!$J$4*2*Таблица1[[#This Row],[Столбец1]]*Таблица1[[#This Row],[коэф]])))))))))))))),
(IF((G346="5/24"),((база!$M$6*2*Таблица1[[#This Row],[Столбец1]]*Таблица1[[#This Row],[коэф]])),
IF(OR(G346="4/24",G346="3/24"),((база!$M$5*2*Таблица1[[#This Row],[Столбец1]]*Таблица1[[#This Row],[коэф]])),
IF((G346="5/16"),((база!$L$6*2*Таблица1[[#This Row],[Столбец1]]*Таблица1[[#This Row],[коэф]])),
IF(OR(G346="4/16",G346="3/16"),((база!$L$5*2*Таблица1[[#This Row],[Столбец1]]*Таблица1[[#This Row],[коэф]])),
IF(OR(G346="2/4",G346="3/4",G346="4/4"),((база!$I$5*2*Таблица1[[#This Row],[Столбец1]]*Таблица1[[#This Row],[коэф]])),
IF((G346="5/8"),((база!$J$6*2*Таблица1[[#This Row],[Столбец1]]*Таблица1[[#This Row],[коэф]])),
IF(OR(G346="4/8",G346="3/8",G346="2/8"),((база!$J$5*2*Таблица1[[#This Row],[Столбец1]]*Таблица1[[#This Row],[коэф]])))))))))))</f>
        <v>0</v>
      </c>
      <c r="AQ346" s="678" t="str">
        <f>IFERROR(INDEX(база!T:T, MATCH(F346,база!Q:Q,0)),"")</f>
        <v/>
      </c>
      <c r="AR346" s="193">
        <f>IFERROR(INDEX(база!D:D, MATCH(F346,база!B:B,0)),"")</f>
        <v>0</v>
      </c>
    </row>
    <row r="347" spans="1:44" ht="15">
      <c r="A347" s="59"/>
      <c r="B347" s="215"/>
      <c r="C347" s="277"/>
      <c r="D347" s="55"/>
      <c r="E347" s="196"/>
      <c r="F347" s="651"/>
      <c r="G347" s="42"/>
      <c r="H347" s="539"/>
      <c r="I347" s="539"/>
      <c r="J347" s="539"/>
      <c r="K347" s="539"/>
      <c r="L347" s="539"/>
      <c r="M347" s="539"/>
      <c r="N347" s="539"/>
      <c r="O347" s="539"/>
      <c r="P347" s="278"/>
      <c r="Q347" s="539"/>
      <c r="R347" s="539"/>
      <c r="S347" s="539"/>
      <c r="T347" s="539"/>
      <c r="U347" s="539"/>
      <c r="V347" s="539"/>
      <c r="W347" s="539"/>
      <c r="X347" s="539"/>
      <c r="Y347" s="539"/>
      <c r="Z347" s="539"/>
      <c r="AA347" s="539"/>
      <c r="AB347" s="539"/>
      <c r="AC347" s="539"/>
      <c r="AD347" s="43"/>
      <c r="AE347" s="43"/>
      <c r="AF347" s="238"/>
      <c r="AG347" s="43"/>
      <c r="AH347" s="43"/>
      <c r="AI347" s="238"/>
      <c r="AJ347" s="238"/>
      <c r="AK347" s="238"/>
      <c r="AL347" s="238"/>
      <c r="AM347" s="197">
        <f>IF(AQ347=1,SUM(H347:I347,L347:O347,R347:U347,X347:AA347,AD347:AG347,AI347:AK347),
IF(AQ347=2,SUM(H347:K347,N347:Q347,T347:W347,Z347:AC347,AF347:AI347),
IF(AQ347=3,SUM(J347:M347,P347:S347,V347:Y347,AB347:AE347,AH347:AK347),SUM(Таблица1[[#This Row],[1]:[31]])-Таблица1[[#This Row],[Столбец1]])))</f>
        <v>0</v>
      </c>
      <c r="AN347" s="269">
        <f t="array" ref="AN347">IF(AQ347=1,SUM(J347:K347,P347:Q347,V347:W347,AB347:AC347,AH347:AI347),
IF(AQ347=2,SUM(L347:M347,R347:S347,X347:Y347,AD347:AE347),
IF(AQ347=3,SUM(H347:I347,N347:O347,T347:U347,Z347:AA347,AF347:AG347),
SUM(IFERROR(WEEKDAY($H$2:$AL$2,2)&gt;5,)*H347:AL347))))</f>
        <v>0</v>
      </c>
      <c r="AO347" s="271" t="b">
        <f>IF(AR347&lt;=3,(IF((G347="5/24"),((база!$M$6*Таблица1[[#This Row],[сумма]]*Таблица1[[#This Row],[коэф]])),
IF((G347="4/24"),((база!$M$5*Таблица1[[#This Row],[сумма]]*Таблица1[[#This Row],[коэф]])),
IF((G347="3/24"),((база!$M$4*Таблица1[[#This Row],[сумма]]*Таблица1[[#This Row],[коэф]])),
IF((G347="5/16"),((база!$L$6*Таблица1[[#This Row],[сумма]]*Таблица1[[#This Row],[коэф]])),
IF((G347="4/16"),((база!$L$5*Таблица1[[#This Row],[сумма]]*Таблица1[[#This Row],[коэф]])),
IF((G347="3/16"),((база!$L$4*Таблица1[[#This Row],[сумма]]*Таблица1[[#This Row],[коэф]])),
IF((G347="4/4"),((база!$I$5*Таблица1[[#This Row],[сумма]]*Таблица1[[#This Row],[коэф]])),
IF(OR(G347="2/4",G347="3/4"),((база!$I$4*Таблица1[[#This Row],[сумма]]*Таблица1[[#This Row],[коэф]])),
IF((G347="5/8"),((база!$J$6*Таблица1[[#This Row],[сумма]]*Таблица1[[#This Row],[коэф]])),
IF((G347="4/8"),((база!$J$5*Таблица1[[#This Row],[сумма]]*Таблица1[[#This Row],[коэф]])),
IF(OR(G347="3/8",G347="2/8"),((база!$J$4*Таблица1[[#This Row],[сумма]]*Таблица1[[#This Row],[коэф]])))))))))))))),
(IF((G347="5/24"),((база!$M$6*Таблица1[[#This Row],[сумма]]*Таблица1[[#This Row],[коэф]])),
IF(OR(G347="4/24",G347="3/24"),((база!$M$5*Таблица1[[#This Row],[сумма]]*Таблица1[[#This Row],[коэф]])),
IF((G347="5/16"),((база!$L$6*Таблица1[[#This Row],[сумма]]*Таблица1[[#This Row],[коэф]])),
IF(OR(G347="4/16",G347="3/16"),((база!$L$5*Таблица1[[#This Row],[сумма]]*Таблица1[[#This Row],[коэф]])),
IF(OR(G347="2/4",G347="3/4",G347="4/4"),((база!$I$5*Таблица1[[#This Row],[сумма]]*Таблица1[[#This Row],[коэф]])),
IF((G347="5/8"),((база!$J$6*Таблица1[[#This Row],[сумма]]*Таблица1[[#This Row],[коэф]])),
IF(OR(G347="4/8",G347="3/8",G347="2/8"),((база!$J$5*Таблица1[[#This Row],[сумма]]*Таблица1[[#This Row],[коэф]])))))))))))</f>
        <v>0</v>
      </c>
      <c r="AP347" s="696" t="b">
        <f>IF(AR347&lt;=3,(IF((G347="5/24"),((база!$M$6*2*Таблица1[[#This Row],[Столбец1]]*Таблица1[[#This Row],[коэф]])),
IF((G347="4/24"),((база!$M$5*2*Таблица1[[#This Row],[Столбец1]]*Таблица1[[#This Row],[коэф]])),
IF((G347="3/24"),((база!$M$4*2*Таблица1[[#This Row],[Столбец1]]*Таблица1[[#This Row],[коэф]])),
IF((G347="5/16"),((база!$L$6*2*Таблица1[[#This Row],[Столбец1]]*Таблица1[[#This Row],[коэф]])),
IF((G347="4/16"),((база!$L$5*2*Таблица1[[#This Row],[Столбец1]]*Таблица1[[#This Row],[коэф]])),
IF((G347="3/16"),((база!$L$4*2*Таблица1[[#This Row],[Столбец1]]*Таблица1[[#This Row],[коэф]])),
IF((G347="4/4"),((база!$I$5*2*Таблица1[[#This Row],[Столбец1]]*Таблица1[[#This Row],[коэф]])),
IF(OR(G347="2/4",G347="3/4"),((база!$I$4*2*Таблица1[[#This Row],[Столбец1]]*Таблица1[[#This Row],[коэф]])),
IF((G347="5/8"),((база!$J$6*2*Таблица1[[#This Row],[Столбец1]]*Таблица1[[#This Row],[коэф]])),
IF((G347="4/8"),((база!$J$5*2*Таблица1[[#This Row],[Столбец1]]*Таблица1[[#This Row],[коэф]])),
IF(OR(G347="3/8",G347="2/8"),((база!$J$4*2*Таблица1[[#This Row],[Столбец1]]*Таблица1[[#This Row],[коэф]])))))))))))))),
(IF((G347="5/24"),((база!$M$6*2*Таблица1[[#This Row],[Столбец1]]*Таблица1[[#This Row],[коэф]])),
IF(OR(G347="4/24",G347="3/24"),((база!$M$5*2*Таблица1[[#This Row],[Столбец1]]*Таблица1[[#This Row],[коэф]])),
IF((G347="5/16"),((база!$L$6*2*Таблица1[[#This Row],[Столбец1]]*Таблица1[[#This Row],[коэф]])),
IF(OR(G347="4/16",G347="3/16"),((база!$L$5*2*Таблица1[[#This Row],[Столбец1]]*Таблица1[[#This Row],[коэф]])),
IF(OR(G347="2/4",G347="3/4",G347="4/4"),((база!$I$5*2*Таблица1[[#This Row],[Столбец1]]*Таблица1[[#This Row],[коэф]])),
IF((G347="5/8"),((база!$J$6*2*Таблица1[[#This Row],[Столбец1]]*Таблица1[[#This Row],[коэф]])),
IF(OR(G347="4/8",G347="3/8",G347="2/8"),((база!$J$5*2*Таблица1[[#This Row],[Столбец1]]*Таблица1[[#This Row],[коэф]])))))))))))</f>
        <v>0</v>
      </c>
      <c r="AQ347" s="678" t="str">
        <f>IFERROR(INDEX(база!T:T, MATCH(F347,база!Q:Q,0)),"")</f>
        <v/>
      </c>
      <c r="AR347" s="193">
        <f>IFERROR(INDEX(база!D:D, MATCH(F347,база!B:B,0)),"")</f>
        <v>0</v>
      </c>
    </row>
    <row r="348" spans="1:44" ht="15">
      <c r="A348" s="59"/>
      <c r="B348" s="215"/>
      <c r="C348" s="277"/>
      <c r="D348" s="55"/>
      <c r="E348" s="196"/>
      <c r="F348" s="651"/>
      <c r="G348" s="42"/>
      <c r="H348" s="539"/>
      <c r="I348" s="539"/>
      <c r="J348" s="539"/>
      <c r="K348" s="539"/>
      <c r="L348" s="539"/>
      <c r="M348" s="539"/>
      <c r="N348" s="539"/>
      <c r="O348" s="539"/>
      <c r="P348" s="278"/>
      <c r="Q348" s="539"/>
      <c r="R348" s="539"/>
      <c r="S348" s="539"/>
      <c r="T348" s="539"/>
      <c r="U348" s="539"/>
      <c r="V348" s="539"/>
      <c r="W348" s="539"/>
      <c r="X348" s="539"/>
      <c r="Y348" s="539"/>
      <c r="Z348" s="539"/>
      <c r="AA348" s="539"/>
      <c r="AB348" s="539"/>
      <c r="AC348" s="539"/>
      <c r="AD348" s="43"/>
      <c r="AE348" s="43"/>
      <c r="AF348" s="238"/>
      <c r="AG348" s="43"/>
      <c r="AH348" s="43"/>
      <c r="AI348" s="43"/>
      <c r="AJ348" s="43"/>
      <c r="AK348" s="43"/>
      <c r="AL348" s="43"/>
      <c r="AM348" s="197">
        <f>IF(AQ348=1,SUM(H348:I348,L348:O348,R348:U348,X348:AA348,AD348:AG348,AI348:AK348),
IF(AQ348=2,SUM(H348:K348,N348:Q348,T348:W348,Z348:AC348,AF348:AI348),
IF(AQ348=3,SUM(J348:M348,P348:S348,V348:Y348,AB348:AE348,AH348:AK348),SUM(Таблица1[[#This Row],[1]:[31]])-Таблица1[[#This Row],[Столбец1]])))</f>
        <v>0</v>
      </c>
      <c r="AN348" s="269">
        <f t="array" ref="AN348">IF(AQ348=1,SUM(J348:K348,P348:Q348,V348:W348,AB348:AC348,AH348:AI348),
IF(AQ348=2,SUM(L348:M348,R348:S348,X348:Y348,AD348:AE348),
IF(AQ348=3,SUM(H348:I348,N348:O348,T348:U348,Z348:AA348,AF348:AG348),
SUM(IFERROR(WEEKDAY($H$2:$AL$2,2)&gt;5,)*H348:AL348))))</f>
        <v>0</v>
      </c>
      <c r="AO348" s="271" t="b">
        <f>IF(AR348&lt;=3,(IF((G348="5/24"),((база!$M$6*Таблица1[[#This Row],[сумма]]*Таблица1[[#This Row],[коэф]])),
IF((G348="4/24"),((база!$M$5*Таблица1[[#This Row],[сумма]]*Таблица1[[#This Row],[коэф]])),
IF((G348="3/24"),((база!$M$4*Таблица1[[#This Row],[сумма]]*Таблица1[[#This Row],[коэф]])),
IF((G348="5/16"),((база!$L$6*Таблица1[[#This Row],[сумма]]*Таблица1[[#This Row],[коэф]])),
IF((G348="4/16"),((база!$L$5*Таблица1[[#This Row],[сумма]]*Таблица1[[#This Row],[коэф]])),
IF((G348="3/16"),((база!$L$4*Таблица1[[#This Row],[сумма]]*Таблица1[[#This Row],[коэф]])),
IF((G348="4/4"),((база!$I$5*Таблица1[[#This Row],[сумма]]*Таблица1[[#This Row],[коэф]])),
IF(OR(G348="2/4",G348="3/4"),((база!$I$4*Таблица1[[#This Row],[сумма]]*Таблица1[[#This Row],[коэф]])),
IF((G348="5/8"),((база!$J$6*Таблица1[[#This Row],[сумма]]*Таблица1[[#This Row],[коэф]])),
IF((G348="4/8"),((база!$J$5*Таблица1[[#This Row],[сумма]]*Таблица1[[#This Row],[коэф]])),
IF(OR(G348="3/8",G348="2/8"),((база!$J$4*Таблица1[[#This Row],[сумма]]*Таблица1[[#This Row],[коэф]])))))))))))))),
(IF((G348="5/24"),((база!$M$6*Таблица1[[#This Row],[сумма]]*Таблица1[[#This Row],[коэф]])),
IF(OR(G348="4/24",G348="3/24"),((база!$M$5*Таблица1[[#This Row],[сумма]]*Таблица1[[#This Row],[коэф]])),
IF((G348="5/16"),((база!$L$6*Таблица1[[#This Row],[сумма]]*Таблица1[[#This Row],[коэф]])),
IF(OR(G348="4/16",G348="3/16"),((база!$L$5*Таблица1[[#This Row],[сумма]]*Таблица1[[#This Row],[коэф]])),
IF(OR(G348="2/4",G348="3/4",G348="4/4"),((база!$I$5*Таблица1[[#This Row],[сумма]]*Таблица1[[#This Row],[коэф]])),
IF((G348="5/8"),((база!$J$6*Таблица1[[#This Row],[сумма]]*Таблица1[[#This Row],[коэф]])),
IF(OR(G348="4/8",G348="3/8",G348="2/8"),((база!$J$5*Таблица1[[#This Row],[сумма]]*Таблица1[[#This Row],[коэф]])))))))))))</f>
        <v>0</v>
      </c>
      <c r="AP348" s="696" t="b">
        <f>IF(AR348&lt;=3,(IF((G348="5/24"),((база!$M$6*2*Таблица1[[#This Row],[Столбец1]]*Таблица1[[#This Row],[коэф]])),
IF((G348="4/24"),((база!$M$5*2*Таблица1[[#This Row],[Столбец1]]*Таблица1[[#This Row],[коэф]])),
IF((G348="3/24"),((база!$M$4*2*Таблица1[[#This Row],[Столбец1]]*Таблица1[[#This Row],[коэф]])),
IF((G348="5/16"),((база!$L$6*2*Таблица1[[#This Row],[Столбец1]]*Таблица1[[#This Row],[коэф]])),
IF((G348="4/16"),((база!$L$5*2*Таблица1[[#This Row],[Столбец1]]*Таблица1[[#This Row],[коэф]])),
IF((G348="3/16"),((база!$L$4*2*Таблица1[[#This Row],[Столбец1]]*Таблица1[[#This Row],[коэф]])),
IF((G348="4/4"),((база!$I$5*2*Таблица1[[#This Row],[Столбец1]]*Таблица1[[#This Row],[коэф]])),
IF(OR(G348="2/4",G348="3/4"),((база!$I$4*2*Таблица1[[#This Row],[Столбец1]]*Таблица1[[#This Row],[коэф]])),
IF((G348="5/8"),((база!$J$6*2*Таблица1[[#This Row],[Столбец1]]*Таблица1[[#This Row],[коэф]])),
IF((G348="4/8"),((база!$J$5*2*Таблица1[[#This Row],[Столбец1]]*Таблица1[[#This Row],[коэф]])),
IF(OR(G348="3/8",G348="2/8"),((база!$J$4*2*Таблица1[[#This Row],[Столбец1]]*Таблица1[[#This Row],[коэф]])))))))))))))),
(IF((G348="5/24"),((база!$M$6*2*Таблица1[[#This Row],[Столбец1]]*Таблица1[[#This Row],[коэф]])),
IF(OR(G348="4/24",G348="3/24"),((база!$M$5*2*Таблица1[[#This Row],[Столбец1]]*Таблица1[[#This Row],[коэф]])),
IF((G348="5/16"),((база!$L$6*2*Таблица1[[#This Row],[Столбец1]]*Таблица1[[#This Row],[коэф]])),
IF(OR(G348="4/16",G348="3/16"),((база!$L$5*2*Таблица1[[#This Row],[Столбец1]]*Таблица1[[#This Row],[коэф]])),
IF(OR(G348="2/4",G348="3/4",G348="4/4"),((база!$I$5*2*Таблица1[[#This Row],[Столбец1]]*Таблица1[[#This Row],[коэф]])),
IF((G348="5/8"),((база!$J$6*2*Таблица1[[#This Row],[Столбец1]]*Таблица1[[#This Row],[коэф]])),
IF(OR(G348="4/8",G348="3/8",G348="2/8"),((база!$J$5*2*Таблица1[[#This Row],[Столбец1]]*Таблица1[[#This Row],[коэф]])))))))))))</f>
        <v>0</v>
      </c>
      <c r="AQ348" s="678" t="str">
        <f>IFERROR(INDEX(база!T:T, MATCH(F348,база!Q:Q,0)),"")</f>
        <v/>
      </c>
      <c r="AR348" s="193">
        <f>IFERROR(INDEX(база!D:D, MATCH(F348,база!B:B,0)),"")</f>
        <v>0</v>
      </c>
    </row>
    <row r="349" spans="1:44" ht="15">
      <c r="A349" s="59"/>
      <c r="B349" s="215"/>
      <c r="C349" s="277"/>
      <c r="D349" s="55"/>
      <c r="E349" s="196"/>
      <c r="F349" s="651"/>
      <c r="G349" s="42"/>
      <c r="H349" s="539"/>
      <c r="I349" s="539"/>
      <c r="J349" s="539"/>
      <c r="K349" s="539"/>
      <c r="L349" s="539"/>
      <c r="M349" s="539"/>
      <c r="N349" s="539"/>
      <c r="O349" s="539"/>
      <c r="P349" s="278"/>
      <c r="Q349" s="539"/>
      <c r="R349" s="539"/>
      <c r="S349" s="539"/>
      <c r="T349" s="539"/>
      <c r="U349" s="539"/>
      <c r="V349" s="539"/>
      <c r="W349" s="539"/>
      <c r="X349" s="539"/>
      <c r="Y349" s="539"/>
      <c r="Z349" s="539"/>
      <c r="AA349" s="539"/>
      <c r="AB349" s="539"/>
      <c r="AC349" s="539"/>
      <c r="AD349" s="43"/>
      <c r="AE349" s="43"/>
      <c r="AF349" s="238"/>
      <c r="AG349" s="43"/>
      <c r="AH349" s="43"/>
      <c r="AI349" s="238"/>
      <c r="AJ349" s="238"/>
      <c r="AK349" s="238"/>
      <c r="AL349" s="238"/>
      <c r="AM349" s="197">
        <f>IF(AQ349=1,SUM(H349:I349,L349:O349,R349:U349,X349:AA349,AD349:AG349,AI349:AK349),
IF(AQ349=2,SUM(H349:K349,N349:Q349,T349:W349,Z349:AC349,AF349:AI349),
IF(AQ349=3,SUM(J349:M349,P349:S349,V349:Y349,AB349:AE349,AH349:AK349),SUM(Таблица1[[#This Row],[1]:[31]])-Таблица1[[#This Row],[Столбец1]])))</f>
        <v>0</v>
      </c>
      <c r="AN349" s="269">
        <f t="array" ref="AN349">IF(AQ349=1,SUM(J349:K349,P349:Q349,V349:W349,AB349:AC349,AH349:AI349),
IF(AQ349=2,SUM(L349:M349,R349:S349,X349:Y349,AD349:AE349),
IF(AQ349=3,SUM(H349:I349,N349:O349,T349:U349,Z349:AA349,AF349:AG349),
SUM(IFERROR(WEEKDAY($H$2:$AL$2,2)&gt;5,)*H349:AL349))))</f>
        <v>0</v>
      </c>
      <c r="AO349" s="271" t="b">
        <f>IF(AR349&lt;=3,(IF((G349="5/24"),((база!$M$6*Таблица1[[#This Row],[сумма]]*Таблица1[[#This Row],[коэф]])),
IF((G349="4/24"),((база!$M$5*Таблица1[[#This Row],[сумма]]*Таблица1[[#This Row],[коэф]])),
IF((G349="3/24"),((база!$M$4*Таблица1[[#This Row],[сумма]]*Таблица1[[#This Row],[коэф]])),
IF((G349="5/16"),((база!$L$6*Таблица1[[#This Row],[сумма]]*Таблица1[[#This Row],[коэф]])),
IF((G349="4/16"),((база!$L$5*Таблица1[[#This Row],[сумма]]*Таблица1[[#This Row],[коэф]])),
IF((G349="3/16"),((база!$L$4*Таблица1[[#This Row],[сумма]]*Таблица1[[#This Row],[коэф]])),
IF((G349="4/4"),((база!$I$5*Таблица1[[#This Row],[сумма]]*Таблица1[[#This Row],[коэф]])),
IF(OR(G349="2/4",G349="3/4"),((база!$I$4*Таблица1[[#This Row],[сумма]]*Таблица1[[#This Row],[коэф]])),
IF((G349="5/8"),((база!$J$6*Таблица1[[#This Row],[сумма]]*Таблица1[[#This Row],[коэф]])),
IF((G349="4/8"),((база!$J$5*Таблица1[[#This Row],[сумма]]*Таблица1[[#This Row],[коэф]])),
IF(OR(G349="3/8",G349="2/8"),((база!$J$4*Таблица1[[#This Row],[сумма]]*Таблица1[[#This Row],[коэф]])))))))))))))),
(IF((G349="5/24"),((база!$M$6*Таблица1[[#This Row],[сумма]]*Таблица1[[#This Row],[коэф]])),
IF(OR(G349="4/24",G349="3/24"),((база!$M$5*Таблица1[[#This Row],[сумма]]*Таблица1[[#This Row],[коэф]])),
IF((G349="5/16"),((база!$L$6*Таблица1[[#This Row],[сумма]]*Таблица1[[#This Row],[коэф]])),
IF(OR(G349="4/16",G349="3/16"),((база!$L$5*Таблица1[[#This Row],[сумма]]*Таблица1[[#This Row],[коэф]])),
IF(OR(G349="2/4",G349="3/4",G349="4/4"),((база!$I$5*Таблица1[[#This Row],[сумма]]*Таблица1[[#This Row],[коэф]])),
IF((G349="5/8"),((база!$J$6*Таблица1[[#This Row],[сумма]]*Таблица1[[#This Row],[коэф]])),
IF(OR(G349="4/8",G349="3/8",G349="2/8"),((база!$J$5*Таблица1[[#This Row],[сумма]]*Таблица1[[#This Row],[коэф]])))))))))))</f>
        <v>0</v>
      </c>
      <c r="AP349" s="696" t="b">
        <f>IF(AR349&lt;=3,(IF((G349="5/24"),((база!$M$6*2*Таблица1[[#This Row],[Столбец1]]*Таблица1[[#This Row],[коэф]])),
IF((G349="4/24"),((база!$M$5*2*Таблица1[[#This Row],[Столбец1]]*Таблица1[[#This Row],[коэф]])),
IF((G349="3/24"),((база!$M$4*2*Таблица1[[#This Row],[Столбец1]]*Таблица1[[#This Row],[коэф]])),
IF((G349="5/16"),((база!$L$6*2*Таблица1[[#This Row],[Столбец1]]*Таблица1[[#This Row],[коэф]])),
IF((G349="4/16"),((база!$L$5*2*Таблица1[[#This Row],[Столбец1]]*Таблица1[[#This Row],[коэф]])),
IF((G349="3/16"),((база!$L$4*2*Таблица1[[#This Row],[Столбец1]]*Таблица1[[#This Row],[коэф]])),
IF((G349="4/4"),((база!$I$5*2*Таблица1[[#This Row],[Столбец1]]*Таблица1[[#This Row],[коэф]])),
IF(OR(G349="2/4",G349="3/4"),((база!$I$4*2*Таблица1[[#This Row],[Столбец1]]*Таблица1[[#This Row],[коэф]])),
IF((G349="5/8"),((база!$J$6*2*Таблица1[[#This Row],[Столбец1]]*Таблица1[[#This Row],[коэф]])),
IF((G349="4/8"),((база!$J$5*2*Таблица1[[#This Row],[Столбец1]]*Таблица1[[#This Row],[коэф]])),
IF(OR(G349="3/8",G349="2/8"),((база!$J$4*2*Таблица1[[#This Row],[Столбец1]]*Таблица1[[#This Row],[коэф]])))))))))))))),
(IF((G349="5/24"),((база!$M$6*2*Таблица1[[#This Row],[Столбец1]]*Таблица1[[#This Row],[коэф]])),
IF(OR(G349="4/24",G349="3/24"),((база!$M$5*2*Таблица1[[#This Row],[Столбец1]]*Таблица1[[#This Row],[коэф]])),
IF((G349="5/16"),((база!$L$6*2*Таблица1[[#This Row],[Столбец1]]*Таблица1[[#This Row],[коэф]])),
IF(OR(G349="4/16",G349="3/16"),((база!$L$5*2*Таблица1[[#This Row],[Столбец1]]*Таблица1[[#This Row],[коэф]])),
IF(OR(G349="2/4",G349="3/4",G349="4/4"),((база!$I$5*2*Таблица1[[#This Row],[Столбец1]]*Таблица1[[#This Row],[коэф]])),
IF((G349="5/8"),((база!$J$6*2*Таблица1[[#This Row],[Столбец1]]*Таблица1[[#This Row],[коэф]])),
IF(OR(G349="4/8",G349="3/8",G349="2/8"),((база!$J$5*2*Таблица1[[#This Row],[Столбец1]]*Таблица1[[#This Row],[коэф]])))))))))))</f>
        <v>0</v>
      </c>
      <c r="AQ349" s="678" t="str">
        <f>IFERROR(INDEX(база!T:T, MATCH(F349,база!Q:Q,0)),"")</f>
        <v/>
      </c>
      <c r="AR349" s="193">
        <f>IFERROR(INDEX(база!D:D, MATCH(F349,база!B:B,0)),"")</f>
        <v>0</v>
      </c>
    </row>
    <row r="350" spans="1:44" ht="15">
      <c r="A350" s="59"/>
      <c r="B350" s="215"/>
      <c r="C350" s="54"/>
      <c r="D350" s="55"/>
      <c r="E350" s="196"/>
      <c r="F350" s="651"/>
      <c r="G350" s="42"/>
      <c r="H350" s="539"/>
      <c r="I350" s="539"/>
      <c r="J350" s="539"/>
      <c r="K350" s="539"/>
      <c r="L350" s="539"/>
      <c r="M350" s="539"/>
      <c r="N350" s="539"/>
      <c r="O350" s="539"/>
      <c r="P350" s="278"/>
      <c r="Q350" s="539"/>
      <c r="R350" s="539"/>
      <c r="S350" s="539"/>
      <c r="T350" s="539"/>
      <c r="U350" s="539"/>
      <c r="V350" s="539"/>
      <c r="W350" s="539"/>
      <c r="X350" s="539"/>
      <c r="Y350" s="539"/>
      <c r="Z350" s="539"/>
      <c r="AA350" s="539"/>
      <c r="AB350" s="539"/>
      <c r="AC350" s="539"/>
      <c r="AD350" s="43"/>
      <c r="AE350" s="43"/>
      <c r="AF350" s="238"/>
      <c r="AG350" s="43"/>
      <c r="AH350" s="43"/>
      <c r="AI350" s="43"/>
      <c r="AJ350" s="43"/>
      <c r="AK350" s="43"/>
      <c r="AL350" s="45"/>
      <c r="AM350" s="197">
        <f>IF(AQ350=1,SUM(H350:I350,L350:O350,R350:U350,X350:AA350,AD350:AG350,AI350:AK350),
IF(AQ350=2,SUM(H350:K350,N350:Q350,T350:W350,Z350:AC350,AF350:AI350),
IF(AQ350=3,SUM(J350:M350,P350:S350,V350:Y350,AB350:AE350,AH350:AK350),SUM(Таблица1[[#This Row],[1]:[31]])-Таблица1[[#This Row],[Столбец1]])))</f>
        <v>0</v>
      </c>
      <c r="AN350" s="269">
        <f t="array" ref="AN350">IF(AQ350=1,SUM(J350:K350,P350:Q350,V350:W350,AB350:AC350,AH350:AI350),
IF(AQ350=2,SUM(L350:M350,R350:S350,X350:Y350,AD350:AE350),
IF(AQ350=3,SUM(H350:I350,N350:O350,T350:U350,Z350:AA350,AF350:AG350),
SUM(IFERROR(WEEKDAY($H$2:$AL$2,2)&gt;5,)*H350:AL350))))</f>
        <v>0</v>
      </c>
      <c r="AO350" s="271" t="b">
        <f>IF(AR350&lt;=3,(IF((G350="5/24"),((база!$M$6*Таблица1[[#This Row],[сумма]]*Таблица1[[#This Row],[коэф]])),
IF((G350="4/24"),((база!$M$5*Таблица1[[#This Row],[сумма]]*Таблица1[[#This Row],[коэф]])),
IF((G350="3/24"),((база!$M$4*Таблица1[[#This Row],[сумма]]*Таблица1[[#This Row],[коэф]])),
IF((G350="5/16"),((база!$L$6*Таблица1[[#This Row],[сумма]]*Таблица1[[#This Row],[коэф]])),
IF((G350="4/16"),((база!$L$5*Таблица1[[#This Row],[сумма]]*Таблица1[[#This Row],[коэф]])),
IF((G350="3/16"),((база!$L$4*Таблица1[[#This Row],[сумма]]*Таблица1[[#This Row],[коэф]])),
IF((G350="4/4"),((база!$I$5*Таблица1[[#This Row],[сумма]]*Таблица1[[#This Row],[коэф]])),
IF(OR(G350="2/4",G350="3/4"),((база!$I$4*Таблица1[[#This Row],[сумма]]*Таблица1[[#This Row],[коэф]])),
IF((G350="5/8"),((база!$J$6*Таблица1[[#This Row],[сумма]]*Таблица1[[#This Row],[коэф]])),
IF((G350="4/8"),((база!$J$5*Таблица1[[#This Row],[сумма]]*Таблица1[[#This Row],[коэф]])),
IF(OR(G350="3/8",G350="2/8"),((база!$J$4*Таблица1[[#This Row],[сумма]]*Таблица1[[#This Row],[коэф]])))))))))))))),
(IF((G350="5/24"),((база!$M$6*Таблица1[[#This Row],[сумма]]*Таблица1[[#This Row],[коэф]])),
IF(OR(G350="4/24",G350="3/24"),((база!$M$5*Таблица1[[#This Row],[сумма]]*Таблица1[[#This Row],[коэф]])),
IF((G350="5/16"),((база!$L$6*Таблица1[[#This Row],[сумма]]*Таблица1[[#This Row],[коэф]])),
IF(OR(G350="4/16",G350="3/16"),((база!$L$5*Таблица1[[#This Row],[сумма]]*Таблица1[[#This Row],[коэф]])),
IF(OR(G350="2/4",G350="3/4",G350="4/4"),((база!$I$5*Таблица1[[#This Row],[сумма]]*Таблица1[[#This Row],[коэф]])),
IF((G350="5/8"),((база!$J$6*Таблица1[[#This Row],[сумма]]*Таблица1[[#This Row],[коэф]])),
IF(OR(G350="4/8",G350="3/8",G350="2/8"),((база!$J$5*Таблица1[[#This Row],[сумма]]*Таблица1[[#This Row],[коэф]])))))))))))</f>
        <v>0</v>
      </c>
      <c r="AP350" s="696" t="b">
        <f>IF(AR350&lt;=3,(IF((G350="5/24"),((база!$M$6*2*Таблица1[[#This Row],[Столбец1]]*Таблица1[[#This Row],[коэф]])),
IF((G350="4/24"),((база!$M$5*2*Таблица1[[#This Row],[Столбец1]]*Таблица1[[#This Row],[коэф]])),
IF((G350="3/24"),((база!$M$4*2*Таблица1[[#This Row],[Столбец1]]*Таблица1[[#This Row],[коэф]])),
IF((G350="5/16"),((база!$L$6*2*Таблица1[[#This Row],[Столбец1]]*Таблица1[[#This Row],[коэф]])),
IF((G350="4/16"),((база!$L$5*2*Таблица1[[#This Row],[Столбец1]]*Таблица1[[#This Row],[коэф]])),
IF((G350="3/16"),((база!$L$4*2*Таблица1[[#This Row],[Столбец1]]*Таблица1[[#This Row],[коэф]])),
IF((G350="4/4"),((база!$I$5*2*Таблица1[[#This Row],[Столбец1]]*Таблица1[[#This Row],[коэф]])),
IF(OR(G350="2/4",G350="3/4"),((база!$I$4*2*Таблица1[[#This Row],[Столбец1]]*Таблица1[[#This Row],[коэф]])),
IF((G350="5/8"),((база!$J$6*2*Таблица1[[#This Row],[Столбец1]]*Таблица1[[#This Row],[коэф]])),
IF((G350="4/8"),((база!$J$5*2*Таблица1[[#This Row],[Столбец1]]*Таблица1[[#This Row],[коэф]])),
IF(OR(G350="3/8",G350="2/8"),((база!$J$4*2*Таблица1[[#This Row],[Столбец1]]*Таблица1[[#This Row],[коэф]])))))))))))))),
(IF((G350="5/24"),((база!$M$6*2*Таблица1[[#This Row],[Столбец1]]*Таблица1[[#This Row],[коэф]])),
IF(OR(G350="4/24",G350="3/24"),((база!$M$5*2*Таблица1[[#This Row],[Столбец1]]*Таблица1[[#This Row],[коэф]])),
IF((G350="5/16"),((база!$L$6*2*Таблица1[[#This Row],[Столбец1]]*Таблица1[[#This Row],[коэф]])),
IF(OR(G350="4/16",G350="3/16"),((база!$L$5*2*Таблица1[[#This Row],[Столбец1]]*Таблица1[[#This Row],[коэф]])),
IF(OR(G350="2/4",G350="3/4",G350="4/4"),((база!$I$5*2*Таблица1[[#This Row],[Столбец1]]*Таблица1[[#This Row],[коэф]])),
IF((G350="5/8"),((база!$J$6*2*Таблица1[[#This Row],[Столбец1]]*Таблица1[[#This Row],[коэф]])),
IF(OR(G350="4/8",G350="3/8",G350="2/8"),((база!$J$5*2*Таблица1[[#This Row],[Столбец1]]*Таблица1[[#This Row],[коэф]])))))))))))</f>
        <v>0</v>
      </c>
      <c r="AQ350" s="678" t="str">
        <f>IFERROR(INDEX(база!T:T, MATCH(F350,база!Q:Q,0)),"")</f>
        <v/>
      </c>
      <c r="AR350" s="193">
        <f>IFERROR(INDEX(база!D:D, MATCH(F350,база!B:B,0)),"")</f>
        <v>0</v>
      </c>
    </row>
    <row r="351" spans="1:44" ht="15">
      <c r="A351" s="59"/>
      <c r="B351" s="215"/>
      <c r="C351" s="277"/>
      <c r="D351" s="55"/>
      <c r="E351" s="196"/>
      <c r="F351" s="651"/>
      <c r="G351" s="42"/>
      <c r="H351" s="539"/>
      <c r="I351" s="539"/>
      <c r="J351" s="539"/>
      <c r="K351" s="539"/>
      <c r="L351" s="539"/>
      <c r="M351" s="539"/>
      <c r="N351" s="539"/>
      <c r="O351" s="539"/>
      <c r="P351" s="278"/>
      <c r="Q351" s="539"/>
      <c r="R351" s="539"/>
      <c r="S351" s="539"/>
      <c r="T351" s="539"/>
      <c r="U351" s="539"/>
      <c r="V351" s="539"/>
      <c r="W351" s="539"/>
      <c r="X351" s="539"/>
      <c r="Y351" s="539"/>
      <c r="Z351" s="539"/>
      <c r="AA351" s="539"/>
      <c r="AB351" s="539"/>
      <c r="AC351" s="539"/>
      <c r="AD351" s="43"/>
      <c r="AE351" s="43"/>
      <c r="AF351" s="238"/>
      <c r="AG351" s="43"/>
      <c r="AH351" s="43"/>
      <c r="AI351" s="238"/>
      <c r="AJ351" s="238"/>
      <c r="AK351" s="238"/>
      <c r="AL351" s="238"/>
      <c r="AM351" s="197">
        <f>IF(AQ351=1,SUM(H351:I351,L351:O351,R351:U351,X351:AA351,AD351:AG351,AI351:AK351),
IF(AQ351=2,SUM(H351:K351,N351:Q351,T351:W351,Z351:AC351,AF351:AI351),
IF(AQ351=3,SUM(J351:M351,P351:S351,V351:Y351,AB351:AE351,AH351:AK351),SUM(Таблица1[[#This Row],[1]:[31]])-Таблица1[[#This Row],[Столбец1]])))</f>
        <v>0</v>
      </c>
      <c r="AN351" s="269">
        <f t="array" ref="AN351">IF(AQ351=1,SUM(J351:K351,P351:Q351,V351:W351,AB351:AC351,AH351:AI351),
IF(AQ351=2,SUM(L351:M351,R351:S351,X351:Y351,AD351:AE351),
IF(AQ351=3,SUM(H351:I351,N351:O351,T351:U351,Z351:AA351,AF351:AG351),
SUM(IFERROR(WEEKDAY($H$2:$AL$2,2)&gt;5,)*H351:AL351))))</f>
        <v>0</v>
      </c>
      <c r="AO351" s="271" t="b">
        <f>IF(AR351&lt;=3,(IF((G351="5/24"),((база!$M$6*Таблица1[[#This Row],[сумма]]*Таблица1[[#This Row],[коэф]])),
IF((G351="4/24"),((база!$M$5*Таблица1[[#This Row],[сумма]]*Таблица1[[#This Row],[коэф]])),
IF((G351="3/24"),((база!$M$4*Таблица1[[#This Row],[сумма]]*Таблица1[[#This Row],[коэф]])),
IF((G351="5/16"),((база!$L$6*Таблица1[[#This Row],[сумма]]*Таблица1[[#This Row],[коэф]])),
IF((G351="4/16"),((база!$L$5*Таблица1[[#This Row],[сумма]]*Таблица1[[#This Row],[коэф]])),
IF((G351="3/16"),((база!$L$4*Таблица1[[#This Row],[сумма]]*Таблица1[[#This Row],[коэф]])),
IF((G351="4/4"),((база!$I$5*Таблица1[[#This Row],[сумма]]*Таблица1[[#This Row],[коэф]])),
IF(OR(G351="2/4",G351="3/4"),((база!$I$4*Таблица1[[#This Row],[сумма]]*Таблица1[[#This Row],[коэф]])),
IF((G351="5/8"),((база!$J$6*Таблица1[[#This Row],[сумма]]*Таблица1[[#This Row],[коэф]])),
IF((G351="4/8"),((база!$J$5*Таблица1[[#This Row],[сумма]]*Таблица1[[#This Row],[коэф]])),
IF(OR(G351="3/8",G351="2/8"),((база!$J$4*Таблица1[[#This Row],[сумма]]*Таблица1[[#This Row],[коэф]])))))))))))))),
(IF((G351="5/24"),((база!$M$6*Таблица1[[#This Row],[сумма]]*Таблица1[[#This Row],[коэф]])),
IF(OR(G351="4/24",G351="3/24"),((база!$M$5*Таблица1[[#This Row],[сумма]]*Таблица1[[#This Row],[коэф]])),
IF((G351="5/16"),((база!$L$6*Таблица1[[#This Row],[сумма]]*Таблица1[[#This Row],[коэф]])),
IF(OR(G351="4/16",G351="3/16"),((база!$L$5*Таблица1[[#This Row],[сумма]]*Таблица1[[#This Row],[коэф]])),
IF(OR(G351="2/4",G351="3/4",G351="4/4"),((база!$I$5*Таблица1[[#This Row],[сумма]]*Таблица1[[#This Row],[коэф]])),
IF((G351="5/8"),((база!$J$6*Таблица1[[#This Row],[сумма]]*Таблица1[[#This Row],[коэф]])),
IF(OR(G351="4/8",G351="3/8",G351="2/8"),((база!$J$5*Таблица1[[#This Row],[сумма]]*Таблица1[[#This Row],[коэф]])))))))))))</f>
        <v>0</v>
      </c>
      <c r="AP351" s="696" t="b">
        <f>IF(AR351&lt;=3,(IF((G351="5/24"),((база!$M$6*2*Таблица1[[#This Row],[Столбец1]]*Таблица1[[#This Row],[коэф]])),
IF((G351="4/24"),((база!$M$5*2*Таблица1[[#This Row],[Столбец1]]*Таблица1[[#This Row],[коэф]])),
IF((G351="3/24"),((база!$M$4*2*Таблица1[[#This Row],[Столбец1]]*Таблица1[[#This Row],[коэф]])),
IF((G351="5/16"),((база!$L$6*2*Таблица1[[#This Row],[Столбец1]]*Таблица1[[#This Row],[коэф]])),
IF((G351="4/16"),((база!$L$5*2*Таблица1[[#This Row],[Столбец1]]*Таблица1[[#This Row],[коэф]])),
IF((G351="3/16"),((база!$L$4*2*Таблица1[[#This Row],[Столбец1]]*Таблица1[[#This Row],[коэф]])),
IF((G351="4/4"),((база!$I$5*2*Таблица1[[#This Row],[Столбец1]]*Таблица1[[#This Row],[коэф]])),
IF(OR(G351="2/4",G351="3/4"),((база!$I$4*2*Таблица1[[#This Row],[Столбец1]]*Таблица1[[#This Row],[коэф]])),
IF((G351="5/8"),((база!$J$6*2*Таблица1[[#This Row],[Столбец1]]*Таблица1[[#This Row],[коэф]])),
IF((G351="4/8"),((база!$J$5*2*Таблица1[[#This Row],[Столбец1]]*Таблица1[[#This Row],[коэф]])),
IF(OR(G351="3/8",G351="2/8"),((база!$J$4*2*Таблица1[[#This Row],[Столбец1]]*Таблица1[[#This Row],[коэф]])))))))))))))),
(IF((G351="5/24"),((база!$M$6*2*Таблица1[[#This Row],[Столбец1]]*Таблица1[[#This Row],[коэф]])),
IF(OR(G351="4/24",G351="3/24"),((база!$M$5*2*Таблица1[[#This Row],[Столбец1]]*Таблица1[[#This Row],[коэф]])),
IF((G351="5/16"),((база!$L$6*2*Таблица1[[#This Row],[Столбец1]]*Таблица1[[#This Row],[коэф]])),
IF(OR(G351="4/16",G351="3/16"),((база!$L$5*2*Таблица1[[#This Row],[Столбец1]]*Таблица1[[#This Row],[коэф]])),
IF(OR(G351="2/4",G351="3/4",G351="4/4"),((база!$I$5*2*Таблица1[[#This Row],[Столбец1]]*Таблица1[[#This Row],[коэф]])),
IF((G351="5/8"),((база!$J$6*2*Таблица1[[#This Row],[Столбец1]]*Таблица1[[#This Row],[коэф]])),
IF(OR(G351="4/8",G351="3/8",G351="2/8"),((база!$J$5*2*Таблица1[[#This Row],[Столбец1]]*Таблица1[[#This Row],[коэф]])))))))))))</f>
        <v>0</v>
      </c>
      <c r="AQ351" s="678" t="str">
        <f>IFERROR(INDEX(база!T:T, MATCH(F351,база!Q:Q,0)),"")</f>
        <v/>
      </c>
      <c r="AR351" s="193">
        <f>IFERROR(INDEX(база!D:D, MATCH(F351,база!B:B,0)),"")</f>
        <v>0</v>
      </c>
    </row>
    <row r="352" spans="1:44" ht="15">
      <c r="A352" s="59"/>
      <c r="B352" s="215"/>
      <c r="C352" s="277"/>
      <c r="D352" s="55"/>
      <c r="E352" s="196"/>
      <c r="F352" s="651"/>
      <c r="G352" s="42"/>
      <c r="H352" s="539"/>
      <c r="I352" s="539"/>
      <c r="J352" s="539"/>
      <c r="K352" s="539"/>
      <c r="L352" s="539"/>
      <c r="M352" s="539"/>
      <c r="N352" s="539"/>
      <c r="O352" s="539"/>
      <c r="P352" s="278"/>
      <c r="Q352" s="539"/>
      <c r="R352" s="539"/>
      <c r="S352" s="539"/>
      <c r="T352" s="539"/>
      <c r="U352" s="539"/>
      <c r="V352" s="539"/>
      <c r="W352" s="539"/>
      <c r="X352" s="539"/>
      <c r="Y352" s="539"/>
      <c r="Z352" s="539"/>
      <c r="AA352" s="539"/>
      <c r="AB352" s="539"/>
      <c r="AC352" s="539"/>
      <c r="AD352" s="43"/>
      <c r="AE352" s="43"/>
      <c r="AF352" s="238"/>
      <c r="AG352" s="43"/>
      <c r="AH352" s="43"/>
      <c r="AI352" s="43"/>
      <c r="AJ352" s="43"/>
      <c r="AK352" s="43"/>
      <c r="AL352" s="45"/>
      <c r="AM352" s="197">
        <f>IF(AQ352=1,SUM(H352:I352,L352:O352,R352:U352,X352:AA352,AD352:AG352,AI352:AK352),
IF(AQ352=2,SUM(H352:K352,N352:Q352,T352:W352,Z352:AC352,AF352:AI352),
IF(AQ352=3,SUM(J352:M352,P352:S352,V352:Y352,AB352:AE352,AH352:AK352),SUM(Таблица1[[#This Row],[1]:[31]])-Таблица1[[#This Row],[Столбец1]])))</f>
        <v>0</v>
      </c>
      <c r="AN352" s="269">
        <f t="array" ref="AN352">IF(AQ352=1,SUM(J352:K352,P352:Q352,V352:W352,AB352:AC352,AH352:AI352),
IF(AQ352=2,SUM(L352:M352,R352:S352,X352:Y352,AD352:AE352),
IF(AQ352=3,SUM(H352:I352,N352:O352,T352:U352,Z352:AA352,AF352:AG352),
SUM(IFERROR(WEEKDAY($H$2:$AL$2,2)&gt;5,)*H352:AL352))))</f>
        <v>0</v>
      </c>
      <c r="AO352" s="271" t="b">
        <f>IF(AR352&lt;=3,(IF((G352="5/24"),((база!$M$6*Таблица1[[#This Row],[сумма]]*Таблица1[[#This Row],[коэф]])),
IF((G352="4/24"),((база!$M$5*Таблица1[[#This Row],[сумма]]*Таблица1[[#This Row],[коэф]])),
IF((G352="3/24"),((база!$M$4*Таблица1[[#This Row],[сумма]]*Таблица1[[#This Row],[коэф]])),
IF((G352="5/16"),((база!$L$6*Таблица1[[#This Row],[сумма]]*Таблица1[[#This Row],[коэф]])),
IF((G352="4/16"),((база!$L$5*Таблица1[[#This Row],[сумма]]*Таблица1[[#This Row],[коэф]])),
IF((G352="3/16"),((база!$L$4*Таблица1[[#This Row],[сумма]]*Таблица1[[#This Row],[коэф]])),
IF((G352="4/4"),((база!$I$5*Таблица1[[#This Row],[сумма]]*Таблица1[[#This Row],[коэф]])),
IF(OR(G352="2/4",G352="3/4"),((база!$I$4*Таблица1[[#This Row],[сумма]]*Таблица1[[#This Row],[коэф]])),
IF((G352="5/8"),((база!$J$6*Таблица1[[#This Row],[сумма]]*Таблица1[[#This Row],[коэф]])),
IF((G352="4/8"),((база!$J$5*Таблица1[[#This Row],[сумма]]*Таблица1[[#This Row],[коэф]])),
IF(OR(G352="3/8",G352="2/8"),((база!$J$4*Таблица1[[#This Row],[сумма]]*Таблица1[[#This Row],[коэф]])))))))))))))),
(IF((G352="5/24"),((база!$M$6*Таблица1[[#This Row],[сумма]]*Таблица1[[#This Row],[коэф]])),
IF(OR(G352="4/24",G352="3/24"),((база!$M$5*Таблица1[[#This Row],[сумма]]*Таблица1[[#This Row],[коэф]])),
IF((G352="5/16"),((база!$L$6*Таблица1[[#This Row],[сумма]]*Таблица1[[#This Row],[коэф]])),
IF(OR(G352="4/16",G352="3/16"),((база!$L$5*Таблица1[[#This Row],[сумма]]*Таблица1[[#This Row],[коэф]])),
IF(OR(G352="2/4",G352="3/4",G352="4/4"),((база!$I$5*Таблица1[[#This Row],[сумма]]*Таблица1[[#This Row],[коэф]])),
IF((G352="5/8"),((база!$J$6*Таблица1[[#This Row],[сумма]]*Таблица1[[#This Row],[коэф]])),
IF(OR(G352="4/8",G352="3/8",G352="2/8"),((база!$J$5*Таблица1[[#This Row],[сумма]]*Таблица1[[#This Row],[коэф]])))))))))))</f>
        <v>0</v>
      </c>
      <c r="AP352" s="696" t="b">
        <f>IF(AR352&lt;=3,(IF((G352="5/24"),((база!$M$6*2*Таблица1[[#This Row],[Столбец1]]*Таблица1[[#This Row],[коэф]])),
IF((G352="4/24"),((база!$M$5*2*Таблица1[[#This Row],[Столбец1]]*Таблица1[[#This Row],[коэф]])),
IF((G352="3/24"),((база!$M$4*2*Таблица1[[#This Row],[Столбец1]]*Таблица1[[#This Row],[коэф]])),
IF((G352="5/16"),((база!$L$6*2*Таблица1[[#This Row],[Столбец1]]*Таблица1[[#This Row],[коэф]])),
IF((G352="4/16"),((база!$L$5*2*Таблица1[[#This Row],[Столбец1]]*Таблица1[[#This Row],[коэф]])),
IF((G352="3/16"),((база!$L$4*2*Таблица1[[#This Row],[Столбец1]]*Таблица1[[#This Row],[коэф]])),
IF((G352="4/4"),((база!$I$5*2*Таблица1[[#This Row],[Столбец1]]*Таблица1[[#This Row],[коэф]])),
IF(OR(G352="2/4",G352="3/4"),((база!$I$4*2*Таблица1[[#This Row],[Столбец1]]*Таблица1[[#This Row],[коэф]])),
IF((G352="5/8"),((база!$J$6*2*Таблица1[[#This Row],[Столбец1]]*Таблица1[[#This Row],[коэф]])),
IF((G352="4/8"),((база!$J$5*2*Таблица1[[#This Row],[Столбец1]]*Таблица1[[#This Row],[коэф]])),
IF(OR(G352="3/8",G352="2/8"),((база!$J$4*2*Таблица1[[#This Row],[Столбец1]]*Таблица1[[#This Row],[коэф]])))))))))))))),
(IF((G352="5/24"),((база!$M$6*2*Таблица1[[#This Row],[Столбец1]]*Таблица1[[#This Row],[коэф]])),
IF(OR(G352="4/24",G352="3/24"),((база!$M$5*2*Таблица1[[#This Row],[Столбец1]]*Таблица1[[#This Row],[коэф]])),
IF((G352="5/16"),((база!$L$6*2*Таблица1[[#This Row],[Столбец1]]*Таблица1[[#This Row],[коэф]])),
IF(OR(G352="4/16",G352="3/16"),((база!$L$5*2*Таблица1[[#This Row],[Столбец1]]*Таблица1[[#This Row],[коэф]])),
IF(OR(G352="2/4",G352="3/4",G352="4/4"),((база!$I$5*2*Таблица1[[#This Row],[Столбец1]]*Таблица1[[#This Row],[коэф]])),
IF((G352="5/8"),((база!$J$6*2*Таблица1[[#This Row],[Столбец1]]*Таблица1[[#This Row],[коэф]])),
IF(OR(G352="4/8",G352="3/8",G352="2/8"),((база!$J$5*2*Таблица1[[#This Row],[Столбец1]]*Таблица1[[#This Row],[коэф]])))))))))))</f>
        <v>0</v>
      </c>
      <c r="AQ352" s="678" t="str">
        <f>IFERROR(INDEX(база!T:T, MATCH(F352,база!Q:Q,0)),"")</f>
        <v/>
      </c>
      <c r="AR352" s="193">
        <f>IFERROR(INDEX(база!D:D, MATCH(F352,база!B:B,0)),"")</f>
        <v>0</v>
      </c>
    </row>
    <row r="353" spans="1:44" ht="15">
      <c r="A353" s="59"/>
      <c r="B353" s="215"/>
      <c r="C353" s="277"/>
      <c r="D353" s="55"/>
      <c r="E353" s="196"/>
      <c r="F353" s="651"/>
      <c r="G353" s="42"/>
      <c r="H353" s="539"/>
      <c r="I353" s="539"/>
      <c r="J353" s="539"/>
      <c r="K353" s="539"/>
      <c r="L353" s="539"/>
      <c r="M353" s="539"/>
      <c r="N353" s="539"/>
      <c r="O353" s="539"/>
      <c r="P353" s="278"/>
      <c r="Q353" s="539"/>
      <c r="R353" s="539"/>
      <c r="S353" s="539"/>
      <c r="T353" s="539"/>
      <c r="U353" s="539"/>
      <c r="V353" s="539"/>
      <c r="W353" s="539"/>
      <c r="X353" s="539"/>
      <c r="Y353" s="539"/>
      <c r="Z353" s="539"/>
      <c r="AA353" s="539"/>
      <c r="AB353" s="539"/>
      <c r="AC353" s="539"/>
      <c r="AD353" s="43"/>
      <c r="AE353" s="43"/>
      <c r="AF353" s="238"/>
      <c r="AG353" s="43"/>
      <c r="AH353" s="43"/>
      <c r="AI353" s="238"/>
      <c r="AJ353" s="238"/>
      <c r="AK353" s="238"/>
      <c r="AL353" s="238"/>
      <c r="AM353" s="197">
        <f>IF(AQ353=1,SUM(H353:I353,L353:O353,R353:U353,X353:AA353,AD353:AG353,AI353:AK353),
IF(AQ353=2,SUM(H353:K353,N353:Q353,T353:W353,Z353:AC353,AF353:AI353),
IF(AQ353=3,SUM(J353:M353,P353:S353,V353:Y353,AB353:AE353,AH353:AK353),SUM(Таблица1[[#This Row],[1]:[31]])-Таблица1[[#This Row],[Столбец1]])))</f>
        <v>0</v>
      </c>
      <c r="AN353" s="269">
        <f t="array" ref="AN353">IF(AQ353=1,SUM(J353:K353,P353:Q353,V353:W353,AB353:AC353,AH353:AI353),
IF(AQ353=2,SUM(L353:M353,R353:S353,X353:Y353,AD353:AE353),
IF(AQ353=3,SUM(H353:I353,N353:O353,T353:U353,Z353:AA353,AF353:AG353),
SUM(IFERROR(WEEKDAY($H$2:$AL$2,2)&gt;5,)*H353:AL353))))</f>
        <v>0</v>
      </c>
      <c r="AO353" s="271" t="b">
        <f>IF(AR353&lt;=3,(IF((G353="5/24"),((база!$M$6*Таблица1[[#This Row],[сумма]]*Таблица1[[#This Row],[коэф]])),
IF((G353="4/24"),((база!$M$5*Таблица1[[#This Row],[сумма]]*Таблица1[[#This Row],[коэф]])),
IF((G353="3/24"),((база!$M$4*Таблица1[[#This Row],[сумма]]*Таблица1[[#This Row],[коэф]])),
IF((G353="5/16"),((база!$L$6*Таблица1[[#This Row],[сумма]]*Таблица1[[#This Row],[коэф]])),
IF((G353="4/16"),((база!$L$5*Таблица1[[#This Row],[сумма]]*Таблица1[[#This Row],[коэф]])),
IF((G353="3/16"),((база!$L$4*Таблица1[[#This Row],[сумма]]*Таблица1[[#This Row],[коэф]])),
IF((G353="4/4"),((база!$I$5*Таблица1[[#This Row],[сумма]]*Таблица1[[#This Row],[коэф]])),
IF(OR(G353="2/4",G353="3/4"),((база!$I$4*Таблица1[[#This Row],[сумма]]*Таблица1[[#This Row],[коэф]])),
IF((G353="5/8"),((база!$J$6*Таблица1[[#This Row],[сумма]]*Таблица1[[#This Row],[коэф]])),
IF((G353="4/8"),((база!$J$5*Таблица1[[#This Row],[сумма]]*Таблица1[[#This Row],[коэф]])),
IF(OR(G353="3/8",G353="2/8"),((база!$J$4*Таблица1[[#This Row],[сумма]]*Таблица1[[#This Row],[коэф]])))))))))))))),
(IF((G353="5/24"),((база!$M$6*Таблица1[[#This Row],[сумма]]*Таблица1[[#This Row],[коэф]])),
IF(OR(G353="4/24",G353="3/24"),((база!$M$5*Таблица1[[#This Row],[сумма]]*Таблица1[[#This Row],[коэф]])),
IF((G353="5/16"),((база!$L$6*Таблица1[[#This Row],[сумма]]*Таблица1[[#This Row],[коэф]])),
IF(OR(G353="4/16",G353="3/16"),((база!$L$5*Таблица1[[#This Row],[сумма]]*Таблица1[[#This Row],[коэф]])),
IF(OR(G353="2/4",G353="3/4",G353="4/4"),((база!$I$5*Таблица1[[#This Row],[сумма]]*Таблица1[[#This Row],[коэф]])),
IF((G353="5/8"),((база!$J$6*Таблица1[[#This Row],[сумма]]*Таблица1[[#This Row],[коэф]])),
IF(OR(G353="4/8",G353="3/8",G353="2/8"),((база!$J$5*Таблица1[[#This Row],[сумма]]*Таблица1[[#This Row],[коэф]])))))))))))</f>
        <v>0</v>
      </c>
      <c r="AP353" s="696" t="b">
        <f>IF(AR353&lt;=3,(IF((G353="5/24"),((база!$M$6*2*Таблица1[[#This Row],[Столбец1]]*Таблица1[[#This Row],[коэф]])),
IF((G353="4/24"),((база!$M$5*2*Таблица1[[#This Row],[Столбец1]]*Таблица1[[#This Row],[коэф]])),
IF((G353="3/24"),((база!$M$4*2*Таблица1[[#This Row],[Столбец1]]*Таблица1[[#This Row],[коэф]])),
IF((G353="5/16"),((база!$L$6*2*Таблица1[[#This Row],[Столбец1]]*Таблица1[[#This Row],[коэф]])),
IF((G353="4/16"),((база!$L$5*2*Таблица1[[#This Row],[Столбец1]]*Таблица1[[#This Row],[коэф]])),
IF((G353="3/16"),((база!$L$4*2*Таблица1[[#This Row],[Столбец1]]*Таблица1[[#This Row],[коэф]])),
IF((G353="4/4"),((база!$I$5*2*Таблица1[[#This Row],[Столбец1]]*Таблица1[[#This Row],[коэф]])),
IF(OR(G353="2/4",G353="3/4"),((база!$I$4*2*Таблица1[[#This Row],[Столбец1]]*Таблица1[[#This Row],[коэф]])),
IF((G353="5/8"),((база!$J$6*2*Таблица1[[#This Row],[Столбец1]]*Таблица1[[#This Row],[коэф]])),
IF((G353="4/8"),((база!$J$5*2*Таблица1[[#This Row],[Столбец1]]*Таблица1[[#This Row],[коэф]])),
IF(OR(G353="3/8",G353="2/8"),((база!$J$4*2*Таблица1[[#This Row],[Столбец1]]*Таблица1[[#This Row],[коэф]])))))))))))))),
(IF((G353="5/24"),((база!$M$6*2*Таблица1[[#This Row],[Столбец1]]*Таблица1[[#This Row],[коэф]])),
IF(OR(G353="4/24",G353="3/24"),((база!$M$5*2*Таблица1[[#This Row],[Столбец1]]*Таблица1[[#This Row],[коэф]])),
IF((G353="5/16"),((база!$L$6*2*Таблица1[[#This Row],[Столбец1]]*Таблица1[[#This Row],[коэф]])),
IF(OR(G353="4/16",G353="3/16"),((база!$L$5*2*Таблица1[[#This Row],[Столбец1]]*Таблица1[[#This Row],[коэф]])),
IF(OR(G353="2/4",G353="3/4",G353="4/4"),((база!$I$5*2*Таблица1[[#This Row],[Столбец1]]*Таблица1[[#This Row],[коэф]])),
IF((G353="5/8"),((база!$J$6*2*Таблица1[[#This Row],[Столбец1]]*Таблица1[[#This Row],[коэф]])),
IF(OR(G353="4/8",G353="3/8",G353="2/8"),((база!$J$5*2*Таблица1[[#This Row],[Столбец1]]*Таблица1[[#This Row],[коэф]])))))))))))</f>
        <v>0</v>
      </c>
      <c r="AQ353" s="678" t="str">
        <f>IFERROR(INDEX(база!T:T, MATCH(F353,база!Q:Q,0)),"")</f>
        <v/>
      </c>
      <c r="AR353" s="193">
        <f>IFERROR(INDEX(база!D:D, MATCH(F353,база!B:B,0)),"")</f>
        <v>0</v>
      </c>
    </row>
    <row r="354" spans="1:44" ht="15">
      <c r="A354" s="59"/>
      <c r="B354" s="215"/>
      <c r="C354" s="277"/>
      <c r="D354" s="55"/>
      <c r="E354" s="196"/>
      <c r="F354" s="651"/>
      <c r="G354" s="42"/>
      <c r="H354" s="539"/>
      <c r="I354" s="539"/>
      <c r="J354" s="539"/>
      <c r="K354" s="539"/>
      <c r="L354" s="539"/>
      <c r="M354" s="539"/>
      <c r="N354" s="539"/>
      <c r="O354" s="539"/>
      <c r="P354" s="278"/>
      <c r="Q354" s="539"/>
      <c r="R354" s="539"/>
      <c r="S354" s="539"/>
      <c r="T354" s="539"/>
      <c r="U354" s="539"/>
      <c r="V354" s="539"/>
      <c r="W354" s="539"/>
      <c r="X354" s="539"/>
      <c r="Y354" s="539"/>
      <c r="Z354" s="539"/>
      <c r="AA354" s="539"/>
      <c r="AB354" s="539"/>
      <c r="AC354" s="539"/>
      <c r="AD354" s="43"/>
      <c r="AE354" s="43"/>
      <c r="AF354" s="238"/>
      <c r="AG354" s="43"/>
      <c r="AH354" s="43"/>
      <c r="AI354" s="43"/>
      <c r="AJ354" s="43"/>
      <c r="AK354" s="43"/>
      <c r="AL354" s="45"/>
      <c r="AM354" s="197">
        <f>IF(AQ354=1,SUM(H354:I354,L354:O354,R354:U354,X354:AA354,AD354:AG354,AI354:AK354),
IF(AQ354=2,SUM(H354:K354,N354:Q354,T354:W354,Z354:AC354,AF354:AI354),
IF(AQ354=3,SUM(J354:M354,P354:S354,V354:Y354,AB354:AE354,AH354:AK354),SUM(Таблица1[[#This Row],[1]:[31]])-Таблица1[[#This Row],[Столбец1]])))</f>
        <v>0</v>
      </c>
      <c r="AN354" s="269">
        <f t="array" ref="AN354">IF(AQ354=1,SUM(J354:K354,P354:Q354,V354:W354,AB354:AC354,AH354:AI354),
IF(AQ354=2,SUM(L354:M354,R354:S354,X354:Y354,AD354:AE354),
IF(AQ354=3,SUM(H354:I354,N354:O354,T354:U354,Z354:AA354,AF354:AG354),
SUM(IFERROR(WEEKDAY($H$2:$AL$2,2)&gt;5,)*H354:AL354))))</f>
        <v>0</v>
      </c>
      <c r="AO354" s="271" t="b">
        <f>IF(AR354&lt;=3,(IF((G354="5/24"),((база!$M$6*Таблица1[[#This Row],[сумма]]*Таблица1[[#This Row],[коэф]])),
IF((G354="4/24"),((база!$M$5*Таблица1[[#This Row],[сумма]]*Таблица1[[#This Row],[коэф]])),
IF((G354="3/24"),((база!$M$4*Таблица1[[#This Row],[сумма]]*Таблица1[[#This Row],[коэф]])),
IF((G354="5/16"),((база!$L$6*Таблица1[[#This Row],[сумма]]*Таблица1[[#This Row],[коэф]])),
IF((G354="4/16"),((база!$L$5*Таблица1[[#This Row],[сумма]]*Таблица1[[#This Row],[коэф]])),
IF((G354="3/16"),((база!$L$4*Таблица1[[#This Row],[сумма]]*Таблица1[[#This Row],[коэф]])),
IF((G354="4/4"),((база!$I$5*Таблица1[[#This Row],[сумма]]*Таблица1[[#This Row],[коэф]])),
IF(OR(G354="2/4",G354="3/4"),((база!$I$4*Таблица1[[#This Row],[сумма]]*Таблица1[[#This Row],[коэф]])),
IF((G354="5/8"),((база!$J$6*Таблица1[[#This Row],[сумма]]*Таблица1[[#This Row],[коэф]])),
IF((G354="4/8"),((база!$J$5*Таблица1[[#This Row],[сумма]]*Таблица1[[#This Row],[коэф]])),
IF(OR(G354="3/8",G354="2/8"),((база!$J$4*Таблица1[[#This Row],[сумма]]*Таблица1[[#This Row],[коэф]])))))))))))))),
(IF((G354="5/24"),((база!$M$6*Таблица1[[#This Row],[сумма]]*Таблица1[[#This Row],[коэф]])),
IF(OR(G354="4/24",G354="3/24"),((база!$M$5*Таблица1[[#This Row],[сумма]]*Таблица1[[#This Row],[коэф]])),
IF((G354="5/16"),((база!$L$6*Таблица1[[#This Row],[сумма]]*Таблица1[[#This Row],[коэф]])),
IF(OR(G354="4/16",G354="3/16"),((база!$L$5*Таблица1[[#This Row],[сумма]]*Таблица1[[#This Row],[коэф]])),
IF(OR(G354="2/4",G354="3/4",G354="4/4"),((база!$I$5*Таблица1[[#This Row],[сумма]]*Таблица1[[#This Row],[коэф]])),
IF((G354="5/8"),((база!$J$6*Таблица1[[#This Row],[сумма]]*Таблица1[[#This Row],[коэф]])),
IF(OR(G354="4/8",G354="3/8",G354="2/8"),((база!$J$5*Таблица1[[#This Row],[сумма]]*Таблица1[[#This Row],[коэф]])))))))))))</f>
        <v>0</v>
      </c>
      <c r="AP354" s="696" t="b">
        <f>IF(AR354&lt;=3,(IF((G354="5/24"),((база!$M$6*2*Таблица1[[#This Row],[Столбец1]]*Таблица1[[#This Row],[коэф]])),
IF((G354="4/24"),((база!$M$5*2*Таблица1[[#This Row],[Столбец1]]*Таблица1[[#This Row],[коэф]])),
IF((G354="3/24"),((база!$M$4*2*Таблица1[[#This Row],[Столбец1]]*Таблица1[[#This Row],[коэф]])),
IF((G354="5/16"),((база!$L$6*2*Таблица1[[#This Row],[Столбец1]]*Таблица1[[#This Row],[коэф]])),
IF((G354="4/16"),((база!$L$5*2*Таблица1[[#This Row],[Столбец1]]*Таблица1[[#This Row],[коэф]])),
IF((G354="3/16"),((база!$L$4*2*Таблица1[[#This Row],[Столбец1]]*Таблица1[[#This Row],[коэф]])),
IF((G354="4/4"),((база!$I$5*2*Таблица1[[#This Row],[Столбец1]]*Таблица1[[#This Row],[коэф]])),
IF(OR(G354="2/4",G354="3/4"),((база!$I$4*2*Таблица1[[#This Row],[Столбец1]]*Таблица1[[#This Row],[коэф]])),
IF((G354="5/8"),((база!$J$6*2*Таблица1[[#This Row],[Столбец1]]*Таблица1[[#This Row],[коэф]])),
IF((G354="4/8"),((база!$J$5*2*Таблица1[[#This Row],[Столбец1]]*Таблица1[[#This Row],[коэф]])),
IF(OR(G354="3/8",G354="2/8"),((база!$J$4*2*Таблица1[[#This Row],[Столбец1]]*Таблица1[[#This Row],[коэф]])))))))))))))),
(IF((G354="5/24"),((база!$M$6*2*Таблица1[[#This Row],[Столбец1]]*Таблица1[[#This Row],[коэф]])),
IF(OR(G354="4/24",G354="3/24"),((база!$M$5*2*Таблица1[[#This Row],[Столбец1]]*Таблица1[[#This Row],[коэф]])),
IF((G354="5/16"),((база!$L$6*2*Таблица1[[#This Row],[Столбец1]]*Таблица1[[#This Row],[коэф]])),
IF(OR(G354="4/16",G354="3/16"),((база!$L$5*2*Таблица1[[#This Row],[Столбец1]]*Таблица1[[#This Row],[коэф]])),
IF(OR(G354="2/4",G354="3/4",G354="4/4"),((база!$I$5*2*Таблица1[[#This Row],[Столбец1]]*Таблица1[[#This Row],[коэф]])),
IF((G354="5/8"),((база!$J$6*2*Таблица1[[#This Row],[Столбец1]]*Таблица1[[#This Row],[коэф]])),
IF(OR(G354="4/8",G354="3/8",G354="2/8"),((база!$J$5*2*Таблица1[[#This Row],[Столбец1]]*Таблица1[[#This Row],[коэф]])))))))))))</f>
        <v>0</v>
      </c>
      <c r="AQ354" s="678" t="str">
        <f>IFERROR(INDEX(база!T:T, MATCH(F354,база!Q:Q,0)),"")</f>
        <v/>
      </c>
      <c r="AR354" s="193">
        <f>IFERROR(INDEX(база!D:D, MATCH(F354,база!B:B,0)),"")</f>
        <v>0</v>
      </c>
    </row>
    <row r="355" spans="1:44" ht="15">
      <c r="A355" s="59"/>
      <c r="B355" s="215"/>
      <c r="C355" s="277"/>
      <c r="D355" s="55"/>
      <c r="E355" s="196"/>
      <c r="F355" s="651"/>
      <c r="G355" s="42"/>
      <c r="H355" s="539"/>
      <c r="I355" s="539"/>
      <c r="J355" s="539"/>
      <c r="K355" s="539"/>
      <c r="L355" s="539"/>
      <c r="M355" s="539"/>
      <c r="N355" s="539"/>
      <c r="O355" s="539"/>
      <c r="P355" s="278"/>
      <c r="Q355" s="539"/>
      <c r="R355" s="539"/>
      <c r="S355" s="539"/>
      <c r="T355" s="539"/>
      <c r="U355" s="539"/>
      <c r="V355" s="539"/>
      <c r="W355" s="539"/>
      <c r="X355" s="539"/>
      <c r="Y355" s="539"/>
      <c r="Z355" s="539"/>
      <c r="AA355" s="539"/>
      <c r="AB355" s="539"/>
      <c r="AC355" s="539"/>
      <c r="AD355" s="43"/>
      <c r="AE355" s="43"/>
      <c r="AF355" s="238"/>
      <c r="AG355" s="43"/>
      <c r="AH355" s="43"/>
      <c r="AI355" s="238"/>
      <c r="AJ355" s="238"/>
      <c r="AK355" s="238"/>
      <c r="AL355" s="238"/>
      <c r="AM355" s="197">
        <f>IF(AQ355=1,SUM(H355:I355,L355:O355,R355:U355,X355:AA355,AD355:AG355,AI355:AK355),
IF(AQ355=2,SUM(H355:K355,N355:Q355,T355:W355,Z355:AC355,AF355:AI355),
IF(AQ355=3,SUM(J355:M355,P355:S355,V355:Y355,AB355:AE355,AH355:AK355),SUM(Таблица1[[#This Row],[1]:[31]])-Таблица1[[#This Row],[Столбец1]])))</f>
        <v>0</v>
      </c>
      <c r="AN355" s="269">
        <f t="array" ref="AN355">IF(AQ355=1,SUM(J355:K355,P355:Q355,V355:W355,AB355:AC355,AH355:AI355),
IF(AQ355=2,SUM(L355:M355,R355:S355,X355:Y355,AD355:AE355),
IF(AQ355=3,SUM(H355:I355,N355:O355,T355:U355,Z355:AA355,AF355:AG355),
SUM(IFERROR(WEEKDAY($H$2:$AL$2,2)&gt;5,)*H355:AL355))))</f>
        <v>0</v>
      </c>
      <c r="AO355" s="271" t="b">
        <f>IF(AR355&lt;=3,(IF((G355="5/24"),((база!$M$6*Таблица1[[#This Row],[сумма]]*Таблица1[[#This Row],[коэф]])),
IF((G355="4/24"),((база!$M$5*Таблица1[[#This Row],[сумма]]*Таблица1[[#This Row],[коэф]])),
IF((G355="3/24"),((база!$M$4*Таблица1[[#This Row],[сумма]]*Таблица1[[#This Row],[коэф]])),
IF((G355="5/16"),((база!$L$6*Таблица1[[#This Row],[сумма]]*Таблица1[[#This Row],[коэф]])),
IF((G355="4/16"),((база!$L$5*Таблица1[[#This Row],[сумма]]*Таблица1[[#This Row],[коэф]])),
IF((G355="3/16"),((база!$L$4*Таблица1[[#This Row],[сумма]]*Таблица1[[#This Row],[коэф]])),
IF((G355="4/4"),((база!$I$5*Таблица1[[#This Row],[сумма]]*Таблица1[[#This Row],[коэф]])),
IF(OR(G355="2/4",G355="3/4"),((база!$I$4*Таблица1[[#This Row],[сумма]]*Таблица1[[#This Row],[коэф]])),
IF((G355="5/8"),((база!$J$6*Таблица1[[#This Row],[сумма]]*Таблица1[[#This Row],[коэф]])),
IF((G355="4/8"),((база!$J$5*Таблица1[[#This Row],[сумма]]*Таблица1[[#This Row],[коэф]])),
IF(OR(G355="3/8",G355="2/8"),((база!$J$4*Таблица1[[#This Row],[сумма]]*Таблица1[[#This Row],[коэф]])))))))))))))),
(IF((G355="5/24"),((база!$M$6*Таблица1[[#This Row],[сумма]]*Таблица1[[#This Row],[коэф]])),
IF(OR(G355="4/24",G355="3/24"),((база!$M$5*Таблица1[[#This Row],[сумма]]*Таблица1[[#This Row],[коэф]])),
IF((G355="5/16"),((база!$L$6*Таблица1[[#This Row],[сумма]]*Таблица1[[#This Row],[коэф]])),
IF(OR(G355="4/16",G355="3/16"),((база!$L$5*Таблица1[[#This Row],[сумма]]*Таблица1[[#This Row],[коэф]])),
IF(OR(G355="2/4",G355="3/4",G355="4/4"),((база!$I$5*Таблица1[[#This Row],[сумма]]*Таблица1[[#This Row],[коэф]])),
IF((G355="5/8"),((база!$J$6*Таблица1[[#This Row],[сумма]]*Таблица1[[#This Row],[коэф]])),
IF(OR(G355="4/8",G355="3/8",G355="2/8"),((база!$J$5*Таблица1[[#This Row],[сумма]]*Таблица1[[#This Row],[коэф]])))))))))))</f>
        <v>0</v>
      </c>
      <c r="AP355" s="696" t="b">
        <f>IF(AR355&lt;=3,(IF((G355="5/24"),((база!$M$6*2*Таблица1[[#This Row],[Столбец1]]*Таблица1[[#This Row],[коэф]])),
IF((G355="4/24"),((база!$M$5*2*Таблица1[[#This Row],[Столбец1]]*Таблица1[[#This Row],[коэф]])),
IF((G355="3/24"),((база!$M$4*2*Таблица1[[#This Row],[Столбец1]]*Таблица1[[#This Row],[коэф]])),
IF((G355="5/16"),((база!$L$6*2*Таблица1[[#This Row],[Столбец1]]*Таблица1[[#This Row],[коэф]])),
IF((G355="4/16"),((база!$L$5*2*Таблица1[[#This Row],[Столбец1]]*Таблица1[[#This Row],[коэф]])),
IF((G355="3/16"),((база!$L$4*2*Таблица1[[#This Row],[Столбец1]]*Таблица1[[#This Row],[коэф]])),
IF((G355="4/4"),((база!$I$5*2*Таблица1[[#This Row],[Столбец1]]*Таблица1[[#This Row],[коэф]])),
IF(OR(G355="2/4",G355="3/4"),((база!$I$4*2*Таблица1[[#This Row],[Столбец1]]*Таблица1[[#This Row],[коэф]])),
IF((G355="5/8"),((база!$J$6*2*Таблица1[[#This Row],[Столбец1]]*Таблица1[[#This Row],[коэф]])),
IF((G355="4/8"),((база!$J$5*2*Таблица1[[#This Row],[Столбец1]]*Таблица1[[#This Row],[коэф]])),
IF(OR(G355="3/8",G355="2/8"),((база!$J$4*2*Таблица1[[#This Row],[Столбец1]]*Таблица1[[#This Row],[коэф]])))))))))))))),
(IF((G355="5/24"),((база!$M$6*2*Таблица1[[#This Row],[Столбец1]]*Таблица1[[#This Row],[коэф]])),
IF(OR(G355="4/24",G355="3/24"),((база!$M$5*2*Таблица1[[#This Row],[Столбец1]]*Таблица1[[#This Row],[коэф]])),
IF((G355="5/16"),((база!$L$6*2*Таблица1[[#This Row],[Столбец1]]*Таблица1[[#This Row],[коэф]])),
IF(OR(G355="4/16",G355="3/16"),((база!$L$5*2*Таблица1[[#This Row],[Столбец1]]*Таблица1[[#This Row],[коэф]])),
IF(OR(G355="2/4",G355="3/4",G355="4/4"),((база!$I$5*2*Таблица1[[#This Row],[Столбец1]]*Таблица1[[#This Row],[коэф]])),
IF((G355="5/8"),((база!$J$6*2*Таблица1[[#This Row],[Столбец1]]*Таблица1[[#This Row],[коэф]])),
IF(OR(G355="4/8",G355="3/8",G355="2/8"),((база!$J$5*2*Таблица1[[#This Row],[Столбец1]]*Таблица1[[#This Row],[коэф]])))))))))))</f>
        <v>0</v>
      </c>
      <c r="AQ355" s="678" t="str">
        <f>IFERROR(INDEX(база!T:T, MATCH(F355,база!Q:Q,0)),"")</f>
        <v/>
      </c>
      <c r="AR355" s="193">
        <f>IFERROR(INDEX(база!D:D, MATCH(F355,база!B:B,0)),"")</f>
        <v>0</v>
      </c>
    </row>
    <row r="356" spans="1:44" ht="15">
      <c r="A356" s="59"/>
      <c r="B356" s="215"/>
      <c r="C356" s="277"/>
      <c r="D356" s="55"/>
      <c r="E356" s="196"/>
      <c r="F356" s="651"/>
      <c r="G356" s="42"/>
      <c r="H356" s="539"/>
      <c r="I356" s="539"/>
      <c r="J356" s="539"/>
      <c r="K356" s="539"/>
      <c r="L356" s="539"/>
      <c r="M356" s="539"/>
      <c r="N356" s="539"/>
      <c r="O356" s="539"/>
      <c r="P356" s="278"/>
      <c r="Q356" s="539"/>
      <c r="R356" s="539"/>
      <c r="S356" s="539"/>
      <c r="T356" s="539"/>
      <c r="U356" s="539"/>
      <c r="V356" s="539"/>
      <c r="W356" s="539"/>
      <c r="X356" s="539"/>
      <c r="Y356" s="539"/>
      <c r="Z356" s="539"/>
      <c r="AA356" s="539"/>
      <c r="AB356" s="539"/>
      <c r="AC356" s="539"/>
      <c r="AD356" s="43"/>
      <c r="AE356" s="43"/>
      <c r="AF356" s="238"/>
      <c r="AG356" s="43"/>
      <c r="AH356" s="43"/>
      <c r="AI356" s="43"/>
      <c r="AJ356" s="43"/>
      <c r="AK356" s="43"/>
      <c r="AL356" s="45"/>
      <c r="AM356" s="197">
        <f>IF(AQ356=1,SUM(H356:I356,L356:O356,R356:U356,X356:AA356,AD356:AG356,AI356:AK356),
IF(AQ356=2,SUM(H356:K356,N356:Q356,T356:W356,Z356:AC356,AF356:AI356),
IF(AQ356=3,SUM(J356:M356,P356:S356,V356:Y356,AB356:AE356,AH356:AK356),SUM(Таблица1[[#This Row],[1]:[31]])-Таблица1[[#This Row],[Столбец1]])))</f>
        <v>0</v>
      </c>
      <c r="AN356" s="269">
        <f t="array" ref="AN356">IF(AQ356=1,SUM(J356:K356,P356:Q356,V356:W356,AB356:AC356,AH356:AI356),
IF(AQ356=2,SUM(L356:M356,R356:S356,X356:Y356,AD356:AE356),
IF(AQ356=3,SUM(H356:I356,N356:O356,T356:U356,Z356:AA356,AF356:AG356),
SUM(IFERROR(WEEKDAY($H$2:$AL$2,2)&gt;5,)*H356:AL356))))</f>
        <v>0</v>
      </c>
      <c r="AO356" s="271" t="b">
        <f>IF(AR356&lt;=3,(IF((G356="5/24"),((база!$M$6*Таблица1[[#This Row],[сумма]]*Таблица1[[#This Row],[коэф]])),
IF((G356="4/24"),((база!$M$5*Таблица1[[#This Row],[сумма]]*Таблица1[[#This Row],[коэф]])),
IF((G356="3/24"),((база!$M$4*Таблица1[[#This Row],[сумма]]*Таблица1[[#This Row],[коэф]])),
IF((G356="5/16"),((база!$L$6*Таблица1[[#This Row],[сумма]]*Таблица1[[#This Row],[коэф]])),
IF((G356="4/16"),((база!$L$5*Таблица1[[#This Row],[сумма]]*Таблица1[[#This Row],[коэф]])),
IF((G356="3/16"),((база!$L$4*Таблица1[[#This Row],[сумма]]*Таблица1[[#This Row],[коэф]])),
IF((G356="4/4"),((база!$I$5*Таблица1[[#This Row],[сумма]]*Таблица1[[#This Row],[коэф]])),
IF(OR(G356="2/4",G356="3/4"),((база!$I$4*Таблица1[[#This Row],[сумма]]*Таблица1[[#This Row],[коэф]])),
IF((G356="5/8"),((база!$J$6*Таблица1[[#This Row],[сумма]]*Таблица1[[#This Row],[коэф]])),
IF((G356="4/8"),((база!$J$5*Таблица1[[#This Row],[сумма]]*Таблица1[[#This Row],[коэф]])),
IF(OR(G356="3/8",G356="2/8"),((база!$J$4*Таблица1[[#This Row],[сумма]]*Таблица1[[#This Row],[коэф]])))))))))))))),
(IF((G356="5/24"),((база!$M$6*Таблица1[[#This Row],[сумма]]*Таблица1[[#This Row],[коэф]])),
IF(OR(G356="4/24",G356="3/24"),((база!$M$5*Таблица1[[#This Row],[сумма]]*Таблица1[[#This Row],[коэф]])),
IF((G356="5/16"),((база!$L$6*Таблица1[[#This Row],[сумма]]*Таблица1[[#This Row],[коэф]])),
IF(OR(G356="4/16",G356="3/16"),((база!$L$5*Таблица1[[#This Row],[сумма]]*Таблица1[[#This Row],[коэф]])),
IF(OR(G356="2/4",G356="3/4",G356="4/4"),((база!$I$5*Таблица1[[#This Row],[сумма]]*Таблица1[[#This Row],[коэф]])),
IF((G356="5/8"),((база!$J$6*Таблица1[[#This Row],[сумма]]*Таблица1[[#This Row],[коэф]])),
IF(OR(G356="4/8",G356="3/8",G356="2/8"),((база!$J$5*Таблица1[[#This Row],[сумма]]*Таблица1[[#This Row],[коэф]])))))))))))</f>
        <v>0</v>
      </c>
      <c r="AP356" s="696" t="b">
        <f>IF(AR356&lt;=3,(IF((G356="5/24"),((база!$M$6*2*Таблица1[[#This Row],[Столбец1]]*Таблица1[[#This Row],[коэф]])),
IF((G356="4/24"),((база!$M$5*2*Таблица1[[#This Row],[Столбец1]]*Таблица1[[#This Row],[коэф]])),
IF((G356="3/24"),((база!$M$4*2*Таблица1[[#This Row],[Столбец1]]*Таблица1[[#This Row],[коэф]])),
IF((G356="5/16"),((база!$L$6*2*Таблица1[[#This Row],[Столбец1]]*Таблица1[[#This Row],[коэф]])),
IF((G356="4/16"),((база!$L$5*2*Таблица1[[#This Row],[Столбец1]]*Таблица1[[#This Row],[коэф]])),
IF((G356="3/16"),((база!$L$4*2*Таблица1[[#This Row],[Столбец1]]*Таблица1[[#This Row],[коэф]])),
IF((G356="4/4"),((база!$I$5*2*Таблица1[[#This Row],[Столбец1]]*Таблица1[[#This Row],[коэф]])),
IF(OR(G356="2/4",G356="3/4"),((база!$I$4*2*Таблица1[[#This Row],[Столбец1]]*Таблица1[[#This Row],[коэф]])),
IF((G356="5/8"),((база!$J$6*2*Таблица1[[#This Row],[Столбец1]]*Таблица1[[#This Row],[коэф]])),
IF((G356="4/8"),((база!$J$5*2*Таблица1[[#This Row],[Столбец1]]*Таблица1[[#This Row],[коэф]])),
IF(OR(G356="3/8",G356="2/8"),((база!$J$4*2*Таблица1[[#This Row],[Столбец1]]*Таблица1[[#This Row],[коэф]])))))))))))))),
(IF((G356="5/24"),((база!$M$6*2*Таблица1[[#This Row],[Столбец1]]*Таблица1[[#This Row],[коэф]])),
IF(OR(G356="4/24",G356="3/24"),((база!$M$5*2*Таблица1[[#This Row],[Столбец1]]*Таблица1[[#This Row],[коэф]])),
IF((G356="5/16"),((база!$L$6*2*Таблица1[[#This Row],[Столбец1]]*Таблица1[[#This Row],[коэф]])),
IF(OR(G356="4/16",G356="3/16"),((база!$L$5*2*Таблица1[[#This Row],[Столбец1]]*Таблица1[[#This Row],[коэф]])),
IF(OR(G356="2/4",G356="3/4",G356="4/4"),((база!$I$5*2*Таблица1[[#This Row],[Столбец1]]*Таблица1[[#This Row],[коэф]])),
IF((G356="5/8"),((база!$J$6*2*Таблица1[[#This Row],[Столбец1]]*Таблица1[[#This Row],[коэф]])),
IF(OR(G356="4/8",G356="3/8",G356="2/8"),((база!$J$5*2*Таблица1[[#This Row],[Столбец1]]*Таблица1[[#This Row],[коэф]])))))))))))</f>
        <v>0</v>
      </c>
      <c r="AQ356" s="678" t="str">
        <f>IFERROR(INDEX(база!T:T, MATCH(F356,база!Q:Q,0)),"")</f>
        <v/>
      </c>
      <c r="AR356" s="193">
        <f>IFERROR(INDEX(база!D:D, MATCH(F356,база!B:B,0)),"")</f>
        <v>0</v>
      </c>
    </row>
    <row r="357" spans="1:44" ht="15">
      <c r="A357" s="59"/>
      <c r="B357" s="215"/>
      <c r="C357" s="277"/>
      <c r="D357" s="55"/>
      <c r="E357" s="196"/>
      <c r="F357" s="651"/>
      <c r="G357" s="42"/>
      <c r="H357" s="539"/>
      <c r="I357" s="539"/>
      <c r="J357" s="539"/>
      <c r="K357" s="539"/>
      <c r="L357" s="539"/>
      <c r="M357" s="539"/>
      <c r="N357" s="539"/>
      <c r="O357" s="539"/>
      <c r="P357" s="278"/>
      <c r="Q357" s="539"/>
      <c r="R357" s="539"/>
      <c r="S357" s="539"/>
      <c r="T357" s="539"/>
      <c r="U357" s="539"/>
      <c r="V357" s="539"/>
      <c r="W357" s="539"/>
      <c r="X357" s="539"/>
      <c r="Y357" s="539"/>
      <c r="Z357" s="539"/>
      <c r="AA357" s="539"/>
      <c r="AB357" s="539"/>
      <c r="AC357" s="539"/>
      <c r="AD357" s="43"/>
      <c r="AE357" s="43"/>
      <c r="AF357" s="238"/>
      <c r="AG357" s="43"/>
      <c r="AH357" s="43"/>
      <c r="AI357" s="238"/>
      <c r="AJ357" s="238"/>
      <c r="AK357" s="238"/>
      <c r="AL357" s="238"/>
      <c r="AM357" s="197">
        <f>IF(AQ357=1,SUM(H357:I357,L357:O357,R357:U357,X357:AA357,AD357:AG357,AI357:AK357),
IF(AQ357=2,SUM(H357:K357,N357:Q357,T357:W357,Z357:AC357,AF357:AI357),
IF(AQ357=3,SUM(J357:M357,P357:S357,V357:Y357,AB357:AE357,AH357:AK357),SUM(Таблица1[[#This Row],[1]:[31]])-Таблица1[[#This Row],[Столбец1]])))</f>
        <v>0</v>
      </c>
      <c r="AN357" s="269">
        <f t="array" ref="AN357">IF(AQ357=1,SUM(J357:K357,P357:Q357,V357:W357,AB357:AC357,AH357:AI357),
IF(AQ357=2,SUM(L357:M357,R357:S357,X357:Y357,AD357:AE357),
IF(AQ357=3,SUM(H357:I357,N357:O357,T357:U357,Z357:AA357,AF357:AG357),
SUM(IFERROR(WEEKDAY($H$2:$AL$2,2)&gt;5,)*H357:AL357))))</f>
        <v>0</v>
      </c>
      <c r="AO357" s="271" t="b">
        <f>IF(AR357&lt;=3,(IF((G357="5/24"),((база!$M$6*Таблица1[[#This Row],[сумма]]*Таблица1[[#This Row],[коэф]])),
IF((G357="4/24"),((база!$M$5*Таблица1[[#This Row],[сумма]]*Таблица1[[#This Row],[коэф]])),
IF((G357="3/24"),((база!$M$4*Таблица1[[#This Row],[сумма]]*Таблица1[[#This Row],[коэф]])),
IF((G357="5/16"),((база!$L$6*Таблица1[[#This Row],[сумма]]*Таблица1[[#This Row],[коэф]])),
IF((G357="4/16"),((база!$L$5*Таблица1[[#This Row],[сумма]]*Таблица1[[#This Row],[коэф]])),
IF((G357="3/16"),((база!$L$4*Таблица1[[#This Row],[сумма]]*Таблица1[[#This Row],[коэф]])),
IF((G357="4/4"),((база!$I$5*Таблица1[[#This Row],[сумма]]*Таблица1[[#This Row],[коэф]])),
IF(OR(G357="2/4",G357="3/4"),((база!$I$4*Таблица1[[#This Row],[сумма]]*Таблица1[[#This Row],[коэф]])),
IF((G357="5/8"),((база!$J$6*Таблица1[[#This Row],[сумма]]*Таблица1[[#This Row],[коэф]])),
IF((G357="4/8"),((база!$J$5*Таблица1[[#This Row],[сумма]]*Таблица1[[#This Row],[коэф]])),
IF(OR(G357="3/8",G357="2/8"),((база!$J$4*Таблица1[[#This Row],[сумма]]*Таблица1[[#This Row],[коэф]])))))))))))))),
(IF((G357="5/24"),((база!$M$6*Таблица1[[#This Row],[сумма]]*Таблица1[[#This Row],[коэф]])),
IF(OR(G357="4/24",G357="3/24"),((база!$M$5*Таблица1[[#This Row],[сумма]]*Таблица1[[#This Row],[коэф]])),
IF((G357="5/16"),((база!$L$6*Таблица1[[#This Row],[сумма]]*Таблица1[[#This Row],[коэф]])),
IF(OR(G357="4/16",G357="3/16"),((база!$L$5*Таблица1[[#This Row],[сумма]]*Таблица1[[#This Row],[коэф]])),
IF(OR(G357="2/4",G357="3/4",G357="4/4"),((база!$I$5*Таблица1[[#This Row],[сумма]]*Таблица1[[#This Row],[коэф]])),
IF((G357="5/8"),((база!$J$6*Таблица1[[#This Row],[сумма]]*Таблица1[[#This Row],[коэф]])),
IF(OR(G357="4/8",G357="3/8",G357="2/8"),((база!$J$5*Таблица1[[#This Row],[сумма]]*Таблица1[[#This Row],[коэф]])))))))))))</f>
        <v>0</v>
      </c>
      <c r="AP357" s="696" t="b">
        <f>IF(AR357&lt;=3,(IF((G357="5/24"),((база!$M$6*2*Таблица1[[#This Row],[Столбец1]]*Таблица1[[#This Row],[коэф]])),
IF((G357="4/24"),((база!$M$5*2*Таблица1[[#This Row],[Столбец1]]*Таблица1[[#This Row],[коэф]])),
IF((G357="3/24"),((база!$M$4*2*Таблица1[[#This Row],[Столбец1]]*Таблица1[[#This Row],[коэф]])),
IF((G357="5/16"),((база!$L$6*2*Таблица1[[#This Row],[Столбец1]]*Таблица1[[#This Row],[коэф]])),
IF((G357="4/16"),((база!$L$5*2*Таблица1[[#This Row],[Столбец1]]*Таблица1[[#This Row],[коэф]])),
IF((G357="3/16"),((база!$L$4*2*Таблица1[[#This Row],[Столбец1]]*Таблица1[[#This Row],[коэф]])),
IF((G357="4/4"),((база!$I$5*2*Таблица1[[#This Row],[Столбец1]]*Таблица1[[#This Row],[коэф]])),
IF(OR(G357="2/4",G357="3/4"),((база!$I$4*2*Таблица1[[#This Row],[Столбец1]]*Таблица1[[#This Row],[коэф]])),
IF((G357="5/8"),((база!$J$6*2*Таблица1[[#This Row],[Столбец1]]*Таблица1[[#This Row],[коэф]])),
IF((G357="4/8"),((база!$J$5*2*Таблица1[[#This Row],[Столбец1]]*Таблица1[[#This Row],[коэф]])),
IF(OR(G357="3/8",G357="2/8"),((база!$J$4*2*Таблица1[[#This Row],[Столбец1]]*Таблица1[[#This Row],[коэф]])))))))))))))),
(IF((G357="5/24"),((база!$M$6*2*Таблица1[[#This Row],[Столбец1]]*Таблица1[[#This Row],[коэф]])),
IF(OR(G357="4/24",G357="3/24"),((база!$M$5*2*Таблица1[[#This Row],[Столбец1]]*Таблица1[[#This Row],[коэф]])),
IF((G357="5/16"),((база!$L$6*2*Таблица1[[#This Row],[Столбец1]]*Таблица1[[#This Row],[коэф]])),
IF(OR(G357="4/16",G357="3/16"),((база!$L$5*2*Таблица1[[#This Row],[Столбец1]]*Таблица1[[#This Row],[коэф]])),
IF(OR(G357="2/4",G357="3/4",G357="4/4"),((база!$I$5*2*Таблица1[[#This Row],[Столбец1]]*Таблица1[[#This Row],[коэф]])),
IF((G357="5/8"),((база!$J$6*2*Таблица1[[#This Row],[Столбец1]]*Таблица1[[#This Row],[коэф]])),
IF(OR(G357="4/8",G357="3/8",G357="2/8"),((база!$J$5*2*Таблица1[[#This Row],[Столбец1]]*Таблица1[[#This Row],[коэф]])))))))))))</f>
        <v>0</v>
      </c>
      <c r="AQ357" s="678" t="str">
        <f>IFERROR(INDEX(база!T:T, MATCH(F357,база!Q:Q,0)),"")</f>
        <v/>
      </c>
      <c r="AR357" s="193">
        <f>IFERROR(INDEX(база!D:D, MATCH(F357,база!B:B,0)),"")</f>
        <v>0</v>
      </c>
    </row>
    <row r="358" spans="1:44" ht="15">
      <c r="A358" s="59"/>
      <c r="B358" s="215"/>
      <c r="C358" s="277"/>
      <c r="D358" s="55"/>
      <c r="E358" s="196"/>
      <c r="F358" s="651"/>
      <c r="G358" s="42"/>
      <c r="H358" s="539"/>
      <c r="I358" s="539"/>
      <c r="J358" s="539"/>
      <c r="K358" s="539"/>
      <c r="L358" s="539"/>
      <c r="M358" s="539"/>
      <c r="N358" s="539"/>
      <c r="O358" s="539"/>
      <c r="P358" s="278"/>
      <c r="Q358" s="539"/>
      <c r="R358" s="539"/>
      <c r="S358" s="539"/>
      <c r="T358" s="539"/>
      <c r="U358" s="539"/>
      <c r="V358" s="539"/>
      <c r="W358" s="539"/>
      <c r="X358" s="539"/>
      <c r="Y358" s="539"/>
      <c r="Z358" s="539"/>
      <c r="AA358" s="539"/>
      <c r="AB358" s="539"/>
      <c r="AC358" s="539"/>
      <c r="AD358" s="43"/>
      <c r="AE358" s="43"/>
      <c r="AF358" s="238"/>
      <c r="AG358" s="43"/>
      <c r="AH358" s="43"/>
      <c r="AI358" s="43"/>
      <c r="AJ358" s="43"/>
      <c r="AK358" s="43"/>
      <c r="AL358" s="45"/>
      <c r="AM358" s="197">
        <f>IF(AQ358=1,SUM(H358:I358,L358:O358,R358:U358,X358:AA358,AD358:AG358,AI358:AK358),
IF(AQ358=2,SUM(H358:K358,N358:Q358,T358:W358,Z358:AC358,AF358:AI358),
IF(AQ358=3,SUM(J358:M358,P358:S358,V358:Y358,AB358:AE358,AH358:AK358),SUM(Таблица1[[#This Row],[1]:[31]])-Таблица1[[#This Row],[Столбец1]])))</f>
        <v>0</v>
      </c>
      <c r="AN358" s="269">
        <f t="array" ref="AN358">IF(AQ358=1,SUM(J358:K358,P358:Q358,V358:W358,AB358:AC358,AH358:AI358),
IF(AQ358=2,SUM(L358:M358,R358:S358,X358:Y358,AD358:AE358),
IF(AQ358=3,SUM(H358:I358,N358:O358,T358:U358,Z358:AA358,AF358:AG358),
SUM(IFERROR(WEEKDAY($H$2:$AL$2,2)&gt;5,)*H358:AL358))))</f>
        <v>0</v>
      </c>
      <c r="AO358" s="271" t="b">
        <f>IF(AR358&lt;=3,(IF((G358="5/24"),((база!$M$6*Таблица1[[#This Row],[сумма]]*Таблица1[[#This Row],[коэф]])),
IF((G358="4/24"),((база!$M$5*Таблица1[[#This Row],[сумма]]*Таблица1[[#This Row],[коэф]])),
IF((G358="3/24"),((база!$M$4*Таблица1[[#This Row],[сумма]]*Таблица1[[#This Row],[коэф]])),
IF((G358="5/16"),((база!$L$6*Таблица1[[#This Row],[сумма]]*Таблица1[[#This Row],[коэф]])),
IF((G358="4/16"),((база!$L$5*Таблица1[[#This Row],[сумма]]*Таблица1[[#This Row],[коэф]])),
IF((G358="3/16"),((база!$L$4*Таблица1[[#This Row],[сумма]]*Таблица1[[#This Row],[коэф]])),
IF((G358="4/4"),((база!$I$5*Таблица1[[#This Row],[сумма]]*Таблица1[[#This Row],[коэф]])),
IF(OR(G358="2/4",G358="3/4"),((база!$I$4*Таблица1[[#This Row],[сумма]]*Таблица1[[#This Row],[коэф]])),
IF((G358="5/8"),((база!$J$6*Таблица1[[#This Row],[сумма]]*Таблица1[[#This Row],[коэф]])),
IF((G358="4/8"),((база!$J$5*Таблица1[[#This Row],[сумма]]*Таблица1[[#This Row],[коэф]])),
IF(OR(G358="3/8",G358="2/8"),((база!$J$4*Таблица1[[#This Row],[сумма]]*Таблица1[[#This Row],[коэф]])))))))))))))),
(IF((G358="5/24"),((база!$M$6*Таблица1[[#This Row],[сумма]]*Таблица1[[#This Row],[коэф]])),
IF(OR(G358="4/24",G358="3/24"),((база!$M$5*Таблица1[[#This Row],[сумма]]*Таблица1[[#This Row],[коэф]])),
IF((G358="5/16"),((база!$L$6*Таблица1[[#This Row],[сумма]]*Таблица1[[#This Row],[коэф]])),
IF(OR(G358="4/16",G358="3/16"),((база!$L$5*Таблица1[[#This Row],[сумма]]*Таблица1[[#This Row],[коэф]])),
IF(OR(G358="2/4",G358="3/4",G358="4/4"),((база!$I$5*Таблица1[[#This Row],[сумма]]*Таблица1[[#This Row],[коэф]])),
IF((G358="5/8"),((база!$J$6*Таблица1[[#This Row],[сумма]]*Таблица1[[#This Row],[коэф]])),
IF(OR(G358="4/8",G358="3/8",G358="2/8"),((база!$J$5*Таблица1[[#This Row],[сумма]]*Таблица1[[#This Row],[коэф]])))))))))))</f>
        <v>0</v>
      </c>
      <c r="AP358" s="696" t="b">
        <f>IF(AR358&lt;=3,(IF((G358="5/24"),((база!$M$6*2*Таблица1[[#This Row],[Столбец1]]*Таблица1[[#This Row],[коэф]])),
IF((G358="4/24"),((база!$M$5*2*Таблица1[[#This Row],[Столбец1]]*Таблица1[[#This Row],[коэф]])),
IF((G358="3/24"),((база!$M$4*2*Таблица1[[#This Row],[Столбец1]]*Таблица1[[#This Row],[коэф]])),
IF((G358="5/16"),((база!$L$6*2*Таблица1[[#This Row],[Столбец1]]*Таблица1[[#This Row],[коэф]])),
IF((G358="4/16"),((база!$L$5*2*Таблица1[[#This Row],[Столбец1]]*Таблица1[[#This Row],[коэф]])),
IF((G358="3/16"),((база!$L$4*2*Таблица1[[#This Row],[Столбец1]]*Таблица1[[#This Row],[коэф]])),
IF((G358="4/4"),((база!$I$5*2*Таблица1[[#This Row],[Столбец1]]*Таблица1[[#This Row],[коэф]])),
IF(OR(G358="2/4",G358="3/4"),((база!$I$4*2*Таблица1[[#This Row],[Столбец1]]*Таблица1[[#This Row],[коэф]])),
IF((G358="5/8"),((база!$J$6*2*Таблица1[[#This Row],[Столбец1]]*Таблица1[[#This Row],[коэф]])),
IF((G358="4/8"),((база!$J$5*2*Таблица1[[#This Row],[Столбец1]]*Таблица1[[#This Row],[коэф]])),
IF(OR(G358="3/8",G358="2/8"),((база!$J$4*2*Таблица1[[#This Row],[Столбец1]]*Таблица1[[#This Row],[коэф]])))))))))))))),
(IF((G358="5/24"),((база!$M$6*2*Таблица1[[#This Row],[Столбец1]]*Таблица1[[#This Row],[коэф]])),
IF(OR(G358="4/24",G358="3/24"),((база!$M$5*2*Таблица1[[#This Row],[Столбец1]]*Таблица1[[#This Row],[коэф]])),
IF((G358="5/16"),((база!$L$6*2*Таблица1[[#This Row],[Столбец1]]*Таблица1[[#This Row],[коэф]])),
IF(OR(G358="4/16",G358="3/16"),((база!$L$5*2*Таблица1[[#This Row],[Столбец1]]*Таблица1[[#This Row],[коэф]])),
IF(OR(G358="2/4",G358="3/4",G358="4/4"),((база!$I$5*2*Таблица1[[#This Row],[Столбец1]]*Таблица1[[#This Row],[коэф]])),
IF((G358="5/8"),((база!$J$6*2*Таблица1[[#This Row],[Столбец1]]*Таблица1[[#This Row],[коэф]])),
IF(OR(G358="4/8",G358="3/8",G358="2/8"),((база!$J$5*2*Таблица1[[#This Row],[Столбец1]]*Таблица1[[#This Row],[коэф]])))))))))))</f>
        <v>0</v>
      </c>
      <c r="AQ358" s="678" t="str">
        <f>IFERROR(INDEX(база!T:T, MATCH(F358,база!Q:Q,0)),"")</f>
        <v/>
      </c>
      <c r="AR358" s="193">
        <f>IFERROR(INDEX(база!D:D, MATCH(F358,база!B:B,0)),"")</f>
        <v>0</v>
      </c>
    </row>
    <row r="359" spans="1:44" ht="15">
      <c r="A359" s="59"/>
      <c r="B359" s="215"/>
      <c r="C359" s="54"/>
      <c r="D359" s="55"/>
      <c r="E359" s="196"/>
      <c r="F359" s="651"/>
      <c r="G359" s="42"/>
      <c r="H359" s="539"/>
      <c r="I359" s="539"/>
      <c r="J359" s="539"/>
      <c r="K359" s="539"/>
      <c r="L359" s="539"/>
      <c r="M359" s="539"/>
      <c r="N359" s="539"/>
      <c r="O359" s="539"/>
      <c r="P359" s="278"/>
      <c r="Q359" s="539"/>
      <c r="R359" s="539"/>
      <c r="S359" s="539"/>
      <c r="T359" s="539"/>
      <c r="U359" s="539"/>
      <c r="V359" s="539"/>
      <c r="W359" s="539"/>
      <c r="X359" s="539"/>
      <c r="Y359" s="539"/>
      <c r="Z359" s="539"/>
      <c r="AA359" s="539"/>
      <c r="AB359" s="539"/>
      <c r="AC359" s="539"/>
      <c r="AD359" s="43"/>
      <c r="AE359" s="43"/>
      <c r="AF359" s="238"/>
      <c r="AG359" s="43"/>
      <c r="AH359" s="43"/>
      <c r="AI359" s="238"/>
      <c r="AJ359" s="238"/>
      <c r="AK359" s="238"/>
      <c r="AL359" s="238"/>
      <c r="AM359" s="197">
        <f>IF(AQ359=1,SUM(H359:I359,L359:O359,R359:U359,X359:AA359,AD359:AG359,AI359:AK359),
IF(AQ359=2,SUM(H359:K359,N359:Q359,T359:W359,Z359:AC359,AF359:AI359),
IF(AQ359=3,SUM(J359:M359,P359:S359,V359:Y359,AB359:AE359,AH359:AK359),SUM(Таблица1[[#This Row],[1]:[31]])-Таблица1[[#This Row],[Столбец1]])))</f>
        <v>0</v>
      </c>
      <c r="AN359" s="269">
        <f t="array" ref="AN359">IF(AQ359=1,SUM(J359:K359,P359:Q359,V359:W359,AB359:AC359,AH359:AI359),
IF(AQ359=2,SUM(L359:M359,R359:S359,X359:Y359,AD359:AE359),
IF(AQ359=3,SUM(H359:I359,N359:O359,T359:U359,Z359:AA359,AF359:AG359),
SUM(IFERROR(WEEKDAY($H$2:$AL$2,2)&gt;5,)*H359:AL359))))</f>
        <v>0</v>
      </c>
      <c r="AO359" s="271" t="b">
        <f>IF(AR359&lt;=3,(IF((G359="5/24"),((база!$M$6*Таблица1[[#This Row],[сумма]]*Таблица1[[#This Row],[коэф]])),
IF((G359="4/24"),((база!$M$5*Таблица1[[#This Row],[сумма]]*Таблица1[[#This Row],[коэф]])),
IF((G359="3/24"),((база!$M$4*Таблица1[[#This Row],[сумма]]*Таблица1[[#This Row],[коэф]])),
IF((G359="5/16"),((база!$L$6*Таблица1[[#This Row],[сумма]]*Таблица1[[#This Row],[коэф]])),
IF((G359="4/16"),((база!$L$5*Таблица1[[#This Row],[сумма]]*Таблица1[[#This Row],[коэф]])),
IF((G359="3/16"),((база!$L$4*Таблица1[[#This Row],[сумма]]*Таблица1[[#This Row],[коэф]])),
IF((G359="4/4"),((база!$I$5*Таблица1[[#This Row],[сумма]]*Таблица1[[#This Row],[коэф]])),
IF(OR(G359="2/4",G359="3/4"),((база!$I$4*Таблица1[[#This Row],[сумма]]*Таблица1[[#This Row],[коэф]])),
IF((G359="5/8"),((база!$J$6*Таблица1[[#This Row],[сумма]]*Таблица1[[#This Row],[коэф]])),
IF((G359="4/8"),((база!$J$5*Таблица1[[#This Row],[сумма]]*Таблица1[[#This Row],[коэф]])),
IF(OR(G359="3/8",G359="2/8"),((база!$J$4*Таблица1[[#This Row],[сумма]]*Таблица1[[#This Row],[коэф]])))))))))))))),
(IF((G359="5/24"),((база!$M$6*Таблица1[[#This Row],[сумма]]*Таблица1[[#This Row],[коэф]])),
IF(OR(G359="4/24",G359="3/24"),((база!$M$5*Таблица1[[#This Row],[сумма]]*Таблица1[[#This Row],[коэф]])),
IF((G359="5/16"),((база!$L$6*Таблица1[[#This Row],[сумма]]*Таблица1[[#This Row],[коэф]])),
IF(OR(G359="4/16",G359="3/16"),((база!$L$5*Таблица1[[#This Row],[сумма]]*Таблица1[[#This Row],[коэф]])),
IF(OR(G359="2/4",G359="3/4",G359="4/4"),((база!$I$5*Таблица1[[#This Row],[сумма]]*Таблица1[[#This Row],[коэф]])),
IF((G359="5/8"),((база!$J$6*Таблица1[[#This Row],[сумма]]*Таблица1[[#This Row],[коэф]])),
IF(OR(G359="4/8",G359="3/8",G359="2/8"),((база!$J$5*Таблица1[[#This Row],[сумма]]*Таблица1[[#This Row],[коэф]])))))))))))</f>
        <v>0</v>
      </c>
      <c r="AP359" s="696" t="b">
        <f>IF(AR359&lt;=3,(IF((G359="5/24"),((база!$M$6*2*Таблица1[[#This Row],[Столбец1]]*Таблица1[[#This Row],[коэф]])),
IF((G359="4/24"),((база!$M$5*2*Таблица1[[#This Row],[Столбец1]]*Таблица1[[#This Row],[коэф]])),
IF((G359="3/24"),((база!$M$4*2*Таблица1[[#This Row],[Столбец1]]*Таблица1[[#This Row],[коэф]])),
IF((G359="5/16"),((база!$L$6*2*Таблица1[[#This Row],[Столбец1]]*Таблица1[[#This Row],[коэф]])),
IF((G359="4/16"),((база!$L$5*2*Таблица1[[#This Row],[Столбец1]]*Таблица1[[#This Row],[коэф]])),
IF((G359="3/16"),((база!$L$4*2*Таблица1[[#This Row],[Столбец1]]*Таблица1[[#This Row],[коэф]])),
IF((G359="4/4"),((база!$I$5*2*Таблица1[[#This Row],[Столбец1]]*Таблица1[[#This Row],[коэф]])),
IF(OR(G359="2/4",G359="3/4"),((база!$I$4*2*Таблица1[[#This Row],[Столбец1]]*Таблица1[[#This Row],[коэф]])),
IF((G359="5/8"),((база!$J$6*2*Таблица1[[#This Row],[Столбец1]]*Таблица1[[#This Row],[коэф]])),
IF((G359="4/8"),((база!$J$5*2*Таблица1[[#This Row],[Столбец1]]*Таблица1[[#This Row],[коэф]])),
IF(OR(G359="3/8",G359="2/8"),((база!$J$4*2*Таблица1[[#This Row],[Столбец1]]*Таблица1[[#This Row],[коэф]])))))))))))))),
(IF((G359="5/24"),((база!$M$6*2*Таблица1[[#This Row],[Столбец1]]*Таблица1[[#This Row],[коэф]])),
IF(OR(G359="4/24",G359="3/24"),((база!$M$5*2*Таблица1[[#This Row],[Столбец1]]*Таблица1[[#This Row],[коэф]])),
IF((G359="5/16"),((база!$L$6*2*Таблица1[[#This Row],[Столбец1]]*Таблица1[[#This Row],[коэф]])),
IF(OR(G359="4/16",G359="3/16"),((база!$L$5*2*Таблица1[[#This Row],[Столбец1]]*Таблица1[[#This Row],[коэф]])),
IF(OR(G359="2/4",G359="3/4",G359="4/4"),((база!$I$5*2*Таблица1[[#This Row],[Столбец1]]*Таблица1[[#This Row],[коэф]])),
IF((G359="5/8"),((база!$J$6*2*Таблица1[[#This Row],[Столбец1]]*Таблица1[[#This Row],[коэф]])),
IF(OR(G359="4/8",G359="3/8",G359="2/8"),((база!$J$5*2*Таблица1[[#This Row],[Столбец1]]*Таблица1[[#This Row],[коэф]])))))))))))</f>
        <v>0</v>
      </c>
      <c r="AQ359" s="678" t="str">
        <f>IFERROR(INDEX(база!T:T, MATCH(F359,база!Q:Q,0)),"")</f>
        <v/>
      </c>
      <c r="AR359" s="193">
        <f>IFERROR(INDEX(база!D:D, MATCH(F359,база!B:B,0)),"")</f>
        <v>0</v>
      </c>
    </row>
    <row r="360" spans="1:44" ht="15">
      <c r="A360" s="59"/>
      <c r="B360" s="215"/>
      <c r="C360" s="277"/>
      <c r="D360" s="55"/>
      <c r="E360" s="196"/>
      <c r="F360" s="651"/>
      <c r="G360" s="42"/>
      <c r="H360" s="539"/>
      <c r="I360" s="539"/>
      <c r="J360" s="539"/>
      <c r="K360" s="539"/>
      <c r="L360" s="539"/>
      <c r="M360" s="539"/>
      <c r="N360" s="539"/>
      <c r="O360" s="539"/>
      <c r="P360" s="278"/>
      <c r="Q360" s="539"/>
      <c r="R360" s="539"/>
      <c r="S360" s="539"/>
      <c r="T360" s="539"/>
      <c r="U360" s="539"/>
      <c r="V360" s="539"/>
      <c r="W360" s="539"/>
      <c r="X360" s="539"/>
      <c r="Y360" s="539"/>
      <c r="Z360" s="539"/>
      <c r="AA360" s="539"/>
      <c r="AB360" s="539"/>
      <c r="AC360" s="539"/>
      <c r="AD360" s="43"/>
      <c r="AE360" s="43"/>
      <c r="AF360" s="238"/>
      <c r="AG360" s="43"/>
      <c r="AH360" s="43"/>
      <c r="AI360" s="43"/>
      <c r="AJ360" s="43"/>
      <c r="AK360" s="43"/>
      <c r="AL360" s="45"/>
      <c r="AM360" s="197">
        <f>IF(AQ360=1,SUM(H360:I360,L360:O360,R360:U360,X360:AA360,AD360:AG360,AI360:AK360),
IF(AQ360=2,SUM(H360:K360,N360:Q360,T360:W360,Z360:AC360,AF360:AI360),
IF(AQ360=3,SUM(J360:M360,P360:S360,V360:Y360,AB360:AE360,AH360:AK360),SUM(Таблица1[[#This Row],[1]:[31]])-Таблица1[[#This Row],[Столбец1]])))</f>
        <v>0</v>
      </c>
      <c r="AN360" s="269">
        <f t="array" ref="AN360">IF(AQ360=1,SUM(J360:K360,P360:Q360,V360:W360,AB360:AC360,AH360:AI360),
IF(AQ360=2,SUM(L360:M360,R360:S360,X360:Y360,AD360:AE360),
IF(AQ360=3,SUM(H360:I360,N360:O360,T360:U360,Z360:AA360,AF360:AG360),
SUM(IFERROR(WEEKDAY($H$2:$AL$2,2)&gt;5,)*H360:AL360))))</f>
        <v>0</v>
      </c>
      <c r="AO360" s="271" t="b">
        <f>IF(AR360&lt;=3,(IF((G360="5/24"),((база!$M$6*Таблица1[[#This Row],[сумма]]*Таблица1[[#This Row],[коэф]])),
IF((G360="4/24"),((база!$M$5*Таблица1[[#This Row],[сумма]]*Таблица1[[#This Row],[коэф]])),
IF((G360="3/24"),((база!$M$4*Таблица1[[#This Row],[сумма]]*Таблица1[[#This Row],[коэф]])),
IF((G360="5/16"),((база!$L$6*Таблица1[[#This Row],[сумма]]*Таблица1[[#This Row],[коэф]])),
IF((G360="4/16"),((база!$L$5*Таблица1[[#This Row],[сумма]]*Таблица1[[#This Row],[коэф]])),
IF((G360="3/16"),((база!$L$4*Таблица1[[#This Row],[сумма]]*Таблица1[[#This Row],[коэф]])),
IF((G360="4/4"),((база!$I$5*Таблица1[[#This Row],[сумма]]*Таблица1[[#This Row],[коэф]])),
IF(OR(G360="2/4",G360="3/4"),((база!$I$4*Таблица1[[#This Row],[сумма]]*Таблица1[[#This Row],[коэф]])),
IF((G360="5/8"),((база!$J$6*Таблица1[[#This Row],[сумма]]*Таблица1[[#This Row],[коэф]])),
IF((G360="4/8"),((база!$J$5*Таблица1[[#This Row],[сумма]]*Таблица1[[#This Row],[коэф]])),
IF(OR(G360="3/8",G360="2/8"),((база!$J$4*Таблица1[[#This Row],[сумма]]*Таблица1[[#This Row],[коэф]])))))))))))))),
(IF((G360="5/24"),((база!$M$6*Таблица1[[#This Row],[сумма]]*Таблица1[[#This Row],[коэф]])),
IF(OR(G360="4/24",G360="3/24"),((база!$M$5*Таблица1[[#This Row],[сумма]]*Таблица1[[#This Row],[коэф]])),
IF((G360="5/16"),((база!$L$6*Таблица1[[#This Row],[сумма]]*Таблица1[[#This Row],[коэф]])),
IF(OR(G360="4/16",G360="3/16"),((база!$L$5*Таблица1[[#This Row],[сумма]]*Таблица1[[#This Row],[коэф]])),
IF(OR(G360="2/4",G360="3/4",G360="4/4"),((база!$I$5*Таблица1[[#This Row],[сумма]]*Таблица1[[#This Row],[коэф]])),
IF((G360="5/8"),((база!$J$6*Таблица1[[#This Row],[сумма]]*Таблица1[[#This Row],[коэф]])),
IF(OR(G360="4/8",G360="3/8",G360="2/8"),((база!$J$5*Таблица1[[#This Row],[сумма]]*Таблица1[[#This Row],[коэф]])))))))))))</f>
        <v>0</v>
      </c>
      <c r="AP360" s="696" t="b">
        <f>IF(AR360&lt;=3,(IF((G360="5/24"),((база!$M$6*2*Таблица1[[#This Row],[Столбец1]]*Таблица1[[#This Row],[коэф]])),
IF((G360="4/24"),((база!$M$5*2*Таблица1[[#This Row],[Столбец1]]*Таблица1[[#This Row],[коэф]])),
IF((G360="3/24"),((база!$M$4*2*Таблица1[[#This Row],[Столбец1]]*Таблица1[[#This Row],[коэф]])),
IF((G360="5/16"),((база!$L$6*2*Таблица1[[#This Row],[Столбец1]]*Таблица1[[#This Row],[коэф]])),
IF((G360="4/16"),((база!$L$5*2*Таблица1[[#This Row],[Столбец1]]*Таблица1[[#This Row],[коэф]])),
IF((G360="3/16"),((база!$L$4*2*Таблица1[[#This Row],[Столбец1]]*Таблица1[[#This Row],[коэф]])),
IF((G360="4/4"),((база!$I$5*2*Таблица1[[#This Row],[Столбец1]]*Таблица1[[#This Row],[коэф]])),
IF(OR(G360="2/4",G360="3/4"),((база!$I$4*2*Таблица1[[#This Row],[Столбец1]]*Таблица1[[#This Row],[коэф]])),
IF((G360="5/8"),((база!$J$6*2*Таблица1[[#This Row],[Столбец1]]*Таблица1[[#This Row],[коэф]])),
IF((G360="4/8"),((база!$J$5*2*Таблица1[[#This Row],[Столбец1]]*Таблица1[[#This Row],[коэф]])),
IF(OR(G360="3/8",G360="2/8"),((база!$J$4*2*Таблица1[[#This Row],[Столбец1]]*Таблица1[[#This Row],[коэф]])))))))))))))),
(IF((G360="5/24"),((база!$M$6*2*Таблица1[[#This Row],[Столбец1]]*Таблица1[[#This Row],[коэф]])),
IF(OR(G360="4/24",G360="3/24"),((база!$M$5*2*Таблица1[[#This Row],[Столбец1]]*Таблица1[[#This Row],[коэф]])),
IF((G360="5/16"),((база!$L$6*2*Таблица1[[#This Row],[Столбец1]]*Таблица1[[#This Row],[коэф]])),
IF(OR(G360="4/16",G360="3/16"),((база!$L$5*2*Таблица1[[#This Row],[Столбец1]]*Таблица1[[#This Row],[коэф]])),
IF(OR(G360="2/4",G360="3/4",G360="4/4"),((база!$I$5*2*Таблица1[[#This Row],[Столбец1]]*Таблица1[[#This Row],[коэф]])),
IF((G360="5/8"),((база!$J$6*2*Таблица1[[#This Row],[Столбец1]]*Таблица1[[#This Row],[коэф]])),
IF(OR(G360="4/8",G360="3/8",G360="2/8"),((база!$J$5*2*Таблица1[[#This Row],[Столбец1]]*Таблица1[[#This Row],[коэф]])))))))))))</f>
        <v>0</v>
      </c>
      <c r="AQ360" s="678" t="str">
        <f>IFERROR(INDEX(база!T:T, MATCH(F360,база!Q:Q,0)),"")</f>
        <v/>
      </c>
      <c r="AR360" s="193">
        <f>IFERROR(INDEX(база!D:D, MATCH(F360,база!B:B,0)),"")</f>
        <v>0</v>
      </c>
    </row>
    <row r="361" spans="1:44" ht="15">
      <c r="A361" s="59"/>
      <c r="B361" s="215"/>
      <c r="C361" s="277"/>
      <c r="D361" s="55"/>
      <c r="E361" s="196"/>
      <c r="F361" s="651"/>
      <c r="G361" s="42"/>
      <c r="H361" s="539"/>
      <c r="I361" s="539"/>
      <c r="J361" s="539"/>
      <c r="K361" s="539"/>
      <c r="L361" s="539"/>
      <c r="M361" s="539"/>
      <c r="N361" s="539"/>
      <c r="O361" s="539"/>
      <c r="P361" s="278"/>
      <c r="Q361" s="539"/>
      <c r="R361" s="539"/>
      <c r="S361" s="539"/>
      <c r="T361" s="539"/>
      <c r="U361" s="539"/>
      <c r="V361" s="539"/>
      <c r="W361" s="539"/>
      <c r="X361" s="539"/>
      <c r="Y361" s="539"/>
      <c r="Z361" s="539"/>
      <c r="AA361" s="539"/>
      <c r="AB361" s="539"/>
      <c r="AC361" s="539"/>
      <c r="AD361" s="43"/>
      <c r="AE361" s="43"/>
      <c r="AF361" s="238"/>
      <c r="AG361" s="43"/>
      <c r="AH361" s="43"/>
      <c r="AI361" s="43"/>
      <c r="AJ361" s="238"/>
      <c r="AK361" s="238"/>
      <c r="AL361" s="238"/>
      <c r="AM361" s="197">
        <f>IF(AQ361=1,SUM(H361:I361,L361:O361,R361:U361,X361:AA361,AD361:AG361,AI361:AK361),
IF(AQ361=2,SUM(H361:K361,N361:Q361,T361:W361,Z361:AC361,AF361:AI361),
IF(AQ361=3,SUM(J361:M361,P361:S361,V361:Y361,AB361:AE361,AH361:AK361),SUM(Таблица1[[#This Row],[1]:[31]])-Таблица1[[#This Row],[Столбец1]])))</f>
        <v>0</v>
      </c>
      <c r="AN361" s="269">
        <f t="array" ref="AN361">IF(AQ361=1,SUM(J361:K361,P361:Q361,V361:W361,AB361:AC361,AH361:AI361),
IF(AQ361=2,SUM(L361:M361,R361:S361,X361:Y361,AD361:AE361),
IF(AQ361=3,SUM(H361:I361,N361:O361,T361:U361,Z361:AA361,AF361:AG361),
SUM(IFERROR(WEEKDAY($H$2:$AL$2,2)&gt;5,)*H361:AL361))))</f>
        <v>0</v>
      </c>
      <c r="AO361" s="271" t="b">
        <f>IF(AR361&lt;=3,(IF((G361="5/24"),((база!$M$6*Таблица1[[#This Row],[сумма]]*Таблица1[[#This Row],[коэф]])),
IF((G361="4/24"),((база!$M$5*Таблица1[[#This Row],[сумма]]*Таблица1[[#This Row],[коэф]])),
IF((G361="3/24"),((база!$M$4*Таблица1[[#This Row],[сумма]]*Таблица1[[#This Row],[коэф]])),
IF((G361="5/16"),((база!$L$6*Таблица1[[#This Row],[сумма]]*Таблица1[[#This Row],[коэф]])),
IF((G361="4/16"),((база!$L$5*Таблица1[[#This Row],[сумма]]*Таблица1[[#This Row],[коэф]])),
IF((G361="3/16"),((база!$L$4*Таблица1[[#This Row],[сумма]]*Таблица1[[#This Row],[коэф]])),
IF((G361="4/4"),((база!$I$5*Таблица1[[#This Row],[сумма]]*Таблица1[[#This Row],[коэф]])),
IF(OR(G361="2/4",G361="3/4"),((база!$I$4*Таблица1[[#This Row],[сумма]]*Таблица1[[#This Row],[коэф]])),
IF((G361="5/8"),((база!$J$6*Таблица1[[#This Row],[сумма]]*Таблица1[[#This Row],[коэф]])),
IF((G361="4/8"),((база!$J$5*Таблица1[[#This Row],[сумма]]*Таблица1[[#This Row],[коэф]])),
IF(OR(G361="3/8",G361="2/8"),((база!$J$4*Таблица1[[#This Row],[сумма]]*Таблица1[[#This Row],[коэф]])))))))))))))),
(IF((G361="5/24"),((база!$M$6*Таблица1[[#This Row],[сумма]]*Таблица1[[#This Row],[коэф]])),
IF(OR(G361="4/24",G361="3/24"),((база!$M$5*Таблица1[[#This Row],[сумма]]*Таблица1[[#This Row],[коэф]])),
IF((G361="5/16"),((база!$L$6*Таблица1[[#This Row],[сумма]]*Таблица1[[#This Row],[коэф]])),
IF(OR(G361="4/16",G361="3/16"),((база!$L$5*Таблица1[[#This Row],[сумма]]*Таблица1[[#This Row],[коэф]])),
IF(OR(G361="2/4",G361="3/4",G361="4/4"),((база!$I$5*Таблица1[[#This Row],[сумма]]*Таблица1[[#This Row],[коэф]])),
IF((G361="5/8"),((база!$J$6*Таблица1[[#This Row],[сумма]]*Таблица1[[#This Row],[коэф]])),
IF(OR(G361="4/8",G361="3/8",G361="2/8"),((база!$J$5*Таблица1[[#This Row],[сумма]]*Таблица1[[#This Row],[коэф]])))))))))))</f>
        <v>0</v>
      </c>
      <c r="AP361" s="696" t="b">
        <f>IF(AR361&lt;=3,(IF((G361="5/24"),((база!$M$6*2*Таблица1[[#This Row],[Столбец1]]*Таблица1[[#This Row],[коэф]])),
IF((G361="4/24"),((база!$M$5*2*Таблица1[[#This Row],[Столбец1]]*Таблица1[[#This Row],[коэф]])),
IF((G361="3/24"),((база!$M$4*2*Таблица1[[#This Row],[Столбец1]]*Таблица1[[#This Row],[коэф]])),
IF((G361="5/16"),((база!$L$6*2*Таблица1[[#This Row],[Столбец1]]*Таблица1[[#This Row],[коэф]])),
IF((G361="4/16"),((база!$L$5*2*Таблица1[[#This Row],[Столбец1]]*Таблица1[[#This Row],[коэф]])),
IF((G361="3/16"),((база!$L$4*2*Таблица1[[#This Row],[Столбец1]]*Таблица1[[#This Row],[коэф]])),
IF((G361="4/4"),((база!$I$5*2*Таблица1[[#This Row],[Столбец1]]*Таблица1[[#This Row],[коэф]])),
IF(OR(G361="2/4",G361="3/4"),((база!$I$4*2*Таблица1[[#This Row],[Столбец1]]*Таблица1[[#This Row],[коэф]])),
IF((G361="5/8"),((база!$J$6*2*Таблица1[[#This Row],[Столбец1]]*Таблица1[[#This Row],[коэф]])),
IF((G361="4/8"),((база!$J$5*2*Таблица1[[#This Row],[Столбец1]]*Таблица1[[#This Row],[коэф]])),
IF(OR(G361="3/8",G361="2/8"),((база!$J$4*2*Таблица1[[#This Row],[Столбец1]]*Таблица1[[#This Row],[коэф]])))))))))))))),
(IF((G361="5/24"),((база!$M$6*2*Таблица1[[#This Row],[Столбец1]]*Таблица1[[#This Row],[коэф]])),
IF(OR(G361="4/24",G361="3/24"),((база!$M$5*2*Таблица1[[#This Row],[Столбец1]]*Таблица1[[#This Row],[коэф]])),
IF((G361="5/16"),((база!$L$6*2*Таблица1[[#This Row],[Столбец1]]*Таблица1[[#This Row],[коэф]])),
IF(OR(G361="4/16",G361="3/16"),((база!$L$5*2*Таблица1[[#This Row],[Столбец1]]*Таблица1[[#This Row],[коэф]])),
IF(OR(G361="2/4",G361="3/4",G361="4/4"),((база!$I$5*2*Таблица1[[#This Row],[Столбец1]]*Таблица1[[#This Row],[коэф]])),
IF((G361="5/8"),((база!$J$6*2*Таблица1[[#This Row],[Столбец1]]*Таблица1[[#This Row],[коэф]])),
IF(OR(G361="4/8",G361="3/8",G361="2/8"),((база!$J$5*2*Таблица1[[#This Row],[Столбец1]]*Таблица1[[#This Row],[коэф]])))))))))))</f>
        <v>0</v>
      </c>
      <c r="AQ361" s="678" t="str">
        <f>IFERROR(INDEX(база!T:T, MATCH(F361,база!Q:Q,0)),"")</f>
        <v/>
      </c>
      <c r="AR361" s="193">
        <f>IFERROR(INDEX(база!D:D, MATCH(F361,база!B:B,0)),"")</f>
        <v>0</v>
      </c>
    </row>
    <row r="362" spans="1:44" ht="15">
      <c r="A362" s="59"/>
      <c r="B362" s="215"/>
      <c r="C362" s="54"/>
      <c r="D362" s="55"/>
      <c r="E362" s="196"/>
      <c r="F362" s="651"/>
      <c r="G362" s="42"/>
      <c r="H362" s="539"/>
      <c r="I362" s="539"/>
      <c r="J362" s="539"/>
      <c r="K362" s="539"/>
      <c r="L362" s="539"/>
      <c r="M362" s="539"/>
      <c r="N362" s="539"/>
      <c r="O362" s="539"/>
      <c r="P362" s="278"/>
      <c r="Q362" s="539"/>
      <c r="R362" s="539"/>
      <c r="S362" s="539"/>
      <c r="T362" s="539"/>
      <c r="U362" s="539"/>
      <c r="V362" s="539"/>
      <c r="W362" s="539"/>
      <c r="X362" s="539"/>
      <c r="Y362" s="539"/>
      <c r="Z362" s="539"/>
      <c r="AA362" s="539"/>
      <c r="AB362" s="539"/>
      <c r="AC362" s="539"/>
      <c r="AD362" s="43"/>
      <c r="AE362" s="43"/>
      <c r="AF362" s="238"/>
      <c r="AG362" s="43"/>
      <c r="AH362" s="43"/>
      <c r="AI362" s="43"/>
      <c r="AJ362" s="43"/>
      <c r="AK362" s="43"/>
      <c r="AL362" s="45"/>
      <c r="AM362" s="197">
        <f>IF(AQ362=1,SUM(H362:I362,L362:O362,R362:U362,X362:AA362,AD362:AG362,AI362:AK362),
IF(AQ362=2,SUM(H362:K362,N362:Q362,T362:W362,Z362:AC362,AF362:AI362),
IF(AQ362=3,SUM(J362:M362,P362:S362,V362:Y362,AB362:AE362,AH362:AK362),SUM(Таблица1[[#This Row],[1]:[31]])-Таблица1[[#This Row],[Столбец1]])))</f>
        <v>0</v>
      </c>
      <c r="AN362" s="269">
        <f t="array" ref="AN362">IF(AQ362=1,SUM(J362:K362,P362:Q362,V362:W362,AB362:AC362,AH362:AI362),
IF(AQ362=2,SUM(L362:M362,R362:S362,X362:Y362,AD362:AE362),
IF(AQ362=3,SUM(H362:I362,N362:O362,T362:U362,Z362:AA362,AF362:AG362),
SUM(IFERROR(WEEKDAY($H$2:$AL$2,2)&gt;5,)*H362:AL362))))</f>
        <v>0</v>
      </c>
      <c r="AO362" s="271" t="b">
        <f>IF(AR362&lt;=3,(IF((G362="5/24"),((база!$M$6*Таблица1[[#This Row],[сумма]]*Таблица1[[#This Row],[коэф]])),
IF((G362="4/24"),((база!$M$5*Таблица1[[#This Row],[сумма]]*Таблица1[[#This Row],[коэф]])),
IF((G362="3/24"),((база!$M$4*Таблица1[[#This Row],[сумма]]*Таблица1[[#This Row],[коэф]])),
IF((G362="5/16"),((база!$L$6*Таблица1[[#This Row],[сумма]]*Таблица1[[#This Row],[коэф]])),
IF((G362="4/16"),((база!$L$5*Таблица1[[#This Row],[сумма]]*Таблица1[[#This Row],[коэф]])),
IF((G362="3/16"),((база!$L$4*Таблица1[[#This Row],[сумма]]*Таблица1[[#This Row],[коэф]])),
IF((G362="4/4"),((база!$I$5*Таблица1[[#This Row],[сумма]]*Таблица1[[#This Row],[коэф]])),
IF(OR(G362="2/4",G362="3/4"),((база!$I$4*Таблица1[[#This Row],[сумма]]*Таблица1[[#This Row],[коэф]])),
IF((G362="5/8"),((база!$J$6*Таблица1[[#This Row],[сумма]]*Таблица1[[#This Row],[коэф]])),
IF((G362="4/8"),((база!$J$5*Таблица1[[#This Row],[сумма]]*Таблица1[[#This Row],[коэф]])),
IF(OR(G362="3/8",G362="2/8"),((база!$J$4*Таблица1[[#This Row],[сумма]]*Таблица1[[#This Row],[коэф]])))))))))))))),
(IF((G362="5/24"),((база!$M$6*Таблица1[[#This Row],[сумма]]*Таблица1[[#This Row],[коэф]])),
IF(OR(G362="4/24",G362="3/24"),((база!$M$5*Таблица1[[#This Row],[сумма]]*Таблица1[[#This Row],[коэф]])),
IF((G362="5/16"),((база!$L$6*Таблица1[[#This Row],[сумма]]*Таблица1[[#This Row],[коэф]])),
IF(OR(G362="4/16",G362="3/16"),((база!$L$5*Таблица1[[#This Row],[сумма]]*Таблица1[[#This Row],[коэф]])),
IF(OR(G362="2/4",G362="3/4",G362="4/4"),((база!$I$5*Таблица1[[#This Row],[сумма]]*Таблица1[[#This Row],[коэф]])),
IF((G362="5/8"),((база!$J$6*Таблица1[[#This Row],[сумма]]*Таблица1[[#This Row],[коэф]])),
IF(OR(G362="4/8",G362="3/8",G362="2/8"),((база!$J$5*Таблица1[[#This Row],[сумма]]*Таблица1[[#This Row],[коэф]])))))))))))</f>
        <v>0</v>
      </c>
      <c r="AP362" s="696" t="b">
        <f>IF(AR362&lt;=3,(IF((G362="5/24"),((база!$M$6*2*Таблица1[[#This Row],[Столбец1]]*Таблица1[[#This Row],[коэф]])),
IF((G362="4/24"),((база!$M$5*2*Таблица1[[#This Row],[Столбец1]]*Таблица1[[#This Row],[коэф]])),
IF((G362="3/24"),((база!$M$4*2*Таблица1[[#This Row],[Столбец1]]*Таблица1[[#This Row],[коэф]])),
IF((G362="5/16"),((база!$L$6*2*Таблица1[[#This Row],[Столбец1]]*Таблица1[[#This Row],[коэф]])),
IF((G362="4/16"),((база!$L$5*2*Таблица1[[#This Row],[Столбец1]]*Таблица1[[#This Row],[коэф]])),
IF((G362="3/16"),((база!$L$4*2*Таблица1[[#This Row],[Столбец1]]*Таблица1[[#This Row],[коэф]])),
IF((G362="4/4"),((база!$I$5*2*Таблица1[[#This Row],[Столбец1]]*Таблица1[[#This Row],[коэф]])),
IF(OR(G362="2/4",G362="3/4"),((база!$I$4*2*Таблица1[[#This Row],[Столбец1]]*Таблица1[[#This Row],[коэф]])),
IF((G362="5/8"),((база!$J$6*2*Таблица1[[#This Row],[Столбец1]]*Таблица1[[#This Row],[коэф]])),
IF((G362="4/8"),((база!$J$5*2*Таблица1[[#This Row],[Столбец1]]*Таблица1[[#This Row],[коэф]])),
IF(OR(G362="3/8",G362="2/8"),((база!$J$4*2*Таблица1[[#This Row],[Столбец1]]*Таблица1[[#This Row],[коэф]])))))))))))))),
(IF((G362="5/24"),((база!$M$6*2*Таблица1[[#This Row],[Столбец1]]*Таблица1[[#This Row],[коэф]])),
IF(OR(G362="4/24",G362="3/24"),((база!$M$5*2*Таблица1[[#This Row],[Столбец1]]*Таблица1[[#This Row],[коэф]])),
IF((G362="5/16"),((база!$L$6*2*Таблица1[[#This Row],[Столбец1]]*Таблица1[[#This Row],[коэф]])),
IF(OR(G362="4/16",G362="3/16"),((база!$L$5*2*Таблица1[[#This Row],[Столбец1]]*Таблица1[[#This Row],[коэф]])),
IF(OR(G362="2/4",G362="3/4",G362="4/4"),((база!$I$5*2*Таблица1[[#This Row],[Столбец1]]*Таблица1[[#This Row],[коэф]])),
IF((G362="5/8"),((база!$J$6*2*Таблица1[[#This Row],[Столбец1]]*Таблица1[[#This Row],[коэф]])),
IF(OR(G362="4/8",G362="3/8",G362="2/8"),((база!$J$5*2*Таблица1[[#This Row],[Столбец1]]*Таблица1[[#This Row],[коэф]])))))))))))</f>
        <v>0</v>
      </c>
      <c r="AQ362" s="678" t="str">
        <f>IFERROR(INDEX(база!T:T, MATCH(F362,база!Q:Q,0)),"")</f>
        <v/>
      </c>
      <c r="AR362" s="193">
        <f>IFERROR(INDEX(база!D:D, MATCH(F362,база!B:B,0)),"")</f>
        <v>0</v>
      </c>
    </row>
    <row r="363" spans="1:44" ht="15">
      <c r="A363" s="59"/>
      <c r="B363" s="215"/>
      <c r="C363" s="54"/>
      <c r="D363" s="55"/>
      <c r="E363" s="196"/>
      <c r="F363" s="651"/>
      <c r="G363" s="42"/>
      <c r="H363" s="539"/>
      <c r="I363" s="539"/>
      <c r="J363" s="539"/>
      <c r="K363" s="539"/>
      <c r="L363" s="539"/>
      <c r="M363" s="539"/>
      <c r="N363" s="539"/>
      <c r="O363" s="539"/>
      <c r="P363" s="278"/>
      <c r="Q363" s="539"/>
      <c r="R363" s="539"/>
      <c r="S363" s="539"/>
      <c r="T363" s="539"/>
      <c r="U363" s="539"/>
      <c r="V363" s="539"/>
      <c r="W363" s="539"/>
      <c r="X363" s="539"/>
      <c r="Y363" s="539"/>
      <c r="Z363" s="539"/>
      <c r="AA363" s="539"/>
      <c r="AB363" s="539"/>
      <c r="AC363" s="539"/>
      <c r="AD363" s="43"/>
      <c r="AE363" s="43"/>
      <c r="AF363" s="238"/>
      <c r="AG363" s="43"/>
      <c r="AH363" s="43"/>
      <c r="AI363" s="238"/>
      <c r="AJ363" s="238"/>
      <c r="AK363" s="238"/>
      <c r="AL363" s="238"/>
      <c r="AM363" s="197">
        <f>IF(AQ363=1,SUM(H363:I363,L363:O363,R363:U363,X363:AA363,AD363:AG363,AI363:AK363),
IF(AQ363=2,SUM(H363:K363,N363:Q363,T363:W363,Z363:AC363,AF363:AI363),
IF(AQ363=3,SUM(J363:M363,P363:S363,V363:Y363,AB363:AE363,AH363:AK363),SUM(Таблица1[[#This Row],[1]:[31]])-Таблица1[[#This Row],[Столбец1]])))</f>
        <v>0</v>
      </c>
      <c r="AN363" s="269">
        <f t="array" ref="AN363">IF(AQ363=1,SUM(J363:K363,P363:Q363,V363:W363,AB363:AC363,AH363:AI363),
IF(AQ363=2,SUM(L363:M363,R363:S363,X363:Y363,AD363:AE363),
IF(AQ363=3,SUM(H363:I363,N363:O363,T363:U363,Z363:AA363,AF363:AG363),
SUM(IFERROR(WEEKDAY($H$2:$AL$2,2)&gt;5,)*H363:AL363))))</f>
        <v>0</v>
      </c>
      <c r="AO363" s="271" t="b">
        <f>IF(AR363&lt;=3,(IF((G363="5/24"),((база!$M$6*Таблица1[[#This Row],[сумма]]*Таблица1[[#This Row],[коэф]])),
IF((G363="4/24"),((база!$M$5*Таблица1[[#This Row],[сумма]]*Таблица1[[#This Row],[коэф]])),
IF((G363="3/24"),((база!$M$4*Таблица1[[#This Row],[сумма]]*Таблица1[[#This Row],[коэф]])),
IF((G363="5/16"),((база!$L$6*Таблица1[[#This Row],[сумма]]*Таблица1[[#This Row],[коэф]])),
IF((G363="4/16"),((база!$L$5*Таблица1[[#This Row],[сумма]]*Таблица1[[#This Row],[коэф]])),
IF((G363="3/16"),((база!$L$4*Таблица1[[#This Row],[сумма]]*Таблица1[[#This Row],[коэф]])),
IF((G363="4/4"),((база!$I$5*Таблица1[[#This Row],[сумма]]*Таблица1[[#This Row],[коэф]])),
IF(OR(G363="2/4",G363="3/4"),((база!$I$4*Таблица1[[#This Row],[сумма]]*Таблица1[[#This Row],[коэф]])),
IF((G363="5/8"),((база!$J$6*Таблица1[[#This Row],[сумма]]*Таблица1[[#This Row],[коэф]])),
IF((G363="4/8"),((база!$J$5*Таблица1[[#This Row],[сумма]]*Таблица1[[#This Row],[коэф]])),
IF(OR(G363="3/8",G363="2/8"),((база!$J$4*Таблица1[[#This Row],[сумма]]*Таблица1[[#This Row],[коэф]])))))))))))))),
(IF((G363="5/24"),((база!$M$6*Таблица1[[#This Row],[сумма]]*Таблица1[[#This Row],[коэф]])),
IF(OR(G363="4/24",G363="3/24"),((база!$M$5*Таблица1[[#This Row],[сумма]]*Таблица1[[#This Row],[коэф]])),
IF((G363="5/16"),((база!$L$6*Таблица1[[#This Row],[сумма]]*Таблица1[[#This Row],[коэф]])),
IF(OR(G363="4/16",G363="3/16"),((база!$L$5*Таблица1[[#This Row],[сумма]]*Таблица1[[#This Row],[коэф]])),
IF(OR(G363="2/4",G363="3/4",G363="4/4"),((база!$I$5*Таблица1[[#This Row],[сумма]]*Таблица1[[#This Row],[коэф]])),
IF((G363="5/8"),((база!$J$6*Таблица1[[#This Row],[сумма]]*Таблица1[[#This Row],[коэф]])),
IF(OR(G363="4/8",G363="3/8",G363="2/8"),((база!$J$5*Таблица1[[#This Row],[сумма]]*Таблица1[[#This Row],[коэф]])))))))))))</f>
        <v>0</v>
      </c>
      <c r="AP363" s="696" t="b">
        <f>IF(AR363&lt;=3,(IF((G363="5/24"),((база!$M$6*2*Таблица1[[#This Row],[Столбец1]]*Таблица1[[#This Row],[коэф]])),
IF((G363="4/24"),((база!$M$5*2*Таблица1[[#This Row],[Столбец1]]*Таблица1[[#This Row],[коэф]])),
IF((G363="3/24"),((база!$M$4*2*Таблица1[[#This Row],[Столбец1]]*Таблица1[[#This Row],[коэф]])),
IF((G363="5/16"),((база!$L$6*2*Таблица1[[#This Row],[Столбец1]]*Таблица1[[#This Row],[коэф]])),
IF((G363="4/16"),((база!$L$5*2*Таблица1[[#This Row],[Столбец1]]*Таблица1[[#This Row],[коэф]])),
IF((G363="3/16"),((база!$L$4*2*Таблица1[[#This Row],[Столбец1]]*Таблица1[[#This Row],[коэф]])),
IF((G363="4/4"),((база!$I$5*2*Таблица1[[#This Row],[Столбец1]]*Таблица1[[#This Row],[коэф]])),
IF(OR(G363="2/4",G363="3/4"),((база!$I$4*2*Таблица1[[#This Row],[Столбец1]]*Таблица1[[#This Row],[коэф]])),
IF((G363="5/8"),((база!$J$6*2*Таблица1[[#This Row],[Столбец1]]*Таблица1[[#This Row],[коэф]])),
IF((G363="4/8"),((база!$J$5*2*Таблица1[[#This Row],[Столбец1]]*Таблица1[[#This Row],[коэф]])),
IF(OR(G363="3/8",G363="2/8"),((база!$J$4*2*Таблица1[[#This Row],[Столбец1]]*Таблица1[[#This Row],[коэф]])))))))))))))),
(IF((G363="5/24"),((база!$M$6*2*Таблица1[[#This Row],[Столбец1]]*Таблица1[[#This Row],[коэф]])),
IF(OR(G363="4/24",G363="3/24"),((база!$M$5*2*Таблица1[[#This Row],[Столбец1]]*Таблица1[[#This Row],[коэф]])),
IF((G363="5/16"),((база!$L$6*2*Таблица1[[#This Row],[Столбец1]]*Таблица1[[#This Row],[коэф]])),
IF(OR(G363="4/16",G363="3/16"),((база!$L$5*2*Таблица1[[#This Row],[Столбец1]]*Таблица1[[#This Row],[коэф]])),
IF(OR(G363="2/4",G363="3/4",G363="4/4"),((база!$I$5*2*Таблица1[[#This Row],[Столбец1]]*Таблица1[[#This Row],[коэф]])),
IF((G363="5/8"),((база!$J$6*2*Таблица1[[#This Row],[Столбец1]]*Таблица1[[#This Row],[коэф]])),
IF(OR(G363="4/8",G363="3/8",G363="2/8"),((база!$J$5*2*Таблица1[[#This Row],[Столбец1]]*Таблица1[[#This Row],[коэф]])))))))))))</f>
        <v>0</v>
      </c>
      <c r="AQ363" s="678" t="str">
        <f>IFERROR(INDEX(база!T:T, MATCH(F363,база!Q:Q,0)),"")</f>
        <v/>
      </c>
      <c r="AR363" s="193">
        <f>IFERROR(INDEX(база!D:D, MATCH(F363,база!B:B,0)),"")</f>
        <v>0</v>
      </c>
    </row>
    <row r="364" spans="1:44" ht="15">
      <c r="A364" s="59"/>
      <c r="B364" s="215"/>
      <c r="C364" s="277"/>
      <c r="D364" s="55"/>
      <c r="E364" s="196"/>
      <c r="F364" s="651"/>
      <c r="G364" s="42"/>
      <c r="H364" s="539"/>
      <c r="I364" s="539"/>
      <c r="J364" s="539"/>
      <c r="K364" s="539"/>
      <c r="L364" s="539"/>
      <c r="M364" s="539"/>
      <c r="N364" s="539"/>
      <c r="O364" s="539"/>
      <c r="P364" s="278"/>
      <c r="Q364" s="539"/>
      <c r="R364" s="539"/>
      <c r="S364" s="539"/>
      <c r="T364" s="539"/>
      <c r="U364" s="539"/>
      <c r="V364" s="539"/>
      <c r="W364" s="539"/>
      <c r="X364" s="539"/>
      <c r="Y364" s="539"/>
      <c r="Z364" s="539"/>
      <c r="AA364" s="539"/>
      <c r="AB364" s="539"/>
      <c r="AC364" s="539"/>
      <c r="AD364" s="43"/>
      <c r="AE364" s="43"/>
      <c r="AF364" s="238"/>
      <c r="AG364" s="43"/>
      <c r="AH364" s="43"/>
      <c r="AI364" s="43"/>
      <c r="AJ364" s="43"/>
      <c r="AK364" s="43"/>
      <c r="AL364" s="45"/>
      <c r="AM364" s="197">
        <f>IF(AQ364=1,SUM(H364:I364,L364:O364,R364:U364,X364:AA364,AD364:AG364,AI364:AK364),
IF(AQ364=2,SUM(H364:K364,N364:Q364,T364:W364,Z364:AC364,AF364:AI364),
IF(AQ364=3,SUM(J364:M364,P364:S364,V364:Y364,AB364:AE364,AH364:AK364),SUM(Таблица1[[#This Row],[1]:[31]])-Таблица1[[#This Row],[Столбец1]])))</f>
        <v>0</v>
      </c>
      <c r="AN364" s="269">
        <f t="array" ref="AN364">IF(AQ364=1,SUM(J364:K364,P364:Q364,V364:W364,AB364:AC364,AH364:AI364),
IF(AQ364=2,SUM(L364:M364,R364:S364,X364:Y364,AD364:AE364),
IF(AQ364=3,SUM(H364:I364,N364:O364,T364:U364,Z364:AA364,AF364:AG364),
SUM(IFERROR(WEEKDAY($H$2:$AL$2,2)&gt;5,)*H364:AL364))))</f>
        <v>0</v>
      </c>
      <c r="AO364" s="271" t="b">
        <f>IF(AR364&lt;=3,(IF((G364="5/24"),((база!$M$6*Таблица1[[#This Row],[сумма]]*Таблица1[[#This Row],[коэф]])),
IF((G364="4/24"),((база!$M$5*Таблица1[[#This Row],[сумма]]*Таблица1[[#This Row],[коэф]])),
IF((G364="3/24"),((база!$M$4*Таблица1[[#This Row],[сумма]]*Таблица1[[#This Row],[коэф]])),
IF((G364="5/16"),((база!$L$6*Таблица1[[#This Row],[сумма]]*Таблица1[[#This Row],[коэф]])),
IF((G364="4/16"),((база!$L$5*Таблица1[[#This Row],[сумма]]*Таблица1[[#This Row],[коэф]])),
IF((G364="3/16"),((база!$L$4*Таблица1[[#This Row],[сумма]]*Таблица1[[#This Row],[коэф]])),
IF((G364="4/4"),((база!$I$5*Таблица1[[#This Row],[сумма]]*Таблица1[[#This Row],[коэф]])),
IF(OR(G364="2/4",G364="3/4"),((база!$I$4*Таблица1[[#This Row],[сумма]]*Таблица1[[#This Row],[коэф]])),
IF((G364="5/8"),((база!$J$6*Таблица1[[#This Row],[сумма]]*Таблица1[[#This Row],[коэф]])),
IF((G364="4/8"),((база!$J$5*Таблица1[[#This Row],[сумма]]*Таблица1[[#This Row],[коэф]])),
IF(OR(G364="3/8",G364="2/8"),((база!$J$4*Таблица1[[#This Row],[сумма]]*Таблица1[[#This Row],[коэф]])))))))))))))),
(IF((G364="5/24"),((база!$M$6*Таблица1[[#This Row],[сумма]]*Таблица1[[#This Row],[коэф]])),
IF(OR(G364="4/24",G364="3/24"),((база!$M$5*Таблица1[[#This Row],[сумма]]*Таблица1[[#This Row],[коэф]])),
IF((G364="5/16"),((база!$L$6*Таблица1[[#This Row],[сумма]]*Таблица1[[#This Row],[коэф]])),
IF(OR(G364="4/16",G364="3/16"),((база!$L$5*Таблица1[[#This Row],[сумма]]*Таблица1[[#This Row],[коэф]])),
IF(OR(G364="2/4",G364="3/4",G364="4/4"),((база!$I$5*Таблица1[[#This Row],[сумма]]*Таблица1[[#This Row],[коэф]])),
IF((G364="5/8"),((база!$J$6*Таблица1[[#This Row],[сумма]]*Таблица1[[#This Row],[коэф]])),
IF(OR(G364="4/8",G364="3/8",G364="2/8"),((база!$J$5*Таблица1[[#This Row],[сумма]]*Таблица1[[#This Row],[коэф]])))))))))))</f>
        <v>0</v>
      </c>
      <c r="AP364" s="696" t="b">
        <f>IF(AR364&lt;=3,(IF((G364="5/24"),((база!$M$6*2*Таблица1[[#This Row],[Столбец1]]*Таблица1[[#This Row],[коэф]])),
IF((G364="4/24"),((база!$M$5*2*Таблица1[[#This Row],[Столбец1]]*Таблица1[[#This Row],[коэф]])),
IF((G364="3/24"),((база!$M$4*2*Таблица1[[#This Row],[Столбец1]]*Таблица1[[#This Row],[коэф]])),
IF((G364="5/16"),((база!$L$6*2*Таблица1[[#This Row],[Столбец1]]*Таблица1[[#This Row],[коэф]])),
IF((G364="4/16"),((база!$L$5*2*Таблица1[[#This Row],[Столбец1]]*Таблица1[[#This Row],[коэф]])),
IF((G364="3/16"),((база!$L$4*2*Таблица1[[#This Row],[Столбец1]]*Таблица1[[#This Row],[коэф]])),
IF((G364="4/4"),((база!$I$5*2*Таблица1[[#This Row],[Столбец1]]*Таблица1[[#This Row],[коэф]])),
IF(OR(G364="2/4",G364="3/4"),((база!$I$4*2*Таблица1[[#This Row],[Столбец1]]*Таблица1[[#This Row],[коэф]])),
IF((G364="5/8"),((база!$J$6*2*Таблица1[[#This Row],[Столбец1]]*Таблица1[[#This Row],[коэф]])),
IF((G364="4/8"),((база!$J$5*2*Таблица1[[#This Row],[Столбец1]]*Таблица1[[#This Row],[коэф]])),
IF(OR(G364="3/8",G364="2/8"),((база!$J$4*2*Таблица1[[#This Row],[Столбец1]]*Таблица1[[#This Row],[коэф]])))))))))))))),
(IF((G364="5/24"),((база!$M$6*2*Таблица1[[#This Row],[Столбец1]]*Таблица1[[#This Row],[коэф]])),
IF(OR(G364="4/24",G364="3/24"),((база!$M$5*2*Таблица1[[#This Row],[Столбец1]]*Таблица1[[#This Row],[коэф]])),
IF((G364="5/16"),((база!$L$6*2*Таблица1[[#This Row],[Столбец1]]*Таблица1[[#This Row],[коэф]])),
IF(OR(G364="4/16",G364="3/16"),((база!$L$5*2*Таблица1[[#This Row],[Столбец1]]*Таблица1[[#This Row],[коэф]])),
IF(OR(G364="2/4",G364="3/4",G364="4/4"),((база!$I$5*2*Таблица1[[#This Row],[Столбец1]]*Таблица1[[#This Row],[коэф]])),
IF((G364="5/8"),((база!$J$6*2*Таблица1[[#This Row],[Столбец1]]*Таблица1[[#This Row],[коэф]])),
IF(OR(G364="4/8",G364="3/8",G364="2/8"),((база!$J$5*2*Таблица1[[#This Row],[Столбец1]]*Таблица1[[#This Row],[коэф]])))))))))))</f>
        <v>0</v>
      </c>
      <c r="AQ364" s="678" t="str">
        <f>IFERROR(INDEX(база!T:T, MATCH(F364,база!Q:Q,0)),"")</f>
        <v/>
      </c>
      <c r="AR364" s="193">
        <f>IFERROR(INDEX(база!D:D, MATCH(F364,база!B:B,0)),"")</f>
        <v>0</v>
      </c>
    </row>
    <row r="365" spans="1:44" ht="15">
      <c r="A365" s="59"/>
      <c r="B365" s="215"/>
      <c r="C365" s="277"/>
      <c r="D365" s="55"/>
      <c r="E365" s="196"/>
      <c r="F365" s="651"/>
      <c r="G365" s="42"/>
      <c r="H365" s="539"/>
      <c r="I365" s="539"/>
      <c r="J365" s="539"/>
      <c r="K365" s="539"/>
      <c r="L365" s="539"/>
      <c r="M365" s="539"/>
      <c r="N365" s="539"/>
      <c r="O365" s="539"/>
      <c r="P365" s="278"/>
      <c r="Q365" s="539"/>
      <c r="R365" s="539"/>
      <c r="S365" s="539"/>
      <c r="T365" s="539"/>
      <c r="U365" s="539"/>
      <c r="V365" s="539"/>
      <c r="W365" s="539"/>
      <c r="X365" s="539"/>
      <c r="Y365" s="539"/>
      <c r="Z365" s="539"/>
      <c r="AA365" s="539"/>
      <c r="AB365" s="539"/>
      <c r="AC365" s="539"/>
      <c r="AD365" s="43"/>
      <c r="AE365" s="43"/>
      <c r="AF365" s="238"/>
      <c r="AG365" s="43"/>
      <c r="AH365" s="43"/>
      <c r="AI365" s="238"/>
      <c r="AJ365" s="238"/>
      <c r="AK365" s="238"/>
      <c r="AL365" s="238"/>
      <c r="AM365" s="197">
        <f>IF(AQ365=1,SUM(H365:I365,L365:O365,R365:U365,X365:AA365,AD365:AG365,AI365:AK365),
IF(AQ365=2,SUM(H365:K365,N365:Q365,T365:W365,Z365:AC365,AF365:AI365),
IF(AQ365=3,SUM(J365:M365,P365:S365,V365:Y365,AB365:AE365,AH365:AK365),SUM(Таблица1[[#This Row],[1]:[31]])-Таблица1[[#This Row],[Столбец1]])))</f>
        <v>0</v>
      </c>
      <c r="AN365" s="269">
        <f t="array" ref="AN365">IF(AQ365=1,SUM(J365:K365,P365:Q365,V365:W365,AB365:AC365,AH365:AI365),
IF(AQ365=2,SUM(L365:M365,R365:S365,X365:Y365,AD365:AE365),
IF(AQ365=3,SUM(H365:I365,N365:O365,T365:U365,Z365:AA365,AF365:AG365),
SUM(IFERROR(WEEKDAY($H$2:$AL$2,2)&gt;5,)*H365:AL365))))</f>
        <v>0</v>
      </c>
      <c r="AO365" s="271" t="b">
        <f>IF(AR365&lt;=3,(IF((G365="5/24"),((база!$M$6*Таблица1[[#This Row],[сумма]]*Таблица1[[#This Row],[коэф]])),
IF((G365="4/24"),((база!$M$5*Таблица1[[#This Row],[сумма]]*Таблица1[[#This Row],[коэф]])),
IF((G365="3/24"),((база!$M$4*Таблица1[[#This Row],[сумма]]*Таблица1[[#This Row],[коэф]])),
IF((G365="5/16"),((база!$L$6*Таблица1[[#This Row],[сумма]]*Таблица1[[#This Row],[коэф]])),
IF((G365="4/16"),((база!$L$5*Таблица1[[#This Row],[сумма]]*Таблица1[[#This Row],[коэф]])),
IF((G365="3/16"),((база!$L$4*Таблица1[[#This Row],[сумма]]*Таблица1[[#This Row],[коэф]])),
IF((G365="4/4"),((база!$I$5*Таблица1[[#This Row],[сумма]]*Таблица1[[#This Row],[коэф]])),
IF(OR(G365="2/4",G365="3/4"),((база!$I$4*Таблица1[[#This Row],[сумма]]*Таблица1[[#This Row],[коэф]])),
IF((G365="5/8"),((база!$J$6*Таблица1[[#This Row],[сумма]]*Таблица1[[#This Row],[коэф]])),
IF((G365="4/8"),((база!$J$5*Таблица1[[#This Row],[сумма]]*Таблица1[[#This Row],[коэф]])),
IF(OR(G365="3/8",G365="2/8"),((база!$J$4*Таблица1[[#This Row],[сумма]]*Таблица1[[#This Row],[коэф]])))))))))))))),
(IF((G365="5/24"),((база!$M$6*Таблица1[[#This Row],[сумма]]*Таблица1[[#This Row],[коэф]])),
IF(OR(G365="4/24",G365="3/24"),((база!$M$5*Таблица1[[#This Row],[сумма]]*Таблица1[[#This Row],[коэф]])),
IF((G365="5/16"),((база!$L$6*Таблица1[[#This Row],[сумма]]*Таблица1[[#This Row],[коэф]])),
IF(OR(G365="4/16",G365="3/16"),((база!$L$5*Таблица1[[#This Row],[сумма]]*Таблица1[[#This Row],[коэф]])),
IF(OR(G365="2/4",G365="3/4",G365="4/4"),((база!$I$5*Таблица1[[#This Row],[сумма]]*Таблица1[[#This Row],[коэф]])),
IF((G365="5/8"),((база!$J$6*Таблица1[[#This Row],[сумма]]*Таблица1[[#This Row],[коэф]])),
IF(OR(G365="4/8",G365="3/8",G365="2/8"),((база!$J$5*Таблица1[[#This Row],[сумма]]*Таблица1[[#This Row],[коэф]])))))))))))</f>
        <v>0</v>
      </c>
      <c r="AP365" s="696" t="b">
        <f>IF(AR365&lt;=3,(IF((G365="5/24"),((база!$M$6*2*Таблица1[[#This Row],[Столбец1]]*Таблица1[[#This Row],[коэф]])),
IF((G365="4/24"),((база!$M$5*2*Таблица1[[#This Row],[Столбец1]]*Таблица1[[#This Row],[коэф]])),
IF((G365="3/24"),((база!$M$4*2*Таблица1[[#This Row],[Столбец1]]*Таблица1[[#This Row],[коэф]])),
IF((G365="5/16"),((база!$L$6*2*Таблица1[[#This Row],[Столбец1]]*Таблица1[[#This Row],[коэф]])),
IF((G365="4/16"),((база!$L$5*2*Таблица1[[#This Row],[Столбец1]]*Таблица1[[#This Row],[коэф]])),
IF((G365="3/16"),((база!$L$4*2*Таблица1[[#This Row],[Столбец1]]*Таблица1[[#This Row],[коэф]])),
IF((G365="4/4"),((база!$I$5*2*Таблица1[[#This Row],[Столбец1]]*Таблица1[[#This Row],[коэф]])),
IF(OR(G365="2/4",G365="3/4"),((база!$I$4*2*Таблица1[[#This Row],[Столбец1]]*Таблица1[[#This Row],[коэф]])),
IF((G365="5/8"),((база!$J$6*2*Таблица1[[#This Row],[Столбец1]]*Таблица1[[#This Row],[коэф]])),
IF((G365="4/8"),((база!$J$5*2*Таблица1[[#This Row],[Столбец1]]*Таблица1[[#This Row],[коэф]])),
IF(OR(G365="3/8",G365="2/8"),((база!$J$4*2*Таблица1[[#This Row],[Столбец1]]*Таблица1[[#This Row],[коэф]])))))))))))))),
(IF((G365="5/24"),((база!$M$6*2*Таблица1[[#This Row],[Столбец1]]*Таблица1[[#This Row],[коэф]])),
IF(OR(G365="4/24",G365="3/24"),((база!$M$5*2*Таблица1[[#This Row],[Столбец1]]*Таблица1[[#This Row],[коэф]])),
IF((G365="5/16"),((база!$L$6*2*Таблица1[[#This Row],[Столбец1]]*Таблица1[[#This Row],[коэф]])),
IF(OR(G365="4/16",G365="3/16"),((база!$L$5*2*Таблица1[[#This Row],[Столбец1]]*Таблица1[[#This Row],[коэф]])),
IF(OR(G365="2/4",G365="3/4",G365="4/4"),((база!$I$5*2*Таблица1[[#This Row],[Столбец1]]*Таблица1[[#This Row],[коэф]])),
IF((G365="5/8"),((база!$J$6*2*Таблица1[[#This Row],[Столбец1]]*Таблица1[[#This Row],[коэф]])),
IF(OR(G365="4/8",G365="3/8",G365="2/8"),((база!$J$5*2*Таблица1[[#This Row],[Столбец1]]*Таблица1[[#This Row],[коэф]])))))))))))</f>
        <v>0</v>
      </c>
      <c r="AQ365" s="678" t="str">
        <f>IFERROR(INDEX(база!T:T, MATCH(F365,база!Q:Q,0)),"")</f>
        <v/>
      </c>
      <c r="AR365" s="193">
        <f>IFERROR(INDEX(база!D:D, MATCH(F365,база!B:B,0)),"")</f>
        <v>0</v>
      </c>
    </row>
    <row r="366" spans="1:44" ht="15">
      <c r="A366" s="59"/>
      <c r="B366" s="215"/>
      <c r="C366" s="54"/>
      <c r="D366" s="55"/>
      <c r="E366" s="196"/>
      <c r="F366" s="651"/>
      <c r="G366" s="42"/>
      <c r="H366" s="539"/>
      <c r="I366" s="539"/>
      <c r="J366" s="539"/>
      <c r="K366" s="539"/>
      <c r="L366" s="539"/>
      <c r="M366" s="539"/>
      <c r="N366" s="539"/>
      <c r="O366" s="539"/>
      <c r="P366" s="278"/>
      <c r="Q366" s="539"/>
      <c r="R366" s="539"/>
      <c r="S366" s="539"/>
      <c r="T366" s="539"/>
      <c r="U366" s="539"/>
      <c r="V366" s="539"/>
      <c r="W366" s="539"/>
      <c r="X366" s="539"/>
      <c r="Y366" s="539"/>
      <c r="Z366" s="539"/>
      <c r="AA366" s="539"/>
      <c r="AB366" s="539"/>
      <c r="AC366" s="539"/>
      <c r="AD366" s="43"/>
      <c r="AE366" s="43"/>
      <c r="AF366" s="238"/>
      <c r="AG366" s="43"/>
      <c r="AH366" s="43"/>
      <c r="AI366" s="43"/>
      <c r="AJ366" s="43"/>
      <c r="AK366" s="43"/>
      <c r="AL366" s="45"/>
      <c r="AM366" s="197">
        <f>IF(AQ366=1,SUM(H366:I366,L366:O366,R366:U366,X366:AA366,AD366:AG366,AI366:AK366),
IF(AQ366=2,SUM(H366:K366,N366:Q366,T366:W366,Z366:AC366,AF366:AI366),
IF(AQ366=3,SUM(J366:M366,P366:S366,V366:Y366,AB366:AE366,AH366:AK366),SUM(Таблица1[[#This Row],[1]:[31]])-Таблица1[[#This Row],[Столбец1]])))</f>
        <v>0</v>
      </c>
      <c r="AN366" s="269">
        <f t="array" ref="AN366">IF(AQ366=1,SUM(J366:K366,P366:Q366,V366:W366,AB366:AC366,AH366:AI366),
IF(AQ366=2,SUM(L366:M366,R366:S366,X366:Y366,AD366:AE366),
IF(AQ366=3,SUM(H366:I366,N366:O366,T366:U366,Z366:AA366,AF366:AG366),
SUM(IFERROR(WEEKDAY($H$2:$AL$2,2)&gt;5,)*H366:AL366))))</f>
        <v>0</v>
      </c>
      <c r="AO366" s="271" t="b">
        <f>IF(AR366&lt;=3,(IF((G366="5/24"),((база!$M$6*Таблица1[[#This Row],[сумма]]*Таблица1[[#This Row],[коэф]])),
IF((G366="4/24"),((база!$M$5*Таблица1[[#This Row],[сумма]]*Таблица1[[#This Row],[коэф]])),
IF((G366="3/24"),((база!$M$4*Таблица1[[#This Row],[сумма]]*Таблица1[[#This Row],[коэф]])),
IF((G366="5/16"),((база!$L$6*Таблица1[[#This Row],[сумма]]*Таблица1[[#This Row],[коэф]])),
IF((G366="4/16"),((база!$L$5*Таблица1[[#This Row],[сумма]]*Таблица1[[#This Row],[коэф]])),
IF((G366="3/16"),((база!$L$4*Таблица1[[#This Row],[сумма]]*Таблица1[[#This Row],[коэф]])),
IF((G366="4/4"),((база!$I$5*Таблица1[[#This Row],[сумма]]*Таблица1[[#This Row],[коэф]])),
IF(OR(G366="2/4",G366="3/4"),((база!$I$4*Таблица1[[#This Row],[сумма]]*Таблица1[[#This Row],[коэф]])),
IF((G366="5/8"),((база!$J$6*Таблица1[[#This Row],[сумма]]*Таблица1[[#This Row],[коэф]])),
IF((G366="4/8"),((база!$J$5*Таблица1[[#This Row],[сумма]]*Таблица1[[#This Row],[коэф]])),
IF(OR(G366="3/8",G366="2/8"),((база!$J$4*Таблица1[[#This Row],[сумма]]*Таблица1[[#This Row],[коэф]])))))))))))))),
(IF((G366="5/24"),((база!$M$6*Таблица1[[#This Row],[сумма]]*Таблица1[[#This Row],[коэф]])),
IF(OR(G366="4/24",G366="3/24"),((база!$M$5*Таблица1[[#This Row],[сумма]]*Таблица1[[#This Row],[коэф]])),
IF((G366="5/16"),((база!$L$6*Таблица1[[#This Row],[сумма]]*Таблица1[[#This Row],[коэф]])),
IF(OR(G366="4/16",G366="3/16"),((база!$L$5*Таблица1[[#This Row],[сумма]]*Таблица1[[#This Row],[коэф]])),
IF(OR(G366="2/4",G366="3/4",G366="4/4"),((база!$I$5*Таблица1[[#This Row],[сумма]]*Таблица1[[#This Row],[коэф]])),
IF((G366="5/8"),((база!$J$6*Таблица1[[#This Row],[сумма]]*Таблица1[[#This Row],[коэф]])),
IF(OR(G366="4/8",G366="3/8",G366="2/8"),((база!$J$5*Таблица1[[#This Row],[сумма]]*Таблица1[[#This Row],[коэф]])))))))))))</f>
        <v>0</v>
      </c>
      <c r="AP366" s="696" t="b">
        <f>IF(AR366&lt;=3,(IF((G366="5/24"),((база!$M$6*2*Таблица1[[#This Row],[Столбец1]]*Таблица1[[#This Row],[коэф]])),
IF((G366="4/24"),((база!$M$5*2*Таблица1[[#This Row],[Столбец1]]*Таблица1[[#This Row],[коэф]])),
IF((G366="3/24"),((база!$M$4*2*Таблица1[[#This Row],[Столбец1]]*Таблица1[[#This Row],[коэф]])),
IF((G366="5/16"),((база!$L$6*2*Таблица1[[#This Row],[Столбец1]]*Таблица1[[#This Row],[коэф]])),
IF((G366="4/16"),((база!$L$5*2*Таблица1[[#This Row],[Столбец1]]*Таблица1[[#This Row],[коэф]])),
IF((G366="3/16"),((база!$L$4*2*Таблица1[[#This Row],[Столбец1]]*Таблица1[[#This Row],[коэф]])),
IF((G366="4/4"),((база!$I$5*2*Таблица1[[#This Row],[Столбец1]]*Таблица1[[#This Row],[коэф]])),
IF(OR(G366="2/4",G366="3/4"),((база!$I$4*2*Таблица1[[#This Row],[Столбец1]]*Таблица1[[#This Row],[коэф]])),
IF((G366="5/8"),((база!$J$6*2*Таблица1[[#This Row],[Столбец1]]*Таблица1[[#This Row],[коэф]])),
IF((G366="4/8"),((база!$J$5*2*Таблица1[[#This Row],[Столбец1]]*Таблица1[[#This Row],[коэф]])),
IF(OR(G366="3/8",G366="2/8"),((база!$J$4*2*Таблица1[[#This Row],[Столбец1]]*Таблица1[[#This Row],[коэф]])))))))))))))),
(IF((G366="5/24"),((база!$M$6*2*Таблица1[[#This Row],[Столбец1]]*Таблица1[[#This Row],[коэф]])),
IF(OR(G366="4/24",G366="3/24"),((база!$M$5*2*Таблица1[[#This Row],[Столбец1]]*Таблица1[[#This Row],[коэф]])),
IF((G366="5/16"),((база!$L$6*2*Таблица1[[#This Row],[Столбец1]]*Таблица1[[#This Row],[коэф]])),
IF(OR(G366="4/16",G366="3/16"),((база!$L$5*2*Таблица1[[#This Row],[Столбец1]]*Таблица1[[#This Row],[коэф]])),
IF(OR(G366="2/4",G366="3/4",G366="4/4"),((база!$I$5*2*Таблица1[[#This Row],[Столбец1]]*Таблица1[[#This Row],[коэф]])),
IF((G366="5/8"),((база!$J$6*2*Таблица1[[#This Row],[Столбец1]]*Таблица1[[#This Row],[коэф]])),
IF(OR(G366="4/8",G366="3/8",G366="2/8"),((база!$J$5*2*Таблица1[[#This Row],[Столбец1]]*Таблица1[[#This Row],[коэф]])))))))))))</f>
        <v>0</v>
      </c>
      <c r="AQ366" s="678" t="str">
        <f>IFERROR(INDEX(база!T:T, MATCH(F366,база!Q:Q,0)),"")</f>
        <v/>
      </c>
      <c r="AR366" s="193">
        <f>IFERROR(INDEX(база!D:D, MATCH(F366,база!B:B,0)),"")</f>
        <v>0</v>
      </c>
    </row>
    <row r="367" spans="1:44" ht="15">
      <c r="A367" s="59"/>
      <c r="B367" s="215"/>
      <c r="C367" s="277"/>
      <c r="D367" s="55"/>
      <c r="E367" s="196"/>
      <c r="F367" s="651"/>
      <c r="G367" s="42"/>
      <c r="H367" s="539"/>
      <c r="I367" s="539"/>
      <c r="J367" s="539"/>
      <c r="K367" s="539"/>
      <c r="L367" s="539"/>
      <c r="M367" s="539"/>
      <c r="N367" s="539"/>
      <c r="O367" s="539"/>
      <c r="P367" s="278"/>
      <c r="Q367" s="539"/>
      <c r="R367" s="539"/>
      <c r="S367" s="539"/>
      <c r="T367" s="539"/>
      <c r="U367" s="539"/>
      <c r="V367" s="539"/>
      <c r="W367" s="539"/>
      <c r="X367" s="539"/>
      <c r="Y367" s="539"/>
      <c r="Z367" s="539"/>
      <c r="AA367" s="539"/>
      <c r="AB367" s="539"/>
      <c r="AC367" s="539"/>
      <c r="AD367" s="43"/>
      <c r="AE367" s="43"/>
      <c r="AF367" s="238"/>
      <c r="AG367" s="43"/>
      <c r="AH367" s="43"/>
      <c r="AI367" s="238"/>
      <c r="AJ367" s="238"/>
      <c r="AK367" s="238"/>
      <c r="AL367" s="238"/>
      <c r="AM367" s="197">
        <f>IF(AQ367=1,SUM(H367:I367,L367:O367,R367:U367,X367:AA367,AD367:AG367,AI367:AK367),
IF(AQ367=2,SUM(H367:K367,N367:Q367,T367:W367,Z367:AC367,AF367:AI367),
IF(AQ367=3,SUM(J367:M367,P367:S367,V367:Y367,AB367:AE367,AH367:AK367),SUM(Таблица1[[#This Row],[1]:[31]])-Таблица1[[#This Row],[Столбец1]])))</f>
        <v>0</v>
      </c>
      <c r="AN367" s="269">
        <f t="array" ref="AN367">IF(AQ367=1,SUM(J367:K367,P367:Q367,V367:W367,AB367:AC367,AH367:AI367),
IF(AQ367=2,SUM(L367:M367,R367:S367,X367:Y367,AD367:AE367),
IF(AQ367=3,SUM(H367:I367,N367:O367,T367:U367,Z367:AA367,AF367:AG367),
SUM(IFERROR(WEEKDAY($H$2:$AL$2,2)&gt;5,)*H367:AL367))))</f>
        <v>0</v>
      </c>
      <c r="AO367" s="271" t="b">
        <f>IF(AR367&lt;=3,(IF((G367="5/24"),((база!$M$6*Таблица1[[#This Row],[сумма]]*Таблица1[[#This Row],[коэф]])),
IF((G367="4/24"),((база!$M$5*Таблица1[[#This Row],[сумма]]*Таблица1[[#This Row],[коэф]])),
IF((G367="3/24"),((база!$M$4*Таблица1[[#This Row],[сумма]]*Таблица1[[#This Row],[коэф]])),
IF((G367="5/16"),((база!$L$6*Таблица1[[#This Row],[сумма]]*Таблица1[[#This Row],[коэф]])),
IF((G367="4/16"),((база!$L$5*Таблица1[[#This Row],[сумма]]*Таблица1[[#This Row],[коэф]])),
IF((G367="3/16"),((база!$L$4*Таблица1[[#This Row],[сумма]]*Таблица1[[#This Row],[коэф]])),
IF((G367="4/4"),((база!$I$5*Таблица1[[#This Row],[сумма]]*Таблица1[[#This Row],[коэф]])),
IF(OR(G367="2/4",G367="3/4"),((база!$I$4*Таблица1[[#This Row],[сумма]]*Таблица1[[#This Row],[коэф]])),
IF((G367="5/8"),((база!$J$6*Таблица1[[#This Row],[сумма]]*Таблица1[[#This Row],[коэф]])),
IF((G367="4/8"),((база!$J$5*Таблица1[[#This Row],[сумма]]*Таблица1[[#This Row],[коэф]])),
IF(OR(G367="3/8",G367="2/8"),((база!$J$4*Таблица1[[#This Row],[сумма]]*Таблица1[[#This Row],[коэф]])))))))))))))),
(IF((G367="5/24"),((база!$M$6*Таблица1[[#This Row],[сумма]]*Таблица1[[#This Row],[коэф]])),
IF(OR(G367="4/24",G367="3/24"),((база!$M$5*Таблица1[[#This Row],[сумма]]*Таблица1[[#This Row],[коэф]])),
IF((G367="5/16"),((база!$L$6*Таблица1[[#This Row],[сумма]]*Таблица1[[#This Row],[коэф]])),
IF(OR(G367="4/16",G367="3/16"),((база!$L$5*Таблица1[[#This Row],[сумма]]*Таблица1[[#This Row],[коэф]])),
IF(OR(G367="2/4",G367="3/4",G367="4/4"),((база!$I$5*Таблица1[[#This Row],[сумма]]*Таблица1[[#This Row],[коэф]])),
IF((G367="5/8"),((база!$J$6*Таблица1[[#This Row],[сумма]]*Таблица1[[#This Row],[коэф]])),
IF(OR(G367="4/8",G367="3/8",G367="2/8"),((база!$J$5*Таблица1[[#This Row],[сумма]]*Таблица1[[#This Row],[коэф]])))))))))))</f>
        <v>0</v>
      </c>
      <c r="AP367" s="696" t="b">
        <f>IF(AR367&lt;=3,(IF((G367="5/24"),((база!$M$6*2*Таблица1[[#This Row],[Столбец1]]*Таблица1[[#This Row],[коэф]])),
IF((G367="4/24"),((база!$M$5*2*Таблица1[[#This Row],[Столбец1]]*Таблица1[[#This Row],[коэф]])),
IF((G367="3/24"),((база!$M$4*2*Таблица1[[#This Row],[Столбец1]]*Таблица1[[#This Row],[коэф]])),
IF((G367="5/16"),((база!$L$6*2*Таблица1[[#This Row],[Столбец1]]*Таблица1[[#This Row],[коэф]])),
IF((G367="4/16"),((база!$L$5*2*Таблица1[[#This Row],[Столбец1]]*Таблица1[[#This Row],[коэф]])),
IF((G367="3/16"),((база!$L$4*2*Таблица1[[#This Row],[Столбец1]]*Таблица1[[#This Row],[коэф]])),
IF((G367="4/4"),((база!$I$5*2*Таблица1[[#This Row],[Столбец1]]*Таблица1[[#This Row],[коэф]])),
IF(OR(G367="2/4",G367="3/4"),((база!$I$4*2*Таблица1[[#This Row],[Столбец1]]*Таблица1[[#This Row],[коэф]])),
IF((G367="5/8"),((база!$J$6*2*Таблица1[[#This Row],[Столбец1]]*Таблица1[[#This Row],[коэф]])),
IF((G367="4/8"),((база!$J$5*2*Таблица1[[#This Row],[Столбец1]]*Таблица1[[#This Row],[коэф]])),
IF(OR(G367="3/8",G367="2/8"),((база!$J$4*2*Таблица1[[#This Row],[Столбец1]]*Таблица1[[#This Row],[коэф]])))))))))))))),
(IF((G367="5/24"),((база!$M$6*2*Таблица1[[#This Row],[Столбец1]]*Таблица1[[#This Row],[коэф]])),
IF(OR(G367="4/24",G367="3/24"),((база!$M$5*2*Таблица1[[#This Row],[Столбец1]]*Таблица1[[#This Row],[коэф]])),
IF((G367="5/16"),((база!$L$6*2*Таблица1[[#This Row],[Столбец1]]*Таблица1[[#This Row],[коэф]])),
IF(OR(G367="4/16",G367="3/16"),((база!$L$5*2*Таблица1[[#This Row],[Столбец1]]*Таблица1[[#This Row],[коэф]])),
IF(OR(G367="2/4",G367="3/4",G367="4/4"),((база!$I$5*2*Таблица1[[#This Row],[Столбец1]]*Таблица1[[#This Row],[коэф]])),
IF((G367="5/8"),((база!$J$6*2*Таблица1[[#This Row],[Столбец1]]*Таблица1[[#This Row],[коэф]])),
IF(OR(G367="4/8",G367="3/8",G367="2/8"),((база!$J$5*2*Таблица1[[#This Row],[Столбец1]]*Таблица1[[#This Row],[коэф]])))))))))))</f>
        <v>0</v>
      </c>
      <c r="AQ367" s="678" t="str">
        <f>IFERROR(INDEX(база!T:T, MATCH(F367,база!Q:Q,0)),"")</f>
        <v/>
      </c>
      <c r="AR367" s="193">
        <f>IFERROR(INDEX(база!D:D, MATCH(F367,база!B:B,0)),"")</f>
        <v>0</v>
      </c>
    </row>
    <row r="368" spans="1:44" ht="15">
      <c r="A368" s="59"/>
      <c r="B368" s="215"/>
      <c r="C368" s="277"/>
      <c r="D368" s="55"/>
      <c r="E368" s="196"/>
      <c r="F368" s="651"/>
      <c r="G368" s="42"/>
      <c r="H368" s="539"/>
      <c r="I368" s="539"/>
      <c r="J368" s="539"/>
      <c r="K368" s="539"/>
      <c r="L368" s="539"/>
      <c r="M368" s="539"/>
      <c r="N368" s="539"/>
      <c r="O368" s="539"/>
      <c r="P368" s="278"/>
      <c r="Q368" s="539"/>
      <c r="R368" s="539"/>
      <c r="S368" s="539"/>
      <c r="T368" s="539"/>
      <c r="U368" s="539"/>
      <c r="V368" s="539"/>
      <c r="W368" s="539"/>
      <c r="X368" s="539"/>
      <c r="Y368" s="539"/>
      <c r="Z368" s="539"/>
      <c r="AA368" s="539"/>
      <c r="AB368" s="539"/>
      <c r="AC368" s="539"/>
      <c r="AD368" s="43"/>
      <c r="AE368" s="43"/>
      <c r="AF368" s="238"/>
      <c r="AG368" s="43"/>
      <c r="AH368" s="43"/>
      <c r="AI368" s="43"/>
      <c r="AJ368" s="43"/>
      <c r="AK368" s="43"/>
      <c r="AL368" s="45"/>
      <c r="AM368" s="197">
        <f>IF(AQ368=1,SUM(H368:I368,L368:O368,R368:U368,X368:AA368,AD368:AG368,AI368:AK368),
IF(AQ368=2,SUM(H368:K368,N368:Q368,T368:W368,Z368:AC368,AF368:AI368),
IF(AQ368=3,SUM(J368:M368,P368:S368,V368:Y368,AB368:AE368,AH368:AK368),SUM(Таблица1[[#This Row],[1]:[31]])-Таблица1[[#This Row],[Столбец1]])))</f>
        <v>0</v>
      </c>
      <c r="AN368" s="269">
        <f t="array" ref="AN368">IF(AQ368=1,SUM(J368:K368,P368:Q368,V368:W368,AB368:AC368,AH368:AI368),
IF(AQ368=2,SUM(L368:M368,R368:S368,X368:Y368,AD368:AE368),
IF(AQ368=3,SUM(H368:I368,N368:O368,T368:U368,Z368:AA368,AF368:AG368),
SUM(IFERROR(WEEKDAY($H$2:$AL$2,2)&gt;5,)*H368:AL368))))</f>
        <v>0</v>
      </c>
      <c r="AO368" s="271" t="b">
        <f>IF(AR368&lt;=3,(IF((G368="5/24"),((база!$M$6*Таблица1[[#This Row],[сумма]]*Таблица1[[#This Row],[коэф]])),
IF((G368="4/24"),((база!$M$5*Таблица1[[#This Row],[сумма]]*Таблица1[[#This Row],[коэф]])),
IF((G368="3/24"),((база!$M$4*Таблица1[[#This Row],[сумма]]*Таблица1[[#This Row],[коэф]])),
IF((G368="5/16"),((база!$L$6*Таблица1[[#This Row],[сумма]]*Таблица1[[#This Row],[коэф]])),
IF((G368="4/16"),((база!$L$5*Таблица1[[#This Row],[сумма]]*Таблица1[[#This Row],[коэф]])),
IF((G368="3/16"),((база!$L$4*Таблица1[[#This Row],[сумма]]*Таблица1[[#This Row],[коэф]])),
IF((G368="4/4"),((база!$I$5*Таблица1[[#This Row],[сумма]]*Таблица1[[#This Row],[коэф]])),
IF(OR(G368="2/4",G368="3/4"),((база!$I$4*Таблица1[[#This Row],[сумма]]*Таблица1[[#This Row],[коэф]])),
IF((G368="5/8"),((база!$J$6*Таблица1[[#This Row],[сумма]]*Таблица1[[#This Row],[коэф]])),
IF((G368="4/8"),((база!$J$5*Таблица1[[#This Row],[сумма]]*Таблица1[[#This Row],[коэф]])),
IF(OR(G368="3/8",G368="2/8"),((база!$J$4*Таблица1[[#This Row],[сумма]]*Таблица1[[#This Row],[коэф]])))))))))))))),
(IF((G368="5/24"),((база!$M$6*Таблица1[[#This Row],[сумма]]*Таблица1[[#This Row],[коэф]])),
IF(OR(G368="4/24",G368="3/24"),((база!$M$5*Таблица1[[#This Row],[сумма]]*Таблица1[[#This Row],[коэф]])),
IF((G368="5/16"),((база!$L$6*Таблица1[[#This Row],[сумма]]*Таблица1[[#This Row],[коэф]])),
IF(OR(G368="4/16",G368="3/16"),((база!$L$5*Таблица1[[#This Row],[сумма]]*Таблица1[[#This Row],[коэф]])),
IF(OR(G368="2/4",G368="3/4",G368="4/4"),((база!$I$5*Таблица1[[#This Row],[сумма]]*Таблица1[[#This Row],[коэф]])),
IF((G368="5/8"),((база!$J$6*Таблица1[[#This Row],[сумма]]*Таблица1[[#This Row],[коэф]])),
IF(OR(G368="4/8",G368="3/8",G368="2/8"),((база!$J$5*Таблица1[[#This Row],[сумма]]*Таблица1[[#This Row],[коэф]])))))))))))</f>
        <v>0</v>
      </c>
      <c r="AP368" s="696" t="b">
        <f>IF(AR368&lt;=3,(IF((G368="5/24"),((база!$M$6*2*Таблица1[[#This Row],[Столбец1]]*Таблица1[[#This Row],[коэф]])),
IF((G368="4/24"),((база!$M$5*2*Таблица1[[#This Row],[Столбец1]]*Таблица1[[#This Row],[коэф]])),
IF((G368="3/24"),((база!$M$4*2*Таблица1[[#This Row],[Столбец1]]*Таблица1[[#This Row],[коэф]])),
IF((G368="5/16"),((база!$L$6*2*Таблица1[[#This Row],[Столбец1]]*Таблица1[[#This Row],[коэф]])),
IF((G368="4/16"),((база!$L$5*2*Таблица1[[#This Row],[Столбец1]]*Таблица1[[#This Row],[коэф]])),
IF((G368="3/16"),((база!$L$4*2*Таблица1[[#This Row],[Столбец1]]*Таблица1[[#This Row],[коэф]])),
IF((G368="4/4"),((база!$I$5*2*Таблица1[[#This Row],[Столбец1]]*Таблица1[[#This Row],[коэф]])),
IF(OR(G368="2/4",G368="3/4"),((база!$I$4*2*Таблица1[[#This Row],[Столбец1]]*Таблица1[[#This Row],[коэф]])),
IF((G368="5/8"),((база!$J$6*2*Таблица1[[#This Row],[Столбец1]]*Таблица1[[#This Row],[коэф]])),
IF((G368="4/8"),((база!$J$5*2*Таблица1[[#This Row],[Столбец1]]*Таблица1[[#This Row],[коэф]])),
IF(OR(G368="3/8",G368="2/8"),((база!$J$4*2*Таблица1[[#This Row],[Столбец1]]*Таблица1[[#This Row],[коэф]])))))))))))))),
(IF((G368="5/24"),((база!$M$6*2*Таблица1[[#This Row],[Столбец1]]*Таблица1[[#This Row],[коэф]])),
IF(OR(G368="4/24",G368="3/24"),((база!$M$5*2*Таблица1[[#This Row],[Столбец1]]*Таблица1[[#This Row],[коэф]])),
IF((G368="5/16"),((база!$L$6*2*Таблица1[[#This Row],[Столбец1]]*Таблица1[[#This Row],[коэф]])),
IF(OR(G368="4/16",G368="3/16"),((база!$L$5*2*Таблица1[[#This Row],[Столбец1]]*Таблица1[[#This Row],[коэф]])),
IF(OR(G368="2/4",G368="3/4",G368="4/4"),((база!$I$5*2*Таблица1[[#This Row],[Столбец1]]*Таблица1[[#This Row],[коэф]])),
IF((G368="5/8"),((база!$J$6*2*Таблица1[[#This Row],[Столбец1]]*Таблица1[[#This Row],[коэф]])),
IF(OR(G368="4/8",G368="3/8",G368="2/8"),((база!$J$5*2*Таблица1[[#This Row],[Столбец1]]*Таблица1[[#This Row],[коэф]])))))))))))</f>
        <v>0</v>
      </c>
      <c r="AQ368" s="678" t="str">
        <f>IFERROR(INDEX(база!T:T, MATCH(F368,база!Q:Q,0)),"")</f>
        <v/>
      </c>
      <c r="AR368" s="193">
        <f>IFERROR(INDEX(база!D:D, MATCH(F368,база!B:B,0)),"")</f>
        <v>0</v>
      </c>
    </row>
    <row r="369" spans="1:44" ht="15">
      <c r="A369" s="59"/>
      <c r="B369" s="215"/>
      <c r="C369" s="277"/>
      <c r="D369" s="55"/>
      <c r="E369" s="196"/>
      <c r="F369" s="651"/>
      <c r="G369" s="42"/>
      <c r="H369" s="539"/>
      <c r="I369" s="539"/>
      <c r="J369" s="539"/>
      <c r="K369" s="539"/>
      <c r="L369" s="539"/>
      <c r="M369" s="539"/>
      <c r="N369" s="539"/>
      <c r="O369" s="539"/>
      <c r="P369" s="278"/>
      <c r="Q369" s="539"/>
      <c r="R369" s="539"/>
      <c r="S369" s="539"/>
      <c r="T369" s="539"/>
      <c r="U369" s="539"/>
      <c r="V369" s="539"/>
      <c r="W369" s="539"/>
      <c r="X369" s="539"/>
      <c r="Y369" s="539"/>
      <c r="Z369" s="539"/>
      <c r="AA369" s="539"/>
      <c r="AB369" s="539"/>
      <c r="AC369" s="539"/>
      <c r="AD369" s="43"/>
      <c r="AE369" s="43"/>
      <c r="AF369" s="238"/>
      <c r="AG369" s="43"/>
      <c r="AH369" s="43"/>
      <c r="AI369" s="238"/>
      <c r="AJ369" s="238"/>
      <c r="AK369" s="238"/>
      <c r="AL369" s="238"/>
      <c r="AM369" s="197">
        <f>IF(AQ369=1,SUM(H369:I369,L369:O369,R369:U369,X369:AA369,AD369:AG369,AI369:AK369),
IF(AQ369=2,SUM(H369:K369,N369:Q369,T369:W369,Z369:AC369,AF369:AI369),
IF(AQ369=3,SUM(J369:M369,P369:S369,V369:Y369,AB369:AE369,AH369:AK369),SUM(Таблица1[[#This Row],[1]:[31]])-Таблица1[[#This Row],[Столбец1]])))</f>
        <v>0</v>
      </c>
      <c r="AN369" s="269">
        <f t="array" ref="AN369">IF(AQ369=1,SUM(J369:K369,P369:Q369,V369:W369,AB369:AC369,AH369:AI369),
IF(AQ369=2,SUM(L369:M369,R369:S369,X369:Y369,AD369:AE369),
IF(AQ369=3,SUM(H369:I369,N369:O369,T369:U369,Z369:AA369,AF369:AG369),
SUM(IFERROR(WEEKDAY($H$2:$AL$2,2)&gt;5,)*H369:AL369))))</f>
        <v>0</v>
      </c>
      <c r="AO369" s="271" t="b">
        <f>IF(AR369&lt;=3,(IF((G369="5/24"),((база!$M$6*Таблица1[[#This Row],[сумма]]*Таблица1[[#This Row],[коэф]])),
IF((G369="4/24"),((база!$M$5*Таблица1[[#This Row],[сумма]]*Таблица1[[#This Row],[коэф]])),
IF((G369="3/24"),((база!$M$4*Таблица1[[#This Row],[сумма]]*Таблица1[[#This Row],[коэф]])),
IF((G369="5/16"),((база!$L$6*Таблица1[[#This Row],[сумма]]*Таблица1[[#This Row],[коэф]])),
IF((G369="4/16"),((база!$L$5*Таблица1[[#This Row],[сумма]]*Таблица1[[#This Row],[коэф]])),
IF((G369="3/16"),((база!$L$4*Таблица1[[#This Row],[сумма]]*Таблица1[[#This Row],[коэф]])),
IF((G369="4/4"),((база!$I$5*Таблица1[[#This Row],[сумма]]*Таблица1[[#This Row],[коэф]])),
IF(OR(G369="2/4",G369="3/4"),((база!$I$4*Таблица1[[#This Row],[сумма]]*Таблица1[[#This Row],[коэф]])),
IF((G369="5/8"),((база!$J$6*Таблица1[[#This Row],[сумма]]*Таблица1[[#This Row],[коэф]])),
IF((G369="4/8"),((база!$J$5*Таблица1[[#This Row],[сумма]]*Таблица1[[#This Row],[коэф]])),
IF(OR(G369="3/8",G369="2/8"),((база!$J$4*Таблица1[[#This Row],[сумма]]*Таблица1[[#This Row],[коэф]])))))))))))))),
(IF((G369="5/24"),((база!$M$6*Таблица1[[#This Row],[сумма]]*Таблица1[[#This Row],[коэф]])),
IF(OR(G369="4/24",G369="3/24"),((база!$M$5*Таблица1[[#This Row],[сумма]]*Таблица1[[#This Row],[коэф]])),
IF((G369="5/16"),((база!$L$6*Таблица1[[#This Row],[сумма]]*Таблица1[[#This Row],[коэф]])),
IF(OR(G369="4/16",G369="3/16"),((база!$L$5*Таблица1[[#This Row],[сумма]]*Таблица1[[#This Row],[коэф]])),
IF(OR(G369="2/4",G369="3/4",G369="4/4"),((база!$I$5*Таблица1[[#This Row],[сумма]]*Таблица1[[#This Row],[коэф]])),
IF((G369="5/8"),((база!$J$6*Таблица1[[#This Row],[сумма]]*Таблица1[[#This Row],[коэф]])),
IF(OR(G369="4/8",G369="3/8",G369="2/8"),((база!$J$5*Таблица1[[#This Row],[сумма]]*Таблица1[[#This Row],[коэф]])))))))))))</f>
        <v>0</v>
      </c>
      <c r="AP369" s="696" t="b">
        <f>IF(AR369&lt;=3,(IF((G369="5/24"),((база!$M$6*2*Таблица1[[#This Row],[Столбец1]]*Таблица1[[#This Row],[коэф]])),
IF((G369="4/24"),((база!$M$5*2*Таблица1[[#This Row],[Столбец1]]*Таблица1[[#This Row],[коэф]])),
IF((G369="3/24"),((база!$M$4*2*Таблица1[[#This Row],[Столбец1]]*Таблица1[[#This Row],[коэф]])),
IF((G369="5/16"),((база!$L$6*2*Таблица1[[#This Row],[Столбец1]]*Таблица1[[#This Row],[коэф]])),
IF((G369="4/16"),((база!$L$5*2*Таблица1[[#This Row],[Столбец1]]*Таблица1[[#This Row],[коэф]])),
IF((G369="3/16"),((база!$L$4*2*Таблица1[[#This Row],[Столбец1]]*Таблица1[[#This Row],[коэф]])),
IF((G369="4/4"),((база!$I$5*2*Таблица1[[#This Row],[Столбец1]]*Таблица1[[#This Row],[коэф]])),
IF(OR(G369="2/4",G369="3/4"),((база!$I$4*2*Таблица1[[#This Row],[Столбец1]]*Таблица1[[#This Row],[коэф]])),
IF((G369="5/8"),((база!$J$6*2*Таблица1[[#This Row],[Столбец1]]*Таблица1[[#This Row],[коэф]])),
IF((G369="4/8"),((база!$J$5*2*Таблица1[[#This Row],[Столбец1]]*Таблица1[[#This Row],[коэф]])),
IF(OR(G369="3/8",G369="2/8"),((база!$J$4*2*Таблица1[[#This Row],[Столбец1]]*Таблица1[[#This Row],[коэф]])))))))))))))),
(IF((G369="5/24"),((база!$M$6*2*Таблица1[[#This Row],[Столбец1]]*Таблица1[[#This Row],[коэф]])),
IF(OR(G369="4/24",G369="3/24"),((база!$M$5*2*Таблица1[[#This Row],[Столбец1]]*Таблица1[[#This Row],[коэф]])),
IF((G369="5/16"),((база!$L$6*2*Таблица1[[#This Row],[Столбец1]]*Таблица1[[#This Row],[коэф]])),
IF(OR(G369="4/16",G369="3/16"),((база!$L$5*2*Таблица1[[#This Row],[Столбец1]]*Таблица1[[#This Row],[коэф]])),
IF(OR(G369="2/4",G369="3/4",G369="4/4"),((база!$I$5*2*Таблица1[[#This Row],[Столбец1]]*Таблица1[[#This Row],[коэф]])),
IF((G369="5/8"),((база!$J$6*2*Таблица1[[#This Row],[Столбец1]]*Таблица1[[#This Row],[коэф]])),
IF(OR(G369="4/8",G369="3/8",G369="2/8"),((база!$J$5*2*Таблица1[[#This Row],[Столбец1]]*Таблица1[[#This Row],[коэф]])))))))))))</f>
        <v>0</v>
      </c>
      <c r="AQ369" s="678" t="str">
        <f>IFERROR(INDEX(база!T:T, MATCH(F369,база!Q:Q,0)),"")</f>
        <v/>
      </c>
      <c r="AR369" s="193">
        <f>IFERROR(INDEX(база!D:D, MATCH(F369,база!B:B,0)),"")</f>
        <v>0</v>
      </c>
    </row>
    <row r="370" spans="1:44" ht="15">
      <c r="A370" s="59"/>
      <c r="B370" s="215"/>
      <c r="C370" s="277"/>
      <c r="D370" s="55"/>
      <c r="E370" s="196"/>
      <c r="F370" s="651"/>
      <c r="G370" s="42"/>
      <c r="H370" s="539"/>
      <c r="I370" s="539"/>
      <c r="J370" s="539"/>
      <c r="K370" s="539"/>
      <c r="L370" s="539"/>
      <c r="M370" s="539"/>
      <c r="N370" s="539"/>
      <c r="O370" s="539"/>
      <c r="P370" s="278"/>
      <c r="Q370" s="539"/>
      <c r="R370" s="539"/>
      <c r="S370" s="539"/>
      <c r="T370" s="539"/>
      <c r="U370" s="539"/>
      <c r="V370" s="539"/>
      <c r="W370" s="539"/>
      <c r="X370" s="539"/>
      <c r="Y370" s="539"/>
      <c r="Z370" s="539"/>
      <c r="AA370" s="539"/>
      <c r="AB370" s="539"/>
      <c r="AC370" s="539"/>
      <c r="AD370" s="43"/>
      <c r="AE370" s="43"/>
      <c r="AF370" s="238"/>
      <c r="AG370" s="43"/>
      <c r="AH370" s="43"/>
      <c r="AI370" s="43"/>
      <c r="AJ370" s="43"/>
      <c r="AK370" s="43"/>
      <c r="AL370" s="45"/>
      <c r="AM370" s="197">
        <f>IF(AQ370=1,SUM(H370:I370,L370:O370,R370:U370,X370:AA370,AD370:AG370,AI370:AK370),
IF(AQ370=2,SUM(H370:K370,N370:Q370,T370:W370,Z370:AC370,AF370:AI370),
IF(AQ370=3,SUM(J370:M370,P370:S370,V370:Y370,AB370:AE370,AH370:AK370),SUM(Таблица1[[#This Row],[1]:[31]])-Таблица1[[#This Row],[Столбец1]])))</f>
        <v>0</v>
      </c>
      <c r="AN370" s="269">
        <f t="array" ref="AN370">IF(AQ370=1,SUM(J370:K370,P370:Q370,V370:W370,AB370:AC370,AH370:AI370),
IF(AQ370=2,SUM(L370:M370,R370:S370,X370:Y370,AD370:AE370),
IF(AQ370=3,SUM(H370:I370,N370:O370,T370:U370,Z370:AA370,AF370:AG370),
SUM(IFERROR(WEEKDAY($H$2:$AL$2,2)&gt;5,)*H370:AL370))))</f>
        <v>0</v>
      </c>
      <c r="AO370" s="271" t="b">
        <f>IF(AR370&lt;=3,(IF((G370="5/24"),((база!$M$6*Таблица1[[#This Row],[сумма]]*Таблица1[[#This Row],[коэф]])),
IF((G370="4/24"),((база!$M$5*Таблица1[[#This Row],[сумма]]*Таблица1[[#This Row],[коэф]])),
IF((G370="3/24"),((база!$M$4*Таблица1[[#This Row],[сумма]]*Таблица1[[#This Row],[коэф]])),
IF((G370="5/16"),((база!$L$6*Таблица1[[#This Row],[сумма]]*Таблица1[[#This Row],[коэф]])),
IF((G370="4/16"),((база!$L$5*Таблица1[[#This Row],[сумма]]*Таблица1[[#This Row],[коэф]])),
IF((G370="3/16"),((база!$L$4*Таблица1[[#This Row],[сумма]]*Таблица1[[#This Row],[коэф]])),
IF((G370="4/4"),((база!$I$5*Таблица1[[#This Row],[сумма]]*Таблица1[[#This Row],[коэф]])),
IF(OR(G370="2/4",G370="3/4"),((база!$I$4*Таблица1[[#This Row],[сумма]]*Таблица1[[#This Row],[коэф]])),
IF((G370="5/8"),((база!$J$6*Таблица1[[#This Row],[сумма]]*Таблица1[[#This Row],[коэф]])),
IF((G370="4/8"),((база!$J$5*Таблица1[[#This Row],[сумма]]*Таблица1[[#This Row],[коэф]])),
IF(OR(G370="3/8",G370="2/8"),((база!$J$4*Таблица1[[#This Row],[сумма]]*Таблица1[[#This Row],[коэф]])))))))))))))),
(IF((G370="5/24"),((база!$M$6*Таблица1[[#This Row],[сумма]]*Таблица1[[#This Row],[коэф]])),
IF(OR(G370="4/24",G370="3/24"),((база!$M$5*Таблица1[[#This Row],[сумма]]*Таблица1[[#This Row],[коэф]])),
IF((G370="5/16"),((база!$L$6*Таблица1[[#This Row],[сумма]]*Таблица1[[#This Row],[коэф]])),
IF(OR(G370="4/16",G370="3/16"),((база!$L$5*Таблица1[[#This Row],[сумма]]*Таблица1[[#This Row],[коэф]])),
IF(OR(G370="2/4",G370="3/4",G370="4/4"),((база!$I$5*Таблица1[[#This Row],[сумма]]*Таблица1[[#This Row],[коэф]])),
IF((G370="5/8"),((база!$J$6*Таблица1[[#This Row],[сумма]]*Таблица1[[#This Row],[коэф]])),
IF(OR(G370="4/8",G370="3/8",G370="2/8"),((база!$J$5*Таблица1[[#This Row],[сумма]]*Таблица1[[#This Row],[коэф]])))))))))))</f>
        <v>0</v>
      </c>
      <c r="AP370" s="696" t="b">
        <f>IF(AR370&lt;=3,(IF((G370="5/24"),((база!$M$6*2*Таблица1[[#This Row],[Столбец1]]*Таблица1[[#This Row],[коэф]])),
IF((G370="4/24"),((база!$M$5*2*Таблица1[[#This Row],[Столбец1]]*Таблица1[[#This Row],[коэф]])),
IF((G370="3/24"),((база!$M$4*2*Таблица1[[#This Row],[Столбец1]]*Таблица1[[#This Row],[коэф]])),
IF((G370="5/16"),((база!$L$6*2*Таблица1[[#This Row],[Столбец1]]*Таблица1[[#This Row],[коэф]])),
IF((G370="4/16"),((база!$L$5*2*Таблица1[[#This Row],[Столбец1]]*Таблица1[[#This Row],[коэф]])),
IF((G370="3/16"),((база!$L$4*2*Таблица1[[#This Row],[Столбец1]]*Таблица1[[#This Row],[коэф]])),
IF((G370="4/4"),((база!$I$5*2*Таблица1[[#This Row],[Столбец1]]*Таблица1[[#This Row],[коэф]])),
IF(OR(G370="2/4",G370="3/4"),((база!$I$4*2*Таблица1[[#This Row],[Столбец1]]*Таблица1[[#This Row],[коэф]])),
IF((G370="5/8"),((база!$J$6*2*Таблица1[[#This Row],[Столбец1]]*Таблица1[[#This Row],[коэф]])),
IF((G370="4/8"),((база!$J$5*2*Таблица1[[#This Row],[Столбец1]]*Таблица1[[#This Row],[коэф]])),
IF(OR(G370="3/8",G370="2/8"),((база!$J$4*2*Таблица1[[#This Row],[Столбец1]]*Таблица1[[#This Row],[коэф]])))))))))))))),
(IF((G370="5/24"),((база!$M$6*2*Таблица1[[#This Row],[Столбец1]]*Таблица1[[#This Row],[коэф]])),
IF(OR(G370="4/24",G370="3/24"),((база!$M$5*2*Таблица1[[#This Row],[Столбец1]]*Таблица1[[#This Row],[коэф]])),
IF((G370="5/16"),((база!$L$6*2*Таблица1[[#This Row],[Столбец1]]*Таблица1[[#This Row],[коэф]])),
IF(OR(G370="4/16",G370="3/16"),((база!$L$5*2*Таблица1[[#This Row],[Столбец1]]*Таблица1[[#This Row],[коэф]])),
IF(OR(G370="2/4",G370="3/4",G370="4/4"),((база!$I$5*2*Таблица1[[#This Row],[Столбец1]]*Таблица1[[#This Row],[коэф]])),
IF((G370="5/8"),((база!$J$6*2*Таблица1[[#This Row],[Столбец1]]*Таблица1[[#This Row],[коэф]])),
IF(OR(G370="4/8",G370="3/8",G370="2/8"),((база!$J$5*2*Таблица1[[#This Row],[Столбец1]]*Таблица1[[#This Row],[коэф]])))))))))))</f>
        <v>0</v>
      </c>
      <c r="AQ370" s="678" t="str">
        <f>IFERROR(INDEX(база!T:T, MATCH(F370,база!Q:Q,0)),"")</f>
        <v/>
      </c>
      <c r="AR370" s="193">
        <f>IFERROR(INDEX(база!D:D, MATCH(F370,база!B:B,0)),"")</f>
        <v>0</v>
      </c>
    </row>
    <row r="371" spans="1:44" ht="15">
      <c r="A371" s="59"/>
      <c r="B371" s="215"/>
      <c r="C371" s="277"/>
      <c r="D371" s="55"/>
      <c r="E371" s="196"/>
      <c r="F371" s="651"/>
      <c r="G371" s="42"/>
      <c r="H371" s="539"/>
      <c r="I371" s="539"/>
      <c r="J371" s="539"/>
      <c r="K371" s="539"/>
      <c r="L371" s="539"/>
      <c r="M371" s="539"/>
      <c r="N371" s="539"/>
      <c r="O371" s="539"/>
      <c r="P371" s="278"/>
      <c r="Q371" s="539"/>
      <c r="R371" s="539"/>
      <c r="S371" s="539"/>
      <c r="T371" s="539"/>
      <c r="U371" s="539"/>
      <c r="V371" s="539"/>
      <c r="W371" s="539"/>
      <c r="X371" s="539"/>
      <c r="Y371" s="539"/>
      <c r="Z371" s="539"/>
      <c r="AA371" s="539"/>
      <c r="AB371" s="539"/>
      <c r="AC371" s="539"/>
      <c r="AD371" s="43"/>
      <c r="AE371" s="43"/>
      <c r="AF371" s="238"/>
      <c r="AG371" s="43"/>
      <c r="AH371" s="43"/>
      <c r="AI371" s="238"/>
      <c r="AJ371" s="238"/>
      <c r="AK371" s="238"/>
      <c r="AL371" s="238"/>
      <c r="AM371" s="197">
        <f>IF(AQ371=1,SUM(H371:I371,L371:O371,R371:U371,X371:AA371,AD371:AG371,AI371:AK371),
IF(AQ371=2,SUM(H371:K371,N371:Q371,T371:W371,Z371:AC371,AF371:AI371),
IF(AQ371=3,SUM(J371:M371,P371:S371,V371:Y371,AB371:AE371,AH371:AK371),SUM(Таблица1[[#This Row],[1]:[31]])-Таблица1[[#This Row],[Столбец1]])))</f>
        <v>0</v>
      </c>
      <c r="AN371" s="269">
        <f t="array" ref="AN371">IF(AQ371=1,SUM(J371:K371,P371:Q371,V371:W371,AB371:AC371,AH371:AI371),
IF(AQ371=2,SUM(L371:M371,R371:S371,X371:Y371,AD371:AE371),
IF(AQ371=3,SUM(H371:I371,N371:O371,T371:U371,Z371:AA371,AF371:AG371),
SUM(IFERROR(WEEKDAY($H$2:$AL$2,2)&gt;5,)*H371:AL371))))</f>
        <v>0</v>
      </c>
      <c r="AO371" s="271" t="b">
        <f>IF(AR371&lt;=3,(IF((G371="5/24"),((база!$M$6*Таблица1[[#This Row],[сумма]]*Таблица1[[#This Row],[коэф]])),
IF((G371="4/24"),((база!$M$5*Таблица1[[#This Row],[сумма]]*Таблица1[[#This Row],[коэф]])),
IF((G371="3/24"),((база!$M$4*Таблица1[[#This Row],[сумма]]*Таблица1[[#This Row],[коэф]])),
IF((G371="5/16"),((база!$L$6*Таблица1[[#This Row],[сумма]]*Таблица1[[#This Row],[коэф]])),
IF((G371="4/16"),((база!$L$5*Таблица1[[#This Row],[сумма]]*Таблица1[[#This Row],[коэф]])),
IF((G371="3/16"),((база!$L$4*Таблица1[[#This Row],[сумма]]*Таблица1[[#This Row],[коэф]])),
IF((G371="4/4"),((база!$I$5*Таблица1[[#This Row],[сумма]]*Таблица1[[#This Row],[коэф]])),
IF(OR(G371="2/4",G371="3/4"),((база!$I$4*Таблица1[[#This Row],[сумма]]*Таблица1[[#This Row],[коэф]])),
IF((G371="5/8"),((база!$J$6*Таблица1[[#This Row],[сумма]]*Таблица1[[#This Row],[коэф]])),
IF((G371="4/8"),((база!$J$5*Таблица1[[#This Row],[сумма]]*Таблица1[[#This Row],[коэф]])),
IF(OR(G371="3/8",G371="2/8"),((база!$J$4*Таблица1[[#This Row],[сумма]]*Таблица1[[#This Row],[коэф]])))))))))))))),
(IF((G371="5/24"),((база!$M$6*Таблица1[[#This Row],[сумма]]*Таблица1[[#This Row],[коэф]])),
IF(OR(G371="4/24",G371="3/24"),((база!$M$5*Таблица1[[#This Row],[сумма]]*Таблица1[[#This Row],[коэф]])),
IF((G371="5/16"),((база!$L$6*Таблица1[[#This Row],[сумма]]*Таблица1[[#This Row],[коэф]])),
IF(OR(G371="4/16",G371="3/16"),((база!$L$5*Таблица1[[#This Row],[сумма]]*Таблица1[[#This Row],[коэф]])),
IF(OR(G371="2/4",G371="3/4",G371="4/4"),((база!$I$5*Таблица1[[#This Row],[сумма]]*Таблица1[[#This Row],[коэф]])),
IF((G371="5/8"),((база!$J$6*Таблица1[[#This Row],[сумма]]*Таблица1[[#This Row],[коэф]])),
IF(OR(G371="4/8",G371="3/8",G371="2/8"),((база!$J$5*Таблица1[[#This Row],[сумма]]*Таблица1[[#This Row],[коэф]])))))))))))</f>
        <v>0</v>
      </c>
      <c r="AP371" s="696" t="b">
        <f>IF(AR371&lt;=3,(IF((G371="5/24"),((база!$M$6*2*Таблица1[[#This Row],[Столбец1]]*Таблица1[[#This Row],[коэф]])),
IF((G371="4/24"),((база!$M$5*2*Таблица1[[#This Row],[Столбец1]]*Таблица1[[#This Row],[коэф]])),
IF((G371="3/24"),((база!$M$4*2*Таблица1[[#This Row],[Столбец1]]*Таблица1[[#This Row],[коэф]])),
IF((G371="5/16"),((база!$L$6*2*Таблица1[[#This Row],[Столбец1]]*Таблица1[[#This Row],[коэф]])),
IF((G371="4/16"),((база!$L$5*2*Таблица1[[#This Row],[Столбец1]]*Таблица1[[#This Row],[коэф]])),
IF((G371="3/16"),((база!$L$4*2*Таблица1[[#This Row],[Столбец1]]*Таблица1[[#This Row],[коэф]])),
IF((G371="4/4"),((база!$I$5*2*Таблица1[[#This Row],[Столбец1]]*Таблица1[[#This Row],[коэф]])),
IF(OR(G371="2/4",G371="3/4"),((база!$I$4*2*Таблица1[[#This Row],[Столбец1]]*Таблица1[[#This Row],[коэф]])),
IF((G371="5/8"),((база!$J$6*2*Таблица1[[#This Row],[Столбец1]]*Таблица1[[#This Row],[коэф]])),
IF((G371="4/8"),((база!$J$5*2*Таблица1[[#This Row],[Столбец1]]*Таблица1[[#This Row],[коэф]])),
IF(OR(G371="3/8",G371="2/8"),((база!$J$4*2*Таблица1[[#This Row],[Столбец1]]*Таблица1[[#This Row],[коэф]])))))))))))))),
(IF((G371="5/24"),((база!$M$6*2*Таблица1[[#This Row],[Столбец1]]*Таблица1[[#This Row],[коэф]])),
IF(OR(G371="4/24",G371="3/24"),((база!$M$5*2*Таблица1[[#This Row],[Столбец1]]*Таблица1[[#This Row],[коэф]])),
IF((G371="5/16"),((база!$L$6*2*Таблица1[[#This Row],[Столбец1]]*Таблица1[[#This Row],[коэф]])),
IF(OR(G371="4/16",G371="3/16"),((база!$L$5*2*Таблица1[[#This Row],[Столбец1]]*Таблица1[[#This Row],[коэф]])),
IF(OR(G371="2/4",G371="3/4",G371="4/4"),((база!$I$5*2*Таблица1[[#This Row],[Столбец1]]*Таблица1[[#This Row],[коэф]])),
IF((G371="5/8"),((база!$J$6*2*Таблица1[[#This Row],[Столбец1]]*Таблица1[[#This Row],[коэф]])),
IF(OR(G371="4/8",G371="3/8",G371="2/8"),((база!$J$5*2*Таблица1[[#This Row],[Столбец1]]*Таблица1[[#This Row],[коэф]])))))))))))</f>
        <v>0</v>
      </c>
      <c r="AQ371" s="678" t="str">
        <f>IFERROR(INDEX(база!T:T, MATCH(F371,база!Q:Q,0)),"")</f>
        <v/>
      </c>
      <c r="AR371" s="193">
        <f>IFERROR(INDEX(база!D:D, MATCH(F371,база!B:B,0)),"")</f>
        <v>0</v>
      </c>
    </row>
    <row r="372" spans="1:44" ht="15">
      <c r="A372" s="59"/>
      <c r="B372" s="215"/>
      <c r="C372" s="54"/>
      <c r="D372" s="55"/>
      <c r="E372" s="196"/>
      <c r="F372" s="651"/>
      <c r="G372" s="42"/>
      <c r="H372" s="539"/>
      <c r="I372" s="539"/>
      <c r="J372" s="539"/>
      <c r="K372" s="539"/>
      <c r="L372" s="539"/>
      <c r="M372" s="539"/>
      <c r="N372" s="539"/>
      <c r="O372" s="539"/>
      <c r="P372" s="278"/>
      <c r="Q372" s="539"/>
      <c r="R372" s="539"/>
      <c r="S372" s="539"/>
      <c r="T372" s="539"/>
      <c r="U372" s="539"/>
      <c r="V372" s="539"/>
      <c r="W372" s="539"/>
      <c r="X372" s="539"/>
      <c r="Y372" s="539"/>
      <c r="Z372" s="539"/>
      <c r="AA372" s="539"/>
      <c r="AB372" s="539"/>
      <c r="AC372" s="539"/>
      <c r="AD372" s="43"/>
      <c r="AE372" s="43"/>
      <c r="AF372" s="238"/>
      <c r="AG372" s="43"/>
      <c r="AH372" s="43"/>
      <c r="AI372" s="43"/>
      <c r="AJ372" s="43"/>
      <c r="AK372" s="43"/>
      <c r="AL372" s="45"/>
      <c r="AM372" s="197">
        <f>IF(AQ372=1,SUM(H372:I372,L372:O372,R372:U372,X372:AA372,AD372:AG372,AI372:AK372),
IF(AQ372=2,SUM(H372:K372,N372:Q372,T372:W372,Z372:AC372,AF372:AI372),
IF(AQ372=3,SUM(J372:M372,P372:S372,V372:Y372,AB372:AE372,AH372:AK372),SUM(Таблица1[[#This Row],[1]:[31]])-Таблица1[[#This Row],[Столбец1]])))</f>
        <v>0</v>
      </c>
      <c r="AN372" s="269">
        <f t="array" ref="AN372">IF(AQ372=1,SUM(J372:K372,P372:Q372,V372:W372,AB372:AC372,AH372:AI372),
IF(AQ372=2,SUM(L372:M372,R372:S372,X372:Y372,AD372:AE372),
IF(AQ372=3,SUM(H372:I372,N372:O372,T372:U372,Z372:AA372,AF372:AG372),
SUM(IFERROR(WEEKDAY($H$2:$AL$2,2)&gt;5,)*H372:AL372))))</f>
        <v>0</v>
      </c>
      <c r="AO372" s="271" t="b">
        <f>IF(AR372&lt;=3,(IF((G372="5/24"),((база!$M$6*Таблица1[[#This Row],[сумма]]*Таблица1[[#This Row],[коэф]])),
IF((G372="4/24"),((база!$M$5*Таблица1[[#This Row],[сумма]]*Таблица1[[#This Row],[коэф]])),
IF((G372="3/24"),((база!$M$4*Таблица1[[#This Row],[сумма]]*Таблица1[[#This Row],[коэф]])),
IF((G372="5/16"),((база!$L$6*Таблица1[[#This Row],[сумма]]*Таблица1[[#This Row],[коэф]])),
IF((G372="4/16"),((база!$L$5*Таблица1[[#This Row],[сумма]]*Таблица1[[#This Row],[коэф]])),
IF((G372="3/16"),((база!$L$4*Таблица1[[#This Row],[сумма]]*Таблица1[[#This Row],[коэф]])),
IF((G372="4/4"),((база!$I$5*Таблица1[[#This Row],[сумма]]*Таблица1[[#This Row],[коэф]])),
IF(OR(G372="2/4",G372="3/4"),((база!$I$4*Таблица1[[#This Row],[сумма]]*Таблица1[[#This Row],[коэф]])),
IF((G372="5/8"),((база!$J$6*Таблица1[[#This Row],[сумма]]*Таблица1[[#This Row],[коэф]])),
IF((G372="4/8"),((база!$J$5*Таблица1[[#This Row],[сумма]]*Таблица1[[#This Row],[коэф]])),
IF(OR(G372="3/8",G372="2/8"),((база!$J$4*Таблица1[[#This Row],[сумма]]*Таблица1[[#This Row],[коэф]])))))))))))))),
(IF((G372="5/24"),((база!$M$6*Таблица1[[#This Row],[сумма]]*Таблица1[[#This Row],[коэф]])),
IF(OR(G372="4/24",G372="3/24"),((база!$M$5*Таблица1[[#This Row],[сумма]]*Таблица1[[#This Row],[коэф]])),
IF((G372="5/16"),((база!$L$6*Таблица1[[#This Row],[сумма]]*Таблица1[[#This Row],[коэф]])),
IF(OR(G372="4/16",G372="3/16"),((база!$L$5*Таблица1[[#This Row],[сумма]]*Таблица1[[#This Row],[коэф]])),
IF(OR(G372="2/4",G372="3/4",G372="4/4"),((база!$I$5*Таблица1[[#This Row],[сумма]]*Таблица1[[#This Row],[коэф]])),
IF((G372="5/8"),((база!$J$6*Таблица1[[#This Row],[сумма]]*Таблица1[[#This Row],[коэф]])),
IF(OR(G372="4/8",G372="3/8",G372="2/8"),((база!$J$5*Таблица1[[#This Row],[сумма]]*Таблица1[[#This Row],[коэф]])))))))))))</f>
        <v>0</v>
      </c>
      <c r="AP372" s="696" t="b">
        <f>IF(AR372&lt;=3,(IF((G372="5/24"),((база!$M$6*2*Таблица1[[#This Row],[Столбец1]]*Таблица1[[#This Row],[коэф]])),
IF((G372="4/24"),((база!$M$5*2*Таблица1[[#This Row],[Столбец1]]*Таблица1[[#This Row],[коэф]])),
IF((G372="3/24"),((база!$M$4*2*Таблица1[[#This Row],[Столбец1]]*Таблица1[[#This Row],[коэф]])),
IF((G372="5/16"),((база!$L$6*2*Таблица1[[#This Row],[Столбец1]]*Таблица1[[#This Row],[коэф]])),
IF((G372="4/16"),((база!$L$5*2*Таблица1[[#This Row],[Столбец1]]*Таблица1[[#This Row],[коэф]])),
IF((G372="3/16"),((база!$L$4*2*Таблица1[[#This Row],[Столбец1]]*Таблица1[[#This Row],[коэф]])),
IF((G372="4/4"),((база!$I$5*2*Таблица1[[#This Row],[Столбец1]]*Таблица1[[#This Row],[коэф]])),
IF(OR(G372="2/4",G372="3/4"),((база!$I$4*2*Таблица1[[#This Row],[Столбец1]]*Таблица1[[#This Row],[коэф]])),
IF((G372="5/8"),((база!$J$6*2*Таблица1[[#This Row],[Столбец1]]*Таблица1[[#This Row],[коэф]])),
IF((G372="4/8"),((база!$J$5*2*Таблица1[[#This Row],[Столбец1]]*Таблица1[[#This Row],[коэф]])),
IF(OR(G372="3/8",G372="2/8"),((база!$J$4*2*Таблица1[[#This Row],[Столбец1]]*Таблица1[[#This Row],[коэф]])))))))))))))),
(IF((G372="5/24"),((база!$M$6*2*Таблица1[[#This Row],[Столбец1]]*Таблица1[[#This Row],[коэф]])),
IF(OR(G372="4/24",G372="3/24"),((база!$M$5*2*Таблица1[[#This Row],[Столбец1]]*Таблица1[[#This Row],[коэф]])),
IF((G372="5/16"),((база!$L$6*2*Таблица1[[#This Row],[Столбец1]]*Таблица1[[#This Row],[коэф]])),
IF(OR(G372="4/16",G372="3/16"),((база!$L$5*2*Таблица1[[#This Row],[Столбец1]]*Таблица1[[#This Row],[коэф]])),
IF(OR(G372="2/4",G372="3/4",G372="4/4"),((база!$I$5*2*Таблица1[[#This Row],[Столбец1]]*Таблица1[[#This Row],[коэф]])),
IF((G372="5/8"),((база!$J$6*2*Таблица1[[#This Row],[Столбец1]]*Таблица1[[#This Row],[коэф]])),
IF(OR(G372="4/8",G372="3/8",G372="2/8"),((база!$J$5*2*Таблица1[[#This Row],[Столбец1]]*Таблица1[[#This Row],[коэф]])))))))))))</f>
        <v>0</v>
      </c>
      <c r="AQ372" s="678" t="str">
        <f>IFERROR(INDEX(база!T:T, MATCH(F372,база!Q:Q,0)),"")</f>
        <v/>
      </c>
      <c r="AR372" s="193">
        <f>IFERROR(INDEX(база!D:D, MATCH(F372,база!B:B,0)),"")</f>
        <v>0</v>
      </c>
    </row>
    <row r="373" spans="1:44" ht="15">
      <c r="A373" s="59"/>
      <c r="B373" s="215"/>
      <c r="C373" s="277"/>
      <c r="D373" s="55"/>
      <c r="E373" s="196"/>
      <c r="F373" s="651"/>
      <c r="G373" s="42"/>
      <c r="H373" s="539"/>
      <c r="I373" s="539"/>
      <c r="J373" s="539"/>
      <c r="K373" s="539"/>
      <c r="L373" s="539"/>
      <c r="M373" s="539"/>
      <c r="N373" s="539"/>
      <c r="O373" s="539"/>
      <c r="P373" s="278"/>
      <c r="Q373" s="539"/>
      <c r="R373" s="539"/>
      <c r="S373" s="539"/>
      <c r="T373" s="539"/>
      <c r="U373" s="539"/>
      <c r="V373" s="539"/>
      <c r="W373" s="539"/>
      <c r="X373" s="539"/>
      <c r="Y373" s="539"/>
      <c r="Z373" s="539"/>
      <c r="AA373" s="539"/>
      <c r="AB373" s="539"/>
      <c r="AC373" s="539"/>
      <c r="AD373" s="43"/>
      <c r="AE373" s="43"/>
      <c r="AF373" s="238"/>
      <c r="AG373" s="43"/>
      <c r="AH373" s="43"/>
      <c r="AI373" s="238"/>
      <c r="AJ373" s="238"/>
      <c r="AK373" s="238"/>
      <c r="AL373" s="238"/>
      <c r="AM373" s="197">
        <f>IF(AQ373=1,SUM(H373:I373,L373:O373,R373:U373,X373:AA373,AD373:AG373,AI373:AK373),
IF(AQ373=2,SUM(H373:K373,N373:Q373,T373:W373,Z373:AC373,AF373:AI373),
IF(AQ373=3,SUM(J373:M373,P373:S373,V373:Y373,AB373:AE373,AH373:AK373),SUM(Таблица1[[#This Row],[1]:[31]])-Таблица1[[#This Row],[Столбец1]])))</f>
        <v>0</v>
      </c>
      <c r="AN373" s="269">
        <f t="array" ref="AN373">IF(AQ373=1,SUM(J373:K373,P373:Q373,V373:W373,AB373:AC373,AH373:AI373),
IF(AQ373=2,SUM(L373:M373,R373:S373,X373:Y373,AD373:AE373),
IF(AQ373=3,SUM(H373:I373,N373:O373,T373:U373,Z373:AA373,AF373:AG373),
SUM(IFERROR(WEEKDAY($H$2:$AL$2,2)&gt;5,)*H373:AL373))))</f>
        <v>0</v>
      </c>
      <c r="AO373" s="271" t="b">
        <f>IF(AR373&lt;=3,(IF((G373="5/24"),((база!$M$6*Таблица1[[#This Row],[сумма]]*Таблица1[[#This Row],[коэф]])),
IF((G373="4/24"),((база!$M$5*Таблица1[[#This Row],[сумма]]*Таблица1[[#This Row],[коэф]])),
IF((G373="3/24"),((база!$M$4*Таблица1[[#This Row],[сумма]]*Таблица1[[#This Row],[коэф]])),
IF((G373="5/16"),((база!$L$6*Таблица1[[#This Row],[сумма]]*Таблица1[[#This Row],[коэф]])),
IF((G373="4/16"),((база!$L$5*Таблица1[[#This Row],[сумма]]*Таблица1[[#This Row],[коэф]])),
IF((G373="3/16"),((база!$L$4*Таблица1[[#This Row],[сумма]]*Таблица1[[#This Row],[коэф]])),
IF((G373="4/4"),((база!$I$5*Таблица1[[#This Row],[сумма]]*Таблица1[[#This Row],[коэф]])),
IF(OR(G373="2/4",G373="3/4"),((база!$I$4*Таблица1[[#This Row],[сумма]]*Таблица1[[#This Row],[коэф]])),
IF((G373="5/8"),((база!$J$6*Таблица1[[#This Row],[сумма]]*Таблица1[[#This Row],[коэф]])),
IF((G373="4/8"),((база!$J$5*Таблица1[[#This Row],[сумма]]*Таблица1[[#This Row],[коэф]])),
IF(OR(G373="3/8",G373="2/8"),((база!$J$4*Таблица1[[#This Row],[сумма]]*Таблица1[[#This Row],[коэф]])))))))))))))),
(IF((G373="5/24"),((база!$M$6*Таблица1[[#This Row],[сумма]]*Таблица1[[#This Row],[коэф]])),
IF(OR(G373="4/24",G373="3/24"),((база!$M$5*Таблица1[[#This Row],[сумма]]*Таблица1[[#This Row],[коэф]])),
IF((G373="5/16"),((база!$L$6*Таблица1[[#This Row],[сумма]]*Таблица1[[#This Row],[коэф]])),
IF(OR(G373="4/16",G373="3/16"),((база!$L$5*Таблица1[[#This Row],[сумма]]*Таблица1[[#This Row],[коэф]])),
IF(OR(G373="2/4",G373="3/4",G373="4/4"),((база!$I$5*Таблица1[[#This Row],[сумма]]*Таблица1[[#This Row],[коэф]])),
IF((G373="5/8"),((база!$J$6*Таблица1[[#This Row],[сумма]]*Таблица1[[#This Row],[коэф]])),
IF(OR(G373="4/8",G373="3/8",G373="2/8"),((база!$J$5*Таблица1[[#This Row],[сумма]]*Таблица1[[#This Row],[коэф]])))))))))))</f>
        <v>0</v>
      </c>
      <c r="AP373" s="696" t="b">
        <f>IF(AR373&lt;=3,(IF((G373="5/24"),((база!$M$6*2*Таблица1[[#This Row],[Столбец1]]*Таблица1[[#This Row],[коэф]])),
IF((G373="4/24"),((база!$M$5*2*Таблица1[[#This Row],[Столбец1]]*Таблица1[[#This Row],[коэф]])),
IF((G373="3/24"),((база!$M$4*2*Таблица1[[#This Row],[Столбец1]]*Таблица1[[#This Row],[коэф]])),
IF((G373="5/16"),((база!$L$6*2*Таблица1[[#This Row],[Столбец1]]*Таблица1[[#This Row],[коэф]])),
IF((G373="4/16"),((база!$L$5*2*Таблица1[[#This Row],[Столбец1]]*Таблица1[[#This Row],[коэф]])),
IF((G373="3/16"),((база!$L$4*2*Таблица1[[#This Row],[Столбец1]]*Таблица1[[#This Row],[коэф]])),
IF((G373="4/4"),((база!$I$5*2*Таблица1[[#This Row],[Столбец1]]*Таблица1[[#This Row],[коэф]])),
IF(OR(G373="2/4",G373="3/4"),((база!$I$4*2*Таблица1[[#This Row],[Столбец1]]*Таблица1[[#This Row],[коэф]])),
IF((G373="5/8"),((база!$J$6*2*Таблица1[[#This Row],[Столбец1]]*Таблица1[[#This Row],[коэф]])),
IF((G373="4/8"),((база!$J$5*2*Таблица1[[#This Row],[Столбец1]]*Таблица1[[#This Row],[коэф]])),
IF(OR(G373="3/8",G373="2/8"),((база!$J$4*2*Таблица1[[#This Row],[Столбец1]]*Таблица1[[#This Row],[коэф]])))))))))))))),
(IF((G373="5/24"),((база!$M$6*2*Таблица1[[#This Row],[Столбец1]]*Таблица1[[#This Row],[коэф]])),
IF(OR(G373="4/24",G373="3/24"),((база!$M$5*2*Таблица1[[#This Row],[Столбец1]]*Таблица1[[#This Row],[коэф]])),
IF((G373="5/16"),((база!$L$6*2*Таблица1[[#This Row],[Столбец1]]*Таблица1[[#This Row],[коэф]])),
IF(OR(G373="4/16",G373="3/16"),((база!$L$5*2*Таблица1[[#This Row],[Столбец1]]*Таблица1[[#This Row],[коэф]])),
IF(OR(G373="2/4",G373="3/4",G373="4/4"),((база!$I$5*2*Таблица1[[#This Row],[Столбец1]]*Таблица1[[#This Row],[коэф]])),
IF((G373="5/8"),((база!$J$6*2*Таблица1[[#This Row],[Столбец1]]*Таблица1[[#This Row],[коэф]])),
IF(OR(G373="4/8",G373="3/8",G373="2/8"),((база!$J$5*2*Таблица1[[#This Row],[Столбец1]]*Таблица1[[#This Row],[коэф]])))))))))))</f>
        <v>0</v>
      </c>
      <c r="AQ373" s="678" t="str">
        <f>IFERROR(INDEX(база!T:T, MATCH(F373,база!Q:Q,0)),"")</f>
        <v/>
      </c>
      <c r="AR373" s="193">
        <f>IFERROR(INDEX(база!D:D, MATCH(F373,база!B:B,0)),"")</f>
        <v>0</v>
      </c>
    </row>
    <row r="374" spans="1:44" ht="15">
      <c r="A374" s="59"/>
      <c r="B374" s="215"/>
      <c r="C374" s="277"/>
      <c r="D374" s="55"/>
      <c r="E374" s="196"/>
      <c r="F374" s="651"/>
      <c r="G374" s="42"/>
      <c r="H374" s="539"/>
      <c r="I374" s="539"/>
      <c r="J374" s="539"/>
      <c r="K374" s="539"/>
      <c r="L374" s="539"/>
      <c r="M374" s="539"/>
      <c r="N374" s="539"/>
      <c r="O374" s="539"/>
      <c r="P374" s="278"/>
      <c r="Q374" s="539"/>
      <c r="R374" s="539"/>
      <c r="S374" s="539"/>
      <c r="T374" s="539"/>
      <c r="U374" s="539"/>
      <c r="V374" s="539"/>
      <c r="W374" s="539"/>
      <c r="X374" s="539"/>
      <c r="Y374" s="539"/>
      <c r="Z374" s="539"/>
      <c r="AA374" s="539"/>
      <c r="AB374" s="539"/>
      <c r="AC374" s="539"/>
      <c r="AD374" s="43"/>
      <c r="AE374" s="43"/>
      <c r="AF374" s="238"/>
      <c r="AG374" s="43"/>
      <c r="AH374" s="43"/>
      <c r="AI374" s="43"/>
      <c r="AJ374" s="43"/>
      <c r="AK374" s="43"/>
      <c r="AL374" s="45"/>
      <c r="AM374" s="197">
        <f>IF(AQ374=1,SUM(H374:I374,L374:O374,R374:U374,X374:AA374,AD374:AG374,AI374:AK374),
IF(AQ374=2,SUM(H374:K374,N374:Q374,T374:W374,Z374:AC374,AF374:AI374),
IF(AQ374=3,SUM(J374:M374,P374:S374,V374:Y374,AB374:AE374,AH374:AK374),SUM(Таблица1[[#This Row],[1]:[31]])-Таблица1[[#This Row],[Столбец1]])))</f>
        <v>0</v>
      </c>
      <c r="AN374" s="269">
        <f t="array" ref="AN374">IF(AQ374=1,SUM(J374:K374,P374:Q374,V374:W374,AB374:AC374,AH374:AI374),
IF(AQ374=2,SUM(L374:M374,R374:S374,X374:Y374,AD374:AE374),
IF(AQ374=3,SUM(H374:I374,N374:O374,T374:U374,Z374:AA374,AF374:AG374),
SUM(IFERROR(WEEKDAY($H$2:$AL$2,2)&gt;5,)*H374:AL374))))</f>
        <v>0</v>
      </c>
      <c r="AO374" s="271" t="b">
        <f>IF(AR374&lt;=3,(IF((G374="5/24"),((база!$M$6*Таблица1[[#This Row],[сумма]]*Таблица1[[#This Row],[коэф]])),
IF((G374="4/24"),((база!$M$5*Таблица1[[#This Row],[сумма]]*Таблица1[[#This Row],[коэф]])),
IF((G374="3/24"),((база!$M$4*Таблица1[[#This Row],[сумма]]*Таблица1[[#This Row],[коэф]])),
IF((G374="5/16"),((база!$L$6*Таблица1[[#This Row],[сумма]]*Таблица1[[#This Row],[коэф]])),
IF((G374="4/16"),((база!$L$5*Таблица1[[#This Row],[сумма]]*Таблица1[[#This Row],[коэф]])),
IF((G374="3/16"),((база!$L$4*Таблица1[[#This Row],[сумма]]*Таблица1[[#This Row],[коэф]])),
IF((G374="4/4"),((база!$I$5*Таблица1[[#This Row],[сумма]]*Таблица1[[#This Row],[коэф]])),
IF(OR(G374="2/4",G374="3/4"),((база!$I$4*Таблица1[[#This Row],[сумма]]*Таблица1[[#This Row],[коэф]])),
IF((G374="5/8"),((база!$J$6*Таблица1[[#This Row],[сумма]]*Таблица1[[#This Row],[коэф]])),
IF((G374="4/8"),((база!$J$5*Таблица1[[#This Row],[сумма]]*Таблица1[[#This Row],[коэф]])),
IF(OR(G374="3/8",G374="2/8"),((база!$J$4*Таблица1[[#This Row],[сумма]]*Таблица1[[#This Row],[коэф]])))))))))))))),
(IF((G374="5/24"),((база!$M$6*Таблица1[[#This Row],[сумма]]*Таблица1[[#This Row],[коэф]])),
IF(OR(G374="4/24",G374="3/24"),((база!$M$5*Таблица1[[#This Row],[сумма]]*Таблица1[[#This Row],[коэф]])),
IF((G374="5/16"),((база!$L$6*Таблица1[[#This Row],[сумма]]*Таблица1[[#This Row],[коэф]])),
IF(OR(G374="4/16",G374="3/16"),((база!$L$5*Таблица1[[#This Row],[сумма]]*Таблица1[[#This Row],[коэф]])),
IF(OR(G374="2/4",G374="3/4",G374="4/4"),((база!$I$5*Таблица1[[#This Row],[сумма]]*Таблица1[[#This Row],[коэф]])),
IF((G374="5/8"),((база!$J$6*Таблица1[[#This Row],[сумма]]*Таблица1[[#This Row],[коэф]])),
IF(OR(G374="4/8",G374="3/8",G374="2/8"),((база!$J$5*Таблица1[[#This Row],[сумма]]*Таблица1[[#This Row],[коэф]])))))))))))</f>
        <v>0</v>
      </c>
      <c r="AP374" s="696" t="b">
        <f>IF(AR374&lt;=3,(IF((G374="5/24"),((база!$M$6*2*Таблица1[[#This Row],[Столбец1]]*Таблица1[[#This Row],[коэф]])),
IF((G374="4/24"),((база!$M$5*2*Таблица1[[#This Row],[Столбец1]]*Таблица1[[#This Row],[коэф]])),
IF((G374="3/24"),((база!$M$4*2*Таблица1[[#This Row],[Столбец1]]*Таблица1[[#This Row],[коэф]])),
IF((G374="5/16"),((база!$L$6*2*Таблица1[[#This Row],[Столбец1]]*Таблица1[[#This Row],[коэф]])),
IF((G374="4/16"),((база!$L$5*2*Таблица1[[#This Row],[Столбец1]]*Таблица1[[#This Row],[коэф]])),
IF((G374="3/16"),((база!$L$4*2*Таблица1[[#This Row],[Столбец1]]*Таблица1[[#This Row],[коэф]])),
IF((G374="4/4"),((база!$I$5*2*Таблица1[[#This Row],[Столбец1]]*Таблица1[[#This Row],[коэф]])),
IF(OR(G374="2/4",G374="3/4"),((база!$I$4*2*Таблица1[[#This Row],[Столбец1]]*Таблица1[[#This Row],[коэф]])),
IF((G374="5/8"),((база!$J$6*2*Таблица1[[#This Row],[Столбец1]]*Таблица1[[#This Row],[коэф]])),
IF((G374="4/8"),((база!$J$5*2*Таблица1[[#This Row],[Столбец1]]*Таблица1[[#This Row],[коэф]])),
IF(OR(G374="3/8",G374="2/8"),((база!$J$4*2*Таблица1[[#This Row],[Столбец1]]*Таблица1[[#This Row],[коэф]])))))))))))))),
(IF((G374="5/24"),((база!$M$6*2*Таблица1[[#This Row],[Столбец1]]*Таблица1[[#This Row],[коэф]])),
IF(OR(G374="4/24",G374="3/24"),((база!$M$5*2*Таблица1[[#This Row],[Столбец1]]*Таблица1[[#This Row],[коэф]])),
IF((G374="5/16"),((база!$L$6*2*Таблица1[[#This Row],[Столбец1]]*Таблица1[[#This Row],[коэф]])),
IF(OR(G374="4/16",G374="3/16"),((база!$L$5*2*Таблица1[[#This Row],[Столбец1]]*Таблица1[[#This Row],[коэф]])),
IF(OR(G374="2/4",G374="3/4",G374="4/4"),((база!$I$5*2*Таблица1[[#This Row],[Столбец1]]*Таблица1[[#This Row],[коэф]])),
IF((G374="5/8"),((база!$J$6*2*Таблица1[[#This Row],[Столбец1]]*Таблица1[[#This Row],[коэф]])),
IF(OR(G374="4/8",G374="3/8",G374="2/8"),((база!$J$5*2*Таблица1[[#This Row],[Столбец1]]*Таблица1[[#This Row],[коэф]])))))))))))</f>
        <v>0</v>
      </c>
      <c r="AQ374" s="678" t="str">
        <f>IFERROR(INDEX(база!T:T, MATCH(F374,база!Q:Q,0)),"")</f>
        <v/>
      </c>
      <c r="AR374" s="193">
        <f>IFERROR(INDEX(база!D:D, MATCH(F374,база!B:B,0)),"")</f>
        <v>0</v>
      </c>
    </row>
    <row r="375" spans="1:44" ht="15">
      <c r="A375" s="59"/>
      <c r="B375" s="215"/>
      <c r="C375" s="277"/>
      <c r="D375" s="55"/>
      <c r="E375" s="196"/>
      <c r="F375" s="651"/>
      <c r="G375" s="42"/>
      <c r="H375" s="539"/>
      <c r="I375" s="539"/>
      <c r="J375" s="539"/>
      <c r="K375" s="539"/>
      <c r="L375" s="539"/>
      <c r="M375" s="539"/>
      <c r="N375" s="539"/>
      <c r="O375" s="539"/>
      <c r="P375" s="278"/>
      <c r="Q375" s="539"/>
      <c r="R375" s="539"/>
      <c r="S375" s="539"/>
      <c r="T375" s="539"/>
      <c r="U375" s="539"/>
      <c r="V375" s="539"/>
      <c r="W375" s="539"/>
      <c r="X375" s="539"/>
      <c r="Y375" s="539"/>
      <c r="Z375" s="539"/>
      <c r="AA375" s="539"/>
      <c r="AB375" s="539"/>
      <c r="AC375" s="539"/>
      <c r="AD375" s="43"/>
      <c r="AE375" s="43"/>
      <c r="AF375" s="238"/>
      <c r="AG375" s="43"/>
      <c r="AH375" s="43"/>
      <c r="AI375" s="238"/>
      <c r="AJ375" s="238"/>
      <c r="AK375" s="238"/>
      <c r="AL375" s="238"/>
      <c r="AM375" s="197">
        <f>IF(AQ375=1,SUM(H375:I375,L375:O375,R375:U375,X375:AA375,AD375:AG375,AI375:AK375),
IF(AQ375=2,SUM(H375:K375,N375:Q375,T375:W375,Z375:AC375,AF375:AI375),
IF(AQ375=3,SUM(J375:M375,P375:S375,V375:Y375,AB375:AE375,AH375:AK375),SUM(Таблица1[[#This Row],[1]:[31]])-Таблица1[[#This Row],[Столбец1]])))</f>
        <v>0</v>
      </c>
      <c r="AN375" s="269">
        <f t="array" ref="AN375">IF(AQ375=1,SUM(J375:K375,P375:Q375,V375:W375,AB375:AC375,AH375:AI375),
IF(AQ375=2,SUM(L375:M375,R375:S375,X375:Y375,AD375:AE375),
IF(AQ375=3,SUM(H375:I375,N375:O375,T375:U375,Z375:AA375,AF375:AG375),
SUM(IFERROR(WEEKDAY($H$2:$AL$2,2)&gt;5,)*H375:AL375))))</f>
        <v>0</v>
      </c>
      <c r="AO375" s="271" t="b">
        <f>IF(AR375&lt;=3,(IF((G375="5/24"),((база!$M$6*Таблица1[[#This Row],[сумма]]*Таблица1[[#This Row],[коэф]])),
IF((G375="4/24"),((база!$M$5*Таблица1[[#This Row],[сумма]]*Таблица1[[#This Row],[коэф]])),
IF((G375="3/24"),((база!$M$4*Таблица1[[#This Row],[сумма]]*Таблица1[[#This Row],[коэф]])),
IF((G375="5/16"),((база!$L$6*Таблица1[[#This Row],[сумма]]*Таблица1[[#This Row],[коэф]])),
IF((G375="4/16"),((база!$L$5*Таблица1[[#This Row],[сумма]]*Таблица1[[#This Row],[коэф]])),
IF((G375="3/16"),((база!$L$4*Таблица1[[#This Row],[сумма]]*Таблица1[[#This Row],[коэф]])),
IF((G375="4/4"),((база!$I$5*Таблица1[[#This Row],[сумма]]*Таблица1[[#This Row],[коэф]])),
IF(OR(G375="2/4",G375="3/4"),((база!$I$4*Таблица1[[#This Row],[сумма]]*Таблица1[[#This Row],[коэф]])),
IF((G375="5/8"),((база!$J$6*Таблица1[[#This Row],[сумма]]*Таблица1[[#This Row],[коэф]])),
IF((G375="4/8"),((база!$J$5*Таблица1[[#This Row],[сумма]]*Таблица1[[#This Row],[коэф]])),
IF(OR(G375="3/8",G375="2/8"),((база!$J$4*Таблица1[[#This Row],[сумма]]*Таблица1[[#This Row],[коэф]])))))))))))))),
(IF((G375="5/24"),((база!$M$6*Таблица1[[#This Row],[сумма]]*Таблица1[[#This Row],[коэф]])),
IF(OR(G375="4/24",G375="3/24"),((база!$M$5*Таблица1[[#This Row],[сумма]]*Таблица1[[#This Row],[коэф]])),
IF((G375="5/16"),((база!$L$6*Таблица1[[#This Row],[сумма]]*Таблица1[[#This Row],[коэф]])),
IF(OR(G375="4/16",G375="3/16"),((база!$L$5*Таблица1[[#This Row],[сумма]]*Таблица1[[#This Row],[коэф]])),
IF(OR(G375="2/4",G375="3/4",G375="4/4"),((база!$I$5*Таблица1[[#This Row],[сумма]]*Таблица1[[#This Row],[коэф]])),
IF((G375="5/8"),((база!$J$6*Таблица1[[#This Row],[сумма]]*Таблица1[[#This Row],[коэф]])),
IF(OR(G375="4/8",G375="3/8",G375="2/8"),((база!$J$5*Таблица1[[#This Row],[сумма]]*Таблица1[[#This Row],[коэф]])))))))))))</f>
        <v>0</v>
      </c>
      <c r="AP375" s="696" t="b">
        <f>IF(AR375&lt;=3,(IF((G375="5/24"),((база!$M$6*2*Таблица1[[#This Row],[Столбец1]]*Таблица1[[#This Row],[коэф]])),
IF((G375="4/24"),((база!$M$5*2*Таблица1[[#This Row],[Столбец1]]*Таблица1[[#This Row],[коэф]])),
IF((G375="3/24"),((база!$M$4*2*Таблица1[[#This Row],[Столбец1]]*Таблица1[[#This Row],[коэф]])),
IF((G375="5/16"),((база!$L$6*2*Таблица1[[#This Row],[Столбец1]]*Таблица1[[#This Row],[коэф]])),
IF((G375="4/16"),((база!$L$5*2*Таблица1[[#This Row],[Столбец1]]*Таблица1[[#This Row],[коэф]])),
IF((G375="3/16"),((база!$L$4*2*Таблица1[[#This Row],[Столбец1]]*Таблица1[[#This Row],[коэф]])),
IF((G375="4/4"),((база!$I$5*2*Таблица1[[#This Row],[Столбец1]]*Таблица1[[#This Row],[коэф]])),
IF(OR(G375="2/4",G375="3/4"),((база!$I$4*2*Таблица1[[#This Row],[Столбец1]]*Таблица1[[#This Row],[коэф]])),
IF((G375="5/8"),((база!$J$6*2*Таблица1[[#This Row],[Столбец1]]*Таблица1[[#This Row],[коэф]])),
IF((G375="4/8"),((база!$J$5*2*Таблица1[[#This Row],[Столбец1]]*Таблица1[[#This Row],[коэф]])),
IF(OR(G375="3/8",G375="2/8"),((база!$J$4*2*Таблица1[[#This Row],[Столбец1]]*Таблица1[[#This Row],[коэф]])))))))))))))),
(IF((G375="5/24"),((база!$M$6*2*Таблица1[[#This Row],[Столбец1]]*Таблица1[[#This Row],[коэф]])),
IF(OR(G375="4/24",G375="3/24"),((база!$M$5*2*Таблица1[[#This Row],[Столбец1]]*Таблица1[[#This Row],[коэф]])),
IF((G375="5/16"),((база!$L$6*2*Таблица1[[#This Row],[Столбец1]]*Таблица1[[#This Row],[коэф]])),
IF(OR(G375="4/16",G375="3/16"),((база!$L$5*2*Таблица1[[#This Row],[Столбец1]]*Таблица1[[#This Row],[коэф]])),
IF(OR(G375="2/4",G375="3/4",G375="4/4"),((база!$I$5*2*Таблица1[[#This Row],[Столбец1]]*Таблица1[[#This Row],[коэф]])),
IF((G375="5/8"),((база!$J$6*2*Таблица1[[#This Row],[Столбец1]]*Таблица1[[#This Row],[коэф]])),
IF(OR(G375="4/8",G375="3/8",G375="2/8"),((база!$J$5*2*Таблица1[[#This Row],[Столбец1]]*Таблица1[[#This Row],[коэф]])))))))))))</f>
        <v>0</v>
      </c>
      <c r="AQ375" s="678" t="str">
        <f>IFERROR(INDEX(база!T:T, MATCH(F375,база!Q:Q,0)),"")</f>
        <v/>
      </c>
      <c r="AR375" s="193">
        <f>IFERROR(INDEX(база!D:D, MATCH(F375,база!B:B,0)),"")</f>
        <v>0</v>
      </c>
    </row>
    <row r="376" spans="1:44" ht="15">
      <c r="A376" s="59"/>
      <c r="B376" s="215"/>
      <c r="C376" s="277"/>
      <c r="D376" s="55"/>
      <c r="E376" s="196"/>
      <c r="F376" s="651"/>
      <c r="G376" s="42"/>
      <c r="H376" s="539"/>
      <c r="I376" s="539"/>
      <c r="J376" s="539"/>
      <c r="K376" s="539"/>
      <c r="L376" s="539"/>
      <c r="M376" s="539"/>
      <c r="N376" s="539"/>
      <c r="O376" s="539"/>
      <c r="P376" s="278"/>
      <c r="Q376" s="539"/>
      <c r="R376" s="539"/>
      <c r="S376" s="539"/>
      <c r="T376" s="539"/>
      <c r="U376" s="539"/>
      <c r="V376" s="539"/>
      <c r="W376" s="539"/>
      <c r="X376" s="539"/>
      <c r="Y376" s="539"/>
      <c r="Z376" s="539"/>
      <c r="AA376" s="539"/>
      <c r="AB376" s="539"/>
      <c r="AC376" s="539"/>
      <c r="AD376" s="539"/>
      <c r="AE376" s="539"/>
      <c r="AF376" s="238"/>
      <c r="AG376" s="43"/>
      <c r="AH376" s="43"/>
      <c r="AI376" s="43"/>
      <c r="AJ376" s="43"/>
      <c r="AK376" s="43"/>
      <c r="AL376" s="45"/>
      <c r="AM376" s="197">
        <f>IF(AQ376=1,SUM(H376:I376,L376:O376,R376:U376,X376:AA376,AD376:AG376,AI376:AK376),
IF(AQ376=2,SUM(H376:K376,N376:Q376,T376:W376,Z376:AC376,AF376:AI376),
IF(AQ376=3,SUM(J376:M376,P376:S376,V376:Y376,AB376:AE376,AH376:AK376),SUM(Таблица1[[#This Row],[1]:[31]])-Таблица1[[#This Row],[Столбец1]])))</f>
        <v>0</v>
      </c>
      <c r="AN376" s="269">
        <f t="array" ref="AN376">IF(AQ376=1,SUM(J376:K376,P376:Q376,V376:W376,AB376:AC376,AH376:AI376),
IF(AQ376=2,SUM(L376:M376,R376:S376,X376:Y376,AD376:AE376),
IF(AQ376=3,SUM(H376:I376,N376:O376,T376:U376,Z376:AA376,AF376:AG376),
SUM(IFERROR(WEEKDAY($H$2:$AL$2,2)&gt;5,)*H376:AL376))))</f>
        <v>0</v>
      </c>
      <c r="AO376" s="271" t="b">
        <f>IF(AR376&lt;=3,(IF((G376="5/24"),((база!$M$6*Таблица1[[#This Row],[сумма]]*Таблица1[[#This Row],[коэф]])),
IF((G376="4/24"),((база!$M$5*Таблица1[[#This Row],[сумма]]*Таблица1[[#This Row],[коэф]])),
IF((G376="3/24"),((база!$M$4*Таблица1[[#This Row],[сумма]]*Таблица1[[#This Row],[коэф]])),
IF((G376="5/16"),((база!$L$6*Таблица1[[#This Row],[сумма]]*Таблица1[[#This Row],[коэф]])),
IF((G376="4/16"),((база!$L$5*Таблица1[[#This Row],[сумма]]*Таблица1[[#This Row],[коэф]])),
IF((G376="3/16"),((база!$L$4*Таблица1[[#This Row],[сумма]]*Таблица1[[#This Row],[коэф]])),
IF((G376="4/4"),((база!$I$5*Таблица1[[#This Row],[сумма]]*Таблица1[[#This Row],[коэф]])),
IF(OR(G376="2/4",G376="3/4"),((база!$I$4*Таблица1[[#This Row],[сумма]]*Таблица1[[#This Row],[коэф]])),
IF((G376="5/8"),((база!$J$6*Таблица1[[#This Row],[сумма]]*Таблица1[[#This Row],[коэф]])),
IF((G376="4/8"),((база!$J$5*Таблица1[[#This Row],[сумма]]*Таблица1[[#This Row],[коэф]])),
IF(OR(G376="3/8",G376="2/8"),((база!$J$4*Таблица1[[#This Row],[сумма]]*Таблица1[[#This Row],[коэф]])))))))))))))),
(IF((G376="5/24"),((база!$M$6*Таблица1[[#This Row],[сумма]]*Таблица1[[#This Row],[коэф]])),
IF(OR(G376="4/24",G376="3/24"),((база!$M$5*Таблица1[[#This Row],[сумма]]*Таблица1[[#This Row],[коэф]])),
IF((G376="5/16"),((база!$L$6*Таблица1[[#This Row],[сумма]]*Таблица1[[#This Row],[коэф]])),
IF(OR(G376="4/16",G376="3/16"),((база!$L$5*Таблица1[[#This Row],[сумма]]*Таблица1[[#This Row],[коэф]])),
IF(OR(G376="2/4",G376="3/4",G376="4/4"),((база!$I$5*Таблица1[[#This Row],[сумма]]*Таблица1[[#This Row],[коэф]])),
IF((G376="5/8"),((база!$J$6*Таблица1[[#This Row],[сумма]]*Таблица1[[#This Row],[коэф]])),
IF(OR(G376="4/8",G376="3/8",G376="2/8"),((база!$J$5*Таблица1[[#This Row],[сумма]]*Таблица1[[#This Row],[коэф]])))))))))))</f>
        <v>0</v>
      </c>
      <c r="AP376" s="696" t="b">
        <f>IF(AR376&lt;=3,(IF((G376="5/24"),((база!$M$6*2*Таблица1[[#This Row],[Столбец1]]*Таблица1[[#This Row],[коэф]])),
IF((G376="4/24"),((база!$M$5*2*Таблица1[[#This Row],[Столбец1]]*Таблица1[[#This Row],[коэф]])),
IF((G376="3/24"),((база!$M$4*2*Таблица1[[#This Row],[Столбец1]]*Таблица1[[#This Row],[коэф]])),
IF((G376="5/16"),((база!$L$6*2*Таблица1[[#This Row],[Столбец1]]*Таблица1[[#This Row],[коэф]])),
IF((G376="4/16"),((база!$L$5*2*Таблица1[[#This Row],[Столбец1]]*Таблица1[[#This Row],[коэф]])),
IF((G376="3/16"),((база!$L$4*2*Таблица1[[#This Row],[Столбец1]]*Таблица1[[#This Row],[коэф]])),
IF((G376="4/4"),((база!$I$5*2*Таблица1[[#This Row],[Столбец1]]*Таблица1[[#This Row],[коэф]])),
IF(OR(G376="2/4",G376="3/4"),((база!$I$4*2*Таблица1[[#This Row],[Столбец1]]*Таблица1[[#This Row],[коэф]])),
IF((G376="5/8"),((база!$J$6*2*Таблица1[[#This Row],[Столбец1]]*Таблица1[[#This Row],[коэф]])),
IF((G376="4/8"),((база!$J$5*2*Таблица1[[#This Row],[Столбец1]]*Таблица1[[#This Row],[коэф]])),
IF(OR(G376="3/8",G376="2/8"),((база!$J$4*2*Таблица1[[#This Row],[Столбец1]]*Таблица1[[#This Row],[коэф]])))))))))))))),
(IF((G376="5/24"),((база!$M$6*2*Таблица1[[#This Row],[Столбец1]]*Таблица1[[#This Row],[коэф]])),
IF(OR(G376="4/24",G376="3/24"),((база!$M$5*2*Таблица1[[#This Row],[Столбец1]]*Таблица1[[#This Row],[коэф]])),
IF((G376="5/16"),((база!$L$6*2*Таблица1[[#This Row],[Столбец1]]*Таблица1[[#This Row],[коэф]])),
IF(OR(G376="4/16",G376="3/16"),((база!$L$5*2*Таблица1[[#This Row],[Столбец1]]*Таблица1[[#This Row],[коэф]])),
IF(OR(G376="2/4",G376="3/4",G376="4/4"),((база!$I$5*2*Таблица1[[#This Row],[Столбец1]]*Таблица1[[#This Row],[коэф]])),
IF((G376="5/8"),((база!$J$6*2*Таблица1[[#This Row],[Столбец1]]*Таблица1[[#This Row],[коэф]])),
IF(OR(G376="4/8",G376="3/8",G376="2/8"),((база!$J$5*2*Таблица1[[#This Row],[Столбец1]]*Таблица1[[#This Row],[коэф]])))))))))))</f>
        <v>0</v>
      </c>
      <c r="AQ376" s="678" t="str">
        <f>IFERROR(INDEX(база!T:T, MATCH(F376,база!Q:Q,0)),"")</f>
        <v/>
      </c>
      <c r="AR376" s="193">
        <f>IFERROR(INDEX(база!D:D, MATCH(F376,база!B:B,0)),"")</f>
        <v>0</v>
      </c>
    </row>
    <row r="377" spans="1:44" ht="15">
      <c r="A377" s="59"/>
      <c r="B377" s="215"/>
      <c r="C377" s="277"/>
      <c r="D377" s="55"/>
      <c r="E377" s="196"/>
      <c r="F377" s="651"/>
      <c r="G377" s="42"/>
      <c r="H377" s="539"/>
      <c r="I377" s="539"/>
      <c r="J377" s="539"/>
      <c r="K377" s="539"/>
      <c r="L377" s="539"/>
      <c r="M377" s="539"/>
      <c r="N377" s="539"/>
      <c r="O377" s="539"/>
      <c r="P377" s="278"/>
      <c r="Q377" s="539"/>
      <c r="R377" s="539"/>
      <c r="S377" s="539"/>
      <c r="T377" s="539"/>
      <c r="U377" s="539"/>
      <c r="V377" s="539"/>
      <c r="W377" s="539"/>
      <c r="X377" s="539"/>
      <c r="Y377" s="539"/>
      <c r="Z377" s="539"/>
      <c r="AA377" s="539"/>
      <c r="AB377" s="539"/>
      <c r="AC377" s="539"/>
      <c r="AD377" s="43"/>
      <c r="AE377" s="43"/>
      <c r="AF377" s="238"/>
      <c r="AG377" s="43"/>
      <c r="AH377" s="43"/>
      <c r="AI377" s="238"/>
      <c r="AJ377" s="238"/>
      <c r="AK377" s="238"/>
      <c r="AL377" s="238"/>
      <c r="AM377" s="197">
        <f>IF(AQ377=1,SUM(H377:I377,L377:O377,R377:U377,X377:AA377,AD377:AG377,AI377:AK377),
IF(AQ377=2,SUM(H377:K377,N377:Q377,T377:W377,Z377:AC377,AF377:AI377),
IF(AQ377=3,SUM(J377:M377,P377:S377,V377:Y377,AB377:AE377,AH377:AK377),SUM(Таблица1[[#This Row],[1]:[31]])-Таблица1[[#This Row],[Столбец1]])))</f>
        <v>0</v>
      </c>
      <c r="AN377" s="269">
        <f t="array" ref="AN377">IF(AQ377=1,SUM(J377:K377,P377:Q377,V377:W377,AB377:AC377,AH377:AI377),
IF(AQ377=2,SUM(L377:M377,R377:S377,X377:Y377,AD377:AE377),
IF(AQ377=3,SUM(H377:I377,N377:O377,T377:U377,Z377:AA377,AF377:AG377),
SUM(IFERROR(WEEKDAY($H$2:$AL$2,2)&gt;5,)*H377:AL377))))</f>
        <v>0</v>
      </c>
      <c r="AO377" s="271" t="b">
        <f>IF(AR377&lt;=3,(IF((G377="5/24"),((база!$M$6*Таблица1[[#This Row],[сумма]]*Таблица1[[#This Row],[коэф]])),
IF((G377="4/24"),((база!$M$5*Таблица1[[#This Row],[сумма]]*Таблица1[[#This Row],[коэф]])),
IF((G377="3/24"),((база!$M$4*Таблица1[[#This Row],[сумма]]*Таблица1[[#This Row],[коэф]])),
IF((G377="5/16"),((база!$L$6*Таблица1[[#This Row],[сумма]]*Таблица1[[#This Row],[коэф]])),
IF((G377="4/16"),((база!$L$5*Таблица1[[#This Row],[сумма]]*Таблица1[[#This Row],[коэф]])),
IF((G377="3/16"),((база!$L$4*Таблица1[[#This Row],[сумма]]*Таблица1[[#This Row],[коэф]])),
IF((G377="4/4"),((база!$I$5*Таблица1[[#This Row],[сумма]]*Таблица1[[#This Row],[коэф]])),
IF(OR(G377="2/4",G377="3/4"),((база!$I$4*Таблица1[[#This Row],[сумма]]*Таблица1[[#This Row],[коэф]])),
IF((G377="5/8"),((база!$J$6*Таблица1[[#This Row],[сумма]]*Таблица1[[#This Row],[коэф]])),
IF((G377="4/8"),((база!$J$5*Таблица1[[#This Row],[сумма]]*Таблица1[[#This Row],[коэф]])),
IF(OR(G377="3/8",G377="2/8"),((база!$J$4*Таблица1[[#This Row],[сумма]]*Таблица1[[#This Row],[коэф]])))))))))))))),
(IF((G377="5/24"),((база!$M$6*Таблица1[[#This Row],[сумма]]*Таблица1[[#This Row],[коэф]])),
IF(OR(G377="4/24",G377="3/24"),((база!$M$5*Таблица1[[#This Row],[сумма]]*Таблица1[[#This Row],[коэф]])),
IF((G377="5/16"),((база!$L$6*Таблица1[[#This Row],[сумма]]*Таблица1[[#This Row],[коэф]])),
IF(OR(G377="4/16",G377="3/16"),((база!$L$5*Таблица1[[#This Row],[сумма]]*Таблица1[[#This Row],[коэф]])),
IF(OR(G377="2/4",G377="3/4",G377="4/4"),((база!$I$5*Таблица1[[#This Row],[сумма]]*Таблица1[[#This Row],[коэф]])),
IF((G377="5/8"),((база!$J$6*Таблица1[[#This Row],[сумма]]*Таблица1[[#This Row],[коэф]])),
IF(OR(G377="4/8",G377="3/8",G377="2/8"),((база!$J$5*Таблица1[[#This Row],[сумма]]*Таблица1[[#This Row],[коэф]])))))))))))</f>
        <v>0</v>
      </c>
      <c r="AP377" s="696" t="b">
        <f>IF(AR377&lt;=3,(IF((G377="5/24"),((база!$M$6*2*Таблица1[[#This Row],[Столбец1]]*Таблица1[[#This Row],[коэф]])),
IF((G377="4/24"),((база!$M$5*2*Таблица1[[#This Row],[Столбец1]]*Таблица1[[#This Row],[коэф]])),
IF((G377="3/24"),((база!$M$4*2*Таблица1[[#This Row],[Столбец1]]*Таблица1[[#This Row],[коэф]])),
IF((G377="5/16"),((база!$L$6*2*Таблица1[[#This Row],[Столбец1]]*Таблица1[[#This Row],[коэф]])),
IF((G377="4/16"),((база!$L$5*2*Таблица1[[#This Row],[Столбец1]]*Таблица1[[#This Row],[коэф]])),
IF((G377="3/16"),((база!$L$4*2*Таблица1[[#This Row],[Столбец1]]*Таблица1[[#This Row],[коэф]])),
IF((G377="4/4"),((база!$I$5*2*Таблица1[[#This Row],[Столбец1]]*Таблица1[[#This Row],[коэф]])),
IF(OR(G377="2/4",G377="3/4"),((база!$I$4*2*Таблица1[[#This Row],[Столбец1]]*Таблица1[[#This Row],[коэф]])),
IF((G377="5/8"),((база!$J$6*2*Таблица1[[#This Row],[Столбец1]]*Таблица1[[#This Row],[коэф]])),
IF((G377="4/8"),((база!$J$5*2*Таблица1[[#This Row],[Столбец1]]*Таблица1[[#This Row],[коэф]])),
IF(OR(G377="3/8",G377="2/8"),((база!$J$4*2*Таблица1[[#This Row],[Столбец1]]*Таблица1[[#This Row],[коэф]])))))))))))))),
(IF((G377="5/24"),((база!$M$6*2*Таблица1[[#This Row],[Столбец1]]*Таблица1[[#This Row],[коэф]])),
IF(OR(G377="4/24",G377="3/24"),((база!$M$5*2*Таблица1[[#This Row],[Столбец1]]*Таблица1[[#This Row],[коэф]])),
IF((G377="5/16"),((база!$L$6*2*Таблица1[[#This Row],[Столбец1]]*Таблица1[[#This Row],[коэф]])),
IF(OR(G377="4/16",G377="3/16"),((база!$L$5*2*Таблица1[[#This Row],[Столбец1]]*Таблица1[[#This Row],[коэф]])),
IF(OR(G377="2/4",G377="3/4",G377="4/4"),((база!$I$5*2*Таблица1[[#This Row],[Столбец1]]*Таблица1[[#This Row],[коэф]])),
IF((G377="5/8"),((база!$J$6*2*Таблица1[[#This Row],[Столбец1]]*Таблица1[[#This Row],[коэф]])),
IF(OR(G377="4/8",G377="3/8",G377="2/8"),((база!$J$5*2*Таблица1[[#This Row],[Столбец1]]*Таблица1[[#This Row],[коэф]])))))))))))</f>
        <v>0</v>
      </c>
      <c r="AQ377" s="678" t="str">
        <f>IFERROR(INDEX(база!T:T, MATCH(F377,база!Q:Q,0)),"")</f>
        <v/>
      </c>
      <c r="AR377" s="193">
        <f>IFERROR(INDEX(база!D:D, MATCH(F377,база!B:B,0)),"")</f>
        <v>0</v>
      </c>
    </row>
    <row r="378" spans="1:44" ht="15">
      <c r="A378" s="59"/>
      <c r="B378" s="215"/>
      <c r="C378" s="277"/>
      <c r="D378" s="55"/>
      <c r="E378" s="196"/>
      <c r="F378" s="651"/>
      <c r="G378" s="42"/>
      <c r="H378" s="539"/>
      <c r="I378" s="539"/>
      <c r="J378" s="539"/>
      <c r="K378" s="539"/>
      <c r="L378" s="539"/>
      <c r="M378" s="539"/>
      <c r="N378" s="539"/>
      <c r="O378" s="539"/>
      <c r="P378" s="278"/>
      <c r="Q378" s="539"/>
      <c r="R378" s="539"/>
      <c r="S378" s="539"/>
      <c r="T378" s="539"/>
      <c r="U378" s="539"/>
      <c r="V378" s="539"/>
      <c r="W378" s="539"/>
      <c r="X378" s="539"/>
      <c r="Y378" s="539"/>
      <c r="Z378" s="539"/>
      <c r="AA378" s="539"/>
      <c r="AB378" s="539"/>
      <c r="AC378" s="539"/>
      <c r="AD378" s="43"/>
      <c r="AE378" s="43"/>
      <c r="AF378" s="238"/>
      <c r="AG378" s="43"/>
      <c r="AH378" s="43"/>
      <c r="AI378" s="43"/>
      <c r="AJ378" s="43"/>
      <c r="AK378" s="43"/>
      <c r="AL378" s="45"/>
      <c r="AM378" s="197">
        <f>IF(AQ378=1,SUM(H378:I378,L378:O378,R378:U378,X378:AA378,AD378:AG378,AI378:AK378),
IF(AQ378=2,SUM(H378:K378,N378:Q378,T378:W378,Z378:AC378,AF378:AI378),
IF(AQ378=3,SUM(J378:M378,P378:S378,V378:Y378,AB378:AE378,AH378:AK378),SUM(Таблица1[[#This Row],[1]:[31]])-Таблица1[[#This Row],[Столбец1]])))</f>
        <v>0</v>
      </c>
      <c r="AN378" s="269">
        <f t="array" ref="AN378">IF(AQ378=1,SUM(J378:K378,P378:Q378,V378:W378,AB378:AC378,AH378:AI378),
IF(AQ378=2,SUM(L378:M378,R378:S378,X378:Y378,AD378:AE378),
IF(AQ378=3,SUM(H378:I378,N378:O378,T378:U378,Z378:AA378,AF378:AG378),
SUM(IFERROR(WEEKDAY($H$2:$AL$2,2)&gt;5,)*H378:AL378))))</f>
        <v>0</v>
      </c>
      <c r="AO378" s="271" t="b">
        <f>IF(AR378&lt;=3,(IF((G378="5/24"),((база!$M$6*Таблица1[[#This Row],[сумма]]*Таблица1[[#This Row],[коэф]])),
IF((G378="4/24"),((база!$M$5*Таблица1[[#This Row],[сумма]]*Таблица1[[#This Row],[коэф]])),
IF((G378="3/24"),((база!$M$4*Таблица1[[#This Row],[сумма]]*Таблица1[[#This Row],[коэф]])),
IF((G378="5/16"),((база!$L$6*Таблица1[[#This Row],[сумма]]*Таблица1[[#This Row],[коэф]])),
IF((G378="4/16"),((база!$L$5*Таблица1[[#This Row],[сумма]]*Таблица1[[#This Row],[коэф]])),
IF((G378="3/16"),((база!$L$4*Таблица1[[#This Row],[сумма]]*Таблица1[[#This Row],[коэф]])),
IF((G378="4/4"),((база!$I$5*Таблица1[[#This Row],[сумма]]*Таблица1[[#This Row],[коэф]])),
IF(OR(G378="2/4",G378="3/4"),((база!$I$4*Таблица1[[#This Row],[сумма]]*Таблица1[[#This Row],[коэф]])),
IF((G378="5/8"),((база!$J$6*Таблица1[[#This Row],[сумма]]*Таблица1[[#This Row],[коэф]])),
IF((G378="4/8"),((база!$J$5*Таблица1[[#This Row],[сумма]]*Таблица1[[#This Row],[коэф]])),
IF(OR(G378="3/8",G378="2/8"),((база!$J$4*Таблица1[[#This Row],[сумма]]*Таблица1[[#This Row],[коэф]])))))))))))))),
(IF((G378="5/24"),((база!$M$6*Таблица1[[#This Row],[сумма]]*Таблица1[[#This Row],[коэф]])),
IF(OR(G378="4/24",G378="3/24"),((база!$M$5*Таблица1[[#This Row],[сумма]]*Таблица1[[#This Row],[коэф]])),
IF((G378="5/16"),((база!$L$6*Таблица1[[#This Row],[сумма]]*Таблица1[[#This Row],[коэф]])),
IF(OR(G378="4/16",G378="3/16"),((база!$L$5*Таблица1[[#This Row],[сумма]]*Таблица1[[#This Row],[коэф]])),
IF(OR(G378="2/4",G378="3/4",G378="4/4"),((база!$I$5*Таблица1[[#This Row],[сумма]]*Таблица1[[#This Row],[коэф]])),
IF((G378="5/8"),((база!$J$6*Таблица1[[#This Row],[сумма]]*Таблица1[[#This Row],[коэф]])),
IF(OR(G378="4/8",G378="3/8",G378="2/8"),((база!$J$5*Таблица1[[#This Row],[сумма]]*Таблица1[[#This Row],[коэф]])))))))))))</f>
        <v>0</v>
      </c>
      <c r="AP378" s="696" t="b">
        <f>IF(AR378&lt;=3,(IF((G378="5/24"),((база!$M$6*2*Таблица1[[#This Row],[Столбец1]]*Таблица1[[#This Row],[коэф]])),
IF((G378="4/24"),((база!$M$5*2*Таблица1[[#This Row],[Столбец1]]*Таблица1[[#This Row],[коэф]])),
IF((G378="3/24"),((база!$M$4*2*Таблица1[[#This Row],[Столбец1]]*Таблица1[[#This Row],[коэф]])),
IF((G378="5/16"),((база!$L$6*2*Таблица1[[#This Row],[Столбец1]]*Таблица1[[#This Row],[коэф]])),
IF((G378="4/16"),((база!$L$5*2*Таблица1[[#This Row],[Столбец1]]*Таблица1[[#This Row],[коэф]])),
IF((G378="3/16"),((база!$L$4*2*Таблица1[[#This Row],[Столбец1]]*Таблица1[[#This Row],[коэф]])),
IF((G378="4/4"),((база!$I$5*2*Таблица1[[#This Row],[Столбец1]]*Таблица1[[#This Row],[коэф]])),
IF(OR(G378="2/4",G378="3/4"),((база!$I$4*2*Таблица1[[#This Row],[Столбец1]]*Таблица1[[#This Row],[коэф]])),
IF((G378="5/8"),((база!$J$6*2*Таблица1[[#This Row],[Столбец1]]*Таблица1[[#This Row],[коэф]])),
IF((G378="4/8"),((база!$J$5*2*Таблица1[[#This Row],[Столбец1]]*Таблица1[[#This Row],[коэф]])),
IF(OR(G378="3/8",G378="2/8"),((база!$J$4*2*Таблица1[[#This Row],[Столбец1]]*Таблица1[[#This Row],[коэф]])))))))))))))),
(IF((G378="5/24"),((база!$M$6*2*Таблица1[[#This Row],[Столбец1]]*Таблица1[[#This Row],[коэф]])),
IF(OR(G378="4/24",G378="3/24"),((база!$M$5*2*Таблица1[[#This Row],[Столбец1]]*Таблица1[[#This Row],[коэф]])),
IF((G378="5/16"),((база!$L$6*2*Таблица1[[#This Row],[Столбец1]]*Таблица1[[#This Row],[коэф]])),
IF(OR(G378="4/16",G378="3/16"),((база!$L$5*2*Таблица1[[#This Row],[Столбец1]]*Таблица1[[#This Row],[коэф]])),
IF(OR(G378="2/4",G378="3/4",G378="4/4"),((база!$I$5*2*Таблица1[[#This Row],[Столбец1]]*Таблица1[[#This Row],[коэф]])),
IF((G378="5/8"),((база!$J$6*2*Таблица1[[#This Row],[Столбец1]]*Таблица1[[#This Row],[коэф]])),
IF(OR(G378="4/8",G378="3/8",G378="2/8"),((база!$J$5*2*Таблица1[[#This Row],[Столбец1]]*Таблица1[[#This Row],[коэф]])))))))))))</f>
        <v>0</v>
      </c>
      <c r="AQ378" s="678" t="str">
        <f>IFERROR(INDEX(база!T:T, MATCH(F378,база!Q:Q,0)),"")</f>
        <v/>
      </c>
      <c r="AR378" s="193">
        <f>IFERROR(INDEX(база!D:D, MATCH(F378,база!B:B,0)),"")</f>
        <v>0</v>
      </c>
    </row>
    <row r="379" spans="1:44" ht="15">
      <c r="A379" s="59"/>
      <c r="B379" s="215"/>
      <c r="C379" s="54"/>
      <c r="D379" s="55"/>
      <c r="E379" s="196"/>
      <c r="F379" s="651"/>
      <c r="G379" s="42"/>
      <c r="H379" s="539"/>
      <c r="I379" s="539"/>
      <c r="J379" s="539"/>
      <c r="K379" s="539"/>
      <c r="L379" s="539"/>
      <c r="M379" s="539"/>
      <c r="N379" s="539"/>
      <c r="O379" s="539"/>
      <c r="P379" s="278"/>
      <c r="Q379" s="539"/>
      <c r="R379" s="539"/>
      <c r="S379" s="539"/>
      <c r="T379" s="539"/>
      <c r="U379" s="539"/>
      <c r="V379" s="539"/>
      <c r="W379" s="539"/>
      <c r="X379" s="539"/>
      <c r="Y379" s="539"/>
      <c r="Z379" s="539"/>
      <c r="AA379" s="539"/>
      <c r="AB379" s="539"/>
      <c r="AC379" s="539"/>
      <c r="AD379" s="43"/>
      <c r="AE379" s="43"/>
      <c r="AF379" s="238"/>
      <c r="AG379" s="43"/>
      <c r="AH379" s="43"/>
      <c r="AI379" s="238"/>
      <c r="AJ379" s="238"/>
      <c r="AK379" s="238"/>
      <c r="AL379" s="238"/>
      <c r="AM379" s="197">
        <f>IF(AQ379=1,SUM(H379:I379,L379:O379,R379:U379,X379:AA379,AD379:AG379,AI379:AK379),
IF(AQ379=2,SUM(H379:K379,N379:Q379,T379:W379,Z379:AC379,AF379:AI379),
IF(AQ379=3,SUM(J379:M379,P379:S379,V379:Y379,AB379:AE379,AH379:AK379),SUM(Таблица1[[#This Row],[1]:[31]])-Таблица1[[#This Row],[Столбец1]])))</f>
        <v>0</v>
      </c>
      <c r="AN379" s="269">
        <f t="array" ref="AN379">IF(AQ379=1,SUM(J379:K379,P379:Q379,V379:W379,AB379:AC379,AH379:AI379),
IF(AQ379=2,SUM(L379:M379,R379:S379,X379:Y379,AD379:AE379),
IF(AQ379=3,SUM(H379:I379,N379:O379,T379:U379,Z379:AA379,AF379:AG379),
SUM(IFERROR(WEEKDAY($H$2:$AL$2,2)&gt;5,)*H379:AL379))))</f>
        <v>0</v>
      </c>
      <c r="AO379" s="271" t="b">
        <f>IF(AR379&lt;=3,(IF((G379="5/24"),((база!$M$6*Таблица1[[#This Row],[сумма]]*Таблица1[[#This Row],[коэф]])),
IF((G379="4/24"),((база!$M$5*Таблица1[[#This Row],[сумма]]*Таблица1[[#This Row],[коэф]])),
IF((G379="3/24"),((база!$M$4*Таблица1[[#This Row],[сумма]]*Таблица1[[#This Row],[коэф]])),
IF((G379="5/16"),((база!$L$6*Таблица1[[#This Row],[сумма]]*Таблица1[[#This Row],[коэф]])),
IF((G379="4/16"),((база!$L$5*Таблица1[[#This Row],[сумма]]*Таблица1[[#This Row],[коэф]])),
IF((G379="3/16"),((база!$L$4*Таблица1[[#This Row],[сумма]]*Таблица1[[#This Row],[коэф]])),
IF((G379="4/4"),((база!$I$5*Таблица1[[#This Row],[сумма]]*Таблица1[[#This Row],[коэф]])),
IF(OR(G379="2/4",G379="3/4"),((база!$I$4*Таблица1[[#This Row],[сумма]]*Таблица1[[#This Row],[коэф]])),
IF((G379="5/8"),((база!$J$6*Таблица1[[#This Row],[сумма]]*Таблица1[[#This Row],[коэф]])),
IF((G379="4/8"),((база!$J$5*Таблица1[[#This Row],[сумма]]*Таблица1[[#This Row],[коэф]])),
IF(OR(G379="3/8",G379="2/8"),((база!$J$4*Таблица1[[#This Row],[сумма]]*Таблица1[[#This Row],[коэф]])))))))))))))),
(IF((G379="5/24"),((база!$M$6*Таблица1[[#This Row],[сумма]]*Таблица1[[#This Row],[коэф]])),
IF(OR(G379="4/24",G379="3/24"),((база!$M$5*Таблица1[[#This Row],[сумма]]*Таблица1[[#This Row],[коэф]])),
IF((G379="5/16"),((база!$L$6*Таблица1[[#This Row],[сумма]]*Таблица1[[#This Row],[коэф]])),
IF(OR(G379="4/16",G379="3/16"),((база!$L$5*Таблица1[[#This Row],[сумма]]*Таблица1[[#This Row],[коэф]])),
IF(OR(G379="2/4",G379="3/4",G379="4/4"),((база!$I$5*Таблица1[[#This Row],[сумма]]*Таблица1[[#This Row],[коэф]])),
IF((G379="5/8"),((база!$J$6*Таблица1[[#This Row],[сумма]]*Таблица1[[#This Row],[коэф]])),
IF(OR(G379="4/8",G379="3/8",G379="2/8"),((база!$J$5*Таблица1[[#This Row],[сумма]]*Таблица1[[#This Row],[коэф]])))))))))))</f>
        <v>0</v>
      </c>
      <c r="AP379" s="696" t="b">
        <f>IF(AR379&lt;=3,(IF((G379="5/24"),((база!$M$6*2*Таблица1[[#This Row],[Столбец1]]*Таблица1[[#This Row],[коэф]])),
IF((G379="4/24"),((база!$M$5*2*Таблица1[[#This Row],[Столбец1]]*Таблица1[[#This Row],[коэф]])),
IF((G379="3/24"),((база!$M$4*2*Таблица1[[#This Row],[Столбец1]]*Таблица1[[#This Row],[коэф]])),
IF((G379="5/16"),((база!$L$6*2*Таблица1[[#This Row],[Столбец1]]*Таблица1[[#This Row],[коэф]])),
IF((G379="4/16"),((база!$L$5*2*Таблица1[[#This Row],[Столбец1]]*Таблица1[[#This Row],[коэф]])),
IF((G379="3/16"),((база!$L$4*2*Таблица1[[#This Row],[Столбец1]]*Таблица1[[#This Row],[коэф]])),
IF((G379="4/4"),((база!$I$5*2*Таблица1[[#This Row],[Столбец1]]*Таблица1[[#This Row],[коэф]])),
IF(OR(G379="2/4",G379="3/4"),((база!$I$4*2*Таблица1[[#This Row],[Столбец1]]*Таблица1[[#This Row],[коэф]])),
IF((G379="5/8"),((база!$J$6*2*Таблица1[[#This Row],[Столбец1]]*Таблица1[[#This Row],[коэф]])),
IF((G379="4/8"),((база!$J$5*2*Таблица1[[#This Row],[Столбец1]]*Таблица1[[#This Row],[коэф]])),
IF(OR(G379="3/8",G379="2/8"),((база!$J$4*2*Таблица1[[#This Row],[Столбец1]]*Таблица1[[#This Row],[коэф]])))))))))))))),
(IF((G379="5/24"),((база!$M$6*2*Таблица1[[#This Row],[Столбец1]]*Таблица1[[#This Row],[коэф]])),
IF(OR(G379="4/24",G379="3/24"),((база!$M$5*2*Таблица1[[#This Row],[Столбец1]]*Таблица1[[#This Row],[коэф]])),
IF((G379="5/16"),((база!$L$6*2*Таблица1[[#This Row],[Столбец1]]*Таблица1[[#This Row],[коэф]])),
IF(OR(G379="4/16",G379="3/16"),((база!$L$5*2*Таблица1[[#This Row],[Столбец1]]*Таблица1[[#This Row],[коэф]])),
IF(OR(G379="2/4",G379="3/4",G379="4/4"),((база!$I$5*2*Таблица1[[#This Row],[Столбец1]]*Таблица1[[#This Row],[коэф]])),
IF((G379="5/8"),((база!$J$6*2*Таблица1[[#This Row],[Столбец1]]*Таблица1[[#This Row],[коэф]])),
IF(OR(G379="4/8",G379="3/8",G379="2/8"),((база!$J$5*2*Таблица1[[#This Row],[Столбец1]]*Таблица1[[#This Row],[коэф]])))))))))))</f>
        <v>0</v>
      </c>
      <c r="AQ379" s="678" t="str">
        <f>IFERROR(INDEX(база!T:T, MATCH(F379,база!Q:Q,0)),"")</f>
        <v/>
      </c>
      <c r="AR379" s="193">
        <f>IFERROR(INDEX(база!D:D, MATCH(F379,база!B:B,0)),"")</f>
        <v>0</v>
      </c>
    </row>
    <row r="380" spans="1:44" ht="15">
      <c r="A380" s="59"/>
      <c r="B380" s="215"/>
      <c r="C380" s="277"/>
      <c r="D380" s="55"/>
      <c r="E380" s="196"/>
      <c r="F380" s="651"/>
      <c r="G380" s="42"/>
      <c r="H380" s="539"/>
      <c r="I380" s="539"/>
      <c r="J380" s="539"/>
      <c r="K380" s="539"/>
      <c r="L380" s="539"/>
      <c r="M380" s="539"/>
      <c r="N380" s="539"/>
      <c r="O380" s="539"/>
      <c r="P380" s="278"/>
      <c r="Q380" s="539"/>
      <c r="R380" s="539"/>
      <c r="S380" s="539"/>
      <c r="T380" s="539"/>
      <c r="U380" s="539"/>
      <c r="V380" s="539"/>
      <c r="W380" s="539"/>
      <c r="X380" s="539"/>
      <c r="Y380" s="539"/>
      <c r="Z380" s="539"/>
      <c r="AA380" s="539"/>
      <c r="AB380" s="539"/>
      <c r="AC380" s="539"/>
      <c r="AD380" s="43"/>
      <c r="AE380" s="43"/>
      <c r="AF380" s="238"/>
      <c r="AG380" s="43"/>
      <c r="AH380" s="43"/>
      <c r="AI380" s="43"/>
      <c r="AJ380" s="43"/>
      <c r="AK380" s="43"/>
      <c r="AL380" s="45"/>
      <c r="AM380" s="197">
        <f>IF(AQ380=1,SUM(H380:I380,L380:O380,R380:U380,X380:AA380,AD380:AG380,AI380:AK380),
IF(AQ380=2,SUM(H380:K380,N380:Q380,T380:W380,Z380:AC380,AF380:AI380),
IF(AQ380=3,SUM(J380:M380,P380:S380,V380:Y380,AB380:AE380,AH380:AK380),SUM(Таблица1[[#This Row],[1]:[31]])-Таблица1[[#This Row],[Столбец1]])))</f>
        <v>0</v>
      </c>
      <c r="AN380" s="269">
        <f t="array" ref="AN380">IF(AQ380=1,SUM(J380:K380,P380:Q380,V380:W380,AB380:AC380,AH380:AI380),
IF(AQ380=2,SUM(L380:M380,R380:S380,X380:Y380,AD380:AE380),
IF(AQ380=3,SUM(H380:I380,N380:O380,T380:U380,Z380:AA380,AF380:AG380),
SUM(IFERROR(WEEKDAY($H$2:$AL$2,2)&gt;5,)*H380:AL380))))</f>
        <v>0</v>
      </c>
      <c r="AO380" s="271" t="b">
        <f>IF(AR380&lt;=3,(IF((G380="5/24"),((база!$M$6*Таблица1[[#This Row],[сумма]]*Таблица1[[#This Row],[коэф]])),
IF((G380="4/24"),((база!$M$5*Таблица1[[#This Row],[сумма]]*Таблица1[[#This Row],[коэф]])),
IF((G380="3/24"),((база!$M$4*Таблица1[[#This Row],[сумма]]*Таблица1[[#This Row],[коэф]])),
IF((G380="5/16"),((база!$L$6*Таблица1[[#This Row],[сумма]]*Таблица1[[#This Row],[коэф]])),
IF((G380="4/16"),((база!$L$5*Таблица1[[#This Row],[сумма]]*Таблица1[[#This Row],[коэф]])),
IF((G380="3/16"),((база!$L$4*Таблица1[[#This Row],[сумма]]*Таблица1[[#This Row],[коэф]])),
IF((G380="4/4"),((база!$I$5*Таблица1[[#This Row],[сумма]]*Таблица1[[#This Row],[коэф]])),
IF(OR(G380="2/4",G380="3/4"),((база!$I$4*Таблица1[[#This Row],[сумма]]*Таблица1[[#This Row],[коэф]])),
IF((G380="5/8"),((база!$J$6*Таблица1[[#This Row],[сумма]]*Таблица1[[#This Row],[коэф]])),
IF((G380="4/8"),((база!$J$5*Таблица1[[#This Row],[сумма]]*Таблица1[[#This Row],[коэф]])),
IF(OR(G380="3/8",G380="2/8"),((база!$J$4*Таблица1[[#This Row],[сумма]]*Таблица1[[#This Row],[коэф]])))))))))))))),
(IF((G380="5/24"),((база!$M$6*Таблица1[[#This Row],[сумма]]*Таблица1[[#This Row],[коэф]])),
IF(OR(G380="4/24",G380="3/24"),((база!$M$5*Таблица1[[#This Row],[сумма]]*Таблица1[[#This Row],[коэф]])),
IF((G380="5/16"),((база!$L$6*Таблица1[[#This Row],[сумма]]*Таблица1[[#This Row],[коэф]])),
IF(OR(G380="4/16",G380="3/16"),((база!$L$5*Таблица1[[#This Row],[сумма]]*Таблица1[[#This Row],[коэф]])),
IF(OR(G380="2/4",G380="3/4",G380="4/4"),((база!$I$5*Таблица1[[#This Row],[сумма]]*Таблица1[[#This Row],[коэф]])),
IF((G380="5/8"),((база!$J$6*Таблица1[[#This Row],[сумма]]*Таблица1[[#This Row],[коэф]])),
IF(OR(G380="4/8",G380="3/8",G380="2/8"),((база!$J$5*Таблица1[[#This Row],[сумма]]*Таблица1[[#This Row],[коэф]])))))))))))</f>
        <v>0</v>
      </c>
      <c r="AP380" s="696" t="b">
        <f>IF(AR380&lt;=3,(IF((G380="5/24"),((база!$M$6*2*Таблица1[[#This Row],[Столбец1]]*Таблица1[[#This Row],[коэф]])),
IF((G380="4/24"),((база!$M$5*2*Таблица1[[#This Row],[Столбец1]]*Таблица1[[#This Row],[коэф]])),
IF((G380="3/24"),((база!$M$4*2*Таблица1[[#This Row],[Столбец1]]*Таблица1[[#This Row],[коэф]])),
IF((G380="5/16"),((база!$L$6*2*Таблица1[[#This Row],[Столбец1]]*Таблица1[[#This Row],[коэф]])),
IF((G380="4/16"),((база!$L$5*2*Таблица1[[#This Row],[Столбец1]]*Таблица1[[#This Row],[коэф]])),
IF((G380="3/16"),((база!$L$4*2*Таблица1[[#This Row],[Столбец1]]*Таблица1[[#This Row],[коэф]])),
IF((G380="4/4"),((база!$I$5*2*Таблица1[[#This Row],[Столбец1]]*Таблица1[[#This Row],[коэф]])),
IF(OR(G380="2/4",G380="3/4"),((база!$I$4*2*Таблица1[[#This Row],[Столбец1]]*Таблица1[[#This Row],[коэф]])),
IF((G380="5/8"),((база!$J$6*2*Таблица1[[#This Row],[Столбец1]]*Таблица1[[#This Row],[коэф]])),
IF((G380="4/8"),((база!$J$5*2*Таблица1[[#This Row],[Столбец1]]*Таблица1[[#This Row],[коэф]])),
IF(OR(G380="3/8",G380="2/8"),((база!$J$4*2*Таблица1[[#This Row],[Столбец1]]*Таблица1[[#This Row],[коэф]])))))))))))))),
(IF((G380="5/24"),((база!$M$6*2*Таблица1[[#This Row],[Столбец1]]*Таблица1[[#This Row],[коэф]])),
IF(OR(G380="4/24",G380="3/24"),((база!$M$5*2*Таблица1[[#This Row],[Столбец1]]*Таблица1[[#This Row],[коэф]])),
IF((G380="5/16"),((база!$L$6*2*Таблица1[[#This Row],[Столбец1]]*Таблица1[[#This Row],[коэф]])),
IF(OR(G380="4/16",G380="3/16"),((база!$L$5*2*Таблица1[[#This Row],[Столбец1]]*Таблица1[[#This Row],[коэф]])),
IF(OR(G380="2/4",G380="3/4",G380="4/4"),((база!$I$5*2*Таблица1[[#This Row],[Столбец1]]*Таблица1[[#This Row],[коэф]])),
IF((G380="5/8"),((база!$J$6*2*Таблица1[[#This Row],[Столбец1]]*Таблица1[[#This Row],[коэф]])),
IF(OR(G380="4/8",G380="3/8",G380="2/8"),((база!$J$5*2*Таблица1[[#This Row],[Столбец1]]*Таблица1[[#This Row],[коэф]])))))))))))</f>
        <v>0</v>
      </c>
      <c r="AQ380" s="678" t="str">
        <f>IFERROR(INDEX(база!T:T, MATCH(F380,база!Q:Q,0)),"")</f>
        <v/>
      </c>
      <c r="AR380" s="193">
        <f>IFERROR(INDEX(база!D:D, MATCH(F380,база!B:B,0)),"")</f>
        <v>0</v>
      </c>
    </row>
    <row r="381" spans="1:44" ht="15">
      <c r="A381" s="59"/>
      <c r="B381" s="215"/>
      <c r="C381" s="277"/>
      <c r="D381" s="55"/>
      <c r="E381" s="196"/>
      <c r="F381" s="651"/>
      <c r="G381" s="42"/>
      <c r="H381" s="539"/>
      <c r="I381" s="539"/>
      <c r="J381" s="539"/>
      <c r="K381" s="539"/>
      <c r="L381" s="539"/>
      <c r="M381" s="539"/>
      <c r="N381" s="539"/>
      <c r="O381" s="539"/>
      <c r="P381" s="278"/>
      <c r="Q381" s="539"/>
      <c r="R381" s="539"/>
      <c r="S381" s="539"/>
      <c r="T381" s="539"/>
      <c r="U381" s="539"/>
      <c r="V381" s="539"/>
      <c r="W381" s="539"/>
      <c r="X381" s="539"/>
      <c r="Y381" s="539"/>
      <c r="Z381" s="539"/>
      <c r="AA381" s="539"/>
      <c r="AB381" s="539"/>
      <c r="AC381" s="539"/>
      <c r="AD381" s="43"/>
      <c r="AE381" s="43"/>
      <c r="AF381" s="238"/>
      <c r="AG381" s="43"/>
      <c r="AH381" s="43"/>
      <c r="AI381" s="238"/>
      <c r="AJ381" s="238"/>
      <c r="AK381" s="238"/>
      <c r="AL381" s="238"/>
      <c r="AM381" s="197">
        <f>IF(AQ381=1,SUM(H381:I381,L381:O381,R381:U381,X381:AA381,AD381:AG381,AI381:AK381),
IF(AQ381=2,SUM(H381:K381,N381:Q381,T381:W381,Z381:AC381,AF381:AI381),
IF(AQ381=3,SUM(J381:M381,P381:S381,V381:Y381,AB381:AE381,AH381:AK381),SUM(Таблица1[[#This Row],[1]:[31]])-Таблица1[[#This Row],[Столбец1]])))</f>
        <v>0</v>
      </c>
      <c r="AN381" s="269">
        <f t="array" ref="AN381">IF(AQ381=1,SUM(J381:K381,P381:Q381,V381:W381,AB381:AC381,AH381:AI381),
IF(AQ381=2,SUM(L381:M381,R381:S381,X381:Y381,AD381:AE381),
IF(AQ381=3,SUM(H381:I381,N381:O381,T381:U381,Z381:AA381,AF381:AG381),
SUM(IFERROR(WEEKDAY($H$2:$AL$2,2)&gt;5,)*H381:AL381))))</f>
        <v>0</v>
      </c>
      <c r="AO381" s="271" t="b">
        <f>IF(AR381&lt;=3,(IF((G381="5/24"),((база!$M$6*Таблица1[[#This Row],[сумма]]*Таблица1[[#This Row],[коэф]])),
IF((G381="4/24"),((база!$M$5*Таблица1[[#This Row],[сумма]]*Таблица1[[#This Row],[коэф]])),
IF((G381="3/24"),((база!$M$4*Таблица1[[#This Row],[сумма]]*Таблица1[[#This Row],[коэф]])),
IF((G381="5/16"),((база!$L$6*Таблица1[[#This Row],[сумма]]*Таблица1[[#This Row],[коэф]])),
IF((G381="4/16"),((база!$L$5*Таблица1[[#This Row],[сумма]]*Таблица1[[#This Row],[коэф]])),
IF((G381="3/16"),((база!$L$4*Таблица1[[#This Row],[сумма]]*Таблица1[[#This Row],[коэф]])),
IF((G381="4/4"),((база!$I$5*Таблица1[[#This Row],[сумма]]*Таблица1[[#This Row],[коэф]])),
IF(OR(G381="2/4",G381="3/4"),((база!$I$4*Таблица1[[#This Row],[сумма]]*Таблица1[[#This Row],[коэф]])),
IF((G381="5/8"),((база!$J$6*Таблица1[[#This Row],[сумма]]*Таблица1[[#This Row],[коэф]])),
IF((G381="4/8"),((база!$J$5*Таблица1[[#This Row],[сумма]]*Таблица1[[#This Row],[коэф]])),
IF(OR(G381="3/8",G381="2/8"),((база!$J$4*Таблица1[[#This Row],[сумма]]*Таблица1[[#This Row],[коэф]])))))))))))))),
(IF((G381="5/24"),((база!$M$6*Таблица1[[#This Row],[сумма]]*Таблица1[[#This Row],[коэф]])),
IF(OR(G381="4/24",G381="3/24"),((база!$M$5*Таблица1[[#This Row],[сумма]]*Таблица1[[#This Row],[коэф]])),
IF((G381="5/16"),((база!$L$6*Таблица1[[#This Row],[сумма]]*Таблица1[[#This Row],[коэф]])),
IF(OR(G381="4/16",G381="3/16"),((база!$L$5*Таблица1[[#This Row],[сумма]]*Таблица1[[#This Row],[коэф]])),
IF(OR(G381="2/4",G381="3/4",G381="4/4"),((база!$I$5*Таблица1[[#This Row],[сумма]]*Таблица1[[#This Row],[коэф]])),
IF((G381="5/8"),((база!$J$6*Таблица1[[#This Row],[сумма]]*Таблица1[[#This Row],[коэф]])),
IF(OR(G381="4/8",G381="3/8",G381="2/8"),((база!$J$5*Таблица1[[#This Row],[сумма]]*Таблица1[[#This Row],[коэф]])))))))))))</f>
        <v>0</v>
      </c>
      <c r="AP381" s="696" t="b">
        <f>IF(AR381&lt;=3,(IF((G381="5/24"),((база!$M$6*2*Таблица1[[#This Row],[Столбец1]]*Таблица1[[#This Row],[коэф]])),
IF((G381="4/24"),((база!$M$5*2*Таблица1[[#This Row],[Столбец1]]*Таблица1[[#This Row],[коэф]])),
IF((G381="3/24"),((база!$M$4*2*Таблица1[[#This Row],[Столбец1]]*Таблица1[[#This Row],[коэф]])),
IF((G381="5/16"),((база!$L$6*2*Таблица1[[#This Row],[Столбец1]]*Таблица1[[#This Row],[коэф]])),
IF((G381="4/16"),((база!$L$5*2*Таблица1[[#This Row],[Столбец1]]*Таблица1[[#This Row],[коэф]])),
IF((G381="3/16"),((база!$L$4*2*Таблица1[[#This Row],[Столбец1]]*Таблица1[[#This Row],[коэф]])),
IF((G381="4/4"),((база!$I$5*2*Таблица1[[#This Row],[Столбец1]]*Таблица1[[#This Row],[коэф]])),
IF(OR(G381="2/4",G381="3/4"),((база!$I$4*2*Таблица1[[#This Row],[Столбец1]]*Таблица1[[#This Row],[коэф]])),
IF((G381="5/8"),((база!$J$6*2*Таблица1[[#This Row],[Столбец1]]*Таблица1[[#This Row],[коэф]])),
IF((G381="4/8"),((база!$J$5*2*Таблица1[[#This Row],[Столбец1]]*Таблица1[[#This Row],[коэф]])),
IF(OR(G381="3/8",G381="2/8"),((база!$J$4*2*Таблица1[[#This Row],[Столбец1]]*Таблица1[[#This Row],[коэф]])))))))))))))),
(IF((G381="5/24"),((база!$M$6*2*Таблица1[[#This Row],[Столбец1]]*Таблица1[[#This Row],[коэф]])),
IF(OR(G381="4/24",G381="3/24"),((база!$M$5*2*Таблица1[[#This Row],[Столбец1]]*Таблица1[[#This Row],[коэф]])),
IF((G381="5/16"),((база!$L$6*2*Таблица1[[#This Row],[Столбец1]]*Таблица1[[#This Row],[коэф]])),
IF(OR(G381="4/16",G381="3/16"),((база!$L$5*2*Таблица1[[#This Row],[Столбец1]]*Таблица1[[#This Row],[коэф]])),
IF(OR(G381="2/4",G381="3/4",G381="4/4"),((база!$I$5*2*Таблица1[[#This Row],[Столбец1]]*Таблица1[[#This Row],[коэф]])),
IF((G381="5/8"),((база!$J$6*2*Таблица1[[#This Row],[Столбец1]]*Таблица1[[#This Row],[коэф]])),
IF(OR(G381="4/8",G381="3/8",G381="2/8"),((база!$J$5*2*Таблица1[[#This Row],[Столбец1]]*Таблица1[[#This Row],[коэф]])))))))))))</f>
        <v>0</v>
      </c>
      <c r="AQ381" s="678" t="str">
        <f>IFERROR(INDEX(база!T:T, MATCH(F381,база!Q:Q,0)),"")</f>
        <v/>
      </c>
      <c r="AR381" s="193">
        <f>IFERROR(INDEX(база!D:D, MATCH(F381,база!B:B,0)),"")</f>
        <v>0</v>
      </c>
    </row>
    <row r="382" spans="1:44" ht="15">
      <c r="A382" s="59"/>
      <c r="B382" s="215"/>
      <c r="C382" s="277"/>
      <c r="D382" s="55"/>
      <c r="E382" s="196"/>
      <c r="F382" s="651"/>
      <c r="G382" s="42"/>
      <c r="H382" s="539"/>
      <c r="I382" s="539"/>
      <c r="J382" s="539"/>
      <c r="K382" s="539"/>
      <c r="L382" s="539"/>
      <c r="M382" s="539"/>
      <c r="N382" s="539"/>
      <c r="O382" s="539"/>
      <c r="P382" s="278"/>
      <c r="Q382" s="539"/>
      <c r="R382" s="539"/>
      <c r="S382" s="539"/>
      <c r="T382" s="539"/>
      <c r="U382" s="539"/>
      <c r="V382" s="539"/>
      <c r="W382" s="539"/>
      <c r="X382" s="539"/>
      <c r="Y382" s="539"/>
      <c r="Z382" s="539"/>
      <c r="AA382" s="539"/>
      <c r="AB382" s="539"/>
      <c r="AC382" s="539"/>
      <c r="AD382" s="43"/>
      <c r="AE382" s="43"/>
      <c r="AF382" s="238"/>
      <c r="AG382" s="43"/>
      <c r="AH382" s="43"/>
      <c r="AI382" s="43"/>
      <c r="AJ382" s="43"/>
      <c r="AK382" s="43"/>
      <c r="AL382" s="45"/>
      <c r="AM382" s="197">
        <f>IF(AQ382=1,SUM(H382:I382,L382:O382,R382:U382,X382:AA382,AD382:AG382,AI382:AK382),
IF(AQ382=2,SUM(H382:K382,N382:Q382,T382:W382,Z382:AC382,AF382:AI382),
IF(AQ382=3,SUM(J382:M382,P382:S382,V382:Y382,AB382:AE382,AH382:AK382),SUM(Таблица1[[#This Row],[1]:[31]])-Таблица1[[#This Row],[Столбец1]])))</f>
        <v>0</v>
      </c>
      <c r="AN382" s="269">
        <f t="array" ref="AN382">IF(AQ382=1,SUM(J382:K382,P382:Q382,V382:W382,AB382:AC382,AH382:AI382),
IF(AQ382=2,SUM(L382:M382,R382:S382,X382:Y382,AD382:AE382),
IF(AQ382=3,SUM(H382:I382,N382:O382,T382:U382,Z382:AA382,AF382:AG382),
SUM(IFERROR(WEEKDAY($H$2:$AL$2,2)&gt;5,)*H382:AL382))))</f>
        <v>0</v>
      </c>
      <c r="AO382" s="271" t="b">
        <f>IF(AR382&lt;=3,(IF((G382="5/24"),((база!$M$6*Таблица1[[#This Row],[сумма]]*Таблица1[[#This Row],[коэф]])),
IF((G382="4/24"),((база!$M$5*Таблица1[[#This Row],[сумма]]*Таблица1[[#This Row],[коэф]])),
IF((G382="3/24"),((база!$M$4*Таблица1[[#This Row],[сумма]]*Таблица1[[#This Row],[коэф]])),
IF((G382="5/16"),((база!$L$6*Таблица1[[#This Row],[сумма]]*Таблица1[[#This Row],[коэф]])),
IF((G382="4/16"),((база!$L$5*Таблица1[[#This Row],[сумма]]*Таблица1[[#This Row],[коэф]])),
IF((G382="3/16"),((база!$L$4*Таблица1[[#This Row],[сумма]]*Таблица1[[#This Row],[коэф]])),
IF((G382="4/4"),((база!$I$5*Таблица1[[#This Row],[сумма]]*Таблица1[[#This Row],[коэф]])),
IF(OR(G382="2/4",G382="3/4"),((база!$I$4*Таблица1[[#This Row],[сумма]]*Таблица1[[#This Row],[коэф]])),
IF((G382="5/8"),((база!$J$6*Таблица1[[#This Row],[сумма]]*Таблица1[[#This Row],[коэф]])),
IF((G382="4/8"),((база!$J$5*Таблица1[[#This Row],[сумма]]*Таблица1[[#This Row],[коэф]])),
IF(OR(G382="3/8",G382="2/8"),((база!$J$4*Таблица1[[#This Row],[сумма]]*Таблица1[[#This Row],[коэф]])))))))))))))),
(IF((G382="5/24"),((база!$M$6*Таблица1[[#This Row],[сумма]]*Таблица1[[#This Row],[коэф]])),
IF(OR(G382="4/24",G382="3/24"),((база!$M$5*Таблица1[[#This Row],[сумма]]*Таблица1[[#This Row],[коэф]])),
IF((G382="5/16"),((база!$L$6*Таблица1[[#This Row],[сумма]]*Таблица1[[#This Row],[коэф]])),
IF(OR(G382="4/16",G382="3/16"),((база!$L$5*Таблица1[[#This Row],[сумма]]*Таблица1[[#This Row],[коэф]])),
IF(OR(G382="2/4",G382="3/4",G382="4/4"),((база!$I$5*Таблица1[[#This Row],[сумма]]*Таблица1[[#This Row],[коэф]])),
IF((G382="5/8"),((база!$J$6*Таблица1[[#This Row],[сумма]]*Таблица1[[#This Row],[коэф]])),
IF(OR(G382="4/8",G382="3/8",G382="2/8"),((база!$J$5*Таблица1[[#This Row],[сумма]]*Таблица1[[#This Row],[коэф]])))))))))))</f>
        <v>0</v>
      </c>
      <c r="AP382" s="696" t="b">
        <f>IF(AR382&lt;=3,(IF((G382="5/24"),((база!$M$6*2*Таблица1[[#This Row],[Столбец1]]*Таблица1[[#This Row],[коэф]])),
IF((G382="4/24"),((база!$M$5*2*Таблица1[[#This Row],[Столбец1]]*Таблица1[[#This Row],[коэф]])),
IF((G382="3/24"),((база!$M$4*2*Таблица1[[#This Row],[Столбец1]]*Таблица1[[#This Row],[коэф]])),
IF((G382="5/16"),((база!$L$6*2*Таблица1[[#This Row],[Столбец1]]*Таблица1[[#This Row],[коэф]])),
IF((G382="4/16"),((база!$L$5*2*Таблица1[[#This Row],[Столбец1]]*Таблица1[[#This Row],[коэф]])),
IF((G382="3/16"),((база!$L$4*2*Таблица1[[#This Row],[Столбец1]]*Таблица1[[#This Row],[коэф]])),
IF((G382="4/4"),((база!$I$5*2*Таблица1[[#This Row],[Столбец1]]*Таблица1[[#This Row],[коэф]])),
IF(OR(G382="2/4",G382="3/4"),((база!$I$4*2*Таблица1[[#This Row],[Столбец1]]*Таблица1[[#This Row],[коэф]])),
IF((G382="5/8"),((база!$J$6*2*Таблица1[[#This Row],[Столбец1]]*Таблица1[[#This Row],[коэф]])),
IF((G382="4/8"),((база!$J$5*2*Таблица1[[#This Row],[Столбец1]]*Таблица1[[#This Row],[коэф]])),
IF(OR(G382="3/8",G382="2/8"),((база!$J$4*2*Таблица1[[#This Row],[Столбец1]]*Таблица1[[#This Row],[коэф]])))))))))))))),
(IF((G382="5/24"),((база!$M$6*2*Таблица1[[#This Row],[Столбец1]]*Таблица1[[#This Row],[коэф]])),
IF(OR(G382="4/24",G382="3/24"),((база!$M$5*2*Таблица1[[#This Row],[Столбец1]]*Таблица1[[#This Row],[коэф]])),
IF((G382="5/16"),((база!$L$6*2*Таблица1[[#This Row],[Столбец1]]*Таблица1[[#This Row],[коэф]])),
IF(OR(G382="4/16",G382="3/16"),((база!$L$5*2*Таблица1[[#This Row],[Столбец1]]*Таблица1[[#This Row],[коэф]])),
IF(OR(G382="2/4",G382="3/4",G382="4/4"),((база!$I$5*2*Таблица1[[#This Row],[Столбец1]]*Таблица1[[#This Row],[коэф]])),
IF((G382="5/8"),((база!$J$6*2*Таблица1[[#This Row],[Столбец1]]*Таблица1[[#This Row],[коэф]])),
IF(OR(G382="4/8",G382="3/8",G382="2/8"),((база!$J$5*2*Таблица1[[#This Row],[Столбец1]]*Таблица1[[#This Row],[коэф]])))))))))))</f>
        <v>0</v>
      </c>
      <c r="AQ382" s="678" t="str">
        <f>IFERROR(INDEX(база!T:T, MATCH(F382,база!Q:Q,0)),"")</f>
        <v/>
      </c>
      <c r="AR382" s="193">
        <f>IFERROR(INDEX(база!D:D, MATCH(F382,база!B:B,0)),"")</f>
        <v>0</v>
      </c>
    </row>
    <row r="383" spans="1:44" ht="15">
      <c r="A383" s="59"/>
      <c r="B383" s="215"/>
      <c r="C383" s="54"/>
      <c r="D383" s="55"/>
      <c r="E383" s="196"/>
      <c r="F383" s="651"/>
      <c r="G383" s="42"/>
      <c r="H383" s="539"/>
      <c r="I383" s="539"/>
      <c r="J383" s="539"/>
      <c r="K383" s="539"/>
      <c r="L383" s="539"/>
      <c r="M383" s="539"/>
      <c r="N383" s="539"/>
      <c r="O383" s="539"/>
      <c r="P383" s="278"/>
      <c r="Q383" s="539"/>
      <c r="R383" s="539"/>
      <c r="S383" s="539"/>
      <c r="T383" s="539"/>
      <c r="U383" s="539"/>
      <c r="V383" s="539"/>
      <c r="W383" s="539"/>
      <c r="X383" s="539"/>
      <c r="Y383" s="539"/>
      <c r="Z383" s="539"/>
      <c r="AA383" s="539"/>
      <c r="AB383" s="539"/>
      <c r="AC383" s="539"/>
      <c r="AD383" s="43"/>
      <c r="AE383" s="43"/>
      <c r="AF383" s="238"/>
      <c r="AG383" s="43"/>
      <c r="AH383" s="43"/>
      <c r="AI383" s="238"/>
      <c r="AJ383" s="238"/>
      <c r="AK383" s="238"/>
      <c r="AL383" s="238"/>
      <c r="AM383" s="197">
        <f>IF(AQ383=1,SUM(H383:I383,L383:O383,R383:U383,X383:AA383,AD383:AG383,AI383:AK383),
IF(AQ383=2,SUM(H383:K383,N383:Q383,T383:W383,Z383:AC383,AF383:AI383),
IF(AQ383=3,SUM(J383:M383,P383:S383,V383:Y383,AB383:AE383,AH383:AK383),SUM(Таблица1[[#This Row],[1]:[31]])-Таблица1[[#This Row],[Столбец1]])))</f>
        <v>0</v>
      </c>
      <c r="AN383" s="269">
        <f t="array" ref="AN383">IF(AQ383=1,SUM(J383:K383,P383:Q383,V383:W383,AB383:AC383,AH383:AI383),
IF(AQ383=2,SUM(L383:M383,R383:S383,X383:Y383,AD383:AE383),
IF(AQ383=3,SUM(H383:I383,N383:O383,T383:U383,Z383:AA383,AF383:AG383),
SUM(IFERROR(WEEKDAY($H$2:$AL$2,2)&gt;5,)*H383:AL383))))</f>
        <v>0</v>
      </c>
      <c r="AO383" s="271" t="b">
        <f>IF(AR383&lt;=3,(IF((G383="5/24"),((база!$M$6*Таблица1[[#This Row],[сумма]]*Таблица1[[#This Row],[коэф]])),
IF((G383="4/24"),((база!$M$5*Таблица1[[#This Row],[сумма]]*Таблица1[[#This Row],[коэф]])),
IF((G383="3/24"),((база!$M$4*Таблица1[[#This Row],[сумма]]*Таблица1[[#This Row],[коэф]])),
IF((G383="5/16"),((база!$L$6*Таблица1[[#This Row],[сумма]]*Таблица1[[#This Row],[коэф]])),
IF((G383="4/16"),((база!$L$5*Таблица1[[#This Row],[сумма]]*Таблица1[[#This Row],[коэф]])),
IF((G383="3/16"),((база!$L$4*Таблица1[[#This Row],[сумма]]*Таблица1[[#This Row],[коэф]])),
IF((G383="4/4"),((база!$I$5*Таблица1[[#This Row],[сумма]]*Таблица1[[#This Row],[коэф]])),
IF(OR(G383="2/4",G383="3/4"),((база!$I$4*Таблица1[[#This Row],[сумма]]*Таблица1[[#This Row],[коэф]])),
IF((G383="5/8"),((база!$J$6*Таблица1[[#This Row],[сумма]]*Таблица1[[#This Row],[коэф]])),
IF((G383="4/8"),((база!$J$5*Таблица1[[#This Row],[сумма]]*Таблица1[[#This Row],[коэф]])),
IF(OR(G383="3/8",G383="2/8"),((база!$J$4*Таблица1[[#This Row],[сумма]]*Таблица1[[#This Row],[коэф]])))))))))))))),
(IF((G383="5/24"),((база!$M$6*Таблица1[[#This Row],[сумма]]*Таблица1[[#This Row],[коэф]])),
IF(OR(G383="4/24",G383="3/24"),((база!$M$5*Таблица1[[#This Row],[сумма]]*Таблица1[[#This Row],[коэф]])),
IF((G383="5/16"),((база!$L$6*Таблица1[[#This Row],[сумма]]*Таблица1[[#This Row],[коэф]])),
IF(OR(G383="4/16",G383="3/16"),((база!$L$5*Таблица1[[#This Row],[сумма]]*Таблица1[[#This Row],[коэф]])),
IF(OR(G383="2/4",G383="3/4",G383="4/4"),((база!$I$5*Таблица1[[#This Row],[сумма]]*Таблица1[[#This Row],[коэф]])),
IF((G383="5/8"),((база!$J$6*Таблица1[[#This Row],[сумма]]*Таблица1[[#This Row],[коэф]])),
IF(OR(G383="4/8",G383="3/8",G383="2/8"),((база!$J$5*Таблица1[[#This Row],[сумма]]*Таблица1[[#This Row],[коэф]])))))))))))</f>
        <v>0</v>
      </c>
      <c r="AP383" s="696" t="b">
        <f>IF(AR383&lt;=3,(IF((G383="5/24"),((база!$M$6*2*Таблица1[[#This Row],[Столбец1]]*Таблица1[[#This Row],[коэф]])),
IF((G383="4/24"),((база!$M$5*2*Таблица1[[#This Row],[Столбец1]]*Таблица1[[#This Row],[коэф]])),
IF((G383="3/24"),((база!$M$4*2*Таблица1[[#This Row],[Столбец1]]*Таблица1[[#This Row],[коэф]])),
IF((G383="5/16"),((база!$L$6*2*Таблица1[[#This Row],[Столбец1]]*Таблица1[[#This Row],[коэф]])),
IF((G383="4/16"),((база!$L$5*2*Таблица1[[#This Row],[Столбец1]]*Таблица1[[#This Row],[коэф]])),
IF((G383="3/16"),((база!$L$4*2*Таблица1[[#This Row],[Столбец1]]*Таблица1[[#This Row],[коэф]])),
IF((G383="4/4"),((база!$I$5*2*Таблица1[[#This Row],[Столбец1]]*Таблица1[[#This Row],[коэф]])),
IF(OR(G383="2/4",G383="3/4"),((база!$I$4*2*Таблица1[[#This Row],[Столбец1]]*Таблица1[[#This Row],[коэф]])),
IF((G383="5/8"),((база!$J$6*2*Таблица1[[#This Row],[Столбец1]]*Таблица1[[#This Row],[коэф]])),
IF((G383="4/8"),((база!$J$5*2*Таблица1[[#This Row],[Столбец1]]*Таблица1[[#This Row],[коэф]])),
IF(OR(G383="3/8",G383="2/8"),((база!$J$4*2*Таблица1[[#This Row],[Столбец1]]*Таблица1[[#This Row],[коэф]])))))))))))))),
(IF((G383="5/24"),((база!$M$6*2*Таблица1[[#This Row],[Столбец1]]*Таблица1[[#This Row],[коэф]])),
IF(OR(G383="4/24",G383="3/24"),((база!$M$5*2*Таблица1[[#This Row],[Столбец1]]*Таблица1[[#This Row],[коэф]])),
IF((G383="5/16"),((база!$L$6*2*Таблица1[[#This Row],[Столбец1]]*Таблица1[[#This Row],[коэф]])),
IF(OR(G383="4/16",G383="3/16"),((база!$L$5*2*Таблица1[[#This Row],[Столбец1]]*Таблица1[[#This Row],[коэф]])),
IF(OR(G383="2/4",G383="3/4",G383="4/4"),((база!$I$5*2*Таблица1[[#This Row],[Столбец1]]*Таблица1[[#This Row],[коэф]])),
IF((G383="5/8"),((база!$J$6*2*Таблица1[[#This Row],[Столбец1]]*Таблица1[[#This Row],[коэф]])),
IF(OR(G383="4/8",G383="3/8",G383="2/8"),((база!$J$5*2*Таблица1[[#This Row],[Столбец1]]*Таблица1[[#This Row],[коэф]])))))))))))</f>
        <v>0</v>
      </c>
      <c r="AQ383" s="678" t="str">
        <f>IFERROR(INDEX(база!T:T, MATCH(F383,база!Q:Q,0)),"")</f>
        <v/>
      </c>
      <c r="AR383" s="193">
        <f>IFERROR(INDEX(база!D:D, MATCH(F383,база!B:B,0)),"")</f>
        <v>0</v>
      </c>
    </row>
    <row r="384" spans="1:44" ht="15">
      <c r="A384" s="59"/>
      <c r="B384" s="215"/>
      <c r="C384" s="277"/>
      <c r="D384" s="55"/>
      <c r="E384" s="196"/>
      <c r="F384" s="651"/>
      <c r="G384" s="42"/>
      <c r="H384" s="539"/>
      <c r="I384" s="539"/>
      <c r="J384" s="539"/>
      <c r="K384" s="539"/>
      <c r="L384" s="539"/>
      <c r="M384" s="539"/>
      <c r="N384" s="539"/>
      <c r="O384" s="539"/>
      <c r="P384" s="278"/>
      <c r="Q384" s="539"/>
      <c r="R384" s="539"/>
      <c r="S384" s="539"/>
      <c r="T384" s="539"/>
      <c r="U384" s="539"/>
      <c r="V384" s="539"/>
      <c r="W384" s="539"/>
      <c r="X384" s="539"/>
      <c r="Y384" s="539"/>
      <c r="Z384" s="539"/>
      <c r="AA384" s="539"/>
      <c r="AB384" s="539"/>
      <c r="AC384" s="539"/>
      <c r="AD384" s="43"/>
      <c r="AE384" s="43"/>
      <c r="AF384" s="238"/>
      <c r="AG384" s="43"/>
      <c r="AH384" s="43"/>
      <c r="AI384" s="43"/>
      <c r="AJ384" s="43"/>
      <c r="AK384" s="43"/>
      <c r="AL384" s="45"/>
      <c r="AM384" s="197">
        <f>IF(AQ384=1,SUM(H384:I384,L384:O384,R384:U384,X384:AA384,AD384:AG384,AI384:AK384),
IF(AQ384=2,SUM(H384:K384,N384:Q384,T384:W384,Z384:AC384,AF384:AI384),
IF(AQ384=3,SUM(J384:M384,P384:S384,V384:Y384,AB384:AE384,AH384:AK384),SUM(Таблица1[[#This Row],[1]:[31]])-Таблица1[[#This Row],[Столбец1]])))</f>
        <v>0</v>
      </c>
      <c r="AN384" s="269">
        <f t="array" ref="AN384">IF(AQ384=1,SUM(J384:K384,P384:Q384,V384:W384,AB384:AC384,AH384:AI384),
IF(AQ384=2,SUM(L384:M384,R384:S384,X384:Y384,AD384:AE384),
IF(AQ384=3,SUM(H384:I384,N384:O384,T384:U384,Z384:AA384,AF384:AG384),
SUM(IFERROR(WEEKDAY($H$2:$AL$2,2)&gt;5,)*H384:AL384))))</f>
        <v>0</v>
      </c>
      <c r="AO384" s="271" t="b">
        <f>IF(AR384&lt;=3,(IF((G384="5/24"),((база!$M$6*Таблица1[[#This Row],[сумма]]*Таблица1[[#This Row],[коэф]])),
IF((G384="4/24"),((база!$M$5*Таблица1[[#This Row],[сумма]]*Таблица1[[#This Row],[коэф]])),
IF((G384="3/24"),((база!$M$4*Таблица1[[#This Row],[сумма]]*Таблица1[[#This Row],[коэф]])),
IF((G384="5/16"),((база!$L$6*Таблица1[[#This Row],[сумма]]*Таблица1[[#This Row],[коэф]])),
IF((G384="4/16"),((база!$L$5*Таблица1[[#This Row],[сумма]]*Таблица1[[#This Row],[коэф]])),
IF((G384="3/16"),((база!$L$4*Таблица1[[#This Row],[сумма]]*Таблица1[[#This Row],[коэф]])),
IF((G384="4/4"),((база!$I$5*Таблица1[[#This Row],[сумма]]*Таблица1[[#This Row],[коэф]])),
IF(OR(G384="2/4",G384="3/4"),((база!$I$4*Таблица1[[#This Row],[сумма]]*Таблица1[[#This Row],[коэф]])),
IF((G384="5/8"),((база!$J$6*Таблица1[[#This Row],[сумма]]*Таблица1[[#This Row],[коэф]])),
IF((G384="4/8"),((база!$J$5*Таблица1[[#This Row],[сумма]]*Таблица1[[#This Row],[коэф]])),
IF(OR(G384="3/8",G384="2/8"),((база!$J$4*Таблица1[[#This Row],[сумма]]*Таблица1[[#This Row],[коэф]])))))))))))))),
(IF((G384="5/24"),((база!$M$6*Таблица1[[#This Row],[сумма]]*Таблица1[[#This Row],[коэф]])),
IF(OR(G384="4/24",G384="3/24"),((база!$M$5*Таблица1[[#This Row],[сумма]]*Таблица1[[#This Row],[коэф]])),
IF((G384="5/16"),((база!$L$6*Таблица1[[#This Row],[сумма]]*Таблица1[[#This Row],[коэф]])),
IF(OR(G384="4/16",G384="3/16"),((база!$L$5*Таблица1[[#This Row],[сумма]]*Таблица1[[#This Row],[коэф]])),
IF(OR(G384="2/4",G384="3/4",G384="4/4"),((база!$I$5*Таблица1[[#This Row],[сумма]]*Таблица1[[#This Row],[коэф]])),
IF((G384="5/8"),((база!$J$6*Таблица1[[#This Row],[сумма]]*Таблица1[[#This Row],[коэф]])),
IF(OR(G384="4/8",G384="3/8",G384="2/8"),((база!$J$5*Таблица1[[#This Row],[сумма]]*Таблица1[[#This Row],[коэф]])))))))))))</f>
        <v>0</v>
      </c>
      <c r="AP384" s="696" t="b">
        <f>IF(AR384&lt;=3,(IF((G384="5/24"),((база!$M$6*2*Таблица1[[#This Row],[Столбец1]]*Таблица1[[#This Row],[коэф]])),
IF((G384="4/24"),((база!$M$5*2*Таблица1[[#This Row],[Столбец1]]*Таблица1[[#This Row],[коэф]])),
IF((G384="3/24"),((база!$M$4*2*Таблица1[[#This Row],[Столбец1]]*Таблица1[[#This Row],[коэф]])),
IF((G384="5/16"),((база!$L$6*2*Таблица1[[#This Row],[Столбец1]]*Таблица1[[#This Row],[коэф]])),
IF((G384="4/16"),((база!$L$5*2*Таблица1[[#This Row],[Столбец1]]*Таблица1[[#This Row],[коэф]])),
IF((G384="3/16"),((база!$L$4*2*Таблица1[[#This Row],[Столбец1]]*Таблица1[[#This Row],[коэф]])),
IF((G384="4/4"),((база!$I$5*2*Таблица1[[#This Row],[Столбец1]]*Таблица1[[#This Row],[коэф]])),
IF(OR(G384="2/4",G384="3/4"),((база!$I$4*2*Таблица1[[#This Row],[Столбец1]]*Таблица1[[#This Row],[коэф]])),
IF((G384="5/8"),((база!$J$6*2*Таблица1[[#This Row],[Столбец1]]*Таблица1[[#This Row],[коэф]])),
IF((G384="4/8"),((база!$J$5*2*Таблица1[[#This Row],[Столбец1]]*Таблица1[[#This Row],[коэф]])),
IF(OR(G384="3/8",G384="2/8"),((база!$J$4*2*Таблица1[[#This Row],[Столбец1]]*Таблица1[[#This Row],[коэф]])))))))))))))),
(IF((G384="5/24"),((база!$M$6*2*Таблица1[[#This Row],[Столбец1]]*Таблица1[[#This Row],[коэф]])),
IF(OR(G384="4/24",G384="3/24"),((база!$M$5*2*Таблица1[[#This Row],[Столбец1]]*Таблица1[[#This Row],[коэф]])),
IF((G384="5/16"),((база!$L$6*2*Таблица1[[#This Row],[Столбец1]]*Таблица1[[#This Row],[коэф]])),
IF(OR(G384="4/16",G384="3/16"),((база!$L$5*2*Таблица1[[#This Row],[Столбец1]]*Таблица1[[#This Row],[коэф]])),
IF(OR(G384="2/4",G384="3/4",G384="4/4"),((база!$I$5*2*Таблица1[[#This Row],[Столбец1]]*Таблица1[[#This Row],[коэф]])),
IF((G384="5/8"),((база!$J$6*2*Таблица1[[#This Row],[Столбец1]]*Таблица1[[#This Row],[коэф]])),
IF(OR(G384="4/8",G384="3/8",G384="2/8"),((база!$J$5*2*Таблица1[[#This Row],[Столбец1]]*Таблица1[[#This Row],[коэф]])))))))))))</f>
        <v>0</v>
      </c>
      <c r="AQ384" s="678" t="str">
        <f>IFERROR(INDEX(база!T:T, MATCH(F384,база!Q:Q,0)),"")</f>
        <v/>
      </c>
      <c r="AR384" s="193">
        <f>IFERROR(INDEX(база!D:D, MATCH(F384,база!B:B,0)),"")</f>
        <v>0</v>
      </c>
    </row>
    <row r="385" spans="1:44" ht="15">
      <c r="A385" s="59"/>
      <c r="B385" s="215"/>
      <c r="C385" s="54"/>
      <c r="D385" s="55"/>
      <c r="E385" s="196"/>
      <c r="F385" s="651"/>
      <c r="G385" s="42"/>
      <c r="H385" s="539"/>
      <c r="I385" s="539"/>
      <c r="J385" s="539"/>
      <c r="K385" s="539"/>
      <c r="L385" s="539"/>
      <c r="M385" s="539"/>
      <c r="N385" s="539"/>
      <c r="O385" s="539"/>
      <c r="P385" s="278"/>
      <c r="Q385" s="539"/>
      <c r="R385" s="539"/>
      <c r="S385" s="539"/>
      <c r="T385" s="539"/>
      <c r="U385" s="539"/>
      <c r="V385" s="539"/>
      <c r="W385" s="539"/>
      <c r="X385" s="539"/>
      <c r="Y385" s="539"/>
      <c r="Z385" s="539"/>
      <c r="AA385" s="539"/>
      <c r="AB385" s="539"/>
      <c r="AC385" s="539"/>
      <c r="AD385" s="43"/>
      <c r="AE385" s="43"/>
      <c r="AF385" s="238"/>
      <c r="AG385" s="43"/>
      <c r="AH385" s="43"/>
      <c r="AI385" s="43"/>
      <c r="AJ385" s="238"/>
      <c r="AK385" s="238"/>
      <c r="AL385" s="238"/>
      <c r="AM385" s="197">
        <f>IF(AQ385=1,SUM(H385:I385,L385:O385,R385:U385,X385:AA385,AD385:AG385,AI385:AK385),
IF(AQ385=2,SUM(H385:K385,N385:Q385,T385:W385,Z385:AC385,AF385:AI385),
IF(AQ385=3,SUM(J385:M385,P385:S385,V385:Y385,AB385:AE385,AH385:AK385),SUM(Таблица1[[#This Row],[1]:[31]])-Таблица1[[#This Row],[Столбец1]])))</f>
        <v>0</v>
      </c>
      <c r="AN385" s="269">
        <f t="array" ref="AN385">IF(AQ385=1,SUM(J385:K385,P385:Q385,V385:W385,AB385:AC385,AH385:AI385),
IF(AQ385=2,SUM(L385:M385,R385:S385,X385:Y385,AD385:AE385),
IF(AQ385=3,SUM(H385:I385,N385:O385,T385:U385,Z385:AA385,AF385:AG385),
SUM(IFERROR(WEEKDAY($H$2:$AL$2,2)&gt;5,)*H385:AL385))))</f>
        <v>0</v>
      </c>
      <c r="AO385" s="271" t="b">
        <f>IF(AR385&lt;=3,(IF((G385="5/24"),((база!$M$6*Таблица1[[#This Row],[сумма]]*Таблица1[[#This Row],[коэф]])),
IF((G385="4/24"),((база!$M$5*Таблица1[[#This Row],[сумма]]*Таблица1[[#This Row],[коэф]])),
IF((G385="3/24"),((база!$M$4*Таблица1[[#This Row],[сумма]]*Таблица1[[#This Row],[коэф]])),
IF((G385="5/16"),((база!$L$6*Таблица1[[#This Row],[сумма]]*Таблица1[[#This Row],[коэф]])),
IF((G385="4/16"),((база!$L$5*Таблица1[[#This Row],[сумма]]*Таблица1[[#This Row],[коэф]])),
IF((G385="3/16"),((база!$L$4*Таблица1[[#This Row],[сумма]]*Таблица1[[#This Row],[коэф]])),
IF((G385="4/4"),((база!$I$5*Таблица1[[#This Row],[сумма]]*Таблица1[[#This Row],[коэф]])),
IF(OR(G385="2/4",G385="3/4"),((база!$I$4*Таблица1[[#This Row],[сумма]]*Таблица1[[#This Row],[коэф]])),
IF((G385="5/8"),((база!$J$6*Таблица1[[#This Row],[сумма]]*Таблица1[[#This Row],[коэф]])),
IF((G385="4/8"),((база!$J$5*Таблица1[[#This Row],[сумма]]*Таблица1[[#This Row],[коэф]])),
IF(OR(G385="3/8",G385="2/8"),((база!$J$4*Таблица1[[#This Row],[сумма]]*Таблица1[[#This Row],[коэф]])))))))))))))),
(IF((G385="5/24"),((база!$M$6*Таблица1[[#This Row],[сумма]]*Таблица1[[#This Row],[коэф]])),
IF(OR(G385="4/24",G385="3/24"),((база!$M$5*Таблица1[[#This Row],[сумма]]*Таблица1[[#This Row],[коэф]])),
IF((G385="5/16"),((база!$L$6*Таблица1[[#This Row],[сумма]]*Таблица1[[#This Row],[коэф]])),
IF(OR(G385="4/16",G385="3/16"),((база!$L$5*Таблица1[[#This Row],[сумма]]*Таблица1[[#This Row],[коэф]])),
IF(OR(G385="2/4",G385="3/4",G385="4/4"),((база!$I$5*Таблица1[[#This Row],[сумма]]*Таблица1[[#This Row],[коэф]])),
IF((G385="5/8"),((база!$J$6*Таблица1[[#This Row],[сумма]]*Таблица1[[#This Row],[коэф]])),
IF(OR(G385="4/8",G385="3/8",G385="2/8"),((база!$J$5*Таблица1[[#This Row],[сумма]]*Таблица1[[#This Row],[коэф]])))))))))))</f>
        <v>0</v>
      </c>
      <c r="AP385" s="696" t="b">
        <f>IF(AR385&lt;=3,(IF((G385="5/24"),((база!$M$6*2*Таблица1[[#This Row],[Столбец1]]*Таблица1[[#This Row],[коэф]])),
IF((G385="4/24"),((база!$M$5*2*Таблица1[[#This Row],[Столбец1]]*Таблица1[[#This Row],[коэф]])),
IF((G385="3/24"),((база!$M$4*2*Таблица1[[#This Row],[Столбец1]]*Таблица1[[#This Row],[коэф]])),
IF((G385="5/16"),((база!$L$6*2*Таблица1[[#This Row],[Столбец1]]*Таблица1[[#This Row],[коэф]])),
IF((G385="4/16"),((база!$L$5*2*Таблица1[[#This Row],[Столбец1]]*Таблица1[[#This Row],[коэф]])),
IF((G385="3/16"),((база!$L$4*2*Таблица1[[#This Row],[Столбец1]]*Таблица1[[#This Row],[коэф]])),
IF((G385="4/4"),((база!$I$5*2*Таблица1[[#This Row],[Столбец1]]*Таблица1[[#This Row],[коэф]])),
IF(OR(G385="2/4",G385="3/4"),((база!$I$4*2*Таблица1[[#This Row],[Столбец1]]*Таблица1[[#This Row],[коэф]])),
IF((G385="5/8"),((база!$J$6*2*Таблица1[[#This Row],[Столбец1]]*Таблица1[[#This Row],[коэф]])),
IF((G385="4/8"),((база!$J$5*2*Таблица1[[#This Row],[Столбец1]]*Таблица1[[#This Row],[коэф]])),
IF(OR(G385="3/8",G385="2/8"),((база!$J$4*2*Таблица1[[#This Row],[Столбец1]]*Таблица1[[#This Row],[коэф]])))))))))))))),
(IF((G385="5/24"),((база!$M$6*2*Таблица1[[#This Row],[Столбец1]]*Таблица1[[#This Row],[коэф]])),
IF(OR(G385="4/24",G385="3/24"),((база!$M$5*2*Таблица1[[#This Row],[Столбец1]]*Таблица1[[#This Row],[коэф]])),
IF((G385="5/16"),((база!$L$6*2*Таблица1[[#This Row],[Столбец1]]*Таблица1[[#This Row],[коэф]])),
IF(OR(G385="4/16",G385="3/16"),((база!$L$5*2*Таблица1[[#This Row],[Столбец1]]*Таблица1[[#This Row],[коэф]])),
IF(OR(G385="2/4",G385="3/4",G385="4/4"),((база!$I$5*2*Таблица1[[#This Row],[Столбец1]]*Таблица1[[#This Row],[коэф]])),
IF((G385="5/8"),((база!$J$6*2*Таблица1[[#This Row],[Столбец1]]*Таблица1[[#This Row],[коэф]])),
IF(OR(G385="4/8",G385="3/8",G385="2/8"),((база!$J$5*2*Таблица1[[#This Row],[Столбец1]]*Таблица1[[#This Row],[коэф]])))))))))))</f>
        <v>0</v>
      </c>
      <c r="AQ385" s="678" t="str">
        <f>IFERROR(INDEX(база!T:T, MATCH(F385,база!Q:Q,0)),"")</f>
        <v/>
      </c>
      <c r="AR385" s="193">
        <f>IFERROR(INDEX(база!D:D, MATCH(F385,база!B:B,0)),"")</f>
        <v>0</v>
      </c>
    </row>
    <row r="386" spans="1:44" ht="15">
      <c r="A386" s="59"/>
      <c r="B386" s="215"/>
      <c r="C386" s="54"/>
      <c r="D386" s="55"/>
      <c r="E386" s="196"/>
      <c r="F386" s="651"/>
      <c r="G386" s="42"/>
      <c r="H386" s="539"/>
      <c r="I386" s="539"/>
      <c r="J386" s="539"/>
      <c r="K386" s="539"/>
      <c r="L386" s="539"/>
      <c r="M386" s="539"/>
      <c r="N386" s="539"/>
      <c r="O386" s="539"/>
      <c r="P386" s="278"/>
      <c r="Q386" s="539"/>
      <c r="R386" s="539"/>
      <c r="S386" s="539"/>
      <c r="T386" s="539"/>
      <c r="U386" s="539"/>
      <c r="V386" s="539"/>
      <c r="W386" s="539"/>
      <c r="X386" s="539"/>
      <c r="Y386" s="539"/>
      <c r="Z386" s="539"/>
      <c r="AA386" s="539"/>
      <c r="AB386" s="539"/>
      <c r="AC386" s="539"/>
      <c r="AD386" s="43"/>
      <c r="AE386" s="43"/>
      <c r="AF386" s="238"/>
      <c r="AG386" s="238"/>
      <c r="AH386" s="238"/>
      <c r="AI386" s="238"/>
      <c r="AJ386" s="43"/>
      <c r="AK386" s="43"/>
      <c r="AL386" s="45"/>
      <c r="AM386" s="197">
        <f>IF(AQ386=1,SUM(H386:I386,L386:O386,R386:U386,X386:AA386,AD386:AG386,AI386:AK386),
IF(AQ386=2,SUM(H386:K386,N386:Q386,T386:W386,Z386:AC386,AF386:AI386),
IF(AQ386=3,SUM(J386:M386,P386:S386,V386:Y386,AB386:AE386,AH386:AK386),SUM(Таблица1[[#This Row],[1]:[31]])-Таблица1[[#This Row],[Столбец1]])))</f>
        <v>0</v>
      </c>
      <c r="AN386" s="269">
        <f t="array" ref="AN386">IF(AQ386=1,SUM(J386:K386,P386:Q386,V386:W386,AB386:AC386,AH386:AI386),
IF(AQ386=2,SUM(L386:M386,R386:S386,X386:Y386,AD386:AE386),
IF(AQ386=3,SUM(H386:I386,N386:O386,T386:U386,Z386:AA386,AF386:AG386),
SUM(IFERROR(WEEKDAY($H$2:$AL$2,2)&gt;5,)*H386:AL386))))</f>
        <v>0</v>
      </c>
      <c r="AO386" s="271" t="b">
        <f>IF(AR386&lt;=3,(IF((G386="5/24"),((база!$M$6*Таблица1[[#This Row],[сумма]]*Таблица1[[#This Row],[коэф]])),
IF((G386="4/24"),((база!$M$5*Таблица1[[#This Row],[сумма]]*Таблица1[[#This Row],[коэф]])),
IF((G386="3/24"),((база!$M$4*Таблица1[[#This Row],[сумма]]*Таблица1[[#This Row],[коэф]])),
IF((G386="5/16"),((база!$L$6*Таблица1[[#This Row],[сумма]]*Таблица1[[#This Row],[коэф]])),
IF((G386="4/16"),((база!$L$5*Таблица1[[#This Row],[сумма]]*Таблица1[[#This Row],[коэф]])),
IF((G386="3/16"),((база!$L$4*Таблица1[[#This Row],[сумма]]*Таблица1[[#This Row],[коэф]])),
IF((G386="4/4"),((база!$I$5*Таблица1[[#This Row],[сумма]]*Таблица1[[#This Row],[коэф]])),
IF(OR(G386="2/4",G386="3/4"),((база!$I$4*Таблица1[[#This Row],[сумма]]*Таблица1[[#This Row],[коэф]])),
IF((G386="5/8"),((база!$J$6*Таблица1[[#This Row],[сумма]]*Таблица1[[#This Row],[коэф]])),
IF((G386="4/8"),((база!$J$5*Таблица1[[#This Row],[сумма]]*Таблица1[[#This Row],[коэф]])),
IF(OR(G386="3/8",G386="2/8"),((база!$J$4*Таблица1[[#This Row],[сумма]]*Таблица1[[#This Row],[коэф]])))))))))))))),
(IF((G386="5/24"),((база!$M$6*Таблица1[[#This Row],[сумма]]*Таблица1[[#This Row],[коэф]])),
IF(OR(G386="4/24",G386="3/24"),((база!$M$5*Таблица1[[#This Row],[сумма]]*Таблица1[[#This Row],[коэф]])),
IF((G386="5/16"),((база!$L$6*Таблица1[[#This Row],[сумма]]*Таблица1[[#This Row],[коэф]])),
IF(OR(G386="4/16",G386="3/16"),((база!$L$5*Таблица1[[#This Row],[сумма]]*Таблица1[[#This Row],[коэф]])),
IF(OR(G386="2/4",G386="3/4",G386="4/4"),((база!$I$5*Таблица1[[#This Row],[сумма]]*Таблица1[[#This Row],[коэф]])),
IF((G386="5/8"),((база!$J$6*Таблица1[[#This Row],[сумма]]*Таблица1[[#This Row],[коэф]])),
IF(OR(G386="4/8",G386="3/8",G386="2/8"),((база!$J$5*Таблица1[[#This Row],[сумма]]*Таблица1[[#This Row],[коэф]])))))))))))</f>
        <v>0</v>
      </c>
      <c r="AP386" s="696" t="b">
        <f>IF(AR386&lt;=3,(IF((G386="5/24"),((база!$M$6*2*Таблица1[[#This Row],[Столбец1]]*Таблица1[[#This Row],[коэф]])),
IF((G386="4/24"),((база!$M$5*2*Таблица1[[#This Row],[Столбец1]]*Таблица1[[#This Row],[коэф]])),
IF((G386="3/24"),((база!$M$4*2*Таблица1[[#This Row],[Столбец1]]*Таблица1[[#This Row],[коэф]])),
IF((G386="5/16"),((база!$L$6*2*Таблица1[[#This Row],[Столбец1]]*Таблица1[[#This Row],[коэф]])),
IF((G386="4/16"),((база!$L$5*2*Таблица1[[#This Row],[Столбец1]]*Таблица1[[#This Row],[коэф]])),
IF((G386="3/16"),((база!$L$4*2*Таблица1[[#This Row],[Столбец1]]*Таблица1[[#This Row],[коэф]])),
IF((G386="4/4"),((база!$I$5*2*Таблица1[[#This Row],[Столбец1]]*Таблица1[[#This Row],[коэф]])),
IF(OR(G386="2/4",G386="3/4"),((база!$I$4*2*Таблица1[[#This Row],[Столбец1]]*Таблица1[[#This Row],[коэф]])),
IF((G386="5/8"),((база!$J$6*2*Таблица1[[#This Row],[Столбец1]]*Таблица1[[#This Row],[коэф]])),
IF((G386="4/8"),((база!$J$5*2*Таблица1[[#This Row],[Столбец1]]*Таблица1[[#This Row],[коэф]])),
IF(OR(G386="3/8",G386="2/8"),((база!$J$4*2*Таблица1[[#This Row],[Столбец1]]*Таблица1[[#This Row],[коэф]])))))))))))))),
(IF((G386="5/24"),((база!$M$6*2*Таблица1[[#This Row],[Столбец1]]*Таблица1[[#This Row],[коэф]])),
IF(OR(G386="4/24",G386="3/24"),((база!$M$5*2*Таблица1[[#This Row],[Столбец1]]*Таблица1[[#This Row],[коэф]])),
IF((G386="5/16"),((база!$L$6*2*Таблица1[[#This Row],[Столбец1]]*Таблица1[[#This Row],[коэф]])),
IF(OR(G386="4/16",G386="3/16"),((база!$L$5*2*Таблица1[[#This Row],[Столбец1]]*Таблица1[[#This Row],[коэф]])),
IF(OR(G386="2/4",G386="3/4",G386="4/4"),((база!$I$5*2*Таблица1[[#This Row],[Столбец1]]*Таблица1[[#This Row],[коэф]])),
IF((G386="5/8"),((база!$J$6*2*Таблица1[[#This Row],[Столбец1]]*Таблица1[[#This Row],[коэф]])),
IF(OR(G386="4/8",G386="3/8",G386="2/8"),((база!$J$5*2*Таблица1[[#This Row],[Столбец1]]*Таблица1[[#This Row],[коэф]])))))))))))</f>
        <v>0</v>
      </c>
      <c r="AQ386" s="678" t="str">
        <f>IFERROR(INDEX(база!T:T, MATCH(F386,база!Q:Q,0)),"")</f>
        <v/>
      </c>
      <c r="AR386" s="193">
        <f>IFERROR(INDEX(база!D:D, MATCH(F386,база!B:B,0)),"")</f>
        <v>0</v>
      </c>
    </row>
    <row r="387" spans="1:44" ht="15">
      <c r="A387" s="59"/>
      <c r="B387" s="215"/>
      <c r="C387" s="277"/>
      <c r="D387" s="55"/>
      <c r="E387" s="196"/>
      <c r="F387" s="651"/>
      <c r="G387" s="42"/>
      <c r="H387" s="539"/>
      <c r="I387" s="539"/>
      <c r="J387" s="539"/>
      <c r="K387" s="539"/>
      <c r="L387" s="539"/>
      <c r="M387" s="539"/>
      <c r="N387" s="539"/>
      <c r="O387" s="539"/>
      <c r="P387" s="278"/>
      <c r="Q387" s="539"/>
      <c r="R387" s="539"/>
      <c r="S387" s="539"/>
      <c r="T387" s="539"/>
      <c r="U387" s="539"/>
      <c r="V387" s="539"/>
      <c r="W387" s="539"/>
      <c r="X387" s="539"/>
      <c r="Y387" s="539"/>
      <c r="Z387" s="539"/>
      <c r="AA387" s="539"/>
      <c r="AB387" s="539"/>
      <c r="AC387" s="539"/>
      <c r="AD387" s="43"/>
      <c r="AE387" s="43"/>
      <c r="AF387" s="238"/>
      <c r="AG387" s="43"/>
      <c r="AH387" s="43"/>
      <c r="AI387" s="238"/>
      <c r="AJ387" s="238"/>
      <c r="AK387" s="238"/>
      <c r="AL387" s="238"/>
      <c r="AM387" s="197">
        <f>IF(AQ387=1,SUM(H387:I387,L387:O387,R387:U387,X387:AA387,AD387:AG387,AI387:AK387),
IF(AQ387=2,SUM(H387:K387,N387:Q387,T387:W387,Z387:AC387,AF387:AI387),
IF(AQ387=3,SUM(J387:M387,P387:S387,V387:Y387,AB387:AE387,AH387:AK387),SUM(Таблица1[[#This Row],[1]:[31]])-Таблица1[[#This Row],[Столбец1]])))</f>
        <v>0</v>
      </c>
      <c r="AN387" s="269">
        <f t="array" ref="AN387">IF(AQ387=1,SUM(J387:K387,P387:Q387,V387:W387,AB387:AC387,AH387:AI387),
IF(AQ387=2,SUM(L387:M387,R387:S387,X387:Y387,AD387:AE387),
IF(AQ387=3,SUM(H387:I387,N387:O387,T387:U387,Z387:AA387,AF387:AG387),
SUM(IFERROR(WEEKDAY($H$2:$AL$2,2)&gt;5,)*H387:AL387))))</f>
        <v>0</v>
      </c>
      <c r="AO387" s="271" t="b">
        <f>IF(AR387&lt;=3,(IF((G387="5/24"),((база!$M$6*Таблица1[[#This Row],[сумма]]*Таблица1[[#This Row],[коэф]])),
IF((G387="4/24"),((база!$M$5*Таблица1[[#This Row],[сумма]]*Таблица1[[#This Row],[коэф]])),
IF((G387="3/24"),((база!$M$4*Таблица1[[#This Row],[сумма]]*Таблица1[[#This Row],[коэф]])),
IF((G387="5/16"),((база!$L$6*Таблица1[[#This Row],[сумма]]*Таблица1[[#This Row],[коэф]])),
IF((G387="4/16"),((база!$L$5*Таблица1[[#This Row],[сумма]]*Таблица1[[#This Row],[коэф]])),
IF((G387="3/16"),((база!$L$4*Таблица1[[#This Row],[сумма]]*Таблица1[[#This Row],[коэф]])),
IF((G387="4/4"),((база!$I$5*Таблица1[[#This Row],[сумма]]*Таблица1[[#This Row],[коэф]])),
IF(OR(G387="2/4",G387="3/4"),((база!$I$4*Таблица1[[#This Row],[сумма]]*Таблица1[[#This Row],[коэф]])),
IF((G387="5/8"),((база!$J$6*Таблица1[[#This Row],[сумма]]*Таблица1[[#This Row],[коэф]])),
IF((G387="4/8"),((база!$J$5*Таблица1[[#This Row],[сумма]]*Таблица1[[#This Row],[коэф]])),
IF(OR(G387="3/8",G387="2/8"),((база!$J$4*Таблица1[[#This Row],[сумма]]*Таблица1[[#This Row],[коэф]])))))))))))))),
(IF((G387="5/24"),((база!$M$6*Таблица1[[#This Row],[сумма]]*Таблица1[[#This Row],[коэф]])),
IF(OR(G387="4/24",G387="3/24"),((база!$M$5*Таблица1[[#This Row],[сумма]]*Таблица1[[#This Row],[коэф]])),
IF((G387="5/16"),((база!$L$6*Таблица1[[#This Row],[сумма]]*Таблица1[[#This Row],[коэф]])),
IF(OR(G387="4/16",G387="3/16"),((база!$L$5*Таблица1[[#This Row],[сумма]]*Таблица1[[#This Row],[коэф]])),
IF(OR(G387="2/4",G387="3/4",G387="4/4"),((база!$I$5*Таблица1[[#This Row],[сумма]]*Таблица1[[#This Row],[коэф]])),
IF((G387="5/8"),((база!$J$6*Таблица1[[#This Row],[сумма]]*Таблица1[[#This Row],[коэф]])),
IF(OR(G387="4/8",G387="3/8",G387="2/8"),((база!$J$5*Таблица1[[#This Row],[сумма]]*Таблица1[[#This Row],[коэф]])))))))))))</f>
        <v>0</v>
      </c>
      <c r="AP387" s="696" t="b">
        <f>IF(AR387&lt;=3,(IF((G387="5/24"),((база!$M$6*2*Таблица1[[#This Row],[Столбец1]]*Таблица1[[#This Row],[коэф]])),
IF((G387="4/24"),((база!$M$5*2*Таблица1[[#This Row],[Столбец1]]*Таблица1[[#This Row],[коэф]])),
IF((G387="3/24"),((база!$M$4*2*Таблица1[[#This Row],[Столбец1]]*Таблица1[[#This Row],[коэф]])),
IF((G387="5/16"),((база!$L$6*2*Таблица1[[#This Row],[Столбец1]]*Таблица1[[#This Row],[коэф]])),
IF((G387="4/16"),((база!$L$5*2*Таблица1[[#This Row],[Столбец1]]*Таблица1[[#This Row],[коэф]])),
IF((G387="3/16"),((база!$L$4*2*Таблица1[[#This Row],[Столбец1]]*Таблица1[[#This Row],[коэф]])),
IF((G387="4/4"),((база!$I$5*2*Таблица1[[#This Row],[Столбец1]]*Таблица1[[#This Row],[коэф]])),
IF(OR(G387="2/4",G387="3/4"),((база!$I$4*2*Таблица1[[#This Row],[Столбец1]]*Таблица1[[#This Row],[коэф]])),
IF((G387="5/8"),((база!$J$6*2*Таблица1[[#This Row],[Столбец1]]*Таблица1[[#This Row],[коэф]])),
IF((G387="4/8"),((база!$J$5*2*Таблица1[[#This Row],[Столбец1]]*Таблица1[[#This Row],[коэф]])),
IF(OR(G387="3/8",G387="2/8"),((база!$J$4*2*Таблица1[[#This Row],[Столбец1]]*Таблица1[[#This Row],[коэф]])))))))))))))),
(IF((G387="5/24"),((база!$M$6*2*Таблица1[[#This Row],[Столбец1]]*Таблица1[[#This Row],[коэф]])),
IF(OR(G387="4/24",G387="3/24"),((база!$M$5*2*Таблица1[[#This Row],[Столбец1]]*Таблица1[[#This Row],[коэф]])),
IF((G387="5/16"),((база!$L$6*2*Таблица1[[#This Row],[Столбец1]]*Таблица1[[#This Row],[коэф]])),
IF(OR(G387="4/16",G387="3/16"),((база!$L$5*2*Таблица1[[#This Row],[Столбец1]]*Таблица1[[#This Row],[коэф]])),
IF(OR(G387="2/4",G387="3/4",G387="4/4"),((база!$I$5*2*Таблица1[[#This Row],[Столбец1]]*Таблица1[[#This Row],[коэф]])),
IF((G387="5/8"),((база!$J$6*2*Таблица1[[#This Row],[Столбец1]]*Таблица1[[#This Row],[коэф]])),
IF(OR(G387="4/8",G387="3/8",G387="2/8"),((база!$J$5*2*Таблица1[[#This Row],[Столбец1]]*Таблица1[[#This Row],[коэф]])))))))))))</f>
        <v>0</v>
      </c>
      <c r="AQ387" s="678" t="str">
        <f>IFERROR(INDEX(база!T:T, MATCH(F387,база!Q:Q,0)),"")</f>
        <v/>
      </c>
      <c r="AR387" s="193">
        <f>IFERROR(INDEX(база!D:D, MATCH(F387,база!B:B,0)),"")</f>
        <v>0</v>
      </c>
    </row>
    <row r="388" spans="1:44" ht="15">
      <c r="A388" s="59"/>
      <c r="B388" s="215"/>
      <c r="C388" s="54"/>
      <c r="D388" s="55"/>
      <c r="E388" s="196"/>
      <c r="F388" s="651"/>
      <c r="G388" s="42"/>
      <c r="H388" s="539"/>
      <c r="I388" s="539"/>
      <c r="J388" s="539"/>
      <c r="K388" s="539"/>
      <c r="L388" s="539"/>
      <c r="M388" s="539"/>
      <c r="N388" s="539"/>
      <c r="O388" s="539"/>
      <c r="P388" s="278"/>
      <c r="Q388" s="278"/>
      <c r="R388" s="278"/>
      <c r="S388" s="278"/>
      <c r="T388" s="539"/>
      <c r="U388" s="539"/>
      <c r="V388" s="539"/>
      <c r="W388" s="539"/>
      <c r="X388" s="539"/>
      <c r="Y388" s="539"/>
      <c r="Z388" s="539"/>
      <c r="AA388" s="539"/>
      <c r="AB388" s="539"/>
      <c r="AC388" s="539"/>
      <c r="AD388" s="43"/>
      <c r="AE388" s="43"/>
      <c r="AF388" s="238"/>
      <c r="AG388" s="43"/>
      <c r="AH388" s="43"/>
      <c r="AI388" s="43"/>
      <c r="AJ388" s="43"/>
      <c r="AK388" s="43"/>
      <c r="AL388" s="45"/>
      <c r="AM388" s="197">
        <f>IF(AQ388=1,SUM(H388:I388,L388:O388,R388:U388,X388:AA388,AD388:AG388,AI388:AK388),
IF(AQ388=2,SUM(H388:K388,N388:Q388,T388:W388,Z388:AC388,AF388:AI388),
IF(AQ388=3,SUM(J388:M388,P388:S388,V388:Y388,AB388:AE388,AH388:AK388),SUM(Таблица1[[#This Row],[1]:[31]])-Таблица1[[#This Row],[Столбец1]])))</f>
        <v>0</v>
      </c>
      <c r="AN388" s="269">
        <f t="array" ref="AN388">IF(AQ388=1,SUM(J388:K388,P388:Q388,V388:W388,AB388:AC388,AH388:AI388),
IF(AQ388=2,SUM(L388:M388,R388:S388,X388:Y388,AD388:AE388),
IF(AQ388=3,SUM(H388:I388,N388:O388,T388:U388,Z388:AA388,AF388:AG388),
SUM(IFERROR(WEEKDAY($H$2:$AL$2,2)&gt;5,)*H388:AL388))))</f>
        <v>0</v>
      </c>
      <c r="AO388" s="271" t="b">
        <f>IF(AR388&lt;=3,(IF((G388="5/24"),((база!$M$6*Таблица1[[#This Row],[сумма]]*Таблица1[[#This Row],[коэф]])),
IF((G388="4/24"),((база!$M$5*Таблица1[[#This Row],[сумма]]*Таблица1[[#This Row],[коэф]])),
IF((G388="3/24"),((база!$M$4*Таблица1[[#This Row],[сумма]]*Таблица1[[#This Row],[коэф]])),
IF((G388="5/16"),((база!$L$6*Таблица1[[#This Row],[сумма]]*Таблица1[[#This Row],[коэф]])),
IF((G388="4/16"),((база!$L$5*Таблица1[[#This Row],[сумма]]*Таблица1[[#This Row],[коэф]])),
IF((G388="3/16"),((база!$L$4*Таблица1[[#This Row],[сумма]]*Таблица1[[#This Row],[коэф]])),
IF((G388="4/4"),((база!$I$5*Таблица1[[#This Row],[сумма]]*Таблица1[[#This Row],[коэф]])),
IF(OR(G388="2/4",G388="3/4"),((база!$I$4*Таблица1[[#This Row],[сумма]]*Таблица1[[#This Row],[коэф]])),
IF((G388="5/8"),((база!$J$6*Таблица1[[#This Row],[сумма]]*Таблица1[[#This Row],[коэф]])),
IF((G388="4/8"),((база!$J$5*Таблица1[[#This Row],[сумма]]*Таблица1[[#This Row],[коэф]])),
IF(OR(G388="3/8",G388="2/8"),((база!$J$4*Таблица1[[#This Row],[сумма]]*Таблица1[[#This Row],[коэф]])))))))))))))),
(IF((G388="5/24"),((база!$M$6*Таблица1[[#This Row],[сумма]]*Таблица1[[#This Row],[коэф]])),
IF(OR(G388="4/24",G388="3/24"),((база!$M$5*Таблица1[[#This Row],[сумма]]*Таблица1[[#This Row],[коэф]])),
IF((G388="5/16"),((база!$L$6*Таблица1[[#This Row],[сумма]]*Таблица1[[#This Row],[коэф]])),
IF(OR(G388="4/16",G388="3/16"),((база!$L$5*Таблица1[[#This Row],[сумма]]*Таблица1[[#This Row],[коэф]])),
IF(OR(G388="2/4",G388="3/4",G388="4/4"),((база!$I$5*Таблица1[[#This Row],[сумма]]*Таблица1[[#This Row],[коэф]])),
IF((G388="5/8"),((база!$J$6*Таблица1[[#This Row],[сумма]]*Таблица1[[#This Row],[коэф]])),
IF(OR(G388="4/8",G388="3/8",G388="2/8"),((база!$J$5*Таблица1[[#This Row],[сумма]]*Таблица1[[#This Row],[коэф]])))))))))))</f>
        <v>0</v>
      </c>
      <c r="AP388" s="696" t="b">
        <f>IF(AR388&lt;=3,(IF((G388="5/24"),((база!$M$6*2*Таблица1[[#This Row],[Столбец1]]*Таблица1[[#This Row],[коэф]])),
IF((G388="4/24"),((база!$M$5*2*Таблица1[[#This Row],[Столбец1]]*Таблица1[[#This Row],[коэф]])),
IF((G388="3/24"),((база!$M$4*2*Таблица1[[#This Row],[Столбец1]]*Таблица1[[#This Row],[коэф]])),
IF((G388="5/16"),((база!$L$6*2*Таблица1[[#This Row],[Столбец1]]*Таблица1[[#This Row],[коэф]])),
IF((G388="4/16"),((база!$L$5*2*Таблица1[[#This Row],[Столбец1]]*Таблица1[[#This Row],[коэф]])),
IF((G388="3/16"),((база!$L$4*2*Таблица1[[#This Row],[Столбец1]]*Таблица1[[#This Row],[коэф]])),
IF((G388="4/4"),((база!$I$5*2*Таблица1[[#This Row],[Столбец1]]*Таблица1[[#This Row],[коэф]])),
IF(OR(G388="2/4",G388="3/4"),((база!$I$4*2*Таблица1[[#This Row],[Столбец1]]*Таблица1[[#This Row],[коэф]])),
IF((G388="5/8"),((база!$J$6*2*Таблица1[[#This Row],[Столбец1]]*Таблица1[[#This Row],[коэф]])),
IF((G388="4/8"),((база!$J$5*2*Таблица1[[#This Row],[Столбец1]]*Таблица1[[#This Row],[коэф]])),
IF(OR(G388="3/8",G388="2/8"),((база!$J$4*2*Таблица1[[#This Row],[Столбец1]]*Таблица1[[#This Row],[коэф]])))))))))))))),
(IF((G388="5/24"),((база!$M$6*2*Таблица1[[#This Row],[Столбец1]]*Таблица1[[#This Row],[коэф]])),
IF(OR(G388="4/24",G388="3/24"),((база!$M$5*2*Таблица1[[#This Row],[Столбец1]]*Таблица1[[#This Row],[коэф]])),
IF((G388="5/16"),((база!$L$6*2*Таблица1[[#This Row],[Столбец1]]*Таблица1[[#This Row],[коэф]])),
IF(OR(G388="4/16",G388="3/16"),((база!$L$5*2*Таблица1[[#This Row],[Столбец1]]*Таблица1[[#This Row],[коэф]])),
IF(OR(G388="2/4",G388="3/4",G388="4/4"),((база!$I$5*2*Таблица1[[#This Row],[Столбец1]]*Таблица1[[#This Row],[коэф]])),
IF((G388="5/8"),((база!$J$6*2*Таблица1[[#This Row],[Столбец1]]*Таблица1[[#This Row],[коэф]])),
IF(OR(G388="4/8",G388="3/8",G388="2/8"),((база!$J$5*2*Таблица1[[#This Row],[Столбец1]]*Таблица1[[#This Row],[коэф]])))))))))))</f>
        <v>0</v>
      </c>
      <c r="AQ388" s="678" t="str">
        <f>IFERROR(INDEX(база!T:T, MATCH(F388,база!Q:Q,0)),"")</f>
        <v/>
      </c>
      <c r="AR388" s="193">
        <f>IFERROR(INDEX(база!D:D, MATCH(F388,база!B:B,0)),"")</f>
        <v>0</v>
      </c>
    </row>
    <row r="389" spans="1:44" ht="15">
      <c r="A389" s="59"/>
      <c r="B389" s="215"/>
      <c r="C389" s="54"/>
      <c r="D389" s="55"/>
      <c r="E389" s="196"/>
      <c r="F389" s="651"/>
      <c r="G389" s="42"/>
      <c r="H389" s="539"/>
      <c r="I389" s="539"/>
      <c r="J389" s="539"/>
      <c r="K389" s="539"/>
      <c r="L389" s="539"/>
      <c r="M389" s="539"/>
      <c r="N389" s="539"/>
      <c r="O389" s="539"/>
      <c r="P389" s="278"/>
      <c r="Q389" s="539"/>
      <c r="R389" s="539"/>
      <c r="S389" s="539"/>
      <c r="T389" s="539"/>
      <c r="U389" s="539"/>
      <c r="V389" s="539"/>
      <c r="W389" s="539"/>
      <c r="X389" s="539"/>
      <c r="Y389" s="539"/>
      <c r="Z389" s="539"/>
      <c r="AA389" s="539"/>
      <c r="AB389" s="539"/>
      <c r="AC389" s="539"/>
      <c r="AD389" s="43"/>
      <c r="AE389" s="43"/>
      <c r="AF389" s="238"/>
      <c r="AG389" s="43"/>
      <c r="AH389" s="43"/>
      <c r="AI389" s="238"/>
      <c r="AJ389" s="238"/>
      <c r="AK389" s="238"/>
      <c r="AL389" s="238"/>
      <c r="AM389" s="197">
        <f>IF(AQ389=1,SUM(H389:I389,L389:O389,R389:U389,X389:AA389,AD389:AG389,AI389:AK389),
IF(AQ389=2,SUM(H389:K389,N389:Q389,T389:W389,Z389:AC389,AF389:AI389),
IF(AQ389=3,SUM(J389:M389,P389:S389,V389:Y389,AB389:AE389,AH389:AK389),SUM(Таблица1[[#This Row],[1]:[31]])-Таблица1[[#This Row],[Столбец1]])))</f>
        <v>0</v>
      </c>
      <c r="AN389" s="269">
        <f t="array" ref="AN389">IF(AQ389=1,SUM(J389:K389,P389:Q389,V389:W389,AB389:AC389,AH389:AI389),
IF(AQ389=2,SUM(L389:M389,R389:S389,X389:Y389,AD389:AE389),
IF(AQ389=3,SUM(H389:I389,N389:O389,T389:U389,Z389:AA389,AF389:AG389),
SUM(IFERROR(WEEKDAY($H$2:$AL$2,2)&gt;5,)*H389:AL389))))</f>
        <v>0</v>
      </c>
      <c r="AO389" s="271" t="b">
        <f>IF(AR389&lt;=3,(IF((G389="5/24"),((база!$M$6*Таблица1[[#This Row],[сумма]]*Таблица1[[#This Row],[коэф]])),
IF((G389="4/24"),((база!$M$5*Таблица1[[#This Row],[сумма]]*Таблица1[[#This Row],[коэф]])),
IF((G389="3/24"),((база!$M$4*Таблица1[[#This Row],[сумма]]*Таблица1[[#This Row],[коэф]])),
IF((G389="5/16"),((база!$L$6*Таблица1[[#This Row],[сумма]]*Таблица1[[#This Row],[коэф]])),
IF((G389="4/16"),((база!$L$5*Таблица1[[#This Row],[сумма]]*Таблица1[[#This Row],[коэф]])),
IF((G389="3/16"),((база!$L$4*Таблица1[[#This Row],[сумма]]*Таблица1[[#This Row],[коэф]])),
IF((G389="4/4"),((база!$I$5*Таблица1[[#This Row],[сумма]]*Таблица1[[#This Row],[коэф]])),
IF(OR(G389="2/4",G389="3/4"),((база!$I$4*Таблица1[[#This Row],[сумма]]*Таблица1[[#This Row],[коэф]])),
IF((G389="5/8"),((база!$J$6*Таблица1[[#This Row],[сумма]]*Таблица1[[#This Row],[коэф]])),
IF((G389="4/8"),((база!$J$5*Таблица1[[#This Row],[сумма]]*Таблица1[[#This Row],[коэф]])),
IF(OR(G389="3/8",G389="2/8"),((база!$J$4*Таблица1[[#This Row],[сумма]]*Таблица1[[#This Row],[коэф]])))))))))))))),
(IF((G389="5/24"),((база!$M$6*Таблица1[[#This Row],[сумма]]*Таблица1[[#This Row],[коэф]])),
IF(OR(G389="4/24",G389="3/24"),((база!$M$5*Таблица1[[#This Row],[сумма]]*Таблица1[[#This Row],[коэф]])),
IF((G389="5/16"),((база!$L$6*Таблица1[[#This Row],[сумма]]*Таблица1[[#This Row],[коэф]])),
IF(OR(G389="4/16",G389="3/16"),((база!$L$5*Таблица1[[#This Row],[сумма]]*Таблица1[[#This Row],[коэф]])),
IF(OR(G389="2/4",G389="3/4",G389="4/4"),((база!$I$5*Таблица1[[#This Row],[сумма]]*Таблица1[[#This Row],[коэф]])),
IF((G389="5/8"),((база!$J$6*Таблица1[[#This Row],[сумма]]*Таблица1[[#This Row],[коэф]])),
IF(OR(G389="4/8",G389="3/8",G389="2/8"),((база!$J$5*Таблица1[[#This Row],[сумма]]*Таблица1[[#This Row],[коэф]])))))))))))</f>
        <v>0</v>
      </c>
      <c r="AP389" s="696" t="b">
        <f>IF(AR389&lt;=3,(IF((G389="5/24"),((база!$M$6*2*Таблица1[[#This Row],[Столбец1]]*Таблица1[[#This Row],[коэф]])),
IF((G389="4/24"),((база!$M$5*2*Таблица1[[#This Row],[Столбец1]]*Таблица1[[#This Row],[коэф]])),
IF((G389="3/24"),((база!$M$4*2*Таблица1[[#This Row],[Столбец1]]*Таблица1[[#This Row],[коэф]])),
IF((G389="5/16"),((база!$L$6*2*Таблица1[[#This Row],[Столбец1]]*Таблица1[[#This Row],[коэф]])),
IF((G389="4/16"),((база!$L$5*2*Таблица1[[#This Row],[Столбец1]]*Таблица1[[#This Row],[коэф]])),
IF((G389="3/16"),((база!$L$4*2*Таблица1[[#This Row],[Столбец1]]*Таблица1[[#This Row],[коэф]])),
IF((G389="4/4"),((база!$I$5*2*Таблица1[[#This Row],[Столбец1]]*Таблица1[[#This Row],[коэф]])),
IF(OR(G389="2/4",G389="3/4"),((база!$I$4*2*Таблица1[[#This Row],[Столбец1]]*Таблица1[[#This Row],[коэф]])),
IF((G389="5/8"),((база!$J$6*2*Таблица1[[#This Row],[Столбец1]]*Таблица1[[#This Row],[коэф]])),
IF((G389="4/8"),((база!$J$5*2*Таблица1[[#This Row],[Столбец1]]*Таблица1[[#This Row],[коэф]])),
IF(OR(G389="3/8",G389="2/8"),((база!$J$4*2*Таблица1[[#This Row],[Столбец1]]*Таблица1[[#This Row],[коэф]])))))))))))))),
(IF((G389="5/24"),((база!$M$6*2*Таблица1[[#This Row],[Столбец1]]*Таблица1[[#This Row],[коэф]])),
IF(OR(G389="4/24",G389="3/24"),((база!$M$5*2*Таблица1[[#This Row],[Столбец1]]*Таблица1[[#This Row],[коэф]])),
IF((G389="5/16"),((база!$L$6*2*Таблица1[[#This Row],[Столбец1]]*Таблица1[[#This Row],[коэф]])),
IF(OR(G389="4/16",G389="3/16"),((база!$L$5*2*Таблица1[[#This Row],[Столбец1]]*Таблица1[[#This Row],[коэф]])),
IF(OR(G389="2/4",G389="3/4",G389="4/4"),((база!$I$5*2*Таблица1[[#This Row],[Столбец1]]*Таблица1[[#This Row],[коэф]])),
IF((G389="5/8"),((база!$J$6*2*Таблица1[[#This Row],[Столбец1]]*Таблица1[[#This Row],[коэф]])),
IF(OR(G389="4/8",G389="3/8",G389="2/8"),((база!$J$5*2*Таблица1[[#This Row],[Столбец1]]*Таблица1[[#This Row],[коэф]])))))))))))</f>
        <v>0</v>
      </c>
      <c r="AQ389" s="678" t="str">
        <f>IFERROR(INDEX(база!T:T, MATCH(F389,база!Q:Q,0)),"")</f>
        <v/>
      </c>
      <c r="AR389" s="193">
        <f>IFERROR(INDEX(база!D:D, MATCH(F389,база!B:B,0)),"")</f>
        <v>0</v>
      </c>
    </row>
    <row r="390" spans="1:44" ht="15">
      <c r="A390" s="59"/>
      <c r="B390" s="215"/>
      <c r="C390" s="54"/>
      <c r="D390" s="55"/>
      <c r="E390" s="196"/>
      <c r="F390" s="651"/>
      <c r="G390" s="42"/>
      <c r="H390" s="539"/>
      <c r="I390" s="539"/>
      <c r="J390" s="539"/>
      <c r="K390" s="539"/>
      <c r="L390" s="539"/>
      <c r="M390" s="539"/>
      <c r="N390" s="539"/>
      <c r="O390" s="539"/>
      <c r="P390" s="278"/>
      <c r="Q390" s="539"/>
      <c r="R390" s="539"/>
      <c r="S390" s="539"/>
      <c r="T390" s="539"/>
      <c r="U390" s="539"/>
      <c r="V390" s="539"/>
      <c r="W390" s="539"/>
      <c r="X390" s="539"/>
      <c r="Y390" s="539"/>
      <c r="Z390" s="539"/>
      <c r="AA390" s="539"/>
      <c r="AB390" s="539"/>
      <c r="AC390" s="539"/>
      <c r="AD390" s="43"/>
      <c r="AE390" s="43"/>
      <c r="AF390" s="238"/>
      <c r="AG390" s="43"/>
      <c r="AH390" s="43"/>
      <c r="AI390" s="43"/>
      <c r="AJ390" s="43"/>
      <c r="AK390" s="43"/>
      <c r="AL390" s="45"/>
      <c r="AM390" s="197">
        <f>IF(AQ390=1,SUM(H390:I390,L390:O390,R390:U390,X390:AA390,AD390:AG390,AI390:AK390),
IF(AQ390=2,SUM(H390:K390,N390:Q390,T390:W390,Z390:AC390,AF390:AI390),
IF(AQ390=3,SUM(J390:M390,P390:S390,V390:Y390,AB390:AE390,AH390:AK390),SUM(Таблица1[[#This Row],[1]:[31]])-Таблица1[[#This Row],[Столбец1]])))</f>
        <v>0</v>
      </c>
      <c r="AN390" s="269">
        <f t="array" ref="AN390">IF(AQ390=1,SUM(J390:K390,P390:Q390,V390:W390,AB390:AC390,AH390:AI390),
IF(AQ390=2,SUM(L390:M390,R390:S390,X390:Y390,AD390:AE390),
IF(AQ390=3,SUM(H390:I390,N390:O390,T390:U390,Z390:AA390,AF390:AG390),
SUM(IFERROR(WEEKDAY($H$2:$AL$2,2)&gt;5,)*H390:AL390))))</f>
        <v>0</v>
      </c>
      <c r="AO390" s="271" t="b">
        <f>IF(AR390&lt;=3,(IF((G390="5/24"),((база!$M$6*Таблица1[[#This Row],[сумма]]*Таблица1[[#This Row],[коэф]])),
IF((G390="4/24"),((база!$M$5*Таблица1[[#This Row],[сумма]]*Таблица1[[#This Row],[коэф]])),
IF((G390="3/24"),((база!$M$4*Таблица1[[#This Row],[сумма]]*Таблица1[[#This Row],[коэф]])),
IF((G390="5/16"),((база!$L$6*Таблица1[[#This Row],[сумма]]*Таблица1[[#This Row],[коэф]])),
IF((G390="4/16"),((база!$L$5*Таблица1[[#This Row],[сумма]]*Таблица1[[#This Row],[коэф]])),
IF((G390="3/16"),((база!$L$4*Таблица1[[#This Row],[сумма]]*Таблица1[[#This Row],[коэф]])),
IF((G390="4/4"),((база!$I$5*Таблица1[[#This Row],[сумма]]*Таблица1[[#This Row],[коэф]])),
IF(OR(G390="2/4",G390="3/4"),((база!$I$4*Таблица1[[#This Row],[сумма]]*Таблица1[[#This Row],[коэф]])),
IF((G390="5/8"),((база!$J$6*Таблица1[[#This Row],[сумма]]*Таблица1[[#This Row],[коэф]])),
IF((G390="4/8"),((база!$J$5*Таблица1[[#This Row],[сумма]]*Таблица1[[#This Row],[коэф]])),
IF(OR(G390="3/8",G390="2/8"),((база!$J$4*Таблица1[[#This Row],[сумма]]*Таблица1[[#This Row],[коэф]])))))))))))))),
(IF((G390="5/24"),((база!$M$6*Таблица1[[#This Row],[сумма]]*Таблица1[[#This Row],[коэф]])),
IF(OR(G390="4/24",G390="3/24"),((база!$M$5*Таблица1[[#This Row],[сумма]]*Таблица1[[#This Row],[коэф]])),
IF((G390="5/16"),((база!$L$6*Таблица1[[#This Row],[сумма]]*Таблица1[[#This Row],[коэф]])),
IF(OR(G390="4/16",G390="3/16"),((база!$L$5*Таблица1[[#This Row],[сумма]]*Таблица1[[#This Row],[коэф]])),
IF(OR(G390="2/4",G390="3/4",G390="4/4"),((база!$I$5*Таблица1[[#This Row],[сумма]]*Таблица1[[#This Row],[коэф]])),
IF((G390="5/8"),((база!$J$6*Таблица1[[#This Row],[сумма]]*Таблица1[[#This Row],[коэф]])),
IF(OR(G390="4/8",G390="3/8",G390="2/8"),((база!$J$5*Таблица1[[#This Row],[сумма]]*Таблица1[[#This Row],[коэф]])))))))))))</f>
        <v>0</v>
      </c>
      <c r="AP390" s="696" t="b">
        <f>IF(AR390&lt;=3,(IF((G390="5/24"),((база!$M$6*2*Таблица1[[#This Row],[Столбец1]]*Таблица1[[#This Row],[коэф]])),
IF((G390="4/24"),((база!$M$5*2*Таблица1[[#This Row],[Столбец1]]*Таблица1[[#This Row],[коэф]])),
IF((G390="3/24"),((база!$M$4*2*Таблица1[[#This Row],[Столбец1]]*Таблица1[[#This Row],[коэф]])),
IF((G390="5/16"),((база!$L$6*2*Таблица1[[#This Row],[Столбец1]]*Таблица1[[#This Row],[коэф]])),
IF((G390="4/16"),((база!$L$5*2*Таблица1[[#This Row],[Столбец1]]*Таблица1[[#This Row],[коэф]])),
IF((G390="3/16"),((база!$L$4*2*Таблица1[[#This Row],[Столбец1]]*Таблица1[[#This Row],[коэф]])),
IF((G390="4/4"),((база!$I$5*2*Таблица1[[#This Row],[Столбец1]]*Таблица1[[#This Row],[коэф]])),
IF(OR(G390="2/4",G390="3/4"),((база!$I$4*2*Таблица1[[#This Row],[Столбец1]]*Таблица1[[#This Row],[коэф]])),
IF((G390="5/8"),((база!$J$6*2*Таблица1[[#This Row],[Столбец1]]*Таблица1[[#This Row],[коэф]])),
IF((G390="4/8"),((база!$J$5*2*Таблица1[[#This Row],[Столбец1]]*Таблица1[[#This Row],[коэф]])),
IF(OR(G390="3/8",G390="2/8"),((база!$J$4*2*Таблица1[[#This Row],[Столбец1]]*Таблица1[[#This Row],[коэф]])))))))))))))),
(IF((G390="5/24"),((база!$M$6*2*Таблица1[[#This Row],[Столбец1]]*Таблица1[[#This Row],[коэф]])),
IF(OR(G390="4/24",G390="3/24"),((база!$M$5*2*Таблица1[[#This Row],[Столбец1]]*Таблица1[[#This Row],[коэф]])),
IF((G390="5/16"),((база!$L$6*2*Таблица1[[#This Row],[Столбец1]]*Таблица1[[#This Row],[коэф]])),
IF(OR(G390="4/16",G390="3/16"),((база!$L$5*2*Таблица1[[#This Row],[Столбец1]]*Таблица1[[#This Row],[коэф]])),
IF(OR(G390="2/4",G390="3/4",G390="4/4"),((база!$I$5*2*Таблица1[[#This Row],[Столбец1]]*Таблица1[[#This Row],[коэф]])),
IF((G390="5/8"),((база!$J$6*2*Таблица1[[#This Row],[Столбец1]]*Таблица1[[#This Row],[коэф]])),
IF(OR(G390="4/8",G390="3/8",G390="2/8"),((база!$J$5*2*Таблица1[[#This Row],[Столбец1]]*Таблица1[[#This Row],[коэф]])))))))))))</f>
        <v>0</v>
      </c>
      <c r="AQ390" s="678" t="str">
        <f>IFERROR(INDEX(база!T:T, MATCH(F390,база!Q:Q,0)),"")</f>
        <v/>
      </c>
      <c r="AR390" s="193">
        <f>IFERROR(INDEX(база!D:D, MATCH(F390,база!B:B,0)),"")</f>
        <v>0</v>
      </c>
    </row>
    <row r="391" spans="1:44" ht="15">
      <c r="A391" s="59"/>
      <c r="B391" s="215"/>
      <c r="C391" s="54"/>
      <c r="D391" s="55"/>
      <c r="E391" s="196"/>
      <c r="F391" s="651"/>
      <c r="G391" s="42"/>
      <c r="H391" s="539"/>
      <c r="I391" s="539"/>
      <c r="J391" s="539"/>
      <c r="K391" s="539"/>
      <c r="L391" s="539"/>
      <c r="M391" s="539"/>
      <c r="N391" s="539"/>
      <c r="O391" s="539"/>
      <c r="P391" s="278"/>
      <c r="Q391" s="539"/>
      <c r="R391" s="539"/>
      <c r="S391" s="539"/>
      <c r="T391" s="539"/>
      <c r="U391" s="539"/>
      <c r="V391" s="539"/>
      <c r="W391" s="539"/>
      <c r="X391" s="539"/>
      <c r="Y391" s="539"/>
      <c r="Z391" s="539"/>
      <c r="AA391" s="539"/>
      <c r="AB391" s="539"/>
      <c r="AC391" s="539"/>
      <c r="AD391" s="43"/>
      <c r="AE391" s="43"/>
      <c r="AF391" s="238"/>
      <c r="AG391" s="43"/>
      <c r="AH391" s="43"/>
      <c r="AI391" s="238"/>
      <c r="AJ391" s="238"/>
      <c r="AK391" s="238"/>
      <c r="AL391" s="238"/>
      <c r="AM391" s="197">
        <f>IF(AQ391=1,SUM(H391:I391,L391:O391,R391:U391,X391:AA391,AD391:AG391,AI391:AK391),
IF(AQ391=2,SUM(H391:K391,N391:Q391,T391:W391,Z391:AC391,AF391:AI391),
IF(AQ391=3,SUM(J391:M391,P391:S391,V391:Y391,AB391:AE391,AH391:AK391),SUM(Таблица1[[#This Row],[1]:[31]])-Таблица1[[#This Row],[Столбец1]])))</f>
        <v>0</v>
      </c>
      <c r="AN391" s="269">
        <f t="array" ref="AN391">IF(AQ391=1,SUM(J391:K391,P391:Q391,V391:W391,AB391:AC391,AH391:AI391),
IF(AQ391=2,SUM(L391:M391,R391:S391,X391:Y391,AD391:AE391),
IF(AQ391=3,SUM(H391:I391,N391:O391,T391:U391,Z391:AA391,AF391:AG391),
SUM(IFERROR(WEEKDAY($H$2:$AL$2,2)&gt;5,)*H391:AL391))))</f>
        <v>0</v>
      </c>
      <c r="AO391" s="271" t="b">
        <f>IF(AR391&lt;=3,(IF((G391="5/24"),((база!$M$6*Таблица1[[#This Row],[сумма]]*Таблица1[[#This Row],[коэф]])),
IF((G391="4/24"),((база!$M$5*Таблица1[[#This Row],[сумма]]*Таблица1[[#This Row],[коэф]])),
IF((G391="3/24"),((база!$M$4*Таблица1[[#This Row],[сумма]]*Таблица1[[#This Row],[коэф]])),
IF((G391="5/16"),((база!$L$6*Таблица1[[#This Row],[сумма]]*Таблица1[[#This Row],[коэф]])),
IF((G391="4/16"),((база!$L$5*Таблица1[[#This Row],[сумма]]*Таблица1[[#This Row],[коэф]])),
IF((G391="3/16"),((база!$L$4*Таблица1[[#This Row],[сумма]]*Таблица1[[#This Row],[коэф]])),
IF((G391="4/4"),((база!$I$5*Таблица1[[#This Row],[сумма]]*Таблица1[[#This Row],[коэф]])),
IF(OR(G391="2/4",G391="3/4"),((база!$I$4*Таблица1[[#This Row],[сумма]]*Таблица1[[#This Row],[коэф]])),
IF((G391="5/8"),((база!$J$6*Таблица1[[#This Row],[сумма]]*Таблица1[[#This Row],[коэф]])),
IF((G391="4/8"),((база!$J$5*Таблица1[[#This Row],[сумма]]*Таблица1[[#This Row],[коэф]])),
IF(OR(G391="3/8",G391="2/8"),((база!$J$4*Таблица1[[#This Row],[сумма]]*Таблица1[[#This Row],[коэф]])))))))))))))),
(IF((G391="5/24"),((база!$M$6*Таблица1[[#This Row],[сумма]]*Таблица1[[#This Row],[коэф]])),
IF(OR(G391="4/24",G391="3/24"),((база!$M$5*Таблица1[[#This Row],[сумма]]*Таблица1[[#This Row],[коэф]])),
IF((G391="5/16"),((база!$L$6*Таблица1[[#This Row],[сумма]]*Таблица1[[#This Row],[коэф]])),
IF(OR(G391="4/16",G391="3/16"),((база!$L$5*Таблица1[[#This Row],[сумма]]*Таблица1[[#This Row],[коэф]])),
IF(OR(G391="2/4",G391="3/4",G391="4/4"),((база!$I$5*Таблица1[[#This Row],[сумма]]*Таблица1[[#This Row],[коэф]])),
IF((G391="5/8"),((база!$J$6*Таблица1[[#This Row],[сумма]]*Таблица1[[#This Row],[коэф]])),
IF(OR(G391="4/8",G391="3/8",G391="2/8"),((база!$J$5*Таблица1[[#This Row],[сумма]]*Таблица1[[#This Row],[коэф]])))))))))))</f>
        <v>0</v>
      </c>
      <c r="AP391" s="696" t="b">
        <f>IF(AR391&lt;=3,(IF((G391="5/24"),((база!$M$6*2*Таблица1[[#This Row],[Столбец1]]*Таблица1[[#This Row],[коэф]])),
IF((G391="4/24"),((база!$M$5*2*Таблица1[[#This Row],[Столбец1]]*Таблица1[[#This Row],[коэф]])),
IF((G391="3/24"),((база!$M$4*2*Таблица1[[#This Row],[Столбец1]]*Таблица1[[#This Row],[коэф]])),
IF((G391="5/16"),((база!$L$6*2*Таблица1[[#This Row],[Столбец1]]*Таблица1[[#This Row],[коэф]])),
IF((G391="4/16"),((база!$L$5*2*Таблица1[[#This Row],[Столбец1]]*Таблица1[[#This Row],[коэф]])),
IF((G391="3/16"),((база!$L$4*2*Таблица1[[#This Row],[Столбец1]]*Таблица1[[#This Row],[коэф]])),
IF((G391="4/4"),((база!$I$5*2*Таблица1[[#This Row],[Столбец1]]*Таблица1[[#This Row],[коэф]])),
IF(OR(G391="2/4",G391="3/4"),((база!$I$4*2*Таблица1[[#This Row],[Столбец1]]*Таблица1[[#This Row],[коэф]])),
IF((G391="5/8"),((база!$J$6*2*Таблица1[[#This Row],[Столбец1]]*Таблица1[[#This Row],[коэф]])),
IF((G391="4/8"),((база!$J$5*2*Таблица1[[#This Row],[Столбец1]]*Таблица1[[#This Row],[коэф]])),
IF(OR(G391="3/8",G391="2/8"),((база!$J$4*2*Таблица1[[#This Row],[Столбец1]]*Таблица1[[#This Row],[коэф]])))))))))))))),
(IF((G391="5/24"),((база!$M$6*2*Таблица1[[#This Row],[Столбец1]]*Таблица1[[#This Row],[коэф]])),
IF(OR(G391="4/24",G391="3/24"),((база!$M$5*2*Таблица1[[#This Row],[Столбец1]]*Таблица1[[#This Row],[коэф]])),
IF((G391="5/16"),((база!$L$6*2*Таблица1[[#This Row],[Столбец1]]*Таблица1[[#This Row],[коэф]])),
IF(OR(G391="4/16",G391="3/16"),((база!$L$5*2*Таблица1[[#This Row],[Столбец1]]*Таблица1[[#This Row],[коэф]])),
IF(OR(G391="2/4",G391="3/4",G391="4/4"),((база!$I$5*2*Таблица1[[#This Row],[Столбец1]]*Таблица1[[#This Row],[коэф]])),
IF((G391="5/8"),((база!$J$6*2*Таблица1[[#This Row],[Столбец1]]*Таблица1[[#This Row],[коэф]])),
IF(OR(G391="4/8",G391="3/8",G391="2/8"),((база!$J$5*2*Таблица1[[#This Row],[Столбец1]]*Таблица1[[#This Row],[коэф]])))))))))))</f>
        <v>0</v>
      </c>
      <c r="AQ391" s="678" t="str">
        <f>IFERROR(INDEX(база!T:T, MATCH(F391,база!Q:Q,0)),"")</f>
        <v/>
      </c>
      <c r="AR391" s="193">
        <f>IFERROR(INDEX(база!D:D, MATCH(F391,база!B:B,0)),"")</f>
        <v>0</v>
      </c>
    </row>
    <row r="392" spans="1:44" ht="15">
      <c r="A392" s="59"/>
      <c r="B392" s="215"/>
      <c r="C392" s="54"/>
      <c r="D392" s="55"/>
      <c r="E392" s="196"/>
      <c r="F392" s="651"/>
      <c r="G392" s="42"/>
      <c r="H392" s="539"/>
      <c r="I392" s="539"/>
      <c r="J392" s="539"/>
      <c r="K392" s="539"/>
      <c r="L392" s="539"/>
      <c r="M392" s="539"/>
      <c r="N392" s="539"/>
      <c r="O392" s="539"/>
      <c r="P392" s="278"/>
      <c r="Q392" s="539"/>
      <c r="R392" s="539"/>
      <c r="S392" s="539"/>
      <c r="T392" s="539"/>
      <c r="U392" s="539"/>
      <c r="V392" s="539"/>
      <c r="W392" s="539"/>
      <c r="X392" s="539"/>
      <c r="Y392" s="539"/>
      <c r="Z392" s="539"/>
      <c r="AA392" s="539"/>
      <c r="AB392" s="539"/>
      <c r="AC392" s="539"/>
      <c r="AD392" s="43"/>
      <c r="AE392" s="43"/>
      <c r="AF392" s="238"/>
      <c r="AG392" s="43"/>
      <c r="AH392" s="43"/>
      <c r="AI392" s="43"/>
      <c r="AJ392" s="43"/>
      <c r="AK392" s="43"/>
      <c r="AL392" s="45"/>
      <c r="AM392" s="197">
        <f>IF(AQ392=1,SUM(H392:I392,L392:O392,R392:U392,X392:AA392,AD392:AG392,AI392:AK392),
IF(AQ392=2,SUM(H392:K392,N392:Q392,T392:W392,Z392:AC392,AF392:AI392),
IF(AQ392=3,SUM(J392:M392,P392:S392,V392:Y392,AB392:AE392,AH392:AK392),SUM(Таблица1[[#This Row],[1]:[31]])-Таблица1[[#This Row],[Столбец1]])))</f>
        <v>0</v>
      </c>
      <c r="AN392" s="269">
        <f t="array" ref="AN392">IF(AQ392=1,SUM(J392:K392,P392:Q392,V392:W392,AB392:AC392,AH392:AI392),
IF(AQ392=2,SUM(L392:M392,R392:S392,X392:Y392,AD392:AE392),
IF(AQ392=3,SUM(H392:I392,N392:O392,T392:U392,Z392:AA392,AF392:AG392),
SUM(IFERROR(WEEKDAY($H$2:$AL$2,2)&gt;5,)*H392:AL392))))</f>
        <v>0</v>
      </c>
      <c r="AO392" s="271" t="b">
        <f>IF(AR392&lt;=3,(IF((G392="5/24"),((база!$M$6*Таблица1[[#This Row],[сумма]]*Таблица1[[#This Row],[коэф]])),
IF((G392="4/24"),((база!$M$5*Таблица1[[#This Row],[сумма]]*Таблица1[[#This Row],[коэф]])),
IF((G392="3/24"),((база!$M$4*Таблица1[[#This Row],[сумма]]*Таблица1[[#This Row],[коэф]])),
IF((G392="5/16"),((база!$L$6*Таблица1[[#This Row],[сумма]]*Таблица1[[#This Row],[коэф]])),
IF((G392="4/16"),((база!$L$5*Таблица1[[#This Row],[сумма]]*Таблица1[[#This Row],[коэф]])),
IF((G392="3/16"),((база!$L$4*Таблица1[[#This Row],[сумма]]*Таблица1[[#This Row],[коэф]])),
IF((G392="4/4"),((база!$I$5*Таблица1[[#This Row],[сумма]]*Таблица1[[#This Row],[коэф]])),
IF(OR(G392="2/4",G392="3/4"),((база!$I$4*Таблица1[[#This Row],[сумма]]*Таблица1[[#This Row],[коэф]])),
IF((G392="5/8"),((база!$J$6*Таблица1[[#This Row],[сумма]]*Таблица1[[#This Row],[коэф]])),
IF((G392="4/8"),((база!$J$5*Таблица1[[#This Row],[сумма]]*Таблица1[[#This Row],[коэф]])),
IF(OR(G392="3/8",G392="2/8"),((база!$J$4*Таблица1[[#This Row],[сумма]]*Таблица1[[#This Row],[коэф]])))))))))))))),
(IF((G392="5/24"),((база!$M$6*Таблица1[[#This Row],[сумма]]*Таблица1[[#This Row],[коэф]])),
IF(OR(G392="4/24",G392="3/24"),((база!$M$5*Таблица1[[#This Row],[сумма]]*Таблица1[[#This Row],[коэф]])),
IF((G392="5/16"),((база!$L$6*Таблица1[[#This Row],[сумма]]*Таблица1[[#This Row],[коэф]])),
IF(OR(G392="4/16",G392="3/16"),((база!$L$5*Таблица1[[#This Row],[сумма]]*Таблица1[[#This Row],[коэф]])),
IF(OR(G392="2/4",G392="3/4",G392="4/4"),((база!$I$5*Таблица1[[#This Row],[сумма]]*Таблица1[[#This Row],[коэф]])),
IF((G392="5/8"),((база!$J$6*Таблица1[[#This Row],[сумма]]*Таблица1[[#This Row],[коэф]])),
IF(OR(G392="4/8",G392="3/8",G392="2/8"),((база!$J$5*Таблица1[[#This Row],[сумма]]*Таблица1[[#This Row],[коэф]])))))))))))</f>
        <v>0</v>
      </c>
      <c r="AP392" s="696" t="b">
        <f>IF(AR392&lt;=3,(IF((G392="5/24"),((база!$M$6*2*Таблица1[[#This Row],[Столбец1]]*Таблица1[[#This Row],[коэф]])),
IF((G392="4/24"),((база!$M$5*2*Таблица1[[#This Row],[Столбец1]]*Таблица1[[#This Row],[коэф]])),
IF((G392="3/24"),((база!$M$4*2*Таблица1[[#This Row],[Столбец1]]*Таблица1[[#This Row],[коэф]])),
IF((G392="5/16"),((база!$L$6*2*Таблица1[[#This Row],[Столбец1]]*Таблица1[[#This Row],[коэф]])),
IF((G392="4/16"),((база!$L$5*2*Таблица1[[#This Row],[Столбец1]]*Таблица1[[#This Row],[коэф]])),
IF((G392="3/16"),((база!$L$4*2*Таблица1[[#This Row],[Столбец1]]*Таблица1[[#This Row],[коэф]])),
IF((G392="4/4"),((база!$I$5*2*Таблица1[[#This Row],[Столбец1]]*Таблица1[[#This Row],[коэф]])),
IF(OR(G392="2/4",G392="3/4"),((база!$I$4*2*Таблица1[[#This Row],[Столбец1]]*Таблица1[[#This Row],[коэф]])),
IF((G392="5/8"),((база!$J$6*2*Таблица1[[#This Row],[Столбец1]]*Таблица1[[#This Row],[коэф]])),
IF((G392="4/8"),((база!$J$5*2*Таблица1[[#This Row],[Столбец1]]*Таблица1[[#This Row],[коэф]])),
IF(OR(G392="3/8",G392="2/8"),((база!$J$4*2*Таблица1[[#This Row],[Столбец1]]*Таблица1[[#This Row],[коэф]])))))))))))))),
(IF((G392="5/24"),((база!$M$6*2*Таблица1[[#This Row],[Столбец1]]*Таблица1[[#This Row],[коэф]])),
IF(OR(G392="4/24",G392="3/24"),((база!$M$5*2*Таблица1[[#This Row],[Столбец1]]*Таблица1[[#This Row],[коэф]])),
IF((G392="5/16"),((база!$L$6*2*Таблица1[[#This Row],[Столбец1]]*Таблица1[[#This Row],[коэф]])),
IF(OR(G392="4/16",G392="3/16"),((база!$L$5*2*Таблица1[[#This Row],[Столбец1]]*Таблица1[[#This Row],[коэф]])),
IF(OR(G392="2/4",G392="3/4",G392="4/4"),((база!$I$5*2*Таблица1[[#This Row],[Столбец1]]*Таблица1[[#This Row],[коэф]])),
IF((G392="5/8"),((база!$J$6*2*Таблица1[[#This Row],[Столбец1]]*Таблица1[[#This Row],[коэф]])),
IF(OR(G392="4/8",G392="3/8",G392="2/8"),((база!$J$5*2*Таблица1[[#This Row],[Столбец1]]*Таблица1[[#This Row],[коэф]])))))))))))</f>
        <v>0</v>
      </c>
      <c r="AQ392" s="678" t="str">
        <f>IFERROR(INDEX(база!T:T, MATCH(F392,база!Q:Q,0)),"")</f>
        <v/>
      </c>
      <c r="AR392" s="193">
        <f>IFERROR(INDEX(база!D:D, MATCH(F392,база!B:B,0)),"")</f>
        <v>0</v>
      </c>
    </row>
    <row r="393" spans="1:44" ht="15">
      <c r="A393" s="59"/>
      <c r="B393" s="215"/>
      <c r="C393" s="277"/>
      <c r="D393" s="55"/>
      <c r="E393" s="196"/>
      <c r="F393" s="651"/>
      <c r="G393" s="42"/>
      <c r="H393" s="539"/>
      <c r="I393" s="539"/>
      <c r="J393" s="539"/>
      <c r="K393" s="539"/>
      <c r="L393" s="539"/>
      <c r="M393" s="539"/>
      <c r="N393" s="539"/>
      <c r="O393" s="539"/>
      <c r="P393" s="278"/>
      <c r="Q393" s="539"/>
      <c r="R393" s="539"/>
      <c r="S393" s="539"/>
      <c r="T393" s="539"/>
      <c r="U393" s="539"/>
      <c r="V393" s="539"/>
      <c r="W393" s="539"/>
      <c r="X393" s="539"/>
      <c r="Y393" s="539"/>
      <c r="Z393" s="539"/>
      <c r="AA393" s="539"/>
      <c r="AB393" s="539"/>
      <c r="AC393" s="539"/>
      <c r="AD393" s="43"/>
      <c r="AE393" s="43"/>
      <c r="AF393" s="238"/>
      <c r="AG393" s="43"/>
      <c r="AH393" s="43"/>
      <c r="AI393" s="238"/>
      <c r="AJ393" s="238"/>
      <c r="AK393" s="238"/>
      <c r="AL393" s="238"/>
      <c r="AM393" s="197">
        <f>IF(AQ393=1,SUM(H393:I393,L393:O393,R393:U393,X393:AA393,AD393:AG393,AI393:AK393),
IF(AQ393=2,SUM(H393:K393,N393:Q393,T393:W393,Z393:AC393,AF393:AI393),
IF(AQ393=3,SUM(J393:M393,P393:S393,V393:Y393,AB393:AE393,AH393:AK393),SUM(Таблица1[[#This Row],[1]:[31]])-Таблица1[[#This Row],[Столбец1]])))</f>
        <v>0</v>
      </c>
      <c r="AN393" s="269">
        <f t="array" ref="AN393">IF(AQ393=1,SUM(J393:K393,P393:Q393,V393:W393,AB393:AC393,AH393:AI393),
IF(AQ393=2,SUM(L393:M393,R393:S393,X393:Y393,AD393:AE393),
IF(AQ393=3,SUM(H393:I393,N393:O393,T393:U393,Z393:AA393,AF393:AG393),
SUM(IFERROR(WEEKDAY($H$2:$AL$2,2)&gt;5,)*H393:AL393))))</f>
        <v>0</v>
      </c>
      <c r="AO393" s="271" t="b">
        <f>IF(AR393&lt;=3,(IF((G393="5/24"),((база!$M$6*Таблица1[[#This Row],[сумма]]*Таблица1[[#This Row],[коэф]])),
IF((G393="4/24"),((база!$M$5*Таблица1[[#This Row],[сумма]]*Таблица1[[#This Row],[коэф]])),
IF((G393="3/24"),((база!$M$4*Таблица1[[#This Row],[сумма]]*Таблица1[[#This Row],[коэф]])),
IF((G393="5/16"),((база!$L$6*Таблица1[[#This Row],[сумма]]*Таблица1[[#This Row],[коэф]])),
IF((G393="4/16"),((база!$L$5*Таблица1[[#This Row],[сумма]]*Таблица1[[#This Row],[коэф]])),
IF((G393="3/16"),((база!$L$4*Таблица1[[#This Row],[сумма]]*Таблица1[[#This Row],[коэф]])),
IF((G393="4/4"),((база!$I$5*Таблица1[[#This Row],[сумма]]*Таблица1[[#This Row],[коэф]])),
IF(OR(G393="2/4",G393="3/4"),((база!$I$4*Таблица1[[#This Row],[сумма]]*Таблица1[[#This Row],[коэф]])),
IF((G393="5/8"),((база!$J$6*Таблица1[[#This Row],[сумма]]*Таблица1[[#This Row],[коэф]])),
IF((G393="4/8"),((база!$J$5*Таблица1[[#This Row],[сумма]]*Таблица1[[#This Row],[коэф]])),
IF(OR(G393="3/8",G393="2/8"),((база!$J$4*Таблица1[[#This Row],[сумма]]*Таблица1[[#This Row],[коэф]])))))))))))))),
(IF((G393="5/24"),((база!$M$6*Таблица1[[#This Row],[сумма]]*Таблица1[[#This Row],[коэф]])),
IF(OR(G393="4/24",G393="3/24"),((база!$M$5*Таблица1[[#This Row],[сумма]]*Таблица1[[#This Row],[коэф]])),
IF((G393="5/16"),((база!$L$6*Таблица1[[#This Row],[сумма]]*Таблица1[[#This Row],[коэф]])),
IF(OR(G393="4/16",G393="3/16"),((база!$L$5*Таблица1[[#This Row],[сумма]]*Таблица1[[#This Row],[коэф]])),
IF(OR(G393="2/4",G393="3/4",G393="4/4"),((база!$I$5*Таблица1[[#This Row],[сумма]]*Таблица1[[#This Row],[коэф]])),
IF((G393="5/8"),((база!$J$6*Таблица1[[#This Row],[сумма]]*Таблица1[[#This Row],[коэф]])),
IF(OR(G393="4/8",G393="3/8",G393="2/8"),((база!$J$5*Таблица1[[#This Row],[сумма]]*Таблица1[[#This Row],[коэф]])))))))))))</f>
        <v>0</v>
      </c>
      <c r="AP393" s="696" t="b">
        <f>IF(AR393&lt;=3,(IF((G393="5/24"),((база!$M$6*2*Таблица1[[#This Row],[Столбец1]]*Таблица1[[#This Row],[коэф]])),
IF((G393="4/24"),((база!$M$5*2*Таблица1[[#This Row],[Столбец1]]*Таблица1[[#This Row],[коэф]])),
IF((G393="3/24"),((база!$M$4*2*Таблица1[[#This Row],[Столбец1]]*Таблица1[[#This Row],[коэф]])),
IF((G393="5/16"),((база!$L$6*2*Таблица1[[#This Row],[Столбец1]]*Таблица1[[#This Row],[коэф]])),
IF((G393="4/16"),((база!$L$5*2*Таблица1[[#This Row],[Столбец1]]*Таблица1[[#This Row],[коэф]])),
IF((G393="3/16"),((база!$L$4*2*Таблица1[[#This Row],[Столбец1]]*Таблица1[[#This Row],[коэф]])),
IF((G393="4/4"),((база!$I$5*2*Таблица1[[#This Row],[Столбец1]]*Таблица1[[#This Row],[коэф]])),
IF(OR(G393="2/4",G393="3/4"),((база!$I$4*2*Таблица1[[#This Row],[Столбец1]]*Таблица1[[#This Row],[коэф]])),
IF((G393="5/8"),((база!$J$6*2*Таблица1[[#This Row],[Столбец1]]*Таблица1[[#This Row],[коэф]])),
IF((G393="4/8"),((база!$J$5*2*Таблица1[[#This Row],[Столбец1]]*Таблица1[[#This Row],[коэф]])),
IF(OR(G393="3/8",G393="2/8"),((база!$J$4*2*Таблица1[[#This Row],[Столбец1]]*Таблица1[[#This Row],[коэф]])))))))))))))),
(IF((G393="5/24"),((база!$M$6*2*Таблица1[[#This Row],[Столбец1]]*Таблица1[[#This Row],[коэф]])),
IF(OR(G393="4/24",G393="3/24"),((база!$M$5*2*Таблица1[[#This Row],[Столбец1]]*Таблица1[[#This Row],[коэф]])),
IF((G393="5/16"),((база!$L$6*2*Таблица1[[#This Row],[Столбец1]]*Таблица1[[#This Row],[коэф]])),
IF(OR(G393="4/16",G393="3/16"),((база!$L$5*2*Таблица1[[#This Row],[Столбец1]]*Таблица1[[#This Row],[коэф]])),
IF(OR(G393="2/4",G393="3/4",G393="4/4"),((база!$I$5*2*Таблица1[[#This Row],[Столбец1]]*Таблица1[[#This Row],[коэф]])),
IF((G393="5/8"),((база!$J$6*2*Таблица1[[#This Row],[Столбец1]]*Таблица1[[#This Row],[коэф]])),
IF(OR(G393="4/8",G393="3/8",G393="2/8"),((база!$J$5*2*Таблица1[[#This Row],[Столбец1]]*Таблица1[[#This Row],[коэф]])))))))))))</f>
        <v>0</v>
      </c>
      <c r="AQ393" s="678" t="str">
        <f>IFERROR(INDEX(база!T:T, MATCH(F393,база!Q:Q,0)),"")</f>
        <v/>
      </c>
      <c r="AR393" s="193">
        <f>IFERROR(INDEX(база!D:D, MATCH(F393,база!B:B,0)),"")</f>
        <v>0</v>
      </c>
    </row>
    <row r="394" spans="1:44" ht="15">
      <c r="A394" s="59"/>
      <c r="B394" s="215"/>
      <c r="C394" s="54"/>
      <c r="D394" s="55"/>
      <c r="E394" s="196"/>
      <c r="F394" s="651"/>
      <c r="G394" s="42"/>
      <c r="H394" s="539"/>
      <c r="I394" s="539"/>
      <c r="J394" s="539"/>
      <c r="K394" s="539"/>
      <c r="L394" s="539"/>
      <c r="M394" s="539"/>
      <c r="N394" s="539"/>
      <c r="O394" s="539"/>
      <c r="P394" s="278"/>
      <c r="Q394" s="539"/>
      <c r="R394" s="539"/>
      <c r="S394" s="539"/>
      <c r="T394" s="539"/>
      <c r="U394" s="539"/>
      <c r="V394" s="539"/>
      <c r="W394" s="539"/>
      <c r="X394" s="539"/>
      <c r="Y394" s="539"/>
      <c r="Z394" s="539"/>
      <c r="AA394" s="539"/>
      <c r="AB394" s="539"/>
      <c r="AC394" s="539"/>
      <c r="AD394" s="43"/>
      <c r="AE394" s="43"/>
      <c r="AF394" s="238"/>
      <c r="AG394" s="43"/>
      <c r="AH394" s="43"/>
      <c r="AI394" s="43"/>
      <c r="AJ394" s="43"/>
      <c r="AK394" s="43"/>
      <c r="AL394" s="45"/>
      <c r="AM394" s="197">
        <f>IF(AQ394=1,SUM(H394:I394,L394:O394,R394:U394,X394:AA394,AD394:AG394,AI394:AK394),
IF(AQ394=2,SUM(H394:K394,N394:Q394,T394:W394,Z394:AC394,AF394:AI394),
IF(AQ394=3,SUM(J394:M394,P394:S394,V394:Y394,AB394:AE394,AH394:AK394),SUM(Таблица1[[#This Row],[1]:[31]])-Таблица1[[#This Row],[Столбец1]])))</f>
        <v>0</v>
      </c>
      <c r="AN394" s="269">
        <f t="array" ref="AN394">IF(AQ394=1,SUM(J394:K394,P394:Q394,V394:W394,AB394:AC394,AH394:AI394),
IF(AQ394=2,SUM(L394:M394,R394:S394,X394:Y394,AD394:AE394),
IF(AQ394=3,SUM(H394:I394,N394:O394,T394:U394,Z394:AA394,AF394:AG394),
SUM(IFERROR(WEEKDAY($H$2:$AL$2,2)&gt;5,)*H394:AL394))))</f>
        <v>0</v>
      </c>
      <c r="AO394" s="271" t="b">
        <f>IF(AR394&lt;=3,(IF((G394="5/24"),((база!$M$6*Таблица1[[#This Row],[сумма]]*Таблица1[[#This Row],[коэф]])),
IF((G394="4/24"),((база!$M$5*Таблица1[[#This Row],[сумма]]*Таблица1[[#This Row],[коэф]])),
IF((G394="3/24"),((база!$M$4*Таблица1[[#This Row],[сумма]]*Таблица1[[#This Row],[коэф]])),
IF((G394="5/16"),((база!$L$6*Таблица1[[#This Row],[сумма]]*Таблица1[[#This Row],[коэф]])),
IF((G394="4/16"),((база!$L$5*Таблица1[[#This Row],[сумма]]*Таблица1[[#This Row],[коэф]])),
IF((G394="3/16"),((база!$L$4*Таблица1[[#This Row],[сумма]]*Таблица1[[#This Row],[коэф]])),
IF((G394="4/4"),((база!$I$5*Таблица1[[#This Row],[сумма]]*Таблица1[[#This Row],[коэф]])),
IF(OR(G394="2/4",G394="3/4"),((база!$I$4*Таблица1[[#This Row],[сумма]]*Таблица1[[#This Row],[коэф]])),
IF((G394="5/8"),((база!$J$6*Таблица1[[#This Row],[сумма]]*Таблица1[[#This Row],[коэф]])),
IF((G394="4/8"),((база!$J$5*Таблица1[[#This Row],[сумма]]*Таблица1[[#This Row],[коэф]])),
IF(OR(G394="3/8",G394="2/8"),((база!$J$4*Таблица1[[#This Row],[сумма]]*Таблица1[[#This Row],[коэф]])))))))))))))),
(IF((G394="5/24"),((база!$M$6*Таблица1[[#This Row],[сумма]]*Таблица1[[#This Row],[коэф]])),
IF(OR(G394="4/24",G394="3/24"),((база!$M$5*Таблица1[[#This Row],[сумма]]*Таблица1[[#This Row],[коэф]])),
IF((G394="5/16"),((база!$L$6*Таблица1[[#This Row],[сумма]]*Таблица1[[#This Row],[коэф]])),
IF(OR(G394="4/16",G394="3/16"),((база!$L$5*Таблица1[[#This Row],[сумма]]*Таблица1[[#This Row],[коэф]])),
IF(OR(G394="2/4",G394="3/4",G394="4/4"),((база!$I$5*Таблица1[[#This Row],[сумма]]*Таблица1[[#This Row],[коэф]])),
IF((G394="5/8"),((база!$J$6*Таблица1[[#This Row],[сумма]]*Таблица1[[#This Row],[коэф]])),
IF(OR(G394="4/8",G394="3/8",G394="2/8"),((база!$J$5*Таблица1[[#This Row],[сумма]]*Таблица1[[#This Row],[коэф]])))))))))))</f>
        <v>0</v>
      </c>
      <c r="AP394" s="696" t="b">
        <f>IF(AR394&lt;=3,(IF((G394="5/24"),((база!$M$6*2*Таблица1[[#This Row],[Столбец1]]*Таблица1[[#This Row],[коэф]])),
IF((G394="4/24"),((база!$M$5*2*Таблица1[[#This Row],[Столбец1]]*Таблица1[[#This Row],[коэф]])),
IF((G394="3/24"),((база!$M$4*2*Таблица1[[#This Row],[Столбец1]]*Таблица1[[#This Row],[коэф]])),
IF((G394="5/16"),((база!$L$6*2*Таблица1[[#This Row],[Столбец1]]*Таблица1[[#This Row],[коэф]])),
IF((G394="4/16"),((база!$L$5*2*Таблица1[[#This Row],[Столбец1]]*Таблица1[[#This Row],[коэф]])),
IF((G394="3/16"),((база!$L$4*2*Таблица1[[#This Row],[Столбец1]]*Таблица1[[#This Row],[коэф]])),
IF((G394="4/4"),((база!$I$5*2*Таблица1[[#This Row],[Столбец1]]*Таблица1[[#This Row],[коэф]])),
IF(OR(G394="2/4",G394="3/4"),((база!$I$4*2*Таблица1[[#This Row],[Столбец1]]*Таблица1[[#This Row],[коэф]])),
IF((G394="5/8"),((база!$J$6*2*Таблица1[[#This Row],[Столбец1]]*Таблица1[[#This Row],[коэф]])),
IF((G394="4/8"),((база!$J$5*2*Таблица1[[#This Row],[Столбец1]]*Таблица1[[#This Row],[коэф]])),
IF(OR(G394="3/8",G394="2/8"),((база!$J$4*2*Таблица1[[#This Row],[Столбец1]]*Таблица1[[#This Row],[коэф]])))))))))))))),
(IF((G394="5/24"),((база!$M$6*2*Таблица1[[#This Row],[Столбец1]]*Таблица1[[#This Row],[коэф]])),
IF(OR(G394="4/24",G394="3/24"),((база!$M$5*2*Таблица1[[#This Row],[Столбец1]]*Таблица1[[#This Row],[коэф]])),
IF((G394="5/16"),((база!$L$6*2*Таблица1[[#This Row],[Столбец1]]*Таблица1[[#This Row],[коэф]])),
IF(OR(G394="4/16",G394="3/16"),((база!$L$5*2*Таблица1[[#This Row],[Столбец1]]*Таблица1[[#This Row],[коэф]])),
IF(OR(G394="2/4",G394="3/4",G394="4/4"),((база!$I$5*2*Таблица1[[#This Row],[Столбец1]]*Таблица1[[#This Row],[коэф]])),
IF((G394="5/8"),((база!$J$6*2*Таблица1[[#This Row],[Столбец1]]*Таблица1[[#This Row],[коэф]])),
IF(OR(G394="4/8",G394="3/8",G394="2/8"),((база!$J$5*2*Таблица1[[#This Row],[Столбец1]]*Таблица1[[#This Row],[коэф]])))))))))))</f>
        <v>0</v>
      </c>
      <c r="AQ394" s="678" t="str">
        <f>IFERROR(INDEX(база!T:T, MATCH(F394,база!Q:Q,0)),"")</f>
        <v/>
      </c>
      <c r="AR394" s="193">
        <f>IFERROR(INDEX(база!D:D, MATCH(F394,база!B:B,0)),"")</f>
        <v>0</v>
      </c>
    </row>
    <row r="395" spans="1:44" ht="15">
      <c r="A395" s="59"/>
      <c r="B395" s="215"/>
      <c r="C395" s="277"/>
      <c r="D395" s="55"/>
      <c r="E395" s="196"/>
      <c r="F395" s="651"/>
      <c r="G395" s="42"/>
      <c r="H395" s="539"/>
      <c r="I395" s="539"/>
      <c r="J395" s="539"/>
      <c r="K395" s="539"/>
      <c r="L395" s="539"/>
      <c r="M395" s="539"/>
      <c r="N395" s="539"/>
      <c r="O395" s="539"/>
      <c r="P395" s="278"/>
      <c r="Q395" s="539"/>
      <c r="R395" s="539"/>
      <c r="S395" s="539"/>
      <c r="T395" s="539"/>
      <c r="U395" s="539"/>
      <c r="V395" s="539"/>
      <c r="W395" s="539"/>
      <c r="X395" s="539"/>
      <c r="Y395" s="539"/>
      <c r="Z395" s="539"/>
      <c r="AA395" s="539"/>
      <c r="AB395" s="539"/>
      <c r="AC395" s="539"/>
      <c r="AD395" s="43"/>
      <c r="AE395" s="43"/>
      <c r="AF395" s="238"/>
      <c r="AG395" s="43"/>
      <c r="AH395" s="43"/>
      <c r="AI395" s="238"/>
      <c r="AJ395" s="238"/>
      <c r="AK395" s="238"/>
      <c r="AL395" s="238"/>
      <c r="AM395" s="197">
        <f>IF(AQ395=1,SUM(H395:I395,L395:O395,R395:U395,X395:AA395,AD395:AG395,AI395:AK395),
IF(AQ395=2,SUM(H395:K395,N395:Q395,T395:W395,Z395:AC395,AF395:AI395),
IF(AQ395=3,SUM(J395:M395,P395:S395,V395:Y395,AB395:AE395,AH395:AK395),SUM(Таблица1[[#This Row],[1]:[31]])-Таблица1[[#This Row],[Столбец1]])))</f>
        <v>0</v>
      </c>
      <c r="AN395" s="269">
        <f t="array" ref="AN395">IF(AQ395=1,SUM(J395:K395,P395:Q395,V395:W395,AB395:AC395,AH395:AI395),
IF(AQ395=2,SUM(L395:M395,R395:S395,X395:Y395,AD395:AE395),
IF(AQ395=3,SUM(H395:I395,N395:O395,T395:U395,Z395:AA395,AF395:AG395),
SUM(IFERROR(WEEKDAY($H$2:$AL$2,2)&gt;5,)*H395:AL395))))</f>
        <v>0</v>
      </c>
      <c r="AO395" s="271" t="b">
        <f>IF(AR395&lt;=3,(IF((G395="5/24"),((база!$M$6*Таблица1[[#This Row],[сумма]]*Таблица1[[#This Row],[коэф]])),
IF((G395="4/24"),((база!$M$5*Таблица1[[#This Row],[сумма]]*Таблица1[[#This Row],[коэф]])),
IF((G395="3/24"),((база!$M$4*Таблица1[[#This Row],[сумма]]*Таблица1[[#This Row],[коэф]])),
IF((G395="5/16"),((база!$L$6*Таблица1[[#This Row],[сумма]]*Таблица1[[#This Row],[коэф]])),
IF((G395="4/16"),((база!$L$5*Таблица1[[#This Row],[сумма]]*Таблица1[[#This Row],[коэф]])),
IF((G395="3/16"),((база!$L$4*Таблица1[[#This Row],[сумма]]*Таблица1[[#This Row],[коэф]])),
IF((G395="4/4"),((база!$I$5*Таблица1[[#This Row],[сумма]]*Таблица1[[#This Row],[коэф]])),
IF(OR(G395="2/4",G395="3/4"),((база!$I$4*Таблица1[[#This Row],[сумма]]*Таблица1[[#This Row],[коэф]])),
IF((G395="5/8"),((база!$J$6*Таблица1[[#This Row],[сумма]]*Таблица1[[#This Row],[коэф]])),
IF((G395="4/8"),((база!$J$5*Таблица1[[#This Row],[сумма]]*Таблица1[[#This Row],[коэф]])),
IF(OR(G395="3/8",G395="2/8"),((база!$J$4*Таблица1[[#This Row],[сумма]]*Таблица1[[#This Row],[коэф]])))))))))))))),
(IF((G395="5/24"),((база!$M$6*Таблица1[[#This Row],[сумма]]*Таблица1[[#This Row],[коэф]])),
IF(OR(G395="4/24",G395="3/24"),((база!$M$5*Таблица1[[#This Row],[сумма]]*Таблица1[[#This Row],[коэф]])),
IF((G395="5/16"),((база!$L$6*Таблица1[[#This Row],[сумма]]*Таблица1[[#This Row],[коэф]])),
IF(OR(G395="4/16",G395="3/16"),((база!$L$5*Таблица1[[#This Row],[сумма]]*Таблица1[[#This Row],[коэф]])),
IF(OR(G395="2/4",G395="3/4",G395="4/4"),((база!$I$5*Таблица1[[#This Row],[сумма]]*Таблица1[[#This Row],[коэф]])),
IF((G395="5/8"),((база!$J$6*Таблица1[[#This Row],[сумма]]*Таблица1[[#This Row],[коэф]])),
IF(OR(G395="4/8",G395="3/8",G395="2/8"),((база!$J$5*Таблица1[[#This Row],[сумма]]*Таблица1[[#This Row],[коэф]])))))))))))</f>
        <v>0</v>
      </c>
      <c r="AP395" s="696" t="b">
        <f>IF(AR395&lt;=3,(IF((G395="5/24"),((база!$M$6*2*Таблица1[[#This Row],[Столбец1]]*Таблица1[[#This Row],[коэф]])),
IF((G395="4/24"),((база!$M$5*2*Таблица1[[#This Row],[Столбец1]]*Таблица1[[#This Row],[коэф]])),
IF((G395="3/24"),((база!$M$4*2*Таблица1[[#This Row],[Столбец1]]*Таблица1[[#This Row],[коэф]])),
IF((G395="5/16"),((база!$L$6*2*Таблица1[[#This Row],[Столбец1]]*Таблица1[[#This Row],[коэф]])),
IF((G395="4/16"),((база!$L$5*2*Таблица1[[#This Row],[Столбец1]]*Таблица1[[#This Row],[коэф]])),
IF((G395="3/16"),((база!$L$4*2*Таблица1[[#This Row],[Столбец1]]*Таблица1[[#This Row],[коэф]])),
IF((G395="4/4"),((база!$I$5*2*Таблица1[[#This Row],[Столбец1]]*Таблица1[[#This Row],[коэф]])),
IF(OR(G395="2/4",G395="3/4"),((база!$I$4*2*Таблица1[[#This Row],[Столбец1]]*Таблица1[[#This Row],[коэф]])),
IF((G395="5/8"),((база!$J$6*2*Таблица1[[#This Row],[Столбец1]]*Таблица1[[#This Row],[коэф]])),
IF((G395="4/8"),((база!$J$5*2*Таблица1[[#This Row],[Столбец1]]*Таблица1[[#This Row],[коэф]])),
IF(OR(G395="3/8",G395="2/8"),((база!$J$4*2*Таблица1[[#This Row],[Столбец1]]*Таблица1[[#This Row],[коэф]])))))))))))))),
(IF((G395="5/24"),((база!$M$6*2*Таблица1[[#This Row],[Столбец1]]*Таблица1[[#This Row],[коэф]])),
IF(OR(G395="4/24",G395="3/24"),((база!$M$5*2*Таблица1[[#This Row],[Столбец1]]*Таблица1[[#This Row],[коэф]])),
IF((G395="5/16"),((база!$L$6*2*Таблица1[[#This Row],[Столбец1]]*Таблица1[[#This Row],[коэф]])),
IF(OR(G395="4/16",G395="3/16"),((база!$L$5*2*Таблица1[[#This Row],[Столбец1]]*Таблица1[[#This Row],[коэф]])),
IF(OR(G395="2/4",G395="3/4",G395="4/4"),((база!$I$5*2*Таблица1[[#This Row],[Столбец1]]*Таблица1[[#This Row],[коэф]])),
IF((G395="5/8"),((база!$J$6*2*Таблица1[[#This Row],[Столбец1]]*Таблица1[[#This Row],[коэф]])),
IF(OR(G395="4/8",G395="3/8",G395="2/8"),((база!$J$5*2*Таблица1[[#This Row],[Столбец1]]*Таблица1[[#This Row],[коэф]])))))))))))</f>
        <v>0</v>
      </c>
      <c r="AQ395" s="678" t="str">
        <f>IFERROR(INDEX(база!T:T, MATCH(F395,база!Q:Q,0)),"")</f>
        <v/>
      </c>
      <c r="AR395" s="193">
        <f>IFERROR(INDEX(база!D:D, MATCH(F395,база!B:B,0)),"")</f>
        <v>0</v>
      </c>
    </row>
    <row r="396" spans="1:44" ht="15">
      <c r="A396" s="59"/>
      <c r="B396" s="215"/>
      <c r="C396" s="277"/>
      <c r="D396" s="55"/>
      <c r="E396" s="196"/>
      <c r="F396" s="651"/>
      <c r="G396" s="42"/>
      <c r="H396" s="539"/>
      <c r="I396" s="539"/>
      <c r="J396" s="539"/>
      <c r="K396" s="539"/>
      <c r="L396" s="539"/>
      <c r="M396" s="539"/>
      <c r="N396" s="539"/>
      <c r="O396" s="539"/>
      <c r="P396" s="278"/>
      <c r="Q396" s="539"/>
      <c r="R396" s="539"/>
      <c r="S396" s="539"/>
      <c r="T396" s="539"/>
      <c r="U396" s="539"/>
      <c r="V396" s="539"/>
      <c r="W396" s="539"/>
      <c r="X396" s="539"/>
      <c r="Y396" s="539"/>
      <c r="Z396" s="539"/>
      <c r="AA396" s="539"/>
      <c r="AB396" s="539"/>
      <c r="AC396" s="539"/>
      <c r="AD396" s="43"/>
      <c r="AE396" s="43"/>
      <c r="AF396" s="238"/>
      <c r="AG396" s="43"/>
      <c r="AH396" s="43"/>
      <c r="AI396" s="43"/>
      <c r="AJ396" s="43"/>
      <c r="AK396" s="43"/>
      <c r="AL396" s="45"/>
      <c r="AM396" s="197">
        <f>IF(AQ396=1,SUM(H396:I396,L396:O396,R396:U396,X396:AA396,AD396:AG396,AI396:AK396),
IF(AQ396=2,SUM(H396:K396,N396:Q396,T396:W396,Z396:AC396,AF396:AI396),
IF(AQ396=3,SUM(J396:M396,P396:S396,V396:Y396,AB396:AE396,AH396:AK396),SUM(Таблица1[[#This Row],[1]:[31]])-Таблица1[[#This Row],[Столбец1]])))</f>
        <v>0</v>
      </c>
      <c r="AN396" s="269">
        <f t="array" ref="AN396">IF(AQ396=1,SUM(J396:K396,P396:Q396,V396:W396,AB396:AC396,AH396:AI396),
IF(AQ396=2,SUM(L396:M396,R396:S396,X396:Y396,AD396:AE396),
IF(AQ396=3,SUM(H396:I396,N396:O396,T396:U396,Z396:AA396,AF396:AG396),
SUM(IFERROR(WEEKDAY($H$2:$AL$2,2)&gt;5,)*H396:AL396))))</f>
        <v>0</v>
      </c>
      <c r="AO396" s="271" t="b">
        <f>IF(AR396&lt;=3,(IF((G396="5/24"),((база!$M$6*Таблица1[[#This Row],[сумма]]*Таблица1[[#This Row],[коэф]])),
IF((G396="4/24"),((база!$M$5*Таблица1[[#This Row],[сумма]]*Таблица1[[#This Row],[коэф]])),
IF((G396="3/24"),((база!$M$4*Таблица1[[#This Row],[сумма]]*Таблица1[[#This Row],[коэф]])),
IF((G396="5/16"),((база!$L$6*Таблица1[[#This Row],[сумма]]*Таблица1[[#This Row],[коэф]])),
IF((G396="4/16"),((база!$L$5*Таблица1[[#This Row],[сумма]]*Таблица1[[#This Row],[коэф]])),
IF((G396="3/16"),((база!$L$4*Таблица1[[#This Row],[сумма]]*Таблица1[[#This Row],[коэф]])),
IF((G396="4/4"),((база!$I$5*Таблица1[[#This Row],[сумма]]*Таблица1[[#This Row],[коэф]])),
IF(OR(G396="2/4",G396="3/4"),((база!$I$4*Таблица1[[#This Row],[сумма]]*Таблица1[[#This Row],[коэф]])),
IF((G396="5/8"),((база!$J$6*Таблица1[[#This Row],[сумма]]*Таблица1[[#This Row],[коэф]])),
IF((G396="4/8"),((база!$J$5*Таблица1[[#This Row],[сумма]]*Таблица1[[#This Row],[коэф]])),
IF(OR(G396="3/8",G396="2/8"),((база!$J$4*Таблица1[[#This Row],[сумма]]*Таблица1[[#This Row],[коэф]])))))))))))))),
(IF((G396="5/24"),((база!$M$6*Таблица1[[#This Row],[сумма]]*Таблица1[[#This Row],[коэф]])),
IF(OR(G396="4/24",G396="3/24"),((база!$M$5*Таблица1[[#This Row],[сумма]]*Таблица1[[#This Row],[коэф]])),
IF((G396="5/16"),((база!$L$6*Таблица1[[#This Row],[сумма]]*Таблица1[[#This Row],[коэф]])),
IF(OR(G396="4/16",G396="3/16"),((база!$L$5*Таблица1[[#This Row],[сумма]]*Таблица1[[#This Row],[коэф]])),
IF(OR(G396="2/4",G396="3/4",G396="4/4"),((база!$I$5*Таблица1[[#This Row],[сумма]]*Таблица1[[#This Row],[коэф]])),
IF((G396="5/8"),((база!$J$6*Таблица1[[#This Row],[сумма]]*Таблица1[[#This Row],[коэф]])),
IF(OR(G396="4/8",G396="3/8",G396="2/8"),((база!$J$5*Таблица1[[#This Row],[сумма]]*Таблица1[[#This Row],[коэф]])))))))))))</f>
        <v>0</v>
      </c>
      <c r="AP396" s="696" t="b">
        <f>IF(AR396&lt;=3,(IF((G396="5/24"),((база!$M$6*2*Таблица1[[#This Row],[Столбец1]]*Таблица1[[#This Row],[коэф]])),
IF((G396="4/24"),((база!$M$5*2*Таблица1[[#This Row],[Столбец1]]*Таблица1[[#This Row],[коэф]])),
IF((G396="3/24"),((база!$M$4*2*Таблица1[[#This Row],[Столбец1]]*Таблица1[[#This Row],[коэф]])),
IF((G396="5/16"),((база!$L$6*2*Таблица1[[#This Row],[Столбец1]]*Таблица1[[#This Row],[коэф]])),
IF((G396="4/16"),((база!$L$5*2*Таблица1[[#This Row],[Столбец1]]*Таблица1[[#This Row],[коэф]])),
IF((G396="3/16"),((база!$L$4*2*Таблица1[[#This Row],[Столбец1]]*Таблица1[[#This Row],[коэф]])),
IF((G396="4/4"),((база!$I$5*2*Таблица1[[#This Row],[Столбец1]]*Таблица1[[#This Row],[коэф]])),
IF(OR(G396="2/4",G396="3/4"),((база!$I$4*2*Таблица1[[#This Row],[Столбец1]]*Таблица1[[#This Row],[коэф]])),
IF((G396="5/8"),((база!$J$6*2*Таблица1[[#This Row],[Столбец1]]*Таблица1[[#This Row],[коэф]])),
IF((G396="4/8"),((база!$J$5*2*Таблица1[[#This Row],[Столбец1]]*Таблица1[[#This Row],[коэф]])),
IF(OR(G396="3/8",G396="2/8"),((база!$J$4*2*Таблица1[[#This Row],[Столбец1]]*Таблица1[[#This Row],[коэф]])))))))))))))),
(IF((G396="5/24"),((база!$M$6*2*Таблица1[[#This Row],[Столбец1]]*Таблица1[[#This Row],[коэф]])),
IF(OR(G396="4/24",G396="3/24"),((база!$M$5*2*Таблица1[[#This Row],[Столбец1]]*Таблица1[[#This Row],[коэф]])),
IF((G396="5/16"),((база!$L$6*2*Таблица1[[#This Row],[Столбец1]]*Таблица1[[#This Row],[коэф]])),
IF(OR(G396="4/16",G396="3/16"),((база!$L$5*2*Таблица1[[#This Row],[Столбец1]]*Таблица1[[#This Row],[коэф]])),
IF(OR(G396="2/4",G396="3/4",G396="4/4"),((база!$I$5*2*Таблица1[[#This Row],[Столбец1]]*Таблица1[[#This Row],[коэф]])),
IF((G396="5/8"),((база!$J$6*2*Таблица1[[#This Row],[Столбец1]]*Таблица1[[#This Row],[коэф]])),
IF(OR(G396="4/8",G396="3/8",G396="2/8"),((база!$J$5*2*Таблица1[[#This Row],[Столбец1]]*Таблица1[[#This Row],[коэф]])))))))))))</f>
        <v>0</v>
      </c>
      <c r="AQ396" s="678" t="str">
        <f>IFERROR(INDEX(база!T:T, MATCH(F396,база!Q:Q,0)),"")</f>
        <v/>
      </c>
      <c r="AR396" s="193">
        <f>IFERROR(INDEX(база!D:D, MATCH(F396,база!B:B,0)),"")</f>
        <v>0</v>
      </c>
    </row>
    <row r="397" spans="1:44" ht="15">
      <c r="A397" s="59"/>
      <c r="B397" s="215"/>
      <c r="C397" s="277"/>
      <c r="D397" s="55"/>
      <c r="E397" s="196"/>
      <c r="F397" s="651"/>
      <c r="G397" s="42"/>
      <c r="H397" s="539"/>
      <c r="I397" s="539"/>
      <c r="J397" s="539"/>
      <c r="K397" s="539"/>
      <c r="L397" s="539"/>
      <c r="M397" s="539"/>
      <c r="N397" s="539"/>
      <c r="O397" s="539"/>
      <c r="P397" s="278"/>
      <c r="Q397" s="539"/>
      <c r="R397" s="539"/>
      <c r="S397" s="539"/>
      <c r="T397" s="539"/>
      <c r="U397" s="539"/>
      <c r="V397" s="539"/>
      <c r="W397" s="539"/>
      <c r="X397" s="539"/>
      <c r="Y397" s="539"/>
      <c r="Z397" s="539"/>
      <c r="AA397" s="539"/>
      <c r="AB397" s="539"/>
      <c r="AC397" s="539"/>
      <c r="AD397" s="43"/>
      <c r="AE397" s="43"/>
      <c r="AF397" s="238"/>
      <c r="AG397" s="43"/>
      <c r="AH397" s="43"/>
      <c r="AI397" s="43"/>
      <c r="AJ397" s="238"/>
      <c r="AK397" s="238"/>
      <c r="AL397" s="238"/>
      <c r="AM397" s="197">
        <f>IF(AQ397=1,SUM(H397:I397,L397:O397,R397:U397,X397:AA397,AD397:AG397,AI397:AK397),
IF(AQ397=2,SUM(H397:K397,N397:Q397,T397:W397,Z397:AC397,AF397:AI397),
IF(AQ397=3,SUM(J397:M397,P397:S397,V397:Y397,AB397:AE397,AH397:AK397),SUM(Таблица1[[#This Row],[1]:[31]])-Таблица1[[#This Row],[Столбец1]])))</f>
        <v>0</v>
      </c>
      <c r="AN397" s="269">
        <f t="array" ref="AN397">IF(AQ397=1,SUM(J397:K397,P397:Q397,V397:W397,AB397:AC397,AH397:AI397),
IF(AQ397=2,SUM(L397:M397,R397:S397,X397:Y397,AD397:AE397),
IF(AQ397=3,SUM(H397:I397,N397:O397,T397:U397,Z397:AA397,AF397:AG397),
SUM(IFERROR(WEEKDAY($H$2:$AL$2,2)&gt;5,)*H397:AL397))))</f>
        <v>0</v>
      </c>
      <c r="AO397" s="271" t="b">
        <f>IF(AR397&lt;=3,(IF((G397="5/24"),((база!$M$6*Таблица1[[#This Row],[сумма]]*Таблица1[[#This Row],[коэф]])),
IF((G397="4/24"),((база!$M$5*Таблица1[[#This Row],[сумма]]*Таблица1[[#This Row],[коэф]])),
IF((G397="3/24"),((база!$M$4*Таблица1[[#This Row],[сумма]]*Таблица1[[#This Row],[коэф]])),
IF((G397="5/16"),((база!$L$6*Таблица1[[#This Row],[сумма]]*Таблица1[[#This Row],[коэф]])),
IF((G397="4/16"),((база!$L$5*Таблица1[[#This Row],[сумма]]*Таблица1[[#This Row],[коэф]])),
IF((G397="3/16"),((база!$L$4*Таблица1[[#This Row],[сумма]]*Таблица1[[#This Row],[коэф]])),
IF((G397="4/4"),((база!$I$5*Таблица1[[#This Row],[сумма]]*Таблица1[[#This Row],[коэф]])),
IF(OR(G397="2/4",G397="3/4"),((база!$I$4*Таблица1[[#This Row],[сумма]]*Таблица1[[#This Row],[коэф]])),
IF((G397="5/8"),((база!$J$6*Таблица1[[#This Row],[сумма]]*Таблица1[[#This Row],[коэф]])),
IF((G397="4/8"),((база!$J$5*Таблица1[[#This Row],[сумма]]*Таблица1[[#This Row],[коэф]])),
IF(OR(G397="3/8",G397="2/8"),((база!$J$4*Таблица1[[#This Row],[сумма]]*Таблица1[[#This Row],[коэф]])))))))))))))),
(IF((G397="5/24"),((база!$M$6*Таблица1[[#This Row],[сумма]]*Таблица1[[#This Row],[коэф]])),
IF(OR(G397="4/24",G397="3/24"),((база!$M$5*Таблица1[[#This Row],[сумма]]*Таблица1[[#This Row],[коэф]])),
IF((G397="5/16"),((база!$L$6*Таблица1[[#This Row],[сумма]]*Таблица1[[#This Row],[коэф]])),
IF(OR(G397="4/16",G397="3/16"),((база!$L$5*Таблица1[[#This Row],[сумма]]*Таблица1[[#This Row],[коэф]])),
IF(OR(G397="2/4",G397="3/4",G397="4/4"),((база!$I$5*Таблица1[[#This Row],[сумма]]*Таблица1[[#This Row],[коэф]])),
IF((G397="5/8"),((база!$J$6*Таблица1[[#This Row],[сумма]]*Таблица1[[#This Row],[коэф]])),
IF(OR(G397="4/8",G397="3/8",G397="2/8"),((база!$J$5*Таблица1[[#This Row],[сумма]]*Таблица1[[#This Row],[коэф]])))))))))))</f>
        <v>0</v>
      </c>
      <c r="AP397" s="696" t="b">
        <f>IF(AR397&lt;=3,(IF((G397="5/24"),((база!$M$6*2*Таблица1[[#This Row],[Столбец1]]*Таблица1[[#This Row],[коэф]])),
IF((G397="4/24"),((база!$M$5*2*Таблица1[[#This Row],[Столбец1]]*Таблица1[[#This Row],[коэф]])),
IF((G397="3/24"),((база!$M$4*2*Таблица1[[#This Row],[Столбец1]]*Таблица1[[#This Row],[коэф]])),
IF((G397="5/16"),((база!$L$6*2*Таблица1[[#This Row],[Столбец1]]*Таблица1[[#This Row],[коэф]])),
IF((G397="4/16"),((база!$L$5*2*Таблица1[[#This Row],[Столбец1]]*Таблица1[[#This Row],[коэф]])),
IF((G397="3/16"),((база!$L$4*2*Таблица1[[#This Row],[Столбец1]]*Таблица1[[#This Row],[коэф]])),
IF((G397="4/4"),((база!$I$5*2*Таблица1[[#This Row],[Столбец1]]*Таблица1[[#This Row],[коэф]])),
IF(OR(G397="2/4",G397="3/4"),((база!$I$4*2*Таблица1[[#This Row],[Столбец1]]*Таблица1[[#This Row],[коэф]])),
IF((G397="5/8"),((база!$J$6*2*Таблица1[[#This Row],[Столбец1]]*Таблица1[[#This Row],[коэф]])),
IF((G397="4/8"),((база!$J$5*2*Таблица1[[#This Row],[Столбец1]]*Таблица1[[#This Row],[коэф]])),
IF(OR(G397="3/8",G397="2/8"),((база!$J$4*2*Таблица1[[#This Row],[Столбец1]]*Таблица1[[#This Row],[коэф]])))))))))))))),
(IF((G397="5/24"),((база!$M$6*2*Таблица1[[#This Row],[Столбец1]]*Таблица1[[#This Row],[коэф]])),
IF(OR(G397="4/24",G397="3/24"),((база!$M$5*2*Таблица1[[#This Row],[Столбец1]]*Таблица1[[#This Row],[коэф]])),
IF((G397="5/16"),((база!$L$6*2*Таблица1[[#This Row],[Столбец1]]*Таблица1[[#This Row],[коэф]])),
IF(OR(G397="4/16",G397="3/16"),((база!$L$5*2*Таблица1[[#This Row],[Столбец1]]*Таблица1[[#This Row],[коэф]])),
IF(OR(G397="2/4",G397="3/4",G397="4/4"),((база!$I$5*2*Таблица1[[#This Row],[Столбец1]]*Таблица1[[#This Row],[коэф]])),
IF((G397="5/8"),((база!$J$6*2*Таблица1[[#This Row],[Столбец1]]*Таблица1[[#This Row],[коэф]])),
IF(OR(G397="4/8",G397="3/8",G397="2/8"),((база!$J$5*2*Таблица1[[#This Row],[Столбец1]]*Таблица1[[#This Row],[коэф]])))))))))))</f>
        <v>0</v>
      </c>
      <c r="AQ397" s="678" t="str">
        <f>IFERROR(INDEX(база!T:T, MATCH(F397,база!Q:Q,0)),"")</f>
        <v/>
      </c>
      <c r="AR397" s="193">
        <f>IFERROR(INDEX(база!D:D, MATCH(F397,база!B:B,0)),"")</f>
        <v>0</v>
      </c>
    </row>
    <row r="398" spans="1:44" ht="15">
      <c r="A398" s="59"/>
      <c r="B398" s="215"/>
      <c r="C398" s="277"/>
      <c r="D398" s="55"/>
      <c r="E398" s="196"/>
      <c r="F398" s="651"/>
      <c r="G398" s="42"/>
      <c r="H398" s="539"/>
      <c r="I398" s="539"/>
      <c r="J398" s="539"/>
      <c r="K398" s="539"/>
      <c r="L398" s="539"/>
      <c r="M398" s="539"/>
      <c r="N398" s="539"/>
      <c r="O398" s="539"/>
      <c r="P398" s="278"/>
      <c r="Q398" s="539"/>
      <c r="R398" s="539"/>
      <c r="S398" s="539"/>
      <c r="T398" s="539"/>
      <c r="U398" s="539"/>
      <c r="V398" s="539"/>
      <c r="W398" s="539"/>
      <c r="X398" s="539"/>
      <c r="Y398" s="539"/>
      <c r="Z398" s="539"/>
      <c r="AA398" s="539"/>
      <c r="AB398" s="539"/>
      <c r="AC398" s="539"/>
      <c r="AD398" s="43"/>
      <c r="AE398" s="43"/>
      <c r="AF398" s="238"/>
      <c r="AG398" s="43"/>
      <c r="AH398" s="43"/>
      <c r="AI398" s="43"/>
      <c r="AJ398" s="43"/>
      <c r="AK398" s="43"/>
      <c r="AL398" s="45"/>
      <c r="AM398" s="197">
        <f>IF(AQ398=1,SUM(H398:I398,L398:O398,R398:U398,X398:AA398,AD398:AG398,AI398:AK398),
IF(AQ398=2,SUM(H398:K398,N398:Q398,T398:W398,Z398:AC398,AF398:AI398),
IF(AQ398=3,SUM(J398:M398,P398:S398,V398:Y398,AB398:AE398,AH398:AK398),SUM(Таблица1[[#This Row],[1]:[31]])-Таблица1[[#This Row],[Столбец1]])))</f>
        <v>0</v>
      </c>
      <c r="AN398" s="269">
        <f t="array" ref="AN398">IF(AQ398=1,SUM(J398:K398,P398:Q398,V398:W398,AB398:AC398,AH398:AI398),
IF(AQ398=2,SUM(L398:M398,R398:S398,X398:Y398,AD398:AE398),
IF(AQ398=3,SUM(H398:I398,N398:O398,T398:U398,Z398:AA398,AF398:AG398),
SUM(IFERROR(WEEKDAY($H$2:$AL$2,2)&gt;5,)*H398:AL398))))</f>
        <v>0</v>
      </c>
      <c r="AO398" s="271" t="b">
        <f>IF(AR398&lt;=3,(IF((G398="5/24"),((база!$M$6*Таблица1[[#This Row],[сумма]]*Таблица1[[#This Row],[коэф]])),
IF((G398="4/24"),((база!$M$5*Таблица1[[#This Row],[сумма]]*Таблица1[[#This Row],[коэф]])),
IF((G398="3/24"),((база!$M$4*Таблица1[[#This Row],[сумма]]*Таблица1[[#This Row],[коэф]])),
IF((G398="5/16"),((база!$L$6*Таблица1[[#This Row],[сумма]]*Таблица1[[#This Row],[коэф]])),
IF((G398="4/16"),((база!$L$5*Таблица1[[#This Row],[сумма]]*Таблица1[[#This Row],[коэф]])),
IF((G398="3/16"),((база!$L$4*Таблица1[[#This Row],[сумма]]*Таблица1[[#This Row],[коэф]])),
IF((G398="4/4"),((база!$I$5*Таблица1[[#This Row],[сумма]]*Таблица1[[#This Row],[коэф]])),
IF(OR(G398="2/4",G398="3/4"),((база!$I$4*Таблица1[[#This Row],[сумма]]*Таблица1[[#This Row],[коэф]])),
IF((G398="5/8"),((база!$J$6*Таблица1[[#This Row],[сумма]]*Таблица1[[#This Row],[коэф]])),
IF((G398="4/8"),((база!$J$5*Таблица1[[#This Row],[сумма]]*Таблица1[[#This Row],[коэф]])),
IF(OR(G398="3/8",G398="2/8"),((база!$J$4*Таблица1[[#This Row],[сумма]]*Таблица1[[#This Row],[коэф]])))))))))))))),
(IF((G398="5/24"),((база!$M$6*Таблица1[[#This Row],[сумма]]*Таблица1[[#This Row],[коэф]])),
IF(OR(G398="4/24",G398="3/24"),((база!$M$5*Таблица1[[#This Row],[сумма]]*Таблица1[[#This Row],[коэф]])),
IF((G398="5/16"),((база!$L$6*Таблица1[[#This Row],[сумма]]*Таблица1[[#This Row],[коэф]])),
IF(OR(G398="4/16",G398="3/16"),((база!$L$5*Таблица1[[#This Row],[сумма]]*Таблица1[[#This Row],[коэф]])),
IF(OR(G398="2/4",G398="3/4",G398="4/4"),((база!$I$5*Таблица1[[#This Row],[сумма]]*Таблица1[[#This Row],[коэф]])),
IF((G398="5/8"),((база!$J$6*Таблица1[[#This Row],[сумма]]*Таблица1[[#This Row],[коэф]])),
IF(OR(G398="4/8",G398="3/8",G398="2/8"),((база!$J$5*Таблица1[[#This Row],[сумма]]*Таблица1[[#This Row],[коэф]])))))))))))</f>
        <v>0</v>
      </c>
      <c r="AP398" s="696" t="b">
        <f>IF(AR398&lt;=3,(IF((G398="5/24"),((база!$M$6*2*Таблица1[[#This Row],[Столбец1]]*Таблица1[[#This Row],[коэф]])),
IF((G398="4/24"),((база!$M$5*2*Таблица1[[#This Row],[Столбец1]]*Таблица1[[#This Row],[коэф]])),
IF((G398="3/24"),((база!$M$4*2*Таблица1[[#This Row],[Столбец1]]*Таблица1[[#This Row],[коэф]])),
IF((G398="5/16"),((база!$L$6*2*Таблица1[[#This Row],[Столбец1]]*Таблица1[[#This Row],[коэф]])),
IF((G398="4/16"),((база!$L$5*2*Таблица1[[#This Row],[Столбец1]]*Таблица1[[#This Row],[коэф]])),
IF((G398="3/16"),((база!$L$4*2*Таблица1[[#This Row],[Столбец1]]*Таблица1[[#This Row],[коэф]])),
IF((G398="4/4"),((база!$I$5*2*Таблица1[[#This Row],[Столбец1]]*Таблица1[[#This Row],[коэф]])),
IF(OR(G398="2/4",G398="3/4"),((база!$I$4*2*Таблица1[[#This Row],[Столбец1]]*Таблица1[[#This Row],[коэф]])),
IF((G398="5/8"),((база!$J$6*2*Таблица1[[#This Row],[Столбец1]]*Таблица1[[#This Row],[коэф]])),
IF((G398="4/8"),((база!$J$5*2*Таблица1[[#This Row],[Столбец1]]*Таблица1[[#This Row],[коэф]])),
IF(OR(G398="3/8",G398="2/8"),((база!$J$4*2*Таблица1[[#This Row],[Столбец1]]*Таблица1[[#This Row],[коэф]])))))))))))))),
(IF((G398="5/24"),((база!$M$6*2*Таблица1[[#This Row],[Столбец1]]*Таблица1[[#This Row],[коэф]])),
IF(OR(G398="4/24",G398="3/24"),((база!$M$5*2*Таблица1[[#This Row],[Столбец1]]*Таблица1[[#This Row],[коэф]])),
IF((G398="5/16"),((база!$L$6*2*Таблица1[[#This Row],[Столбец1]]*Таблица1[[#This Row],[коэф]])),
IF(OR(G398="4/16",G398="3/16"),((база!$L$5*2*Таблица1[[#This Row],[Столбец1]]*Таблица1[[#This Row],[коэф]])),
IF(OR(G398="2/4",G398="3/4",G398="4/4"),((база!$I$5*2*Таблица1[[#This Row],[Столбец1]]*Таблица1[[#This Row],[коэф]])),
IF((G398="5/8"),((база!$J$6*2*Таблица1[[#This Row],[Столбец1]]*Таблица1[[#This Row],[коэф]])),
IF(OR(G398="4/8",G398="3/8",G398="2/8"),((база!$J$5*2*Таблица1[[#This Row],[Столбец1]]*Таблица1[[#This Row],[коэф]])))))))))))</f>
        <v>0</v>
      </c>
      <c r="AQ398" s="678" t="str">
        <f>IFERROR(INDEX(база!T:T, MATCH(F398,база!Q:Q,0)),"")</f>
        <v/>
      </c>
      <c r="AR398" s="193">
        <f>IFERROR(INDEX(база!D:D, MATCH(F398,база!B:B,0)),"")</f>
        <v>0</v>
      </c>
    </row>
    <row r="399" spans="1:44" ht="15">
      <c r="A399" s="59"/>
      <c r="B399" s="215"/>
      <c r="C399" s="54"/>
      <c r="D399" s="55"/>
      <c r="E399" s="196"/>
      <c r="F399" s="651"/>
      <c r="G399" s="42"/>
      <c r="H399" s="539"/>
      <c r="I399" s="539"/>
      <c r="J399" s="539"/>
      <c r="K399" s="539"/>
      <c r="L399" s="539"/>
      <c r="M399" s="539"/>
      <c r="N399" s="539"/>
      <c r="O399" s="539"/>
      <c r="P399" s="278"/>
      <c r="Q399" s="539"/>
      <c r="R399" s="539"/>
      <c r="S399" s="539"/>
      <c r="T399" s="539"/>
      <c r="U399" s="539"/>
      <c r="V399" s="539"/>
      <c r="W399" s="539"/>
      <c r="X399" s="539"/>
      <c r="Y399" s="539"/>
      <c r="Z399" s="539"/>
      <c r="AA399" s="539"/>
      <c r="AB399" s="539"/>
      <c r="AC399" s="539"/>
      <c r="AD399" s="43"/>
      <c r="AE399" s="43"/>
      <c r="AF399" s="238"/>
      <c r="AG399" s="43"/>
      <c r="AH399" s="43"/>
      <c r="AI399" s="238"/>
      <c r="AJ399" s="238"/>
      <c r="AK399" s="238"/>
      <c r="AL399" s="238"/>
      <c r="AM399" s="197">
        <f>IF(AQ399=1,SUM(H399:I399,L399:O399,R399:U399,X399:AA399,AD399:AG399,AI399:AK399),
IF(AQ399=2,SUM(H399:K399,N399:Q399,T399:W399,Z399:AC399,AF399:AI399),
IF(AQ399=3,SUM(J399:M399,P399:S399,V399:Y399,AB399:AE399,AH399:AK399),SUM(Таблица1[[#This Row],[1]:[31]])-Таблица1[[#This Row],[Столбец1]])))</f>
        <v>0</v>
      </c>
      <c r="AN399" s="269">
        <f t="array" ref="AN399">IF(AQ399=1,SUM(J399:K399,P399:Q399,V399:W399,AB399:AC399,AH399:AI399),
IF(AQ399=2,SUM(L399:M399,R399:S399,X399:Y399,AD399:AE399),
IF(AQ399=3,SUM(H399:I399,N399:O399,T399:U399,Z399:AA399,AF399:AG399),
SUM(IFERROR(WEEKDAY($H$2:$AL$2,2)&gt;5,)*H399:AL399))))</f>
        <v>0</v>
      </c>
      <c r="AO399" s="271" t="b">
        <f>IF(AR399&lt;=3,(IF((G399="5/24"),((база!$M$6*Таблица1[[#This Row],[сумма]]*Таблица1[[#This Row],[коэф]])),
IF((G399="4/24"),((база!$M$5*Таблица1[[#This Row],[сумма]]*Таблица1[[#This Row],[коэф]])),
IF((G399="3/24"),((база!$M$4*Таблица1[[#This Row],[сумма]]*Таблица1[[#This Row],[коэф]])),
IF((G399="5/16"),((база!$L$6*Таблица1[[#This Row],[сумма]]*Таблица1[[#This Row],[коэф]])),
IF((G399="4/16"),((база!$L$5*Таблица1[[#This Row],[сумма]]*Таблица1[[#This Row],[коэф]])),
IF((G399="3/16"),((база!$L$4*Таблица1[[#This Row],[сумма]]*Таблица1[[#This Row],[коэф]])),
IF((G399="4/4"),((база!$I$5*Таблица1[[#This Row],[сумма]]*Таблица1[[#This Row],[коэф]])),
IF(OR(G399="2/4",G399="3/4"),((база!$I$4*Таблица1[[#This Row],[сумма]]*Таблица1[[#This Row],[коэф]])),
IF((G399="5/8"),((база!$J$6*Таблица1[[#This Row],[сумма]]*Таблица1[[#This Row],[коэф]])),
IF((G399="4/8"),((база!$J$5*Таблица1[[#This Row],[сумма]]*Таблица1[[#This Row],[коэф]])),
IF(OR(G399="3/8",G399="2/8"),((база!$J$4*Таблица1[[#This Row],[сумма]]*Таблица1[[#This Row],[коэф]])))))))))))))),
(IF((G399="5/24"),((база!$M$6*Таблица1[[#This Row],[сумма]]*Таблица1[[#This Row],[коэф]])),
IF(OR(G399="4/24",G399="3/24"),((база!$M$5*Таблица1[[#This Row],[сумма]]*Таблица1[[#This Row],[коэф]])),
IF((G399="5/16"),((база!$L$6*Таблица1[[#This Row],[сумма]]*Таблица1[[#This Row],[коэф]])),
IF(OR(G399="4/16",G399="3/16"),((база!$L$5*Таблица1[[#This Row],[сумма]]*Таблица1[[#This Row],[коэф]])),
IF(OR(G399="2/4",G399="3/4",G399="4/4"),((база!$I$5*Таблица1[[#This Row],[сумма]]*Таблица1[[#This Row],[коэф]])),
IF((G399="5/8"),((база!$J$6*Таблица1[[#This Row],[сумма]]*Таблица1[[#This Row],[коэф]])),
IF(OR(G399="4/8",G399="3/8",G399="2/8"),((база!$J$5*Таблица1[[#This Row],[сумма]]*Таблица1[[#This Row],[коэф]])))))))))))</f>
        <v>0</v>
      </c>
      <c r="AP399" s="696" t="b">
        <f>IF(AR399&lt;=3,(IF((G399="5/24"),((база!$M$6*2*Таблица1[[#This Row],[Столбец1]]*Таблица1[[#This Row],[коэф]])),
IF((G399="4/24"),((база!$M$5*2*Таблица1[[#This Row],[Столбец1]]*Таблица1[[#This Row],[коэф]])),
IF((G399="3/24"),((база!$M$4*2*Таблица1[[#This Row],[Столбец1]]*Таблица1[[#This Row],[коэф]])),
IF((G399="5/16"),((база!$L$6*2*Таблица1[[#This Row],[Столбец1]]*Таблица1[[#This Row],[коэф]])),
IF((G399="4/16"),((база!$L$5*2*Таблица1[[#This Row],[Столбец1]]*Таблица1[[#This Row],[коэф]])),
IF((G399="3/16"),((база!$L$4*2*Таблица1[[#This Row],[Столбец1]]*Таблица1[[#This Row],[коэф]])),
IF((G399="4/4"),((база!$I$5*2*Таблица1[[#This Row],[Столбец1]]*Таблица1[[#This Row],[коэф]])),
IF(OR(G399="2/4",G399="3/4"),((база!$I$4*2*Таблица1[[#This Row],[Столбец1]]*Таблица1[[#This Row],[коэф]])),
IF((G399="5/8"),((база!$J$6*2*Таблица1[[#This Row],[Столбец1]]*Таблица1[[#This Row],[коэф]])),
IF((G399="4/8"),((база!$J$5*2*Таблица1[[#This Row],[Столбец1]]*Таблица1[[#This Row],[коэф]])),
IF(OR(G399="3/8",G399="2/8"),((база!$J$4*2*Таблица1[[#This Row],[Столбец1]]*Таблица1[[#This Row],[коэф]])))))))))))))),
(IF((G399="5/24"),((база!$M$6*2*Таблица1[[#This Row],[Столбец1]]*Таблица1[[#This Row],[коэф]])),
IF(OR(G399="4/24",G399="3/24"),((база!$M$5*2*Таблица1[[#This Row],[Столбец1]]*Таблица1[[#This Row],[коэф]])),
IF((G399="5/16"),((база!$L$6*2*Таблица1[[#This Row],[Столбец1]]*Таблица1[[#This Row],[коэф]])),
IF(OR(G399="4/16",G399="3/16"),((база!$L$5*2*Таблица1[[#This Row],[Столбец1]]*Таблица1[[#This Row],[коэф]])),
IF(OR(G399="2/4",G399="3/4",G399="4/4"),((база!$I$5*2*Таблица1[[#This Row],[Столбец1]]*Таблица1[[#This Row],[коэф]])),
IF((G399="5/8"),((база!$J$6*2*Таблица1[[#This Row],[Столбец1]]*Таблица1[[#This Row],[коэф]])),
IF(OR(G399="4/8",G399="3/8",G399="2/8"),((база!$J$5*2*Таблица1[[#This Row],[Столбец1]]*Таблица1[[#This Row],[коэф]])))))))))))</f>
        <v>0</v>
      </c>
      <c r="AQ399" s="678" t="str">
        <f>IFERROR(INDEX(база!T:T, MATCH(F399,база!Q:Q,0)),"")</f>
        <v/>
      </c>
      <c r="AR399" s="193">
        <f>IFERROR(INDEX(база!D:D, MATCH(F399,база!B:B,0)),"")</f>
        <v>0</v>
      </c>
    </row>
    <row r="400" spans="1:44" ht="15">
      <c r="A400" s="59"/>
      <c r="B400" s="215"/>
      <c r="C400" s="54"/>
      <c r="D400" s="55"/>
      <c r="E400" s="196"/>
      <c r="F400" s="651"/>
      <c r="G400" s="42"/>
      <c r="H400" s="539"/>
      <c r="I400" s="539"/>
      <c r="J400" s="539"/>
      <c r="K400" s="539"/>
      <c r="L400" s="539"/>
      <c r="M400" s="539"/>
      <c r="N400" s="539"/>
      <c r="O400" s="539"/>
      <c r="P400" s="278"/>
      <c r="Q400" s="539"/>
      <c r="R400" s="539"/>
      <c r="S400" s="539"/>
      <c r="T400" s="539"/>
      <c r="U400" s="539"/>
      <c r="V400" s="539"/>
      <c r="W400" s="539"/>
      <c r="X400" s="539"/>
      <c r="Y400" s="539"/>
      <c r="Z400" s="539"/>
      <c r="AA400" s="539"/>
      <c r="AB400" s="539"/>
      <c r="AC400" s="539"/>
      <c r="AD400" s="539"/>
      <c r="AE400" s="539"/>
      <c r="AF400" s="539"/>
      <c r="AG400" s="43"/>
      <c r="AH400" s="43"/>
      <c r="AI400" s="43"/>
      <c r="AJ400" s="43"/>
      <c r="AK400" s="43"/>
      <c r="AL400" s="45"/>
      <c r="AM400" s="197">
        <f>IF(AQ400=1,SUM(H400:I400,L400:O400,R400:U400,X400:AA400,AD400:AG400,AI400:AK400),
IF(AQ400=2,SUM(H400:K400,N400:Q400,T400:W400,Z400:AC400,AF400:AI400),
IF(AQ400=3,SUM(J400:M400,P400:S400,V400:Y400,AB400:AE400,AH400:AK400),SUM(Таблица1[[#This Row],[1]:[31]])-Таблица1[[#This Row],[Столбец1]])))</f>
        <v>0</v>
      </c>
      <c r="AN400" s="269">
        <f t="array" ref="AN400">IF(AQ400=1,SUM(J400:K400,P400:Q400,V400:W400,AB400:AC400,AH400:AI400),
IF(AQ400=2,SUM(L400:M400,R400:S400,X400:Y400,AD400:AE400),
IF(AQ400=3,SUM(H400:I400,N400:O400,T400:U400,Z400:AA400,AF400:AG400),
SUM(IFERROR(WEEKDAY($H$2:$AL$2,2)&gt;5,)*H400:AL400))))</f>
        <v>0</v>
      </c>
      <c r="AO400" s="271" t="b">
        <f>IF(AR400&lt;=3,(IF((G400="5/24"),((база!$M$6*Таблица1[[#This Row],[сумма]]*Таблица1[[#This Row],[коэф]])),
IF((G400="4/24"),((база!$M$5*Таблица1[[#This Row],[сумма]]*Таблица1[[#This Row],[коэф]])),
IF((G400="3/24"),((база!$M$4*Таблица1[[#This Row],[сумма]]*Таблица1[[#This Row],[коэф]])),
IF((G400="5/16"),((база!$L$6*Таблица1[[#This Row],[сумма]]*Таблица1[[#This Row],[коэф]])),
IF((G400="4/16"),((база!$L$5*Таблица1[[#This Row],[сумма]]*Таблица1[[#This Row],[коэф]])),
IF((G400="3/16"),((база!$L$4*Таблица1[[#This Row],[сумма]]*Таблица1[[#This Row],[коэф]])),
IF((G400="4/4"),((база!$I$5*Таблица1[[#This Row],[сумма]]*Таблица1[[#This Row],[коэф]])),
IF(OR(G400="2/4",G400="3/4"),((база!$I$4*Таблица1[[#This Row],[сумма]]*Таблица1[[#This Row],[коэф]])),
IF((G400="5/8"),((база!$J$6*Таблица1[[#This Row],[сумма]]*Таблица1[[#This Row],[коэф]])),
IF((G400="4/8"),((база!$J$5*Таблица1[[#This Row],[сумма]]*Таблица1[[#This Row],[коэф]])),
IF(OR(G400="3/8",G400="2/8"),((база!$J$4*Таблица1[[#This Row],[сумма]]*Таблица1[[#This Row],[коэф]])))))))))))))),
(IF((G400="5/24"),((база!$M$6*Таблица1[[#This Row],[сумма]]*Таблица1[[#This Row],[коэф]])),
IF(OR(G400="4/24",G400="3/24"),((база!$M$5*Таблица1[[#This Row],[сумма]]*Таблица1[[#This Row],[коэф]])),
IF((G400="5/16"),((база!$L$6*Таблица1[[#This Row],[сумма]]*Таблица1[[#This Row],[коэф]])),
IF(OR(G400="4/16",G400="3/16"),((база!$L$5*Таблица1[[#This Row],[сумма]]*Таблица1[[#This Row],[коэф]])),
IF(OR(G400="2/4",G400="3/4",G400="4/4"),((база!$I$5*Таблица1[[#This Row],[сумма]]*Таблица1[[#This Row],[коэф]])),
IF((G400="5/8"),((база!$J$6*Таблица1[[#This Row],[сумма]]*Таблица1[[#This Row],[коэф]])),
IF(OR(G400="4/8",G400="3/8",G400="2/8"),((база!$J$5*Таблица1[[#This Row],[сумма]]*Таблица1[[#This Row],[коэф]])))))))))))</f>
        <v>0</v>
      </c>
      <c r="AP400" s="696" t="b">
        <f>IF(AR400&lt;=3,(IF((G400="5/24"),((база!$M$6*2*Таблица1[[#This Row],[Столбец1]]*Таблица1[[#This Row],[коэф]])),
IF((G400="4/24"),((база!$M$5*2*Таблица1[[#This Row],[Столбец1]]*Таблица1[[#This Row],[коэф]])),
IF((G400="3/24"),((база!$M$4*2*Таблица1[[#This Row],[Столбец1]]*Таблица1[[#This Row],[коэф]])),
IF((G400="5/16"),((база!$L$6*2*Таблица1[[#This Row],[Столбец1]]*Таблица1[[#This Row],[коэф]])),
IF((G400="4/16"),((база!$L$5*2*Таблица1[[#This Row],[Столбец1]]*Таблица1[[#This Row],[коэф]])),
IF((G400="3/16"),((база!$L$4*2*Таблица1[[#This Row],[Столбец1]]*Таблица1[[#This Row],[коэф]])),
IF((G400="4/4"),((база!$I$5*2*Таблица1[[#This Row],[Столбец1]]*Таблица1[[#This Row],[коэф]])),
IF(OR(G400="2/4",G400="3/4"),((база!$I$4*2*Таблица1[[#This Row],[Столбец1]]*Таблица1[[#This Row],[коэф]])),
IF((G400="5/8"),((база!$J$6*2*Таблица1[[#This Row],[Столбец1]]*Таблица1[[#This Row],[коэф]])),
IF((G400="4/8"),((база!$J$5*2*Таблица1[[#This Row],[Столбец1]]*Таблица1[[#This Row],[коэф]])),
IF(OR(G400="3/8",G400="2/8"),((база!$J$4*2*Таблица1[[#This Row],[Столбец1]]*Таблица1[[#This Row],[коэф]])))))))))))))),
(IF((G400="5/24"),((база!$M$6*2*Таблица1[[#This Row],[Столбец1]]*Таблица1[[#This Row],[коэф]])),
IF(OR(G400="4/24",G400="3/24"),((база!$M$5*2*Таблица1[[#This Row],[Столбец1]]*Таблица1[[#This Row],[коэф]])),
IF((G400="5/16"),((база!$L$6*2*Таблица1[[#This Row],[Столбец1]]*Таблица1[[#This Row],[коэф]])),
IF(OR(G400="4/16",G400="3/16"),((база!$L$5*2*Таблица1[[#This Row],[Столбец1]]*Таблица1[[#This Row],[коэф]])),
IF(OR(G400="2/4",G400="3/4",G400="4/4"),((база!$I$5*2*Таблица1[[#This Row],[Столбец1]]*Таблица1[[#This Row],[коэф]])),
IF((G400="5/8"),((база!$J$6*2*Таблица1[[#This Row],[Столбец1]]*Таблица1[[#This Row],[коэф]])),
IF(OR(G400="4/8",G400="3/8",G400="2/8"),((база!$J$5*2*Таблица1[[#This Row],[Столбец1]]*Таблица1[[#This Row],[коэф]])))))))))))</f>
        <v>0</v>
      </c>
      <c r="AQ400" s="678" t="str">
        <f>IFERROR(INDEX(база!T:T, MATCH(F400,база!Q:Q,0)),"")</f>
        <v/>
      </c>
      <c r="AR400" s="193">
        <f>IFERROR(INDEX(база!D:D, MATCH(F400,база!B:B,0)),"")</f>
        <v>0</v>
      </c>
    </row>
    <row r="401" spans="1:44" ht="15">
      <c r="A401" s="59"/>
      <c r="B401" s="215"/>
      <c r="C401" s="54"/>
      <c r="D401" s="55"/>
      <c r="E401" s="196"/>
      <c r="F401" s="651"/>
      <c r="G401" s="42"/>
      <c r="H401" s="539"/>
      <c r="I401" s="539"/>
      <c r="J401" s="539"/>
      <c r="K401" s="539"/>
      <c r="L401" s="539"/>
      <c r="M401" s="539"/>
      <c r="N401" s="539"/>
      <c r="O401" s="539"/>
      <c r="P401" s="278"/>
      <c r="Q401" s="539"/>
      <c r="R401" s="539"/>
      <c r="S401" s="539"/>
      <c r="T401" s="539"/>
      <c r="U401" s="539"/>
      <c r="V401" s="539"/>
      <c r="W401" s="539"/>
      <c r="X401" s="539"/>
      <c r="Y401" s="539"/>
      <c r="Z401" s="539"/>
      <c r="AA401" s="539"/>
      <c r="AB401" s="539"/>
      <c r="AC401" s="539"/>
      <c r="AD401" s="43"/>
      <c r="AE401" s="43"/>
      <c r="AF401" s="238"/>
      <c r="AG401" s="43"/>
      <c r="AH401" s="43"/>
      <c r="AI401" s="238"/>
      <c r="AJ401" s="238"/>
      <c r="AK401" s="238"/>
      <c r="AL401" s="238"/>
      <c r="AM401" s="197">
        <f>IF(AQ401=1,SUM(H401:I401,L401:O401,R401:U401,X401:AA401,AD401:AG401,AI401:AK401),
IF(AQ401=2,SUM(H401:K401,N401:Q401,T401:W401,Z401:AC401,AF401:AI401),
IF(AQ401=3,SUM(J401:M401,P401:S401,V401:Y401,AB401:AE401,AH401:AK401),SUM(Таблица1[[#This Row],[1]:[31]])-Таблица1[[#This Row],[Столбец1]])))</f>
        <v>0</v>
      </c>
      <c r="AN401" s="269">
        <f t="array" ref="AN401">IF(AQ401=1,SUM(J401:K401,P401:Q401,V401:W401,AB401:AC401,AH401:AI401),
IF(AQ401=2,SUM(L401:M401,R401:S401,X401:Y401,AD401:AE401),
IF(AQ401=3,SUM(H401:I401,N401:O401,T401:U401,Z401:AA401,AF401:AG401),
SUM(IFERROR(WEEKDAY($H$2:$AL$2,2)&gt;5,)*H401:AL401))))</f>
        <v>0</v>
      </c>
      <c r="AO401" s="271" t="b">
        <f>IF(AR401&lt;=3,(IF((G401="5/24"),((база!$M$6*Таблица1[[#This Row],[сумма]]*Таблица1[[#This Row],[коэф]])),
IF((G401="4/24"),((база!$M$5*Таблица1[[#This Row],[сумма]]*Таблица1[[#This Row],[коэф]])),
IF((G401="3/24"),((база!$M$4*Таблица1[[#This Row],[сумма]]*Таблица1[[#This Row],[коэф]])),
IF((G401="5/16"),((база!$L$6*Таблица1[[#This Row],[сумма]]*Таблица1[[#This Row],[коэф]])),
IF((G401="4/16"),((база!$L$5*Таблица1[[#This Row],[сумма]]*Таблица1[[#This Row],[коэф]])),
IF((G401="3/16"),((база!$L$4*Таблица1[[#This Row],[сумма]]*Таблица1[[#This Row],[коэф]])),
IF((G401="4/4"),((база!$I$5*Таблица1[[#This Row],[сумма]]*Таблица1[[#This Row],[коэф]])),
IF(OR(G401="2/4",G401="3/4"),((база!$I$4*Таблица1[[#This Row],[сумма]]*Таблица1[[#This Row],[коэф]])),
IF((G401="5/8"),((база!$J$6*Таблица1[[#This Row],[сумма]]*Таблица1[[#This Row],[коэф]])),
IF((G401="4/8"),((база!$J$5*Таблица1[[#This Row],[сумма]]*Таблица1[[#This Row],[коэф]])),
IF(OR(G401="3/8",G401="2/8"),((база!$J$4*Таблица1[[#This Row],[сумма]]*Таблица1[[#This Row],[коэф]])))))))))))))),
(IF((G401="5/24"),((база!$M$6*Таблица1[[#This Row],[сумма]]*Таблица1[[#This Row],[коэф]])),
IF(OR(G401="4/24",G401="3/24"),((база!$M$5*Таблица1[[#This Row],[сумма]]*Таблица1[[#This Row],[коэф]])),
IF((G401="5/16"),((база!$L$6*Таблица1[[#This Row],[сумма]]*Таблица1[[#This Row],[коэф]])),
IF(OR(G401="4/16",G401="3/16"),((база!$L$5*Таблица1[[#This Row],[сумма]]*Таблица1[[#This Row],[коэф]])),
IF(OR(G401="2/4",G401="3/4",G401="4/4"),((база!$I$5*Таблица1[[#This Row],[сумма]]*Таблица1[[#This Row],[коэф]])),
IF((G401="5/8"),((база!$J$6*Таблица1[[#This Row],[сумма]]*Таблица1[[#This Row],[коэф]])),
IF(OR(G401="4/8",G401="3/8",G401="2/8"),((база!$J$5*Таблица1[[#This Row],[сумма]]*Таблица1[[#This Row],[коэф]])))))))))))</f>
        <v>0</v>
      </c>
      <c r="AP401" s="696" t="b">
        <f>IF(AR401&lt;=3,(IF((G401="5/24"),((база!$M$6*2*Таблица1[[#This Row],[Столбец1]]*Таблица1[[#This Row],[коэф]])),
IF((G401="4/24"),((база!$M$5*2*Таблица1[[#This Row],[Столбец1]]*Таблица1[[#This Row],[коэф]])),
IF((G401="3/24"),((база!$M$4*2*Таблица1[[#This Row],[Столбец1]]*Таблица1[[#This Row],[коэф]])),
IF((G401="5/16"),((база!$L$6*2*Таблица1[[#This Row],[Столбец1]]*Таблица1[[#This Row],[коэф]])),
IF((G401="4/16"),((база!$L$5*2*Таблица1[[#This Row],[Столбец1]]*Таблица1[[#This Row],[коэф]])),
IF((G401="3/16"),((база!$L$4*2*Таблица1[[#This Row],[Столбец1]]*Таблица1[[#This Row],[коэф]])),
IF((G401="4/4"),((база!$I$5*2*Таблица1[[#This Row],[Столбец1]]*Таблица1[[#This Row],[коэф]])),
IF(OR(G401="2/4",G401="3/4"),((база!$I$4*2*Таблица1[[#This Row],[Столбец1]]*Таблица1[[#This Row],[коэф]])),
IF((G401="5/8"),((база!$J$6*2*Таблица1[[#This Row],[Столбец1]]*Таблица1[[#This Row],[коэф]])),
IF((G401="4/8"),((база!$J$5*2*Таблица1[[#This Row],[Столбец1]]*Таблица1[[#This Row],[коэф]])),
IF(OR(G401="3/8",G401="2/8"),((база!$J$4*2*Таблица1[[#This Row],[Столбец1]]*Таблица1[[#This Row],[коэф]])))))))))))))),
(IF((G401="5/24"),((база!$M$6*2*Таблица1[[#This Row],[Столбец1]]*Таблица1[[#This Row],[коэф]])),
IF(OR(G401="4/24",G401="3/24"),((база!$M$5*2*Таблица1[[#This Row],[Столбец1]]*Таблица1[[#This Row],[коэф]])),
IF((G401="5/16"),((база!$L$6*2*Таблица1[[#This Row],[Столбец1]]*Таблица1[[#This Row],[коэф]])),
IF(OR(G401="4/16",G401="3/16"),((база!$L$5*2*Таблица1[[#This Row],[Столбец1]]*Таблица1[[#This Row],[коэф]])),
IF(OR(G401="2/4",G401="3/4",G401="4/4"),((база!$I$5*2*Таблица1[[#This Row],[Столбец1]]*Таблица1[[#This Row],[коэф]])),
IF((G401="5/8"),((база!$J$6*2*Таблица1[[#This Row],[Столбец1]]*Таблица1[[#This Row],[коэф]])),
IF(OR(G401="4/8",G401="3/8",G401="2/8"),((база!$J$5*2*Таблица1[[#This Row],[Столбец1]]*Таблица1[[#This Row],[коэф]])))))))))))</f>
        <v>0</v>
      </c>
      <c r="AQ401" s="678" t="str">
        <f>IFERROR(INDEX(база!T:T, MATCH(F401,база!Q:Q,0)),"")</f>
        <v/>
      </c>
      <c r="AR401" s="193">
        <f>IFERROR(INDEX(база!D:D, MATCH(F401,база!B:B,0)),"")</f>
        <v>0</v>
      </c>
    </row>
    <row r="402" spans="1:44" ht="15">
      <c r="A402" s="59"/>
      <c r="B402" s="215"/>
      <c r="C402" s="277"/>
      <c r="D402" s="55"/>
      <c r="E402" s="196"/>
      <c r="F402" s="651"/>
      <c r="G402" s="42"/>
      <c r="H402" s="539"/>
      <c r="I402" s="539"/>
      <c r="J402" s="539"/>
      <c r="K402" s="539"/>
      <c r="L402" s="539"/>
      <c r="M402" s="539"/>
      <c r="N402" s="539"/>
      <c r="O402" s="539"/>
      <c r="P402" s="278"/>
      <c r="Q402" s="539"/>
      <c r="R402" s="539"/>
      <c r="S402" s="539"/>
      <c r="T402" s="539"/>
      <c r="U402" s="539"/>
      <c r="V402" s="539"/>
      <c r="W402" s="539"/>
      <c r="X402" s="539"/>
      <c r="Y402" s="539"/>
      <c r="Z402" s="539"/>
      <c r="AA402" s="539"/>
      <c r="AB402" s="539"/>
      <c r="AC402" s="539"/>
      <c r="AD402" s="43"/>
      <c r="AE402" s="43"/>
      <c r="AF402" s="238"/>
      <c r="AG402" s="43"/>
      <c r="AH402" s="43"/>
      <c r="AI402" s="43"/>
      <c r="AJ402" s="43"/>
      <c r="AK402" s="43"/>
      <c r="AL402" s="45"/>
      <c r="AM402" s="197">
        <f>IF(AQ402=1,SUM(H402:I402,L402:O402,R402:U402,X402:AA402,AD402:AG402,AI402:AK402),
IF(AQ402=2,SUM(H402:K402,N402:Q402,T402:W402,Z402:AC402,AF402:AI402),
IF(AQ402=3,SUM(J402:M402,P402:S402,V402:Y402,AB402:AE402,AH402:AK402),SUM(Таблица1[[#This Row],[1]:[31]])-Таблица1[[#This Row],[Столбец1]])))</f>
        <v>0</v>
      </c>
      <c r="AN402" s="269">
        <f t="array" ref="AN402">IF(AQ402=1,SUM(J402:K402,P402:Q402,V402:W402,AB402:AC402,AH402:AI402),
IF(AQ402=2,SUM(L402:M402,R402:S402,X402:Y402,AD402:AE402),
IF(AQ402=3,SUM(H402:I402,N402:O402,T402:U402,Z402:AA402,AF402:AG402),
SUM(IFERROR(WEEKDAY($H$2:$AL$2,2)&gt;5,)*H402:AL402))))</f>
        <v>0</v>
      </c>
      <c r="AO402" s="271" t="b">
        <f>IF(AR402&lt;=3,(IF((G402="5/24"),((база!$M$6*Таблица1[[#This Row],[сумма]]*Таблица1[[#This Row],[коэф]])),
IF((G402="4/24"),((база!$M$5*Таблица1[[#This Row],[сумма]]*Таблица1[[#This Row],[коэф]])),
IF((G402="3/24"),((база!$M$4*Таблица1[[#This Row],[сумма]]*Таблица1[[#This Row],[коэф]])),
IF((G402="5/16"),((база!$L$6*Таблица1[[#This Row],[сумма]]*Таблица1[[#This Row],[коэф]])),
IF((G402="4/16"),((база!$L$5*Таблица1[[#This Row],[сумма]]*Таблица1[[#This Row],[коэф]])),
IF((G402="3/16"),((база!$L$4*Таблица1[[#This Row],[сумма]]*Таблица1[[#This Row],[коэф]])),
IF((G402="4/4"),((база!$I$5*Таблица1[[#This Row],[сумма]]*Таблица1[[#This Row],[коэф]])),
IF(OR(G402="2/4",G402="3/4"),((база!$I$4*Таблица1[[#This Row],[сумма]]*Таблица1[[#This Row],[коэф]])),
IF((G402="5/8"),((база!$J$6*Таблица1[[#This Row],[сумма]]*Таблица1[[#This Row],[коэф]])),
IF((G402="4/8"),((база!$J$5*Таблица1[[#This Row],[сумма]]*Таблица1[[#This Row],[коэф]])),
IF(OR(G402="3/8",G402="2/8"),((база!$J$4*Таблица1[[#This Row],[сумма]]*Таблица1[[#This Row],[коэф]])))))))))))))),
(IF((G402="5/24"),((база!$M$6*Таблица1[[#This Row],[сумма]]*Таблица1[[#This Row],[коэф]])),
IF(OR(G402="4/24",G402="3/24"),((база!$M$5*Таблица1[[#This Row],[сумма]]*Таблица1[[#This Row],[коэф]])),
IF((G402="5/16"),((база!$L$6*Таблица1[[#This Row],[сумма]]*Таблица1[[#This Row],[коэф]])),
IF(OR(G402="4/16",G402="3/16"),((база!$L$5*Таблица1[[#This Row],[сумма]]*Таблица1[[#This Row],[коэф]])),
IF(OR(G402="2/4",G402="3/4",G402="4/4"),((база!$I$5*Таблица1[[#This Row],[сумма]]*Таблица1[[#This Row],[коэф]])),
IF((G402="5/8"),((база!$J$6*Таблица1[[#This Row],[сумма]]*Таблица1[[#This Row],[коэф]])),
IF(OR(G402="4/8",G402="3/8",G402="2/8"),((база!$J$5*Таблица1[[#This Row],[сумма]]*Таблица1[[#This Row],[коэф]])))))))))))</f>
        <v>0</v>
      </c>
      <c r="AP402" s="696" t="b">
        <f>IF(AR402&lt;=3,(IF((G402="5/24"),((база!$M$6*2*Таблица1[[#This Row],[Столбец1]]*Таблица1[[#This Row],[коэф]])),
IF((G402="4/24"),((база!$M$5*2*Таблица1[[#This Row],[Столбец1]]*Таблица1[[#This Row],[коэф]])),
IF((G402="3/24"),((база!$M$4*2*Таблица1[[#This Row],[Столбец1]]*Таблица1[[#This Row],[коэф]])),
IF((G402="5/16"),((база!$L$6*2*Таблица1[[#This Row],[Столбец1]]*Таблица1[[#This Row],[коэф]])),
IF((G402="4/16"),((база!$L$5*2*Таблица1[[#This Row],[Столбец1]]*Таблица1[[#This Row],[коэф]])),
IF((G402="3/16"),((база!$L$4*2*Таблица1[[#This Row],[Столбец1]]*Таблица1[[#This Row],[коэф]])),
IF((G402="4/4"),((база!$I$5*2*Таблица1[[#This Row],[Столбец1]]*Таблица1[[#This Row],[коэф]])),
IF(OR(G402="2/4",G402="3/4"),((база!$I$4*2*Таблица1[[#This Row],[Столбец1]]*Таблица1[[#This Row],[коэф]])),
IF((G402="5/8"),((база!$J$6*2*Таблица1[[#This Row],[Столбец1]]*Таблица1[[#This Row],[коэф]])),
IF((G402="4/8"),((база!$J$5*2*Таблица1[[#This Row],[Столбец1]]*Таблица1[[#This Row],[коэф]])),
IF(OR(G402="3/8",G402="2/8"),((база!$J$4*2*Таблица1[[#This Row],[Столбец1]]*Таблица1[[#This Row],[коэф]])))))))))))))),
(IF((G402="5/24"),((база!$M$6*2*Таблица1[[#This Row],[Столбец1]]*Таблица1[[#This Row],[коэф]])),
IF(OR(G402="4/24",G402="3/24"),((база!$M$5*2*Таблица1[[#This Row],[Столбец1]]*Таблица1[[#This Row],[коэф]])),
IF((G402="5/16"),((база!$L$6*2*Таблица1[[#This Row],[Столбец1]]*Таблица1[[#This Row],[коэф]])),
IF(OR(G402="4/16",G402="3/16"),((база!$L$5*2*Таблица1[[#This Row],[Столбец1]]*Таблица1[[#This Row],[коэф]])),
IF(OR(G402="2/4",G402="3/4",G402="4/4"),((база!$I$5*2*Таблица1[[#This Row],[Столбец1]]*Таблица1[[#This Row],[коэф]])),
IF((G402="5/8"),((база!$J$6*2*Таблица1[[#This Row],[Столбец1]]*Таблица1[[#This Row],[коэф]])),
IF(OR(G402="4/8",G402="3/8",G402="2/8"),((база!$J$5*2*Таблица1[[#This Row],[Столбец1]]*Таблица1[[#This Row],[коэф]])))))))))))</f>
        <v>0</v>
      </c>
      <c r="AQ402" s="678" t="str">
        <f>IFERROR(INDEX(база!T:T, MATCH(F402,база!Q:Q,0)),"")</f>
        <v/>
      </c>
      <c r="AR402" s="193">
        <f>IFERROR(INDEX(база!D:D, MATCH(F402,база!B:B,0)),"")</f>
        <v>0</v>
      </c>
    </row>
    <row r="403" spans="1:44" ht="15">
      <c r="A403" s="59"/>
      <c r="B403" s="215"/>
      <c r="C403" s="277"/>
      <c r="D403" s="55"/>
      <c r="E403" s="196"/>
      <c r="F403" s="651"/>
      <c r="G403" s="42"/>
      <c r="H403" s="539"/>
      <c r="I403" s="539"/>
      <c r="J403" s="539"/>
      <c r="K403" s="539"/>
      <c r="L403" s="539"/>
      <c r="M403" s="539"/>
      <c r="N403" s="539"/>
      <c r="O403" s="539"/>
      <c r="P403" s="278"/>
      <c r="Q403" s="539"/>
      <c r="R403" s="539"/>
      <c r="S403" s="539"/>
      <c r="T403" s="539"/>
      <c r="U403" s="539"/>
      <c r="V403" s="539"/>
      <c r="W403" s="539"/>
      <c r="X403" s="539"/>
      <c r="Y403" s="539"/>
      <c r="Z403" s="539"/>
      <c r="AA403" s="539"/>
      <c r="AB403" s="539"/>
      <c r="AC403" s="539"/>
      <c r="AD403" s="43"/>
      <c r="AE403" s="43"/>
      <c r="AF403" s="238"/>
      <c r="AG403" s="43"/>
      <c r="AH403" s="43"/>
      <c r="AI403" s="43"/>
      <c r="AJ403" s="238"/>
      <c r="AK403" s="238"/>
      <c r="AL403" s="238"/>
      <c r="AM403" s="197">
        <f>IF(AQ403=1,SUM(H403:I403,L403:O403,R403:U403,X403:AA403,AD403:AG403,AI403:AK403),
IF(AQ403=2,SUM(H403:K403,N403:Q403,T403:W403,Z403:AC403,AF403:AI403),
IF(AQ403=3,SUM(J403:M403,P403:S403,V403:Y403,AB403:AE403,AH403:AK403),SUM(Таблица1[[#This Row],[1]:[31]])-Таблица1[[#This Row],[Столбец1]])))</f>
        <v>0</v>
      </c>
      <c r="AN403" s="269">
        <f t="array" ref="AN403">IF(AQ403=1,SUM(J403:K403,P403:Q403,V403:W403,AB403:AC403,AH403:AI403),
IF(AQ403=2,SUM(L403:M403,R403:S403,X403:Y403,AD403:AE403),
IF(AQ403=3,SUM(H403:I403,N403:O403,T403:U403,Z403:AA403,AF403:AG403),
SUM(IFERROR(WEEKDAY($H$2:$AL$2,2)&gt;5,)*H403:AL403))))</f>
        <v>0</v>
      </c>
      <c r="AO403" s="271" t="b">
        <f>IF(AR403&lt;=3,(IF((G403="5/24"),((база!$M$6*Таблица1[[#This Row],[сумма]]*Таблица1[[#This Row],[коэф]])),
IF((G403="4/24"),((база!$M$5*Таблица1[[#This Row],[сумма]]*Таблица1[[#This Row],[коэф]])),
IF((G403="3/24"),((база!$M$4*Таблица1[[#This Row],[сумма]]*Таблица1[[#This Row],[коэф]])),
IF((G403="5/16"),((база!$L$6*Таблица1[[#This Row],[сумма]]*Таблица1[[#This Row],[коэф]])),
IF((G403="4/16"),((база!$L$5*Таблица1[[#This Row],[сумма]]*Таблица1[[#This Row],[коэф]])),
IF((G403="3/16"),((база!$L$4*Таблица1[[#This Row],[сумма]]*Таблица1[[#This Row],[коэф]])),
IF((G403="4/4"),((база!$I$5*Таблица1[[#This Row],[сумма]]*Таблица1[[#This Row],[коэф]])),
IF(OR(G403="2/4",G403="3/4"),((база!$I$4*Таблица1[[#This Row],[сумма]]*Таблица1[[#This Row],[коэф]])),
IF((G403="5/8"),((база!$J$6*Таблица1[[#This Row],[сумма]]*Таблица1[[#This Row],[коэф]])),
IF((G403="4/8"),((база!$J$5*Таблица1[[#This Row],[сумма]]*Таблица1[[#This Row],[коэф]])),
IF(OR(G403="3/8",G403="2/8"),((база!$J$4*Таблица1[[#This Row],[сумма]]*Таблица1[[#This Row],[коэф]])))))))))))))),
(IF((G403="5/24"),((база!$M$6*Таблица1[[#This Row],[сумма]]*Таблица1[[#This Row],[коэф]])),
IF(OR(G403="4/24",G403="3/24"),((база!$M$5*Таблица1[[#This Row],[сумма]]*Таблица1[[#This Row],[коэф]])),
IF((G403="5/16"),((база!$L$6*Таблица1[[#This Row],[сумма]]*Таблица1[[#This Row],[коэф]])),
IF(OR(G403="4/16",G403="3/16"),((база!$L$5*Таблица1[[#This Row],[сумма]]*Таблица1[[#This Row],[коэф]])),
IF(OR(G403="2/4",G403="3/4",G403="4/4"),((база!$I$5*Таблица1[[#This Row],[сумма]]*Таблица1[[#This Row],[коэф]])),
IF((G403="5/8"),((база!$J$6*Таблица1[[#This Row],[сумма]]*Таблица1[[#This Row],[коэф]])),
IF(OR(G403="4/8",G403="3/8",G403="2/8"),((база!$J$5*Таблица1[[#This Row],[сумма]]*Таблица1[[#This Row],[коэф]])))))))))))</f>
        <v>0</v>
      </c>
      <c r="AP403" s="696" t="b">
        <f>IF(AR403&lt;=3,(IF((G403="5/24"),((база!$M$6*2*Таблица1[[#This Row],[Столбец1]]*Таблица1[[#This Row],[коэф]])),
IF((G403="4/24"),((база!$M$5*2*Таблица1[[#This Row],[Столбец1]]*Таблица1[[#This Row],[коэф]])),
IF((G403="3/24"),((база!$M$4*2*Таблица1[[#This Row],[Столбец1]]*Таблица1[[#This Row],[коэф]])),
IF((G403="5/16"),((база!$L$6*2*Таблица1[[#This Row],[Столбец1]]*Таблица1[[#This Row],[коэф]])),
IF((G403="4/16"),((база!$L$5*2*Таблица1[[#This Row],[Столбец1]]*Таблица1[[#This Row],[коэф]])),
IF((G403="3/16"),((база!$L$4*2*Таблица1[[#This Row],[Столбец1]]*Таблица1[[#This Row],[коэф]])),
IF((G403="4/4"),((база!$I$5*2*Таблица1[[#This Row],[Столбец1]]*Таблица1[[#This Row],[коэф]])),
IF(OR(G403="2/4",G403="3/4"),((база!$I$4*2*Таблица1[[#This Row],[Столбец1]]*Таблица1[[#This Row],[коэф]])),
IF((G403="5/8"),((база!$J$6*2*Таблица1[[#This Row],[Столбец1]]*Таблица1[[#This Row],[коэф]])),
IF((G403="4/8"),((база!$J$5*2*Таблица1[[#This Row],[Столбец1]]*Таблица1[[#This Row],[коэф]])),
IF(OR(G403="3/8",G403="2/8"),((база!$J$4*2*Таблица1[[#This Row],[Столбец1]]*Таблица1[[#This Row],[коэф]])))))))))))))),
(IF((G403="5/24"),((база!$M$6*2*Таблица1[[#This Row],[Столбец1]]*Таблица1[[#This Row],[коэф]])),
IF(OR(G403="4/24",G403="3/24"),((база!$M$5*2*Таблица1[[#This Row],[Столбец1]]*Таблица1[[#This Row],[коэф]])),
IF((G403="5/16"),((база!$L$6*2*Таблица1[[#This Row],[Столбец1]]*Таблица1[[#This Row],[коэф]])),
IF(OR(G403="4/16",G403="3/16"),((база!$L$5*2*Таблица1[[#This Row],[Столбец1]]*Таблица1[[#This Row],[коэф]])),
IF(OR(G403="2/4",G403="3/4",G403="4/4"),((база!$I$5*2*Таблица1[[#This Row],[Столбец1]]*Таблица1[[#This Row],[коэф]])),
IF((G403="5/8"),((база!$J$6*2*Таблица1[[#This Row],[Столбец1]]*Таблица1[[#This Row],[коэф]])),
IF(OR(G403="4/8",G403="3/8",G403="2/8"),((база!$J$5*2*Таблица1[[#This Row],[Столбец1]]*Таблица1[[#This Row],[коэф]])))))))))))</f>
        <v>0</v>
      </c>
      <c r="AQ403" s="678" t="str">
        <f>IFERROR(INDEX(база!T:T, MATCH(F403,база!Q:Q,0)),"")</f>
        <v/>
      </c>
      <c r="AR403" s="193">
        <f>IFERROR(INDEX(база!D:D, MATCH(F403,база!B:B,0)),"")</f>
        <v>0</v>
      </c>
    </row>
    <row r="404" spans="1:44" ht="15">
      <c r="A404" s="59"/>
      <c r="B404" s="215"/>
      <c r="C404" s="54"/>
      <c r="D404" s="55"/>
      <c r="E404" s="196"/>
      <c r="F404" s="651"/>
      <c r="G404" s="42"/>
      <c r="H404" s="539"/>
      <c r="I404" s="539"/>
      <c r="J404" s="539"/>
      <c r="K404" s="539"/>
      <c r="L404" s="539"/>
      <c r="M404" s="539"/>
      <c r="N404" s="539"/>
      <c r="O404" s="539"/>
      <c r="P404" s="278"/>
      <c r="Q404" s="539"/>
      <c r="R404" s="539"/>
      <c r="S404" s="539"/>
      <c r="T404" s="539"/>
      <c r="U404" s="539"/>
      <c r="V404" s="539"/>
      <c r="W404" s="539"/>
      <c r="X404" s="539"/>
      <c r="Y404" s="539"/>
      <c r="Z404" s="539"/>
      <c r="AA404" s="539"/>
      <c r="AB404" s="539"/>
      <c r="AC404" s="539"/>
      <c r="AD404" s="43"/>
      <c r="AE404" s="43"/>
      <c r="AF404" s="43"/>
      <c r="AG404" s="43"/>
      <c r="AH404" s="43"/>
      <c r="AI404" s="43"/>
      <c r="AJ404" s="43"/>
      <c r="AK404" s="43"/>
      <c r="AL404" s="45"/>
      <c r="AM404" s="197">
        <f>IF(AQ404=1,SUM(H404:I404,L404:O404,R404:U404,X404:AA404,AD404:AG404,AI404:AK404),
IF(AQ404=2,SUM(H404:K404,N404:Q404,T404:W404,Z404:AC404,AF404:AI404),
IF(AQ404=3,SUM(J404:M404,P404:S404,V404:Y404,AB404:AE404,AH404:AK404),SUM(Таблица1[[#This Row],[1]:[31]])-Таблица1[[#This Row],[Столбец1]])))</f>
        <v>0</v>
      </c>
      <c r="AN404" s="269">
        <f t="array" ref="AN404">IF(AQ404=1,SUM(J404:K404,P404:Q404,V404:W404,AB404:AC404,AH404:AI404),
IF(AQ404=2,SUM(L404:M404,R404:S404,X404:Y404,AD404:AE404),
IF(AQ404=3,SUM(H404:I404,N404:O404,T404:U404,Z404:AA404,AF404:AG404),
SUM(IFERROR(WEEKDAY($H$2:$AL$2,2)&gt;5,)*H404:AL404))))</f>
        <v>0</v>
      </c>
      <c r="AO404" s="271" t="b">
        <f>IF(AR404&lt;=3,(IF((G404="5/24"),((база!$M$6*Таблица1[[#This Row],[сумма]]*Таблица1[[#This Row],[коэф]])),
IF((G404="4/24"),((база!$M$5*Таблица1[[#This Row],[сумма]]*Таблица1[[#This Row],[коэф]])),
IF((G404="3/24"),((база!$M$4*Таблица1[[#This Row],[сумма]]*Таблица1[[#This Row],[коэф]])),
IF((G404="5/16"),((база!$L$6*Таблица1[[#This Row],[сумма]]*Таблица1[[#This Row],[коэф]])),
IF((G404="4/16"),((база!$L$5*Таблица1[[#This Row],[сумма]]*Таблица1[[#This Row],[коэф]])),
IF((G404="3/16"),((база!$L$4*Таблица1[[#This Row],[сумма]]*Таблица1[[#This Row],[коэф]])),
IF((G404="4/4"),((база!$I$5*Таблица1[[#This Row],[сумма]]*Таблица1[[#This Row],[коэф]])),
IF(OR(G404="2/4",G404="3/4"),((база!$I$4*Таблица1[[#This Row],[сумма]]*Таблица1[[#This Row],[коэф]])),
IF((G404="5/8"),((база!$J$6*Таблица1[[#This Row],[сумма]]*Таблица1[[#This Row],[коэф]])),
IF((G404="4/8"),((база!$J$5*Таблица1[[#This Row],[сумма]]*Таблица1[[#This Row],[коэф]])),
IF(OR(G404="3/8",G404="2/8"),((база!$J$4*Таблица1[[#This Row],[сумма]]*Таблица1[[#This Row],[коэф]])))))))))))))),
(IF((G404="5/24"),((база!$M$6*Таблица1[[#This Row],[сумма]]*Таблица1[[#This Row],[коэф]])),
IF(OR(G404="4/24",G404="3/24"),((база!$M$5*Таблица1[[#This Row],[сумма]]*Таблица1[[#This Row],[коэф]])),
IF((G404="5/16"),((база!$L$6*Таблица1[[#This Row],[сумма]]*Таблица1[[#This Row],[коэф]])),
IF(OR(G404="4/16",G404="3/16"),((база!$L$5*Таблица1[[#This Row],[сумма]]*Таблица1[[#This Row],[коэф]])),
IF(OR(G404="2/4",G404="3/4",G404="4/4"),((база!$I$5*Таблица1[[#This Row],[сумма]]*Таблица1[[#This Row],[коэф]])),
IF((G404="5/8"),((база!$J$6*Таблица1[[#This Row],[сумма]]*Таблица1[[#This Row],[коэф]])),
IF(OR(G404="4/8",G404="3/8",G404="2/8"),((база!$J$5*Таблица1[[#This Row],[сумма]]*Таблица1[[#This Row],[коэф]])))))))))))</f>
        <v>0</v>
      </c>
      <c r="AP404" s="696" t="b">
        <f>IF(AR404&lt;=3,(IF((G404="5/24"),((база!$M$6*2*Таблица1[[#This Row],[Столбец1]]*Таблица1[[#This Row],[коэф]])),
IF((G404="4/24"),((база!$M$5*2*Таблица1[[#This Row],[Столбец1]]*Таблица1[[#This Row],[коэф]])),
IF((G404="3/24"),((база!$M$4*2*Таблица1[[#This Row],[Столбец1]]*Таблица1[[#This Row],[коэф]])),
IF((G404="5/16"),((база!$L$6*2*Таблица1[[#This Row],[Столбец1]]*Таблица1[[#This Row],[коэф]])),
IF((G404="4/16"),((база!$L$5*2*Таблица1[[#This Row],[Столбец1]]*Таблица1[[#This Row],[коэф]])),
IF((G404="3/16"),((база!$L$4*2*Таблица1[[#This Row],[Столбец1]]*Таблица1[[#This Row],[коэф]])),
IF((G404="4/4"),((база!$I$5*2*Таблица1[[#This Row],[Столбец1]]*Таблица1[[#This Row],[коэф]])),
IF(OR(G404="2/4",G404="3/4"),((база!$I$4*2*Таблица1[[#This Row],[Столбец1]]*Таблица1[[#This Row],[коэф]])),
IF((G404="5/8"),((база!$J$6*2*Таблица1[[#This Row],[Столбец1]]*Таблица1[[#This Row],[коэф]])),
IF((G404="4/8"),((база!$J$5*2*Таблица1[[#This Row],[Столбец1]]*Таблица1[[#This Row],[коэф]])),
IF(OR(G404="3/8",G404="2/8"),((база!$J$4*2*Таблица1[[#This Row],[Столбец1]]*Таблица1[[#This Row],[коэф]])))))))))))))),
(IF((G404="5/24"),((база!$M$6*2*Таблица1[[#This Row],[Столбец1]]*Таблица1[[#This Row],[коэф]])),
IF(OR(G404="4/24",G404="3/24"),((база!$M$5*2*Таблица1[[#This Row],[Столбец1]]*Таблица1[[#This Row],[коэф]])),
IF((G404="5/16"),((база!$L$6*2*Таблица1[[#This Row],[Столбец1]]*Таблица1[[#This Row],[коэф]])),
IF(OR(G404="4/16",G404="3/16"),((база!$L$5*2*Таблица1[[#This Row],[Столбец1]]*Таблица1[[#This Row],[коэф]])),
IF(OR(G404="2/4",G404="3/4",G404="4/4"),((база!$I$5*2*Таблица1[[#This Row],[Столбец1]]*Таблица1[[#This Row],[коэф]])),
IF((G404="5/8"),((база!$J$6*2*Таблица1[[#This Row],[Столбец1]]*Таблица1[[#This Row],[коэф]])),
IF(OR(G404="4/8",G404="3/8",G404="2/8"),((база!$J$5*2*Таблица1[[#This Row],[Столбец1]]*Таблица1[[#This Row],[коэф]])))))))))))</f>
        <v>0</v>
      </c>
      <c r="AQ404" s="678" t="str">
        <f>IFERROR(INDEX(база!T:T, MATCH(F404,база!Q:Q,0)),"")</f>
        <v/>
      </c>
      <c r="AR404" s="193">
        <f>IFERROR(INDEX(база!D:D, MATCH(F404,база!B:B,0)),"")</f>
        <v>0</v>
      </c>
    </row>
    <row r="405" spans="1:44" ht="15">
      <c r="A405" s="59"/>
      <c r="B405" s="215"/>
      <c r="C405" s="277"/>
      <c r="D405" s="55"/>
      <c r="E405" s="196"/>
      <c r="F405" s="651"/>
      <c r="G405" s="42"/>
      <c r="H405" s="539"/>
      <c r="I405" s="539"/>
      <c r="J405" s="539"/>
      <c r="K405" s="539"/>
      <c r="L405" s="539"/>
      <c r="M405" s="539"/>
      <c r="N405" s="539"/>
      <c r="O405" s="539"/>
      <c r="P405" s="278"/>
      <c r="Q405" s="539"/>
      <c r="R405" s="539"/>
      <c r="S405" s="539"/>
      <c r="T405" s="539"/>
      <c r="U405" s="539"/>
      <c r="V405" s="539"/>
      <c r="W405" s="539"/>
      <c r="X405" s="539"/>
      <c r="Y405" s="539"/>
      <c r="Z405" s="539"/>
      <c r="AA405" s="539"/>
      <c r="AB405" s="539"/>
      <c r="AC405" s="539"/>
      <c r="AD405" s="43"/>
      <c r="AE405" s="43"/>
      <c r="AF405" s="238"/>
      <c r="AG405" s="238"/>
      <c r="AH405" s="238"/>
      <c r="AI405" s="238"/>
      <c r="AJ405" s="238"/>
      <c r="AK405" s="238"/>
      <c r="AL405" s="238"/>
      <c r="AM405" s="197">
        <f>IF(AQ405=1,SUM(H405:I405,L405:O405,R405:U405,X405:AA405,AD405:AG405,AI405:AK405),
IF(AQ405=2,SUM(H405:K405,N405:Q405,T405:W405,Z405:AC405,AF405:AI405),
IF(AQ405=3,SUM(J405:M405,P405:S405,V405:Y405,AB405:AE405,AH405:AK405),SUM(Таблица1[[#This Row],[1]:[31]])-Таблица1[[#This Row],[Столбец1]])))</f>
        <v>0</v>
      </c>
      <c r="AN405" s="269">
        <f t="array" ref="AN405">IF(AQ405=1,SUM(J405:K405,P405:Q405,V405:W405,AB405:AC405,AH405:AI405),
IF(AQ405=2,SUM(L405:M405,R405:S405,X405:Y405,AD405:AE405),
IF(AQ405=3,SUM(H405:I405,N405:O405,T405:U405,Z405:AA405,AF405:AG405),
SUM(IFERROR(WEEKDAY($H$2:$AL$2,2)&gt;5,)*H405:AL405))))</f>
        <v>0</v>
      </c>
      <c r="AO405" s="271" t="b">
        <f>IF(AR405&lt;=3,(IF((G405="5/24"),((база!$M$6*Таблица1[[#This Row],[сумма]]*Таблица1[[#This Row],[коэф]])),
IF((G405="4/24"),((база!$M$5*Таблица1[[#This Row],[сумма]]*Таблица1[[#This Row],[коэф]])),
IF((G405="3/24"),((база!$M$4*Таблица1[[#This Row],[сумма]]*Таблица1[[#This Row],[коэф]])),
IF((G405="5/16"),((база!$L$6*Таблица1[[#This Row],[сумма]]*Таблица1[[#This Row],[коэф]])),
IF((G405="4/16"),((база!$L$5*Таблица1[[#This Row],[сумма]]*Таблица1[[#This Row],[коэф]])),
IF((G405="3/16"),((база!$L$4*Таблица1[[#This Row],[сумма]]*Таблица1[[#This Row],[коэф]])),
IF((G405="4/4"),((база!$I$5*Таблица1[[#This Row],[сумма]]*Таблица1[[#This Row],[коэф]])),
IF(OR(G405="2/4",G405="3/4"),((база!$I$4*Таблица1[[#This Row],[сумма]]*Таблица1[[#This Row],[коэф]])),
IF((G405="5/8"),((база!$J$6*Таблица1[[#This Row],[сумма]]*Таблица1[[#This Row],[коэф]])),
IF((G405="4/8"),((база!$J$5*Таблица1[[#This Row],[сумма]]*Таблица1[[#This Row],[коэф]])),
IF(OR(G405="3/8",G405="2/8"),((база!$J$4*Таблица1[[#This Row],[сумма]]*Таблица1[[#This Row],[коэф]])))))))))))))),
(IF((G405="5/24"),((база!$M$6*Таблица1[[#This Row],[сумма]]*Таблица1[[#This Row],[коэф]])),
IF(OR(G405="4/24",G405="3/24"),((база!$M$5*Таблица1[[#This Row],[сумма]]*Таблица1[[#This Row],[коэф]])),
IF((G405="5/16"),((база!$L$6*Таблица1[[#This Row],[сумма]]*Таблица1[[#This Row],[коэф]])),
IF(OR(G405="4/16",G405="3/16"),((база!$L$5*Таблица1[[#This Row],[сумма]]*Таблица1[[#This Row],[коэф]])),
IF(OR(G405="2/4",G405="3/4",G405="4/4"),((база!$I$5*Таблица1[[#This Row],[сумма]]*Таблица1[[#This Row],[коэф]])),
IF((G405="5/8"),((база!$J$6*Таблица1[[#This Row],[сумма]]*Таблица1[[#This Row],[коэф]])),
IF(OR(G405="4/8",G405="3/8",G405="2/8"),((база!$J$5*Таблица1[[#This Row],[сумма]]*Таблица1[[#This Row],[коэф]])))))))))))</f>
        <v>0</v>
      </c>
      <c r="AP405" s="696" t="b">
        <f>IF(AR405&lt;=3,(IF((G405="5/24"),((база!$M$6*2*Таблица1[[#This Row],[Столбец1]]*Таблица1[[#This Row],[коэф]])),
IF((G405="4/24"),((база!$M$5*2*Таблица1[[#This Row],[Столбец1]]*Таблица1[[#This Row],[коэф]])),
IF((G405="3/24"),((база!$M$4*2*Таблица1[[#This Row],[Столбец1]]*Таблица1[[#This Row],[коэф]])),
IF((G405="5/16"),((база!$L$6*2*Таблица1[[#This Row],[Столбец1]]*Таблица1[[#This Row],[коэф]])),
IF((G405="4/16"),((база!$L$5*2*Таблица1[[#This Row],[Столбец1]]*Таблица1[[#This Row],[коэф]])),
IF((G405="3/16"),((база!$L$4*2*Таблица1[[#This Row],[Столбец1]]*Таблица1[[#This Row],[коэф]])),
IF((G405="4/4"),((база!$I$5*2*Таблица1[[#This Row],[Столбец1]]*Таблица1[[#This Row],[коэф]])),
IF(OR(G405="2/4",G405="3/4"),((база!$I$4*2*Таблица1[[#This Row],[Столбец1]]*Таблица1[[#This Row],[коэф]])),
IF((G405="5/8"),((база!$J$6*2*Таблица1[[#This Row],[Столбец1]]*Таблица1[[#This Row],[коэф]])),
IF((G405="4/8"),((база!$J$5*2*Таблица1[[#This Row],[Столбец1]]*Таблица1[[#This Row],[коэф]])),
IF(OR(G405="3/8",G405="2/8"),((база!$J$4*2*Таблица1[[#This Row],[Столбец1]]*Таблица1[[#This Row],[коэф]])))))))))))))),
(IF((G405="5/24"),((база!$M$6*2*Таблица1[[#This Row],[Столбец1]]*Таблица1[[#This Row],[коэф]])),
IF(OR(G405="4/24",G405="3/24"),((база!$M$5*2*Таблица1[[#This Row],[Столбец1]]*Таблица1[[#This Row],[коэф]])),
IF((G405="5/16"),((база!$L$6*2*Таблица1[[#This Row],[Столбец1]]*Таблица1[[#This Row],[коэф]])),
IF(OR(G405="4/16",G405="3/16"),((база!$L$5*2*Таблица1[[#This Row],[Столбец1]]*Таблица1[[#This Row],[коэф]])),
IF(OR(G405="2/4",G405="3/4",G405="4/4"),((база!$I$5*2*Таблица1[[#This Row],[Столбец1]]*Таблица1[[#This Row],[коэф]])),
IF((G405="5/8"),((база!$J$6*2*Таблица1[[#This Row],[Столбец1]]*Таблица1[[#This Row],[коэф]])),
IF(OR(G405="4/8",G405="3/8",G405="2/8"),((база!$J$5*2*Таблица1[[#This Row],[Столбец1]]*Таблица1[[#This Row],[коэф]])))))))))))</f>
        <v>0</v>
      </c>
      <c r="AQ405" s="678" t="str">
        <f>IFERROR(INDEX(база!T:T, MATCH(F405,база!Q:Q,0)),"")</f>
        <v/>
      </c>
      <c r="AR405" s="193">
        <f>IFERROR(INDEX(база!D:D, MATCH(F405,база!B:B,0)),"")</f>
        <v>0</v>
      </c>
    </row>
    <row r="406" spans="1:44" ht="15">
      <c r="A406" s="59"/>
      <c r="B406" s="215"/>
      <c r="C406" s="54"/>
      <c r="D406" s="55"/>
      <c r="E406" s="196"/>
      <c r="F406" s="651"/>
      <c r="G406" s="42"/>
      <c r="H406" s="539"/>
      <c r="I406" s="539"/>
      <c r="J406" s="539"/>
      <c r="K406" s="539"/>
      <c r="L406" s="539"/>
      <c r="M406" s="539"/>
      <c r="N406" s="539"/>
      <c r="O406" s="539"/>
      <c r="P406" s="278"/>
      <c r="Q406" s="539"/>
      <c r="R406" s="539"/>
      <c r="S406" s="539"/>
      <c r="T406" s="539"/>
      <c r="U406" s="539"/>
      <c r="V406" s="539"/>
      <c r="W406" s="539"/>
      <c r="X406" s="539"/>
      <c r="Y406" s="539"/>
      <c r="Z406" s="539"/>
      <c r="AA406" s="539"/>
      <c r="AB406" s="539"/>
      <c r="AC406" s="539"/>
      <c r="AD406" s="43"/>
      <c r="AE406" s="43"/>
      <c r="AF406" s="238"/>
      <c r="AG406" s="43"/>
      <c r="AH406" s="43"/>
      <c r="AI406" s="43"/>
      <c r="AJ406" s="43"/>
      <c r="AK406" s="43"/>
      <c r="AL406" s="45"/>
      <c r="AM406" s="197">
        <f>IF(AQ406=1,SUM(H406:I406,L406:O406,R406:U406,X406:AA406,AD406:AG406,AI406:AK406),
IF(AQ406=2,SUM(H406:K406,N406:Q406,T406:W406,Z406:AC406,AF406:AI406),
IF(AQ406=3,SUM(J406:M406,P406:S406,V406:Y406,AB406:AE406,AH406:AK406),SUM(Таблица1[[#This Row],[1]:[31]])-Таблица1[[#This Row],[Столбец1]])))</f>
        <v>0</v>
      </c>
      <c r="AN406" s="269">
        <f t="array" ref="AN406">IF(AQ406=1,SUM(J406:K406,P406:Q406,V406:W406,AB406:AC406,AH406:AI406),
IF(AQ406=2,SUM(L406:M406,R406:S406,X406:Y406,AD406:AE406),
IF(AQ406=3,SUM(H406:I406,N406:O406,T406:U406,Z406:AA406,AF406:AG406),
SUM(IFERROR(WEEKDAY($H$2:$AL$2,2)&gt;5,)*H406:AL406))))</f>
        <v>0</v>
      </c>
      <c r="AO406" s="271" t="b">
        <f>IF(AR406&lt;=3,(IF((G406="5/24"),((база!$M$6*Таблица1[[#This Row],[сумма]]*Таблица1[[#This Row],[коэф]])),
IF((G406="4/24"),((база!$M$5*Таблица1[[#This Row],[сумма]]*Таблица1[[#This Row],[коэф]])),
IF((G406="3/24"),((база!$M$4*Таблица1[[#This Row],[сумма]]*Таблица1[[#This Row],[коэф]])),
IF((G406="5/16"),((база!$L$6*Таблица1[[#This Row],[сумма]]*Таблица1[[#This Row],[коэф]])),
IF((G406="4/16"),((база!$L$5*Таблица1[[#This Row],[сумма]]*Таблица1[[#This Row],[коэф]])),
IF((G406="3/16"),((база!$L$4*Таблица1[[#This Row],[сумма]]*Таблица1[[#This Row],[коэф]])),
IF((G406="4/4"),((база!$I$5*Таблица1[[#This Row],[сумма]]*Таблица1[[#This Row],[коэф]])),
IF(OR(G406="2/4",G406="3/4"),((база!$I$4*Таблица1[[#This Row],[сумма]]*Таблица1[[#This Row],[коэф]])),
IF((G406="5/8"),((база!$J$6*Таблица1[[#This Row],[сумма]]*Таблица1[[#This Row],[коэф]])),
IF((G406="4/8"),((база!$J$5*Таблица1[[#This Row],[сумма]]*Таблица1[[#This Row],[коэф]])),
IF(OR(G406="3/8",G406="2/8"),((база!$J$4*Таблица1[[#This Row],[сумма]]*Таблица1[[#This Row],[коэф]])))))))))))))),
(IF((G406="5/24"),((база!$M$6*Таблица1[[#This Row],[сумма]]*Таблица1[[#This Row],[коэф]])),
IF(OR(G406="4/24",G406="3/24"),((база!$M$5*Таблица1[[#This Row],[сумма]]*Таблица1[[#This Row],[коэф]])),
IF((G406="5/16"),((база!$L$6*Таблица1[[#This Row],[сумма]]*Таблица1[[#This Row],[коэф]])),
IF(OR(G406="4/16",G406="3/16"),((база!$L$5*Таблица1[[#This Row],[сумма]]*Таблица1[[#This Row],[коэф]])),
IF(OR(G406="2/4",G406="3/4",G406="4/4"),((база!$I$5*Таблица1[[#This Row],[сумма]]*Таблица1[[#This Row],[коэф]])),
IF((G406="5/8"),((база!$J$6*Таблица1[[#This Row],[сумма]]*Таблица1[[#This Row],[коэф]])),
IF(OR(G406="4/8",G406="3/8",G406="2/8"),((база!$J$5*Таблица1[[#This Row],[сумма]]*Таблица1[[#This Row],[коэф]])))))))))))</f>
        <v>0</v>
      </c>
      <c r="AP406" s="696" t="b">
        <f>IF(AR406&lt;=3,(IF((G406="5/24"),((база!$M$6*2*Таблица1[[#This Row],[Столбец1]]*Таблица1[[#This Row],[коэф]])),
IF((G406="4/24"),((база!$M$5*2*Таблица1[[#This Row],[Столбец1]]*Таблица1[[#This Row],[коэф]])),
IF((G406="3/24"),((база!$M$4*2*Таблица1[[#This Row],[Столбец1]]*Таблица1[[#This Row],[коэф]])),
IF((G406="5/16"),((база!$L$6*2*Таблица1[[#This Row],[Столбец1]]*Таблица1[[#This Row],[коэф]])),
IF((G406="4/16"),((база!$L$5*2*Таблица1[[#This Row],[Столбец1]]*Таблица1[[#This Row],[коэф]])),
IF((G406="3/16"),((база!$L$4*2*Таблица1[[#This Row],[Столбец1]]*Таблица1[[#This Row],[коэф]])),
IF((G406="4/4"),((база!$I$5*2*Таблица1[[#This Row],[Столбец1]]*Таблица1[[#This Row],[коэф]])),
IF(OR(G406="2/4",G406="3/4"),((база!$I$4*2*Таблица1[[#This Row],[Столбец1]]*Таблица1[[#This Row],[коэф]])),
IF((G406="5/8"),((база!$J$6*2*Таблица1[[#This Row],[Столбец1]]*Таблица1[[#This Row],[коэф]])),
IF((G406="4/8"),((база!$J$5*2*Таблица1[[#This Row],[Столбец1]]*Таблица1[[#This Row],[коэф]])),
IF(OR(G406="3/8",G406="2/8"),((база!$J$4*2*Таблица1[[#This Row],[Столбец1]]*Таблица1[[#This Row],[коэф]])))))))))))))),
(IF((G406="5/24"),((база!$M$6*2*Таблица1[[#This Row],[Столбец1]]*Таблица1[[#This Row],[коэф]])),
IF(OR(G406="4/24",G406="3/24"),((база!$M$5*2*Таблица1[[#This Row],[Столбец1]]*Таблица1[[#This Row],[коэф]])),
IF((G406="5/16"),((база!$L$6*2*Таблица1[[#This Row],[Столбец1]]*Таблица1[[#This Row],[коэф]])),
IF(OR(G406="4/16",G406="3/16"),((база!$L$5*2*Таблица1[[#This Row],[Столбец1]]*Таблица1[[#This Row],[коэф]])),
IF(OR(G406="2/4",G406="3/4",G406="4/4"),((база!$I$5*2*Таблица1[[#This Row],[Столбец1]]*Таблица1[[#This Row],[коэф]])),
IF((G406="5/8"),((база!$J$6*2*Таблица1[[#This Row],[Столбец1]]*Таблица1[[#This Row],[коэф]])),
IF(OR(G406="4/8",G406="3/8",G406="2/8"),((база!$J$5*2*Таблица1[[#This Row],[Столбец1]]*Таблица1[[#This Row],[коэф]])))))))))))</f>
        <v>0</v>
      </c>
      <c r="AQ406" s="678" t="str">
        <f>IFERROR(INDEX(база!T:T, MATCH(F406,база!Q:Q,0)),"")</f>
        <v/>
      </c>
      <c r="AR406" s="193">
        <f>IFERROR(INDEX(база!D:D, MATCH(F406,база!B:B,0)),"")</f>
        <v>0</v>
      </c>
    </row>
    <row r="407" spans="1:44" ht="15">
      <c r="A407" s="59"/>
      <c r="B407" s="215"/>
      <c r="C407" s="54"/>
      <c r="D407" s="55"/>
      <c r="E407" s="196"/>
      <c r="F407" s="651"/>
      <c r="G407" s="42"/>
      <c r="H407" s="539"/>
      <c r="I407" s="539"/>
      <c r="J407" s="539"/>
      <c r="K407" s="539"/>
      <c r="L407" s="539"/>
      <c r="M407" s="539"/>
      <c r="N407" s="539"/>
      <c r="O407" s="539"/>
      <c r="P407" s="278"/>
      <c r="Q407" s="539"/>
      <c r="R407" s="539"/>
      <c r="S407" s="539"/>
      <c r="T407" s="539"/>
      <c r="U407" s="539"/>
      <c r="V407" s="539"/>
      <c r="W407" s="539"/>
      <c r="X407" s="539"/>
      <c r="Y407" s="539"/>
      <c r="Z407" s="539"/>
      <c r="AA407" s="539"/>
      <c r="AB407" s="539"/>
      <c r="AC407" s="539"/>
      <c r="AD407" s="43"/>
      <c r="AE407" s="43"/>
      <c r="AF407" s="43"/>
      <c r="AG407" s="43"/>
      <c r="AH407" s="43"/>
      <c r="AI407" s="43"/>
      <c r="AJ407" s="238"/>
      <c r="AK407" s="238"/>
      <c r="AL407" s="238"/>
      <c r="AM407" s="197">
        <f>IF(AQ407=1,SUM(H407:I407,L407:O407,R407:U407,X407:AA407,AD407:AG407,AI407:AK407),
IF(AQ407=2,SUM(H407:K407,N407:Q407,T407:W407,Z407:AC407,AF407:AI407),
IF(AQ407=3,SUM(J407:M407,P407:S407,V407:Y407,AB407:AE407,AH407:AK407),SUM(Таблица1[[#This Row],[1]:[31]])-Таблица1[[#This Row],[Столбец1]])))</f>
        <v>0</v>
      </c>
      <c r="AN407" s="269">
        <f t="array" ref="AN407">IF(AQ407=1,SUM(J407:K407,P407:Q407,V407:W407,AB407:AC407,AH407:AI407),
IF(AQ407=2,SUM(L407:M407,R407:S407,X407:Y407,AD407:AE407),
IF(AQ407=3,SUM(H407:I407,N407:O407,T407:U407,Z407:AA407,AF407:AG407),
SUM(IFERROR(WEEKDAY($H$2:$AL$2,2)&gt;5,)*H407:AL407))))</f>
        <v>0</v>
      </c>
      <c r="AO407" s="271" t="b">
        <f>IF(AR407&lt;=3,(IF((G407="5/24"),((база!$M$6*Таблица1[[#This Row],[сумма]]*Таблица1[[#This Row],[коэф]])),
IF((G407="4/24"),((база!$M$5*Таблица1[[#This Row],[сумма]]*Таблица1[[#This Row],[коэф]])),
IF((G407="3/24"),((база!$M$4*Таблица1[[#This Row],[сумма]]*Таблица1[[#This Row],[коэф]])),
IF((G407="5/16"),((база!$L$6*Таблица1[[#This Row],[сумма]]*Таблица1[[#This Row],[коэф]])),
IF((G407="4/16"),((база!$L$5*Таблица1[[#This Row],[сумма]]*Таблица1[[#This Row],[коэф]])),
IF((G407="3/16"),((база!$L$4*Таблица1[[#This Row],[сумма]]*Таблица1[[#This Row],[коэф]])),
IF((G407="4/4"),((база!$I$5*Таблица1[[#This Row],[сумма]]*Таблица1[[#This Row],[коэф]])),
IF(OR(G407="2/4",G407="3/4"),((база!$I$4*Таблица1[[#This Row],[сумма]]*Таблица1[[#This Row],[коэф]])),
IF((G407="5/8"),((база!$J$6*Таблица1[[#This Row],[сумма]]*Таблица1[[#This Row],[коэф]])),
IF((G407="4/8"),((база!$J$5*Таблица1[[#This Row],[сумма]]*Таблица1[[#This Row],[коэф]])),
IF(OR(G407="3/8",G407="2/8"),((база!$J$4*Таблица1[[#This Row],[сумма]]*Таблица1[[#This Row],[коэф]])))))))))))))),
(IF((G407="5/24"),((база!$M$6*Таблица1[[#This Row],[сумма]]*Таблица1[[#This Row],[коэф]])),
IF(OR(G407="4/24",G407="3/24"),((база!$M$5*Таблица1[[#This Row],[сумма]]*Таблица1[[#This Row],[коэф]])),
IF((G407="5/16"),((база!$L$6*Таблица1[[#This Row],[сумма]]*Таблица1[[#This Row],[коэф]])),
IF(OR(G407="4/16",G407="3/16"),((база!$L$5*Таблица1[[#This Row],[сумма]]*Таблица1[[#This Row],[коэф]])),
IF(OR(G407="2/4",G407="3/4",G407="4/4"),((база!$I$5*Таблица1[[#This Row],[сумма]]*Таблица1[[#This Row],[коэф]])),
IF((G407="5/8"),((база!$J$6*Таблица1[[#This Row],[сумма]]*Таблица1[[#This Row],[коэф]])),
IF(OR(G407="4/8",G407="3/8",G407="2/8"),((база!$J$5*Таблица1[[#This Row],[сумма]]*Таблица1[[#This Row],[коэф]])))))))))))</f>
        <v>0</v>
      </c>
      <c r="AP407" s="696" t="b">
        <f>IF(AR407&lt;=3,(IF((G407="5/24"),((база!$M$6*2*Таблица1[[#This Row],[Столбец1]]*Таблица1[[#This Row],[коэф]])),
IF((G407="4/24"),((база!$M$5*2*Таблица1[[#This Row],[Столбец1]]*Таблица1[[#This Row],[коэф]])),
IF((G407="3/24"),((база!$M$4*2*Таблица1[[#This Row],[Столбец1]]*Таблица1[[#This Row],[коэф]])),
IF((G407="5/16"),((база!$L$6*2*Таблица1[[#This Row],[Столбец1]]*Таблица1[[#This Row],[коэф]])),
IF((G407="4/16"),((база!$L$5*2*Таблица1[[#This Row],[Столбец1]]*Таблица1[[#This Row],[коэф]])),
IF((G407="3/16"),((база!$L$4*2*Таблица1[[#This Row],[Столбец1]]*Таблица1[[#This Row],[коэф]])),
IF((G407="4/4"),((база!$I$5*2*Таблица1[[#This Row],[Столбец1]]*Таблица1[[#This Row],[коэф]])),
IF(OR(G407="2/4",G407="3/4"),((база!$I$4*2*Таблица1[[#This Row],[Столбец1]]*Таблица1[[#This Row],[коэф]])),
IF((G407="5/8"),((база!$J$6*2*Таблица1[[#This Row],[Столбец1]]*Таблица1[[#This Row],[коэф]])),
IF((G407="4/8"),((база!$J$5*2*Таблица1[[#This Row],[Столбец1]]*Таблица1[[#This Row],[коэф]])),
IF(OR(G407="3/8",G407="2/8"),((база!$J$4*2*Таблица1[[#This Row],[Столбец1]]*Таблица1[[#This Row],[коэф]])))))))))))))),
(IF((G407="5/24"),((база!$M$6*2*Таблица1[[#This Row],[Столбец1]]*Таблица1[[#This Row],[коэф]])),
IF(OR(G407="4/24",G407="3/24"),((база!$M$5*2*Таблица1[[#This Row],[Столбец1]]*Таблица1[[#This Row],[коэф]])),
IF((G407="5/16"),((база!$L$6*2*Таблица1[[#This Row],[Столбец1]]*Таблица1[[#This Row],[коэф]])),
IF(OR(G407="4/16",G407="3/16"),((база!$L$5*2*Таблица1[[#This Row],[Столбец1]]*Таблица1[[#This Row],[коэф]])),
IF(OR(G407="2/4",G407="3/4",G407="4/4"),((база!$I$5*2*Таблица1[[#This Row],[Столбец1]]*Таблица1[[#This Row],[коэф]])),
IF((G407="5/8"),((база!$J$6*2*Таблица1[[#This Row],[Столбец1]]*Таблица1[[#This Row],[коэф]])),
IF(OR(G407="4/8",G407="3/8",G407="2/8"),((база!$J$5*2*Таблица1[[#This Row],[Столбец1]]*Таблица1[[#This Row],[коэф]])))))))))))</f>
        <v>0</v>
      </c>
      <c r="AQ407" s="678" t="str">
        <f>IFERROR(INDEX(база!T:T, MATCH(F407,база!Q:Q,0)),"")</f>
        <v/>
      </c>
      <c r="AR407" s="193">
        <f>IFERROR(INDEX(база!D:D, MATCH(F407,база!B:B,0)),"")</f>
        <v>0</v>
      </c>
    </row>
    <row r="408" spans="1:44" ht="15">
      <c r="A408" s="59"/>
      <c r="B408" s="215"/>
      <c r="C408" s="54"/>
      <c r="D408" s="55"/>
      <c r="E408" s="196"/>
      <c r="F408" s="651"/>
      <c r="G408" s="42"/>
      <c r="H408" s="539"/>
      <c r="I408" s="539"/>
      <c r="J408" s="539"/>
      <c r="K408" s="539"/>
      <c r="L408" s="539"/>
      <c r="M408" s="539"/>
      <c r="N408" s="539"/>
      <c r="O408" s="539"/>
      <c r="P408" s="278"/>
      <c r="Q408" s="539"/>
      <c r="R408" s="539"/>
      <c r="S408" s="539"/>
      <c r="T408" s="539"/>
      <c r="U408" s="539"/>
      <c r="V408" s="539"/>
      <c r="W408" s="539"/>
      <c r="X408" s="539"/>
      <c r="Y408" s="539"/>
      <c r="Z408" s="539"/>
      <c r="AA408" s="539"/>
      <c r="AB408" s="539"/>
      <c r="AC408" s="539"/>
      <c r="AD408" s="43"/>
      <c r="AE408" s="43"/>
      <c r="AF408" s="238"/>
      <c r="AG408" s="43"/>
      <c r="AH408" s="43"/>
      <c r="AI408" s="43"/>
      <c r="AJ408" s="43"/>
      <c r="AK408" s="43"/>
      <c r="AL408" s="45"/>
      <c r="AM408" s="197">
        <f>IF(AQ408=1,SUM(H408:I408,L408:O408,R408:U408,X408:AA408,AD408:AG408,AI408:AK408),
IF(AQ408=2,SUM(H408:K408,N408:Q408,T408:W408,Z408:AC408,AF408:AI408),
IF(AQ408=3,SUM(J408:M408,P408:S408,V408:Y408,AB408:AE408,AH408:AK408),SUM(Таблица1[[#This Row],[1]:[31]])-Таблица1[[#This Row],[Столбец1]])))</f>
        <v>0</v>
      </c>
      <c r="AN408" s="269">
        <f t="array" ref="AN408">IF(AQ408=1,SUM(J408:K408,P408:Q408,V408:W408,AB408:AC408,AH408:AI408),
IF(AQ408=2,SUM(L408:M408,R408:S408,X408:Y408,AD408:AE408),
IF(AQ408=3,SUM(H408:I408,N408:O408,T408:U408,Z408:AA408,AF408:AG408),
SUM(IFERROR(WEEKDAY($H$2:$AL$2,2)&gt;5,)*H408:AL408))))</f>
        <v>0</v>
      </c>
      <c r="AO408" s="271" t="b">
        <f>IF(AR408&lt;=3,(IF((G408="5/24"),((база!$M$6*Таблица1[[#This Row],[сумма]]*Таблица1[[#This Row],[коэф]])),
IF((G408="4/24"),((база!$M$5*Таблица1[[#This Row],[сумма]]*Таблица1[[#This Row],[коэф]])),
IF((G408="3/24"),((база!$M$4*Таблица1[[#This Row],[сумма]]*Таблица1[[#This Row],[коэф]])),
IF((G408="5/16"),((база!$L$6*Таблица1[[#This Row],[сумма]]*Таблица1[[#This Row],[коэф]])),
IF((G408="4/16"),((база!$L$5*Таблица1[[#This Row],[сумма]]*Таблица1[[#This Row],[коэф]])),
IF((G408="3/16"),((база!$L$4*Таблица1[[#This Row],[сумма]]*Таблица1[[#This Row],[коэф]])),
IF((G408="4/4"),((база!$I$5*Таблица1[[#This Row],[сумма]]*Таблица1[[#This Row],[коэф]])),
IF(OR(G408="2/4",G408="3/4"),((база!$I$4*Таблица1[[#This Row],[сумма]]*Таблица1[[#This Row],[коэф]])),
IF((G408="5/8"),((база!$J$6*Таблица1[[#This Row],[сумма]]*Таблица1[[#This Row],[коэф]])),
IF((G408="4/8"),((база!$J$5*Таблица1[[#This Row],[сумма]]*Таблица1[[#This Row],[коэф]])),
IF(OR(G408="3/8",G408="2/8"),((база!$J$4*Таблица1[[#This Row],[сумма]]*Таблица1[[#This Row],[коэф]])))))))))))))),
(IF((G408="5/24"),((база!$M$6*Таблица1[[#This Row],[сумма]]*Таблица1[[#This Row],[коэф]])),
IF(OR(G408="4/24",G408="3/24"),((база!$M$5*Таблица1[[#This Row],[сумма]]*Таблица1[[#This Row],[коэф]])),
IF((G408="5/16"),((база!$L$6*Таблица1[[#This Row],[сумма]]*Таблица1[[#This Row],[коэф]])),
IF(OR(G408="4/16",G408="3/16"),((база!$L$5*Таблица1[[#This Row],[сумма]]*Таблица1[[#This Row],[коэф]])),
IF(OR(G408="2/4",G408="3/4",G408="4/4"),((база!$I$5*Таблица1[[#This Row],[сумма]]*Таблица1[[#This Row],[коэф]])),
IF((G408="5/8"),((база!$J$6*Таблица1[[#This Row],[сумма]]*Таблица1[[#This Row],[коэф]])),
IF(OR(G408="4/8",G408="3/8",G408="2/8"),((база!$J$5*Таблица1[[#This Row],[сумма]]*Таблица1[[#This Row],[коэф]])))))))))))</f>
        <v>0</v>
      </c>
      <c r="AP408" s="696" t="b">
        <f>IF(AR408&lt;=3,(IF((G408="5/24"),((база!$M$6*2*Таблица1[[#This Row],[Столбец1]]*Таблица1[[#This Row],[коэф]])),
IF((G408="4/24"),((база!$M$5*2*Таблица1[[#This Row],[Столбец1]]*Таблица1[[#This Row],[коэф]])),
IF((G408="3/24"),((база!$M$4*2*Таблица1[[#This Row],[Столбец1]]*Таблица1[[#This Row],[коэф]])),
IF((G408="5/16"),((база!$L$6*2*Таблица1[[#This Row],[Столбец1]]*Таблица1[[#This Row],[коэф]])),
IF((G408="4/16"),((база!$L$5*2*Таблица1[[#This Row],[Столбец1]]*Таблица1[[#This Row],[коэф]])),
IF((G408="3/16"),((база!$L$4*2*Таблица1[[#This Row],[Столбец1]]*Таблица1[[#This Row],[коэф]])),
IF((G408="4/4"),((база!$I$5*2*Таблица1[[#This Row],[Столбец1]]*Таблица1[[#This Row],[коэф]])),
IF(OR(G408="2/4",G408="3/4"),((база!$I$4*2*Таблица1[[#This Row],[Столбец1]]*Таблица1[[#This Row],[коэф]])),
IF((G408="5/8"),((база!$J$6*2*Таблица1[[#This Row],[Столбец1]]*Таблица1[[#This Row],[коэф]])),
IF((G408="4/8"),((база!$J$5*2*Таблица1[[#This Row],[Столбец1]]*Таблица1[[#This Row],[коэф]])),
IF(OR(G408="3/8",G408="2/8"),((база!$J$4*2*Таблица1[[#This Row],[Столбец1]]*Таблица1[[#This Row],[коэф]])))))))))))))),
(IF((G408="5/24"),((база!$M$6*2*Таблица1[[#This Row],[Столбец1]]*Таблица1[[#This Row],[коэф]])),
IF(OR(G408="4/24",G408="3/24"),((база!$M$5*2*Таблица1[[#This Row],[Столбец1]]*Таблица1[[#This Row],[коэф]])),
IF((G408="5/16"),((база!$L$6*2*Таблица1[[#This Row],[Столбец1]]*Таблица1[[#This Row],[коэф]])),
IF(OR(G408="4/16",G408="3/16"),((база!$L$5*2*Таблица1[[#This Row],[Столбец1]]*Таблица1[[#This Row],[коэф]])),
IF(OR(G408="2/4",G408="3/4",G408="4/4"),((база!$I$5*2*Таблица1[[#This Row],[Столбец1]]*Таблица1[[#This Row],[коэф]])),
IF((G408="5/8"),((база!$J$6*2*Таблица1[[#This Row],[Столбец1]]*Таблица1[[#This Row],[коэф]])),
IF(OR(G408="4/8",G408="3/8",G408="2/8"),((база!$J$5*2*Таблица1[[#This Row],[Столбец1]]*Таблица1[[#This Row],[коэф]])))))))))))</f>
        <v>0</v>
      </c>
      <c r="AQ408" s="678" t="str">
        <f>IFERROR(INDEX(база!T:T, MATCH(F408,база!Q:Q,0)),"")</f>
        <v/>
      </c>
      <c r="AR408" s="193">
        <f>IFERROR(INDEX(база!D:D, MATCH(F408,база!B:B,0)),"")</f>
        <v>0</v>
      </c>
    </row>
    <row r="409" spans="1:44" ht="15">
      <c r="A409" s="59"/>
      <c r="B409" s="215"/>
      <c r="C409" s="277"/>
      <c r="D409" s="55"/>
      <c r="E409" s="196"/>
      <c r="F409" s="651"/>
      <c r="G409" s="42"/>
      <c r="H409" s="539"/>
      <c r="I409" s="539"/>
      <c r="J409" s="539"/>
      <c r="K409" s="539"/>
      <c r="L409" s="539"/>
      <c r="M409" s="539"/>
      <c r="N409" s="539"/>
      <c r="O409" s="539"/>
      <c r="P409" s="278"/>
      <c r="Q409" s="539"/>
      <c r="R409" s="539"/>
      <c r="S409" s="539"/>
      <c r="T409" s="539"/>
      <c r="U409" s="539"/>
      <c r="V409" s="539"/>
      <c r="W409" s="539"/>
      <c r="X409" s="539"/>
      <c r="Y409" s="539"/>
      <c r="Z409" s="539"/>
      <c r="AA409" s="539"/>
      <c r="AB409" s="539"/>
      <c r="AC409" s="539"/>
      <c r="AD409" s="43"/>
      <c r="AE409" s="43"/>
      <c r="AF409" s="238"/>
      <c r="AG409" s="43"/>
      <c r="AH409" s="43"/>
      <c r="AI409" s="238"/>
      <c r="AJ409" s="238"/>
      <c r="AK409" s="238"/>
      <c r="AL409" s="238"/>
      <c r="AM409" s="197">
        <f>IF(AQ409=1,SUM(H409:I409,L409:O409,R409:U409,X409:AA409,AD409:AG409,AI409:AK409),
IF(AQ409=2,SUM(H409:K409,N409:Q409,T409:W409,Z409:AC409,AF409:AI409),
IF(AQ409=3,SUM(J409:M409,P409:S409,V409:Y409,AB409:AE409,AH409:AK409),SUM(Таблица1[[#This Row],[1]:[31]])-Таблица1[[#This Row],[Столбец1]])))</f>
        <v>0</v>
      </c>
      <c r="AN409" s="269">
        <f t="array" ref="AN409">IF(AQ409=1,SUM(J409:K409,P409:Q409,V409:W409,AB409:AC409,AH409:AI409),
IF(AQ409=2,SUM(L409:M409,R409:S409,X409:Y409,AD409:AE409),
IF(AQ409=3,SUM(H409:I409,N409:O409,T409:U409,Z409:AA409,AF409:AG409),
SUM(IFERROR(WEEKDAY($H$2:$AL$2,2)&gt;5,)*H409:AL409))))</f>
        <v>0</v>
      </c>
      <c r="AO409" s="271" t="b">
        <f>IF(AR409&lt;=3,(IF((G409="5/24"),((база!$M$6*Таблица1[[#This Row],[сумма]]*Таблица1[[#This Row],[коэф]])),
IF((G409="4/24"),((база!$M$5*Таблица1[[#This Row],[сумма]]*Таблица1[[#This Row],[коэф]])),
IF((G409="3/24"),((база!$M$4*Таблица1[[#This Row],[сумма]]*Таблица1[[#This Row],[коэф]])),
IF((G409="5/16"),((база!$L$6*Таблица1[[#This Row],[сумма]]*Таблица1[[#This Row],[коэф]])),
IF((G409="4/16"),((база!$L$5*Таблица1[[#This Row],[сумма]]*Таблица1[[#This Row],[коэф]])),
IF((G409="3/16"),((база!$L$4*Таблица1[[#This Row],[сумма]]*Таблица1[[#This Row],[коэф]])),
IF((G409="4/4"),((база!$I$5*Таблица1[[#This Row],[сумма]]*Таблица1[[#This Row],[коэф]])),
IF(OR(G409="2/4",G409="3/4"),((база!$I$4*Таблица1[[#This Row],[сумма]]*Таблица1[[#This Row],[коэф]])),
IF((G409="5/8"),((база!$J$6*Таблица1[[#This Row],[сумма]]*Таблица1[[#This Row],[коэф]])),
IF((G409="4/8"),((база!$J$5*Таблица1[[#This Row],[сумма]]*Таблица1[[#This Row],[коэф]])),
IF(OR(G409="3/8",G409="2/8"),((база!$J$4*Таблица1[[#This Row],[сумма]]*Таблица1[[#This Row],[коэф]])))))))))))))),
(IF((G409="5/24"),((база!$M$6*Таблица1[[#This Row],[сумма]]*Таблица1[[#This Row],[коэф]])),
IF(OR(G409="4/24",G409="3/24"),((база!$M$5*Таблица1[[#This Row],[сумма]]*Таблица1[[#This Row],[коэф]])),
IF((G409="5/16"),((база!$L$6*Таблица1[[#This Row],[сумма]]*Таблица1[[#This Row],[коэф]])),
IF(OR(G409="4/16",G409="3/16"),((база!$L$5*Таблица1[[#This Row],[сумма]]*Таблица1[[#This Row],[коэф]])),
IF(OR(G409="2/4",G409="3/4",G409="4/4"),((база!$I$5*Таблица1[[#This Row],[сумма]]*Таблица1[[#This Row],[коэф]])),
IF((G409="5/8"),((база!$J$6*Таблица1[[#This Row],[сумма]]*Таблица1[[#This Row],[коэф]])),
IF(OR(G409="4/8",G409="3/8",G409="2/8"),((база!$J$5*Таблица1[[#This Row],[сумма]]*Таблица1[[#This Row],[коэф]])))))))))))</f>
        <v>0</v>
      </c>
      <c r="AP409" s="696" t="b">
        <f>IF(AR409&lt;=3,(IF((G409="5/24"),((база!$M$6*2*Таблица1[[#This Row],[Столбец1]]*Таблица1[[#This Row],[коэф]])),
IF((G409="4/24"),((база!$M$5*2*Таблица1[[#This Row],[Столбец1]]*Таблица1[[#This Row],[коэф]])),
IF((G409="3/24"),((база!$M$4*2*Таблица1[[#This Row],[Столбец1]]*Таблица1[[#This Row],[коэф]])),
IF((G409="5/16"),((база!$L$6*2*Таблица1[[#This Row],[Столбец1]]*Таблица1[[#This Row],[коэф]])),
IF((G409="4/16"),((база!$L$5*2*Таблица1[[#This Row],[Столбец1]]*Таблица1[[#This Row],[коэф]])),
IF((G409="3/16"),((база!$L$4*2*Таблица1[[#This Row],[Столбец1]]*Таблица1[[#This Row],[коэф]])),
IF((G409="4/4"),((база!$I$5*2*Таблица1[[#This Row],[Столбец1]]*Таблица1[[#This Row],[коэф]])),
IF(OR(G409="2/4",G409="3/4"),((база!$I$4*2*Таблица1[[#This Row],[Столбец1]]*Таблица1[[#This Row],[коэф]])),
IF((G409="5/8"),((база!$J$6*2*Таблица1[[#This Row],[Столбец1]]*Таблица1[[#This Row],[коэф]])),
IF((G409="4/8"),((база!$J$5*2*Таблица1[[#This Row],[Столбец1]]*Таблица1[[#This Row],[коэф]])),
IF(OR(G409="3/8",G409="2/8"),((база!$J$4*2*Таблица1[[#This Row],[Столбец1]]*Таблица1[[#This Row],[коэф]])))))))))))))),
(IF((G409="5/24"),((база!$M$6*2*Таблица1[[#This Row],[Столбец1]]*Таблица1[[#This Row],[коэф]])),
IF(OR(G409="4/24",G409="3/24"),((база!$M$5*2*Таблица1[[#This Row],[Столбец1]]*Таблица1[[#This Row],[коэф]])),
IF((G409="5/16"),((база!$L$6*2*Таблица1[[#This Row],[Столбец1]]*Таблица1[[#This Row],[коэф]])),
IF(OR(G409="4/16",G409="3/16"),((база!$L$5*2*Таблица1[[#This Row],[Столбец1]]*Таблица1[[#This Row],[коэф]])),
IF(OR(G409="2/4",G409="3/4",G409="4/4"),((база!$I$5*2*Таблица1[[#This Row],[Столбец1]]*Таблица1[[#This Row],[коэф]])),
IF((G409="5/8"),((база!$J$6*2*Таблица1[[#This Row],[Столбец1]]*Таблица1[[#This Row],[коэф]])),
IF(OR(G409="4/8",G409="3/8",G409="2/8"),((база!$J$5*2*Таблица1[[#This Row],[Столбец1]]*Таблица1[[#This Row],[коэф]])))))))))))</f>
        <v>0</v>
      </c>
      <c r="AQ409" s="678" t="str">
        <f>IFERROR(INDEX(база!T:T, MATCH(F409,база!Q:Q,0)),"")</f>
        <v/>
      </c>
      <c r="AR409" s="193">
        <f>IFERROR(INDEX(база!D:D, MATCH(F409,база!B:B,0)),"")</f>
        <v>0</v>
      </c>
    </row>
    <row r="410" spans="1:44" ht="15">
      <c r="A410" s="59"/>
      <c r="B410" s="215"/>
      <c r="C410" s="54"/>
      <c r="D410" s="55"/>
      <c r="E410" s="196"/>
      <c r="F410" s="651"/>
      <c r="G410" s="42"/>
      <c r="H410" s="539"/>
      <c r="I410" s="539"/>
      <c r="J410" s="539"/>
      <c r="K410" s="539"/>
      <c r="L410" s="539"/>
      <c r="M410" s="539"/>
      <c r="N410" s="539"/>
      <c r="O410" s="539"/>
      <c r="P410" s="278"/>
      <c r="Q410" s="539"/>
      <c r="R410" s="539"/>
      <c r="S410" s="539"/>
      <c r="T410" s="539"/>
      <c r="U410" s="539"/>
      <c r="V410" s="539"/>
      <c r="W410" s="539"/>
      <c r="X410" s="539"/>
      <c r="Y410" s="539"/>
      <c r="Z410" s="539"/>
      <c r="AA410" s="539"/>
      <c r="AB410" s="539"/>
      <c r="AC410" s="539"/>
      <c r="AD410" s="43"/>
      <c r="AE410" s="43"/>
      <c r="AF410" s="238"/>
      <c r="AG410" s="43"/>
      <c r="AH410" s="43"/>
      <c r="AI410" s="43"/>
      <c r="AJ410" s="43"/>
      <c r="AK410" s="43"/>
      <c r="AL410" s="45"/>
      <c r="AM410" s="197">
        <f>IF(AQ410=1,SUM(H410:I410,L410:O410,R410:U410,X410:AA410,AD410:AG410,AI410:AK410),
IF(AQ410=2,SUM(H410:K410,N410:Q410,T410:W410,Z410:AC410,AF410:AI410),
IF(AQ410=3,SUM(J410:M410,P410:S410,V410:Y410,AB410:AE410,AH410:AK410),SUM(Таблица1[[#This Row],[1]:[31]])-Таблица1[[#This Row],[Столбец1]])))</f>
        <v>0</v>
      </c>
      <c r="AN410" s="269">
        <f t="array" ref="AN410">IF(AQ410=1,SUM(J410:K410,P410:Q410,V410:W410,AB410:AC410,AH410:AI410),
IF(AQ410=2,SUM(L410:M410,R410:S410,X410:Y410,AD410:AE410),
IF(AQ410=3,SUM(H410:I410,N410:O410,T410:U410,Z410:AA410,AF410:AG410),
SUM(IFERROR(WEEKDAY($H$2:$AL$2,2)&gt;5,)*H410:AL410))))</f>
        <v>0</v>
      </c>
      <c r="AO410" s="271" t="b">
        <f>IF(AR410&lt;=3,(IF((G410="5/24"),((база!$M$6*Таблица1[[#This Row],[сумма]]*Таблица1[[#This Row],[коэф]])),
IF((G410="4/24"),((база!$M$5*Таблица1[[#This Row],[сумма]]*Таблица1[[#This Row],[коэф]])),
IF((G410="3/24"),((база!$M$4*Таблица1[[#This Row],[сумма]]*Таблица1[[#This Row],[коэф]])),
IF((G410="5/16"),((база!$L$6*Таблица1[[#This Row],[сумма]]*Таблица1[[#This Row],[коэф]])),
IF((G410="4/16"),((база!$L$5*Таблица1[[#This Row],[сумма]]*Таблица1[[#This Row],[коэф]])),
IF((G410="3/16"),((база!$L$4*Таблица1[[#This Row],[сумма]]*Таблица1[[#This Row],[коэф]])),
IF((G410="4/4"),((база!$I$5*Таблица1[[#This Row],[сумма]]*Таблица1[[#This Row],[коэф]])),
IF(OR(G410="2/4",G410="3/4"),((база!$I$4*Таблица1[[#This Row],[сумма]]*Таблица1[[#This Row],[коэф]])),
IF((G410="5/8"),((база!$J$6*Таблица1[[#This Row],[сумма]]*Таблица1[[#This Row],[коэф]])),
IF((G410="4/8"),((база!$J$5*Таблица1[[#This Row],[сумма]]*Таблица1[[#This Row],[коэф]])),
IF(OR(G410="3/8",G410="2/8"),((база!$J$4*Таблица1[[#This Row],[сумма]]*Таблица1[[#This Row],[коэф]])))))))))))))),
(IF((G410="5/24"),((база!$M$6*Таблица1[[#This Row],[сумма]]*Таблица1[[#This Row],[коэф]])),
IF(OR(G410="4/24",G410="3/24"),((база!$M$5*Таблица1[[#This Row],[сумма]]*Таблица1[[#This Row],[коэф]])),
IF((G410="5/16"),((база!$L$6*Таблица1[[#This Row],[сумма]]*Таблица1[[#This Row],[коэф]])),
IF(OR(G410="4/16",G410="3/16"),((база!$L$5*Таблица1[[#This Row],[сумма]]*Таблица1[[#This Row],[коэф]])),
IF(OR(G410="2/4",G410="3/4",G410="4/4"),((база!$I$5*Таблица1[[#This Row],[сумма]]*Таблица1[[#This Row],[коэф]])),
IF((G410="5/8"),((база!$J$6*Таблица1[[#This Row],[сумма]]*Таблица1[[#This Row],[коэф]])),
IF(OR(G410="4/8",G410="3/8",G410="2/8"),((база!$J$5*Таблица1[[#This Row],[сумма]]*Таблица1[[#This Row],[коэф]])))))))))))</f>
        <v>0</v>
      </c>
      <c r="AP410" s="696" t="b">
        <f>IF(AR410&lt;=3,(IF((G410="5/24"),((база!$M$6*2*Таблица1[[#This Row],[Столбец1]]*Таблица1[[#This Row],[коэф]])),
IF((G410="4/24"),((база!$M$5*2*Таблица1[[#This Row],[Столбец1]]*Таблица1[[#This Row],[коэф]])),
IF((G410="3/24"),((база!$M$4*2*Таблица1[[#This Row],[Столбец1]]*Таблица1[[#This Row],[коэф]])),
IF((G410="5/16"),((база!$L$6*2*Таблица1[[#This Row],[Столбец1]]*Таблица1[[#This Row],[коэф]])),
IF((G410="4/16"),((база!$L$5*2*Таблица1[[#This Row],[Столбец1]]*Таблица1[[#This Row],[коэф]])),
IF((G410="3/16"),((база!$L$4*2*Таблица1[[#This Row],[Столбец1]]*Таблица1[[#This Row],[коэф]])),
IF((G410="4/4"),((база!$I$5*2*Таблица1[[#This Row],[Столбец1]]*Таблица1[[#This Row],[коэф]])),
IF(OR(G410="2/4",G410="3/4"),((база!$I$4*2*Таблица1[[#This Row],[Столбец1]]*Таблица1[[#This Row],[коэф]])),
IF((G410="5/8"),((база!$J$6*2*Таблица1[[#This Row],[Столбец1]]*Таблица1[[#This Row],[коэф]])),
IF((G410="4/8"),((база!$J$5*2*Таблица1[[#This Row],[Столбец1]]*Таблица1[[#This Row],[коэф]])),
IF(OR(G410="3/8",G410="2/8"),((база!$J$4*2*Таблица1[[#This Row],[Столбец1]]*Таблица1[[#This Row],[коэф]])))))))))))))),
(IF((G410="5/24"),((база!$M$6*2*Таблица1[[#This Row],[Столбец1]]*Таблица1[[#This Row],[коэф]])),
IF(OR(G410="4/24",G410="3/24"),((база!$M$5*2*Таблица1[[#This Row],[Столбец1]]*Таблица1[[#This Row],[коэф]])),
IF((G410="5/16"),((база!$L$6*2*Таблица1[[#This Row],[Столбец1]]*Таблица1[[#This Row],[коэф]])),
IF(OR(G410="4/16",G410="3/16"),((база!$L$5*2*Таблица1[[#This Row],[Столбец1]]*Таблица1[[#This Row],[коэф]])),
IF(OR(G410="2/4",G410="3/4",G410="4/4"),((база!$I$5*2*Таблица1[[#This Row],[Столбец1]]*Таблица1[[#This Row],[коэф]])),
IF((G410="5/8"),((база!$J$6*2*Таблица1[[#This Row],[Столбец1]]*Таблица1[[#This Row],[коэф]])),
IF(OR(G410="4/8",G410="3/8",G410="2/8"),((база!$J$5*2*Таблица1[[#This Row],[Столбец1]]*Таблица1[[#This Row],[коэф]])))))))))))</f>
        <v>0</v>
      </c>
      <c r="AQ410" s="678" t="str">
        <f>IFERROR(INDEX(база!T:T, MATCH(F410,база!Q:Q,0)),"")</f>
        <v/>
      </c>
      <c r="AR410" s="193">
        <f>IFERROR(INDEX(база!D:D, MATCH(F410,база!B:B,0)),"")</f>
        <v>0</v>
      </c>
    </row>
    <row r="411" spans="1:44" ht="15">
      <c r="A411" s="59"/>
      <c r="B411" s="215"/>
      <c r="C411" s="54"/>
      <c r="D411" s="55"/>
      <c r="E411" s="196"/>
      <c r="F411" s="651"/>
      <c r="G411" s="42"/>
      <c r="H411" s="539"/>
      <c r="I411" s="539"/>
      <c r="J411" s="539"/>
      <c r="K411" s="539"/>
      <c r="L411" s="539"/>
      <c r="M411" s="539"/>
      <c r="N411" s="539"/>
      <c r="O411" s="539"/>
      <c r="P411" s="278"/>
      <c r="Q411" s="539"/>
      <c r="R411" s="539"/>
      <c r="S411" s="539"/>
      <c r="T411" s="539"/>
      <c r="U411" s="539"/>
      <c r="V411" s="539"/>
      <c r="W411" s="539"/>
      <c r="X411" s="539"/>
      <c r="Y411" s="539"/>
      <c r="Z411" s="539"/>
      <c r="AA411" s="539"/>
      <c r="AB411" s="539"/>
      <c r="AC411" s="539"/>
      <c r="AD411" s="43"/>
      <c r="AE411" s="43"/>
      <c r="AF411" s="238"/>
      <c r="AG411" s="43"/>
      <c r="AH411" s="43"/>
      <c r="AI411" s="238"/>
      <c r="AJ411" s="238"/>
      <c r="AK411" s="238"/>
      <c r="AL411" s="238"/>
      <c r="AM411" s="197">
        <f>IF(AQ411=1,SUM(H411:I411,L411:O411,R411:U411,X411:AA411,AD411:AG411,AI411:AK411),
IF(AQ411=2,SUM(H411:K411,N411:Q411,T411:W411,Z411:AC411,AF411:AI411),
IF(AQ411=3,SUM(J411:M411,P411:S411,V411:Y411,AB411:AE411,AH411:AK411),SUM(Таблица1[[#This Row],[1]:[31]])-Таблица1[[#This Row],[Столбец1]])))</f>
        <v>0</v>
      </c>
      <c r="AN411" s="269">
        <f t="array" ref="AN411">IF(AQ411=1,SUM(J411:K411,P411:Q411,V411:W411,AB411:AC411,AH411:AI411),
IF(AQ411=2,SUM(L411:M411,R411:S411,X411:Y411,AD411:AE411),
IF(AQ411=3,SUM(H411:I411,N411:O411,T411:U411,Z411:AA411,AF411:AG411),
SUM(IFERROR(WEEKDAY($H$2:$AL$2,2)&gt;5,)*H411:AL411))))</f>
        <v>0</v>
      </c>
      <c r="AO411" s="271" t="b">
        <f>IF(AR411&lt;=3,(IF((G411="5/24"),((база!$M$6*Таблица1[[#This Row],[сумма]]*Таблица1[[#This Row],[коэф]])),
IF((G411="4/24"),((база!$M$5*Таблица1[[#This Row],[сумма]]*Таблица1[[#This Row],[коэф]])),
IF((G411="3/24"),((база!$M$4*Таблица1[[#This Row],[сумма]]*Таблица1[[#This Row],[коэф]])),
IF((G411="5/16"),((база!$L$6*Таблица1[[#This Row],[сумма]]*Таблица1[[#This Row],[коэф]])),
IF((G411="4/16"),((база!$L$5*Таблица1[[#This Row],[сумма]]*Таблица1[[#This Row],[коэф]])),
IF((G411="3/16"),((база!$L$4*Таблица1[[#This Row],[сумма]]*Таблица1[[#This Row],[коэф]])),
IF((G411="4/4"),((база!$I$5*Таблица1[[#This Row],[сумма]]*Таблица1[[#This Row],[коэф]])),
IF(OR(G411="2/4",G411="3/4"),((база!$I$4*Таблица1[[#This Row],[сумма]]*Таблица1[[#This Row],[коэф]])),
IF((G411="5/8"),((база!$J$6*Таблица1[[#This Row],[сумма]]*Таблица1[[#This Row],[коэф]])),
IF((G411="4/8"),((база!$J$5*Таблица1[[#This Row],[сумма]]*Таблица1[[#This Row],[коэф]])),
IF(OR(G411="3/8",G411="2/8"),((база!$J$4*Таблица1[[#This Row],[сумма]]*Таблица1[[#This Row],[коэф]])))))))))))))),
(IF((G411="5/24"),((база!$M$6*Таблица1[[#This Row],[сумма]]*Таблица1[[#This Row],[коэф]])),
IF(OR(G411="4/24",G411="3/24"),((база!$M$5*Таблица1[[#This Row],[сумма]]*Таблица1[[#This Row],[коэф]])),
IF((G411="5/16"),((база!$L$6*Таблица1[[#This Row],[сумма]]*Таблица1[[#This Row],[коэф]])),
IF(OR(G411="4/16",G411="3/16"),((база!$L$5*Таблица1[[#This Row],[сумма]]*Таблица1[[#This Row],[коэф]])),
IF(OR(G411="2/4",G411="3/4",G411="4/4"),((база!$I$5*Таблица1[[#This Row],[сумма]]*Таблица1[[#This Row],[коэф]])),
IF((G411="5/8"),((база!$J$6*Таблица1[[#This Row],[сумма]]*Таблица1[[#This Row],[коэф]])),
IF(OR(G411="4/8",G411="3/8",G411="2/8"),((база!$J$5*Таблица1[[#This Row],[сумма]]*Таблица1[[#This Row],[коэф]])))))))))))</f>
        <v>0</v>
      </c>
      <c r="AP411" s="696" t="b">
        <f>IF(AR411&lt;=3,(IF((G411="5/24"),((база!$M$6*2*Таблица1[[#This Row],[Столбец1]]*Таблица1[[#This Row],[коэф]])),
IF((G411="4/24"),((база!$M$5*2*Таблица1[[#This Row],[Столбец1]]*Таблица1[[#This Row],[коэф]])),
IF((G411="3/24"),((база!$M$4*2*Таблица1[[#This Row],[Столбец1]]*Таблица1[[#This Row],[коэф]])),
IF((G411="5/16"),((база!$L$6*2*Таблица1[[#This Row],[Столбец1]]*Таблица1[[#This Row],[коэф]])),
IF((G411="4/16"),((база!$L$5*2*Таблица1[[#This Row],[Столбец1]]*Таблица1[[#This Row],[коэф]])),
IF((G411="3/16"),((база!$L$4*2*Таблица1[[#This Row],[Столбец1]]*Таблица1[[#This Row],[коэф]])),
IF((G411="4/4"),((база!$I$5*2*Таблица1[[#This Row],[Столбец1]]*Таблица1[[#This Row],[коэф]])),
IF(OR(G411="2/4",G411="3/4"),((база!$I$4*2*Таблица1[[#This Row],[Столбец1]]*Таблица1[[#This Row],[коэф]])),
IF((G411="5/8"),((база!$J$6*2*Таблица1[[#This Row],[Столбец1]]*Таблица1[[#This Row],[коэф]])),
IF((G411="4/8"),((база!$J$5*2*Таблица1[[#This Row],[Столбец1]]*Таблица1[[#This Row],[коэф]])),
IF(OR(G411="3/8",G411="2/8"),((база!$J$4*2*Таблица1[[#This Row],[Столбец1]]*Таблица1[[#This Row],[коэф]])))))))))))))),
(IF((G411="5/24"),((база!$M$6*2*Таблица1[[#This Row],[Столбец1]]*Таблица1[[#This Row],[коэф]])),
IF(OR(G411="4/24",G411="3/24"),((база!$M$5*2*Таблица1[[#This Row],[Столбец1]]*Таблица1[[#This Row],[коэф]])),
IF((G411="5/16"),((база!$L$6*2*Таблица1[[#This Row],[Столбец1]]*Таблица1[[#This Row],[коэф]])),
IF(OR(G411="4/16",G411="3/16"),((база!$L$5*2*Таблица1[[#This Row],[Столбец1]]*Таблица1[[#This Row],[коэф]])),
IF(OR(G411="2/4",G411="3/4",G411="4/4"),((база!$I$5*2*Таблица1[[#This Row],[Столбец1]]*Таблица1[[#This Row],[коэф]])),
IF((G411="5/8"),((база!$J$6*2*Таблица1[[#This Row],[Столбец1]]*Таблица1[[#This Row],[коэф]])),
IF(OR(G411="4/8",G411="3/8",G411="2/8"),((база!$J$5*2*Таблица1[[#This Row],[Столбец1]]*Таблица1[[#This Row],[коэф]])))))))))))</f>
        <v>0</v>
      </c>
      <c r="AQ411" s="678" t="str">
        <f>IFERROR(INDEX(база!T:T, MATCH(F411,база!Q:Q,0)),"")</f>
        <v/>
      </c>
      <c r="AR411" s="193">
        <f>IFERROR(INDEX(база!D:D, MATCH(F411,база!B:B,0)),"")</f>
        <v>0</v>
      </c>
    </row>
    <row r="412" spans="1:44" ht="15">
      <c r="A412" s="59"/>
      <c r="B412" s="215"/>
      <c r="C412" s="277"/>
      <c r="D412" s="55"/>
      <c r="E412" s="196"/>
      <c r="F412" s="651"/>
      <c r="G412" s="42"/>
      <c r="H412" s="539"/>
      <c r="I412" s="539"/>
      <c r="J412" s="539"/>
      <c r="K412" s="539"/>
      <c r="L412" s="539"/>
      <c r="M412" s="539"/>
      <c r="N412" s="539"/>
      <c r="O412" s="539"/>
      <c r="P412" s="278"/>
      <c r="Q412" s="539"/>
      <c r="R412" s="539"/>
      <c r="S412" s="539"/>
      <c r="T412" s="539"/>
      <c r="U412" s="539"/>
      <c r="V412" s="539"/>
      <c r="W412" s="539"/>
      <c r="X412" s="539"/>
      <c r="Y412" s="539"/>
      <c r="Z412" s="539"/>
      <c r="AA412" s="539"/>
      <c r="AB412" s="539"/>
      <c r="AC412" s="539"/>
      <c r="AD412" s="43"/>
      <c r="AE412" s="43"/>
      <c r="AF412" s="238"/>
      <c r="AG412" s="43"/>
      <c r="AH412" s="43"/>
      <c r="AI412" s="43"/>
      <c r="AJ412" s="43"/>
      <c r="AK412" s="43"/>
      <c r="AL412" s="45"/>
      <c r="AM412" s="197">
        <f>IF(AQ412=1,SUM(H412:I412,L412:O412,R412:U412,X412:AA412,AD412:AG412,AI412:AK412),
IF(AQ412=2,SUM(H412:K412,N412:Q412,T412:W412,Z412:AC412,AF412:AI412),
IF(AQ412=3,SUM(J412:M412,P412:S412,V412:Y412,AB412:AE412,AH412:AK412),SUM(Таблица1[[#This Row],[1]:[31]])-Таблица1[[#This Row],[Столбец1]])))</f>
        <v>0</v>
      </c>
      <c r="AN412" s="269">
        <f t="array" ref="AN412">IF(AQ412=1,SUM(J412:K412,P412:Q412,V412:W412,AB412:AC412,AH412:AI412),
IF(AQ412=2,SUM(L412:M412,R412:S412,X412:Y412,AD412:AE412),
IF(AQ412=3,SUM(H412:I412,N412:O412,T412:U412,Z412:AA412,AF412:AG412),
SUM(IFERROR(WEEKDAY($H$2:$AL$2,2)&gt;5,)*H412:AL412))))</f>
        <v>0</v>
      </c>
      <c r="AO412" s="271" t="b">
        <f>IF(AR412&lt;=3,(IF((G412="5/24"),((база!$M$6*Таблица1[[#This Row],[сумма]]*Таблица1[[#This Row],[коэф]])),
IF((G412="4/24"),((база!$M$5*Таблица1[[#This Row],[сумма]]*Таблица1[[#This Row],[коэф]])),
IF((G412="3/24"),((база!$M$4*Таблица1[[#This Row],[сумма]]*Таблица1[[#This Row],[коэф]])),
IF((G412="5/16"),((база!$L$6*Таблица1[[#This Row],[сумма]]*Таблица1[[#This Row],[коэф]])),
IF((G412="4/16"),((база!$L$5*Таблица1[[#This Row],[сумма]]*Таблица1[[#This Row],[коэф]])),
IF((G412="3/16"),((база!$L$4*Таблица1[[#This Row],[сумма]]*Таблица1[[#This Row],[коэф]])),
IF((G412="4/4"),((база!$I$5*Таблица1[[#This Row],[сумма]]*Таблица1[[#This Row],[коэф]])),
IF(OR(G412="2/4",G412="3/4"),((база!$I$4*Таблица1[[#This Row],[сумма]]*Таблица1[[#This Row],[коэф]])),
IF((G412="5/8"),((база!$J$6*Таблица1[[#This Row],[сумма]]*Таблица1[[#This Row],[коэф]])),
IF((G412="4/8"),((база!$J$5*Таблица1[[#This Row],[сумма]]*Таблица1[[#This Row],[коэф]])),
IF(OR(G412="3/8",G412="2/8"),((база!$J$4*Таблица1[[#This Row],[сумма]]*Таблица1[[#This Row],[коэф]])))))))))))))),
(IF((G412="5/24"),((база!$M$6*Таблица1[[#This Row],[сумма]]*Таблица1[[#This Row],[коэф]])),
IF(OR(G412="4/24",G412="3/24"),((база!$M$5*Таблица1[[#This Row],[сумма]]*Таблица1[[#This Row],[коэф]])),
IF((G412="5/16"),((база!$L$6*Таблица1[[#This Row],[сумма]]*Таблица1[[#This Row],[коэф]])),
IF(OR(G412="4/16",G412="3/16"),((база!$L$5*Таблица1[[#This Row],[сумма]]*Таблица1[[#This Row],[коэф]])),
IF(OR(G412="2/4",G412="3/4",G412="4/4"),((база!$I$5*Таблица1[[#This Row],[сумма]]*Таблица1[[#This Row],[коэф]])),
IF((G412="5/8"),((база!$J$6*Таблица1[[#This Row],[сумма]]*Таблица1[[#This Row],[коэф]])),
IF(OR(G412="4/8",G412="3/8",G412="2/8"),((база!$J$5*Таблица1[[#This Row],[сумма]]*Таблица1[[#This Row],[коэф]])))))))))))</f>
        <v>0</v>
      </c>
      <c r="AP412" s="696" t="b">
        <f>IF(AR412&lt;=3,(IF((G412="5/24"),((база!$M$6*2*Таблица1[[#This Row],[Столбец1]]*Таблица1[[#This Row],[коэф]])),
IF((G412="4/24"),((база!$M$5*2*Таблица1[[#This Row],[Столбец1]]*Таблица1[[#This Row],[коэф]])),
IF((G412="3/24"),((база!$M$4*2*Таблица1[[#This Row],[Столбец1]]*Таблица1[[#This Row],[коэф]])),
IF((G412="5/16"),((база!$L$6*2*Таблица1[[#This Row],[Столбец1]]*Таблица1[[#This Row],[коэф]])),
IF((G412="4/16"),((база!$L$5*2*Таблица1[[#This Row],[Столбец1]]*Таблица1[[#This Row],[коэф]])),
IF((G412="3/16"),((база!$L$4*2*Таблица1[[#This Row],[Столбец1]]*Таблица1[[#This Row],[коэф]])),
IF((G412="4/4"),((база!$I$5*2*Таблица1[[#This Row],[Столбец1]]*Таблица1[[#This Row],[коэф]])),
IF(OR(G412="2/4",G412="3/4"),((база!$I$4*2*Таблица1[[#This Row],[Столбец1]]*Таблица1[[#This Row],[коэф]])),
IF((G412="5/8"),((база!$J$6*2*Таблица1[[#This Row],[Столбец1]]*Таблица1[[#This Row],[коэф]])),
IF((G412="4/8"),((база!$J$5*2*Таблица1[[#This Row],[Столбец1]]*Таблица1[[#This Row],[коэф]])),
IF(OR(G412="3/8",G412="2/8"),((база!$J$4*2*Таблица1[[#This Row],[Столбец1]]*Таблица1[[#This Row],[коэф]])))))))))))))),
(IF((G412="5/24"),((база!$M$6*2*Таблица1[[#This Row],[Столбец1]]*Таблица1[[#This Row],[коэф]])),
IF(OR(G412="4/24",G412="3/24"),((база!$M$5*2*Таблица1[[#This Row],[Столбец1]]*Таблица1[[#This Row],[коэф]])),
IF((G412="5/16"),((база!$L$6*2*Таблица1[[#This Row],[Столбец1]]*Таблица1[[#This Row],[коэф]])),
IF(OR(G412="4/16",G412="3/16"),((база!$L$5*2*Таблица1[[#This Row],[Столбец1]]*Таблица1[[#This Row],[коэф]])),
IF(OR(G412="2/4",G412="3/4",G412="4/4"),((база!$I$5*2*Таблица1[[#This Row],[Столбец1]]*Таблица1[[#This Row],[коэф]])),
IF((G412="5/8"),((база!$J$6*2*Таблица1[[#This Row],[Столбец1]]*Таблица1[[#This Row],[коэф]])),
IF(OR(G412="4/8",G412="3/8",G412="2/8"),((база!$J$5*2*Таблица1[[#This Row],[Столбец1]]*Таблица1[[#This Row],[коэф]])))))))))))</f>
        <v>0</v>
      </c>
      <c r="AQ412" s="678" t="str">
        <f>IFERROR(INDEX(база!T:T, MATCH(F412,база!Q:Q,0)),"")</f>
        <v/>
      </c>
      <c r="AR412" s="193">
        <f>IFERROR(INDEX(база!D:D, MATCH(F412,база!B:B,0)),"")</f>
        <v>0</v>
      </c>
    </row>
    <row r="413" spans="1:44" ht="15">
      <c r="A413" s="59"/>
      <c r="B413" s="215"/>
      <c r="C413" s="277"/>
      <c r="D413" s="55"/>
      <c r="E413" s="196"/>
      <c r="F413" s="651"/>
      <c r="G413" s="42"/>
      <c r="H413" s="539"/>
      <c r="I413" s="539"/>
      <c r="J413" s="539"/>
      <c r="K413" s="539"/>
      <c r="L413" s="539"/>
      <c r="M413" s="539"/>
      <c r="N413" s="539"/>
      <c r="O413" s="539"/>
      <c r="P413" s="278"/>
      <c r="Q413" s="539"/>
      <c r="R413" s="539"/>
      <c r="S413" s="539"/>
      <c r="T413" s="539"/>
      <c r="U413" s="539"/>
      <c r="V413" s="539"/>
      <c r="W413" s="539"/>
      <c r="X413" s="539"/>
      <c r="Y413" s="539"/>
      <c r="Z413" s="539"/>
      <c r="AA413" s="539"/>
      <c r="AB413" s="539"/>
      <c r="AC413" s="539"/>
      <c r="AD413" s="43"/>
      <c r="AE413" s="43"/>
      <c r="AF413" s="238"/>
      <c r="AG413" s="43"/>
      <c r="AH413" s="43"/>
      <c r="AI413" s="238"/>
      <c r="AJ413" s="238"/>
      <c r="AK413" s="238"/>
      <c r="AL413" s="238"/>
      <c r="AM413" s="197">
        <f>IF(AQ413=1,SUM(H413:I413,L413:O413,R413:U413,X413:AA413,AD413:AG413,AI413:AK413),
IF(AQ413=2,SUM(H413:K413,N413:Q413,T413:W413,Z413:AC413,AF413:AI413),
IF(AQ413=3,SUM(J413:M413,P413:S413,V413:Y413,AB413:AE413,AH413:AK413),SUM(Таблица1[[#This Row],[1]:[31]])-Таблица1[[#This Row],[Столбец1]])))</f>
        <v>0</v>
      </c>
      <c r="AN413" s="269">
        <f t="array" ref="AN413">IF(AQ413=1,SUM(J413:K413,P413:Q413,V413:W413,AB413:AC413,AH413:AI413),
IF(AQ413=2,SUM(L413:M413,R413:S413,X413:Y413,AD413:AE413),
IF(AQ413=3,SUM(H413:I413,N413:O413,T413:U413,Z413:AA413,AF413:AG413),
SUM(IFERROR(WEEKDAY($H$2:$AL$2,2)&gt;5,)*H413:AL413))))</f>
        <v>0</v>
      </c>
      <c r="AO413" s="271" t="b">
        <f>IF(AR413&lt;=3,(IF((G413="5/24"),((база!$M$6*Таблица1[[#This Row],[сумма]]*Таблица1[[#This Row],[коэф]])),
IF((G413="4/24"),((база!$M$5*Таблица1[[#This Row],[сумма]]*Таблица1[[#This Row],[коэф]])),
IF((G413="3/24"),((база!$M$4*Таблица1[[#This Row],[сумма]]*Таблица1[[#This Row],[коэф]])),
IF((G413="5/16"),((база!$L$6*Таблица1[[#This Row],[сумма]]*Таблица1[[#This Row],[коэф]])),
IF((G413="4/16"),((база!$L$5*Таблица1[[#This Row],[сумма]]*Таблица1[[#This Row],[коэф]])),
IF((G413="3/16"),((база!$L$4*Таблица1[[#This Row],[сумма]]*Таблица1[[#This Row],[коэф]])),
IF((G413="4/4"),((база!$I$5*Таблица1[[#This Row],[сумма]]*Таблица1[[#This Row],[коэф]])),
IF(OR(G413="2/4",G413="3/4"),((база!$I$4*Таблица1[[#This Row],[сумма]]*Таблица1[[#This Row],[коэф]])),
IF((G413="5/8"),((база!$J$6*Таблица1[[#This Row],[сумма]]*Таблица1[[#This Row],[коэф]])),
IF((G413="4/8"),((база!$J$5*Таблица1[[#This Row],[сумма]]*Таблица1[[#This Row],[коэф]])),
IF(OR(G413="3/8",G413="2/8"),((база!$J$4*Таблица1[[#This Row],[сумма]]*Таблица1[[#This Row],[коэф]])))))))))))))),
(IF((G413="5/24"),((база!$M$6*Таблица1[[#This Row],[сумма]]*Таблица1[[#This Row],[коэф]])),
IF(OR(G413="4/24",G413="3/24"),((база!$M$5*Таблица1[[#This Row],[сумма]]*Таблица1[[#This Row],[коэф]])),
IF((G413="5/16"),((база!$L$6*Таблица1[[#This Row],[сумма]]*Таблица1[[#This Row],[коэф]])),
IF(OR(G413="4/16",G413="3/16"),((база!$L$5*Таблица1[[#This Row],[сумма]]*Таблица1[[#This Row],[коэф]])),
IF(OR(G413="2/4",G413="3/4",G413="4/4"),((база!$I$5*Таблица1[[#This Row],[сумма]]*Таблица1[[#This Row],[коэф]])),
IF((G413="5/8"),((база!$J$6*Таблица1[[#This Row],[сумма]]*Таблица1[[#This Row],[коэф]])),
IF(OR(G413="4/8",G413="3/8",G413="2/8"),((база!$J$5*Таблица1[[#This Row],[сумма]]*Таблица1[[#This Row],[коэф]])))))))))))</f>
        <v>0</v>
      </c>
      <c r="AP413" s="696" t="b">
        <f>IF(AR413&lt;=3,(IF((G413="5/24"),((база!$M$6*2*Таблица1[[#This Row],[Столбец1]]*Таблица1[[#This Row],[коэф]])),
IF((G413="4/24"),((база!$M$5*2*Таблица1[[#This Row],[Столбец1]]*Таблица1[[#This Row],[коэф]])),
IF((G413="3/24"),((база!$M$4*2*Таблица1[[#This Row],[Столбец1]]*Таблица1[[#This Row],[коэф]])),
IF((G413="5/16"),((база!$L$6*2*Таблица1[[#This Row],[Столбец1]]*Таблица1[[#This Row],[коэф]])),
IF((G413="4/16"),((база!$L$5*2*Таблица1[[#This Row],[Столбец1]]*Таблица1[[#This Row],[коэф]])),
IF((G413="3/16"),((база!$L$4*2*Таблица1[[#This Row],[Столбец1]]*Таблица1[[#This Row],[коэф]])),
IF((G413="4/4"),((база!$I$5*2*Таблица1[[#This Row],[Столбец1]]*Таблица1[[#This Row],[коэф]])),
IF(OR(G413="2/4",G413="3/4"),((база!$I$4*2*Таблица1[[#This Row],[Столбец1]]*Таблица1[[#This Row],[коэф]])),
IF((G413="5/8"),((база!$J$6*2*Таблица1[[#This Row],[Столбец1]]*Таблица1[[#This Row],[коэф]])),
IF((G413="4/8"),((база!$J$5*2*Таблица1[[#This Row],[Столбец1]]*Таблица1[[#This Row],[коэф]])),
IF(OR(G413="3/8",G413="2/8"),((база!$J$4*2*Таблица1[[#This Row],[Столбец1]]*Таблица1[[#This Row],[коэф]])))))))))))))),
(IF((G413="5/24"),((база!$M$6*2*Таблица1[[#This Row],[Столбец1]]*Таблица1[[#This Row],[коэф]])),
IF(OR(G413="4/24",G413="3/24"),((база!$M$5*2*Таблица1[[#This Row],[Столбец1]]*Таблица1[[#This Row],[коэф]])),
IF((G413="5/16"),((база!$L$6*2*Таблица1[[#This Row],[Столбец1]]*Таблица1[[#This Row],[коэф]])),
IF(OR(G413="4/16",G413="3/16"),((база!$L$5*2*Таблица1[[#This Row],[Столбец1]]*Таблица1[[#This Row],[коэф]])),
IF(OR(G413="2/4",G413="3/4",G413="4/4"),((база!$I$5*2*Таблица1[[#This Row],[Столбец1]]*Таблица1[[#This Row],[коэф]])),
IF((G413="5/8"),((база!$J$6*2*Таблица1[[#This Row],[Столбец1]]*Таблица1[[#This Row],[коэф]])),
IF(OR(G413="4/8",G413="3/8",G413="2/8"),((база!$J$5*2*Таблица1[[#This Row],[Столбец1]]*Таблица1[[#This Row],[коэф]])))))))))))</f>
        <v>0</v>
      </c>
      <c r="AQ413" s="678" t="str">
        <f>IFERROR(INDEX(база!T:T, MATCH(F413,база!Q:Q,0)),"")</f>
        <v/>
      </c>
      <c r="AR413" s="193">
        <f>IFERROR(INDEX(база!D:D, MATCH(F413,база!B:B,0)),"")</f>
        <v>0</v>
      </c>
    </row>
    <row r="414" spans="1:44" ht="15">
      <c r="A414" s="59"/>
      <c r="B414" s="215"/>
      <c r="C414" s="54"/>
      <c r="D414" s="55"/>
      <c r="E414" s="196"/>
      <c r="F414" s="651"/>
      <c r="G414" s="42"/>
      <c r="H414" s="539"/>
      <c r="I414" s="539"/>
      <c r="J414" s="539"/>
      <c r="K414" s="539"/>
      <c r="L414" s="539"/>
      <c r="M414" s="539"/>
      <c r="N414" s="539"/>
      <c r="O414" s="539"/>
      <c r="P414" s="278"/>
      <c r="Q414" s="539"/>
      <c r="R414" s="539"/>
      <c r="S414" s="539"/>
      <c r="T414" s="539"/>
      <c r="U414" s="539"/>
      <c r="V414" s="539"/>
      <c r="W414" s="539"/>
      <c r="X414" s="539"/>
      <c r="Y414" s="539"/>
      <c r="Z414" s="539"/>
      <c r="AA414" s="539"/>
      <c r="AB414" s="539"/>
      <c r="AC414" s="43"/>
      <c r="AD414" s="43"/>
      <c r="AE414" s="43"/>
      <c r="AF414" s="238"/>
      <c r="AG414" s="43"/>
      <c r="AH414" s="43"/>
      <c r="AI414" s="43"/>
      <c r="AJ414" s="43"/>
      <c r="AK414" s="43"/>
      <c r="AL414" s="45"/>
      <c r="AM414" s="197">
        <f>IF(AQ414=1,SUM(H414:I414,L414:O414,R414:U414,X414:AA414,AD414:AG414,AI414:AK414),
IF(AQ414=2,SUM(H414:K414,N414:Q414,T414:W414,Z414:AC414,AF414:AI414),
IF(AQ414=3,SUM(J414:M414,P414:S414,V414:Y414,AB414:AE414,AH414:AK414),SUM(Таблица1[[#This Row],[1]:[31]])-Таблица1[[#This Row],[Столбец1]])))</f>
        <v>0</v>
      </c>
      <c r="AN414" s="269">
        <f t="array" ref="AN414">IF(AQ414=1,SUM(J414:K414,P414:Q414,V414:W414,AB414:AC414,AH414:AI414),
IF(AQ414=2,SUM(L414:M414,R414:S414,X414:Y414,AD414:AE414),
IF(AQ414=3,SUM(H414:I414,N414:O414,T414:U414,Z414:AA414,AF414:AG414),
SUM(IFERROR(WEEKDAY($H$2:$AL$2,2)&gt;5,)*H414:AL414))))</f>
        <v>0</v>
      </c>
      <c r="AO414" s="271" t="b">
        <f>IF(AR414&lt;=3,(IF((G414="5/24"),((база!$M$6*Таблица1[[#This Row],[сумма]]*Таблица1[[#This Row],[коэф]])),
IF((G414="4/24"),((база!$M$5*Таблица1[[#This Row],[сумма]]*Таблица1[[#This Row],[коэф]])),
IF((G414="3/24"),((база!$M$4*Таблица1[[#This Row],[сумма]]*Таблица1[[#This Row],[коэф]])),
IF((G414="5/16"),((база!$L$6*Таблица1[[#This Row],[сумма]]*Таблица1[[#This Row],[коэф]])),
IF((G414="4/16"),((база!$L$5*Таблица1[[#This Row],[сумма]]*Таблица1[[#This Row],[коэф]])),
IF((G414="3/16"),((база!$L$4*Таблица1[[#This Row],[сумма]]*Таблица1[[#This Row],[коэф]])),
IF((G414="4/4"),((база!$I$5*Таблица1[[#This Row],[сумма]]*Таблица1[[#This Row],[коэф]])),
IF(OR(G414="2/4",G414="3/4"),((база!$I$4*Таблица1[[#This Row],[сумма]]*Таблица1[[#This Row],[коэф]])),
IF((G414="5/8"),((база!$J$6*Таблица1[[#This Row],[сумма]]*Таблица1[[#This Row],[коэф]])),
IF((G414="4/8"),((база!$J$5*Таблица1[[#This Row],[сумма]]*Таблица1[[#This Row],[коэф]])),
IF(OR(G414="3/8",G414="2/8"),((база!$J$4*Таблица1[[#This Row],[сумма]]*Таблица1[[#This Row],[коэф]])))))))))))))),
(IF((G414="5/24"),((база!$M$6*Таблица1[[#This Row],[сумма]]*Таблица1[[#This Row],[коэф]])),
IF(OR(G414="4/24",G414="3/24"),((база!$M$5*Таблица1[[#This Row],[сумма]]*Таблица1[[#This Row],[коэф]])),
IF((G414="5/16"),((база!$L$6*Таблица1[[#This Row],[сумма]]*Таблица1[[#This Row],[коэф]])),
IF(OR(G414="4/16",G414="3/16"),((база!$L$5*Таблица1[[#This Row],[сумма]]*Таблица1[[#This Row],[коэф]])),
IF(OR(G414="2/4",G414="3/4",G414="4/4"),((база!$I$5*Таблица1[[#This Row],[сумма]]*Таблица1[[#This Row],[коэф]])),
IF((G414="5/8"),((база!$J$6*Таблица1[[#This Row],[сумма]]*Таблица1[[#This Row],[коэф]])),
IF(OR(G414="4/8",G414="3/8",G414="2/8"),((база!$J$5*Таблица1[[#This Row],[сумма]]*Таблица1[[#This Row],[коэф]])))))))))))</f>
        <v>0</v>
      </c>
      <c r="AP414" s="696" t="b">
        <f>IF(AR414&lt;=3,(IF((G414="5/24"),((база!$M$6*2*Таблица1[[#This Row],[Столбец1]]*Таблица1[[#This Row],[коэф]])),
IF((G414="4/24"),((база!$M$5*2*Таблица1[[#This Row],[Столбец1]]*Таблица1[[#This Row],[коэф]])),
IF((G414="3/24"),((база!$M$4*2*Таблица1[[#This Row],[Столбец1]]*Таблица1[[#This Row],[коэф]])),
IF((G414="5/16"),((база!$L$6*2*Таблица1[[#This Row],[Столбец1]]*Таблица1[[#This Row],[коэф]])),
IF((G414="4/16"),((база!$L$5*2*Таблица1[[#This Row],[Столбец1]]*Таблица1[[#This Row],[коэф]])),
IF((G414="3/16"),((база!$L$4*2*Таблица1[[#This Row],[Столбец1]]*Таблица1[[#This Row],[коэф]])),
IF((G414="4/4"),((база!$I$5*2*Таблица1[[#This Row],[Столбец1]]*Таблица1[[#This Row],[коэф]])),
IF(OR(G414="2/4",G414="3/4"),((база!$I$4*2*Таблица1[[#This Row],[Столбец1]]*Таблица1[[#This Row],[коэф]])),
IF((G414="5/8"),((база!$J$6*2*Таблица1[[#This Row],[Столбец1]]*Таблица1[[#This Row],[коэф]])),
IF((G414="4/8"),((база!$J$5*2*Таблица1[[#This Row],[Столбец1]]*Таблица1[[#This Row],[коэф]])),
IF(OR(G414="3/8",G414="2/8"),((база!$J$4*2*Таблица1[[#This Row],[Столбец1]]*Таблица1[[#This Row],[коэф]])))))))))))))),
(IF((G414="5/24"),((база!$M$6*2*Таблица1[[#This Row],[Столбец1]]*Таблица1[[#This Row],[коэф]])),
IF(OR(G414="4/24",G414="3/24"),((база!$M$5*2*Таблица1[[#This Row],[Столбец1]]*Таблица1[[#This Row],[коэф]])),
IF((G414="5/16"),((база!$L$6*2*Таблица1[[#This Row],[Столбец1]]*Таблица1[[#This Row],[коэф]])),
IF(OR(G414="4/16",G414="3/16"),((база!$L$5*2*Таблица1[[#This Row],[Столбец1]]*Таблица1[[#This Row],[коэф]])),
IF(OR(G414="2/4",G414="3/4",G414="4/4"),((база!$I$5*2*Таблица1[[#This Row],[Столбец1]]*Таблица1[[#This Row],[коэф]])),
IF((G414="5/8"),((база!$J$6*2*Таблица1[[#This Row],[Столбец1]]*Таблица1[[#This Row],[коэф]])),
IF(OR(G414="4/8",G414="3/8",G414="2/8"),((база!$J$5*2*Таблица1[[#This Row],[Столбец1]]*Таблица1[[#This Row],[коэф]])))))))))))</f>
        <v>0</v>
      </c>
      <c r="AQ414" s="678" t="str">
        <f>IFERROR(INDEX(база!T:T, MATCH(F414,база!Q:Q,0)),"")</f>
        <v/>
      </c>
      <c r="AR414" s="193">
        <f>IFERROR(INDEX(база!D:D, MATCH(F414,база!B:B,0)),"")</f>
        <v>0</v>
      </c>
    </row>
    <row r="415" spans="1:44" ht="15">
      <c r="A415" s="59"/>
      <c r="B415" s="215"/>
      <c r="C415" s="54"/>
      <c r="D415" s="55"/>
      <c r="E415" s="196"/>
      <c r="F415" s="651"/>
      <c r="G415" s="42"/>
      <c r="H415" s="539"/>
      <c r="I415" s="539"/>
      <c r="J415" s="539"/>
      <c r="K415" s="539"/>
      <c r="L415" s="539"/>
      <c r="M415" s="539"/>
      <c r="N415" s="539"/>
      <c r="O415" s="539"/>
      <c r="P415" s="278"/>
      <c r="Q415" s="539"/>
      <c r="R415" s="539"/>
      <c r="S415" s="539"/>
      <c r="T415" s="539"/>
      <c r="U415" s="539"/>
      <c r="V415" s="539"/>
      <c r="W415" s="539"/>
      <c r="X415" s="539"/>
      <c r="Y415" s="539"/>
      <c r="Z415" s="539"/>
      <c r="AA415" s="539"/>
      <c r="AB415" s="539"/>
      <c r="AC415" s="539"/>
      <c r="AD415" s="43"/>
      <c r="AE415" s="43"/>
      <c r="AF415" s="238"/>
      <c r="AG415" s="43"/>
      <c r="AH415" s="43"/>
      <c r="AI415" s="238"/>
      <c r="AJ415" s="238"/>
      <c r="AK415" s="238"/>
      <c r="AL415" s="238"/>
      <c r="AM415" s="197">
        <f>IF(AQ415=1,SUM(H415:I415,L415:O415,R415:U415,X415:AA415,AD415:AG415,AI415:AK415),
IF(AQ415=2,SUM(H415:K415,N415:Q415,T415:W415,Z415:AC415,AF415:AI415),
IF(AQ415=3,SUM(J415:M415,P415:S415,V415:Y415,AB415:AE415,AH415:AK415),SUM(Таблица1[[#This Row],[1]:[31]])-Таблица1[[#This Row],[Столбец1]])))</f>
        <v>0</v>
      </c>
      <c r="AN415" s="269">
        <f t="array" ref="AN415">IF(AQ415=1,SUM(J415:K415,P415:Q415,V415:W415,AB415:AC415,AH415:AI415),
IF(AQ415=2,SUM(L415:M415,R415:S415,X415:Y415,AD415:AE415),
IF(AQ415=3,SUM(H415:I415,N415:O415,T415:U415,Z415:AA415,AF415:AG415),
SUM(IFERROR(WEEKDAY($H$2:$AL$2,2)&gt;5,)*H415:AL415))))</f>
        <v>0</v>
      </c>
      <c r="AO415" s="271" t="b">
        <f>IF(AR415&lt;=3,(IF((G415="5/24"),((база!$M$6*Таблица1[[#This Row],[сумма]]*Таблица1[[#This Row],[коэф]])),
IF((G415="4/24"),((база!$M$5*Таблица1[[#This Row],[сумма]]*Таблица1[[#This Row],[коэф]])),
IF((G415="3/24"),((база!$M$4*Таблица1[[#This Row],[сумма]]*Таблица1[[#This Row],[коэф]])),
IF((G415="5/16"),((база!$L$6*Таблица1[[#This Row],[сумма]]*Таблица1[[#This Row],[коэф]])),
IF((G415="4/16"),((база!$L$5*Таблица1[[#This Row],[сумма]]*Таблица1[[#This Row],[коэф]])),
IF((G415="3/16"),((база!$L$4*Таблица1[[#This Row],[сумма]]*Таблица1[[#This Row],[коэф]])),
IF((G415="4/4"),((база!$I$5*Таблица1[[#This Row],[сумма]]*Таблица1[[#This Row],[коэф]])),
IF(OR(G415="2/4",G415="3/4"),((база!$I$4*Таблица1[[#This Row],[сумма]]*Таблица1[[#This Row],[коэф]])),
IF((G415="5/8"),((база!$J$6*Таблица1[[#This Row],[сумма]]*Таблица1[[#This Row],[коэф]])),
IF((G415="4/8"),((база!$J$5*Таблица1[[#This Row],[сумма]]*Таблица1[[#This Row],[коэф]])),
IF(OR(G415="3/8",G415="2/8"),((база!$J$4*Таблица1[[#This Row],[сумма]]*Таблица1[[#This Row],[коэф]])))))))))))))),
(IF((G415="5/24"),((база!$M$6*Таблица1[[#This Row],[сумма]]*Таблица1[[#This Row],[коэф]])),
IF(OR(G415="4/24",G415="3/24"),((база!$M$5*Таблица1[[#This Row],[сумма]]*Таблица1[[#This Row],[коэф]])),
IF((G415="5/16"),((база!$L$6*Таблица1[[#This Row],[сумма]]*Таблица1[[#This Row],[коэф]])),
IF(OR(G415="4/16",G415="3/16"),((база!$L$5*Таблица1[[#This Row],[сумма]]*Таблица1[[#This Row],[коэф]])),
IF(OR(G415="2/4",G415="3/4",G415="4/4"),((база!$I$5*Таблица1[[#This Row],[сумма]]*Таблица1[[#This Row],[коэф]])),
IF((G415="5/8"),((база!$J$6*Таблица1[[#This Row],[сумма]]*Таблица1[[#This Row],[коэф]])),
IF(OR(G415="4/8",G415="3/8",G415="2/8"),((база!$J$5*Таблица1[[#This Row],[сумма]]*Таблица1[[#This Row],[коэф]])))))))))))</f>
        <v>0</v>
      </c>
      <c r="AP415" s="696" t="b">
        <f>IF(AR415&lt;=3,(IF((G415="5/24"),((база!$M$6*2*Таблица1[[#This Row],[Столбец1]]*Таблица1[[#This Row],[коэф]])),
IF((G415="4/24"),((база!$M$5*2*Таблица1[[#This Row],[Столбец1]]*Таблица1[[#This Row],[коэф]])),
IF((G415="3/24"),((база!$M$4*2*Таблица1[[#This Row],[Столбец1]]*Таблица1[[#This Row],[коэф]])),
IF((G415="5/16"),((база!$L$6*2*Таблица1[[#This Row],[Столбец1]]*Таблица1[[#This Row],[коэф]])),
IF((G415="4/16"),((база!$L$5*2*Таблица1[[#This Row],[Столбец1]]*Таблица1[[#This Row],[коэф]])),
IF((G415="3/16"),((база!$L$4*2*Таблица1[[#This Row],[Столбец1]]*Таблица1[[#This Row],[коэф]])),
IF((G415="4/4"),((база!$I$5*2*Таблица1[[#This Row],[Столбец1]]*Таблица1[[#This Row],[коэф]])),
IF(OR(G415="2/4",G415="3/4"),((база!$I$4*2*Таблица1[[#This Row],[Столбец1]]*Таблица1[[#This Row],[коэф]])),
IF((G415="5/8"),((база!$J$6*2*Таблица1[[#This Row],[Столбец1]]*Таблица1[[#This Row],[коэф]])),
IF((G415="4/8"),((база!$J$5*2*Таблица1[[#This Row],[Столбец1]]*Таблица1[[#This Row],[коэф]])),
IF(OR(G415="3/8",G415="2/8"),((база!$J$4*2*Таблица1[[#This Row],[Столбец1]]*Таблица1[[#This Row],[коэф]])))))))))))))),
(IF((G415="5/24"),((база!$M$6*2*Таблица1[[#This Row],[Столбец1]]*Таблица1[[#This Row],[коэф]])),
IF(OR(G415="4/24",G415="3/24"),((база!$M$5*2*Таблица1[[#This Row],[Столбец1]]*Таблица1[[#This Row],[коэф]])),
IF((G415="5/16"),((база!$L$6*2*Таблица1[[#This Row],[Столбец1]]*Таблица1[[#This Row],[коэф]])),
IF(OR(G415="4/16",G415="3/16"),((база!$L$5*2*Таблица1[[#This Row],[Столбец1]]*Таблица1[[#This Row],[коэф]])),
IF(OR(G415="2/4",G415="3/4",G415="4/4"),((база!$I$5*2*Таблица1[[#This Row],[Столбец1]]*Таблица1[[#This Row],[коэф]])),
IF((G415="5/8"),((база!$J$6*2*Таблица1[[#This Row],[Столбец1]]*Таблица1[[#This Row],[коэф]])),
IF(OR(G415="4/8",G415="3/8",G415="2/8"),((база!$J$5*2*Таблица1[[#This Row],[Столбец1]]*Таблица1[[#This Row],[коэф]])))))))))))</f>
        <v>0</v>
      </c>
      <c r="AQ415" s="678" t="str">
        <f>IFERROR(INDEX(база!T:T, MATCH(F415,база!Q:Q,0)),"")</f>
        <v/>
      </c>
      <c r="AR415" s="193">
        <f>IFERROR(INDEX(база!D:D, MATCH(F415,база!B:B,0)),"")</f>
        <v>0</v>
      </c>
    </row>
    <row r="416" spans="1:44" ht="15">
      <c r="A416" s="59"/>
      <c r="B416" s="215"/>
      <c r="C416" s="277"/>
      <c r="D416" s="55"/>
      <c r="E416" s="196"/>
      <c r="F416" s="651"/>
      <c r="G416" s="42"/>
      <c r="H416" s="539"/>
      <c r="I416" s="539"/>
      <c r="J416" s="539"/>
      <c r="K416" s="539"/>
      <c r="L416" s="539"/>
      <c r="M416" s="539"/>
      <c r="N416" s="539"/>
      <c r="O416" s="539"/>
      <c r="P416" s="278"/>
      <c r="Q416" s="539"/>
      <c r="R416" s="539"/>
      <c r="S416" s="539"/>
      <c r="T416" s="539"/>
      <c r="U416" s="539"/>
      <c r="V416" s="539"/>
      <c r="W416" s="539"/>
      <c r="X416" s="539"/>
      <c r="Y416" s="539"/>
      <c r="Z416" s="539"/>
      <c r="AA416" s="539"/>
      <c r="AB416" s="539"/>
      <c r="AC416" s="539"/>
      <c r="AD416" s="43"/>
      <c r="AE416" s="43"/>
      <c r="AF416" s="238"/>
      <c r="AG416" s="43"/>
      <c r="AH416" s="43"/>
      <c r="AI416" s="43"/>
      <c r="AJ416" s="43"/>
      <c r="AK416" s="43"/>
      <c r="AL416" s="45"/>
      <c r="AM416" s="197">
        <f>IF(AQ416=1,SUM(H416:I416,L416:O416,R416:U416,X416:AA416,AD416:AG416,AI416:AK416),
IF(AQ416=2,SUM(H416:K416,N416:Q416,T416:W416,Z416:AC416,AF416:AI416),
IF(AQ416=3,SUM(J416:M416,P416:S416,V416:Y416,AB416:AE416,AH416:AK416),SUM(Таблица1[[#This Row],[1]:[31]])-Таблица1[[#This Row],[Столбец1]])))</f>
        <v>0</v>
      </c>
      <c r="AN416" s="269">
        <f t="array" ref="AN416">IF(AQ416=1,SUM(J416:K416,P416:Q416,V416:W416,AB416:AC416,AH416:AI416),
IF(AQ416=2,SUM(L416:M416,R416:S416,X416:Y416,AD416:AE416),
IF(AQ416=3,SUM(H416:I416,N416:O416,T416:U416,Z416:AA416,AF416:AG416),
SUM(IFERROR(WEEKDAY($H$2:$AL$2,2)&gt;5,)*H416:AL416))))</f>
        <v>0</v>
      </c>
      <c r="AO416" s="271" t="b">
        <f>IF(AR416&lt;=3,(IF((G416="5/24"),((база!$M$6*Таблица1[[#This Row],[сумма]]*Таблица1[[#This Row],[коэф]])),
IF((G416="4/24"),((база!$M$5*Таблица1[[#This Row],[сумма]]*Таблица1[[#This Row],[коэф]])),
IF((G416="3/24"),((база!$M$4*Таблица1[[#This Row],[сумма]]*Таблица1[[#This Row],[коэф]])),
IF((G416="5/16"),((база!$L$6*Таблица1[[#This Row],[сумма]]*Таблица1[[#This Row],[коэф]])),
IF((G416="4/16"),((база!$L$5*Таблица1[[#This Row],[сумма]]*Таблица1[[#This Row],[коэф]])),
IF((G416="3/16"),((база!$L$4*Таблица1[[#This Row],[сумма]]*Таблица1[[#This Row],[коэф]])),
IF((G416="4/4"),((база!$I$5*Таблица1[[#This Row],[сумма]]*Таблица1[[#This Row],[коэф]])),
IF(OR(G416="2/4",G416="3/4"),((база!$I$4*Таблица1[[#This Row],[сумма]]*Таблица1[[#This Row],[коэф]])),
IF((G416="5/8"),((база!$J$6*Таблица1[[#This Row],[сумма]]*Таблица1[[#This Row],[коэф]])),
IF((G416="4/8"),((база!$J$5*Таблица1[[#This Row],[сумма]]*Таблица1[[#This Row],[коэф]])),
IF(OR(G416="3/8",G416="2/8"),((база!$J$4*Таблица1[[#This Row],[сумма]]*Таблица1[[#This Row],[коэф]])))))))))))))),
(IF((G416="5/24"),((база!$M$6*Таблица1[[#This Row],[сумма]]*Таблица1[[#This Row],[коэф]])),
IF(OR(G416="4/24",G416="3/24"),((база!$M$5*Таблица1[[#This Row],[сумма]]*Таблица1[[#This Row],[коэф]])),
IF((G416="5/16"),((база!$L$6*Таблица1[[#This Row],[сумма]]*Таблица1[[#This Row],[коэф]])),
IF(OR(G416="4/16",G416="3/16"),((база!$L$5*Таблица1[[#This Row],[сумма]]*Таблица1[[#This Row],[коэф]])),
IF(OR(G416="2/4",G416="3/4",G416="4/4"),((база!$I$5*Таблица1[[#This Row],[сумма]]*Таблица1[[#This Row],[коэф]])),
IF((G416="5/8"),((база!$J$6*Таблица1[[#This Row],[сумма]]*Таблица1[[#This Row],[коэф]])),
IF(OR(G416="4/8",G416="3/8",G416="2/8"),((база!$J$5*Таблица1[[#This Row],[сумма]]*Таблица1[[#This Row],[коэф]])))))))))))</f>
        <v>0</v>
      </c>
      <c r="AP416" s="696" t="b">
        <f>IF(AR416&lt;=3,(IF((G416="5/24"),((база!$M$6*2*Таблица1[[#This Row],[Столбец1]]*Таблица1[[#This Row],[коэф]])),
IF((G416="4/24"),((база!$M$5*2*Таблица1[[#This Row],[Столбец1]]*Таблица1[[#This Row],[коэф]])),
IF((G416="3/24"),((база!$M$4*2*Таблица1[[#This Row],[Столбец1]]*Таблица1[[#This Row],[коэф]])),
IF((G416="5/16"),((база!$L$6*2*Таблица1[[#This Row],[Столбец1]]*Таблица1[[#This Row],[коэф]])),
IF((G416="4/16"),((база!$L$5*2*Таблица1[[#This Row],[Столбец1]]*Таблица1[[#This Row],[коэф]])),
IF((G416="3/16"),((база!$L$4*2*Таблица1[[#This Row],[Столбец1]]*Таблица1[[#This Row],[коэф]])),
IF((G416="4/4"),((база!$I$5*2*Таблица1[[#This Row],[Столбец1]]*Таблица1[[#This Row],[коэф]])),
IF(OR(G416="2/4",G416="3/4"),((база!$I$4*2*Таблица1[[#This Row],[Столбец1]]*Таблица1[[#This Row],[коэф]])),
IF((G416="5/8"),((база!$J$6*2*Таблица1[[#This Row],[Столбец1]]*Таблица1[[#This Row],[коэф]])),
IF((G416="4/8"),((база!$J$5*2*Таблица1[[#This Row],[Столбец1]]*Таблица1[[#This Row],[коэф]])),
IF(OR(G416="3/8",G416="2/8"),((база!$J$4*2*Таблица1[[#This Row],[Столбец1]]*Таблица1[[#This Row],[коэф]])))))))))))))),
(IF((G416="5/24"),((база!$M$6*2*Таблица1[[#This Row],[Столбец1]]*Таблица1[[#This Row],[коэф]])),
IF(OR(G416="4/24",G416="3/24"),((база!$M$5*2*Таблица1[[#This Row],[Столбец1]]*Таблица1[[#This Row],[коэф]])),
IF((G416="5/16"),((база!$L$6*2*Таблица1[[#This Row],[Столбец1]]*Таблица1[[#This Row],[коэф]])),
IF(OR(G416="4/16",G416="3/16"),((база!$L$5*2*Таблица1[[#This Row],[Столбец1]]*Таблица1[[#This Row],[коэф]])),
IF(OR(G416="2/4",G416="3/4",G416="4/4"),((база!$I$5*2*Таблица1[[#This Row],[Столбец1]]*Таблица1[[#This Row],[коэф]])),
IF((G416="5/8"),((база!$J$6*2*Таблица1[[#This Row],[Столбец1]]*Таблица1[[#This Row],[коэф]])),
IF(OR(G416="4/8",G416="3/8",G416="2/8"),((база!$J$5*2*Таблица1[[#This Row],[Столбец1]]*Таблица1[[#This Row],[коэф]])))))))))))</f>
        <v>0</v>
      </c>
      <c r="AQ416" s="678" t="str">
        <f>IFERROR(INDEX(база!T:T, MATCH(F416,база!Q:Q,0)),"")</f>
        <v/>
      </c>
      <c r="AR416" s="193">
        <f>IFERROR(INDEX(база!D:D, MATCH(F416,база!B:B,0)),"")</f>
        <v>0</v>
      </c>
    </row>
    <row r="417" spans="1:44" ht="15">
      <c r="A417" s="59"/>
      <c r="B417" s="215"/>
      <c r="C417" s="54"/>
      <c r="D417" s="55"/>
      <c r="E417" s="196"/>
      <c r="F417" s="651"/>
      <c r="G417" s="42"/>
      <c r="H417" s="539"/>
      <c r="I417" s="539"/>
      <c r="J417" s="539"/>
      <c r="K417" s="539"/>
      <c r="L417" s="539"/>
      <c r="M417" s="539"/>
      <c r="N417" s="539"/>
      <c r="O417" s="539"/>
      <c r="P417" s="278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43"/>
      <c r="AE417" s="43"/>
      <c r="AF417" s="238"/>
      <c r="AG417" s="43"/>
      <c r="AH417" s="43"/>
      <c r="AI417" s="238"/>
      <c r="AJ417" s="238"/>
      <c r="AK417" s="238"/>
      <c r="AL417" s="238"/>
      <c r="AM417" s="197">
        <f>IF(AQ417=1,SUM(H417:I417,L417:O417,R417:U417,X417:AA417,AD417:AG417,AI417:AK417),
IF(AQ417=2,SUM(H417:K417,N417:Q417,T417:W417,Z417:AC417,AF417:AI417),
IF(AQ417=3,SUM(J417:M417,P417:S417,V417:Y417,AB417:AE417,AH417:AK417),SUM(Таблица1[[#This Row],[1]:[31]])-Таблица1[[#This Row],[Столбец1]])))</f>
        <v>0</v>
      </c>
      <c r="AN417" s="269">
        <f t="array" ref="AN417">IF(AQ417=1,SUM(J417:K417,P417:Q417,V417:W417,AB417:AC417,AH417:AI417),
IF(AQ417=2,SUM(L417:M417,R417:S417,X417:Y417,AD417:AE417),
IF(AQ417=3,SUM(H417:I417,N417:O417,T417:U417,Z417:AA417,AF417:AG417),
SUM(IFERROR(WEEKDAY($H$2:$AL$2,2)&gt;5,)*H417:AL417))))</f>
        <v>0</v>
      </c>
      <c r="AO417" s="271" t="b">
        <f>IF(AR417&lt;=3,(IF((G417="5/24"),((база!$M$6*Таблица1[[#This Row],[сумма]]*Таблица1[[#This Row],[коэф]])),
IF((G417="4/24"),((база!$M$5*Таблица1[[#This Row],[сумма]]*Таблица1[[#This Row],[коэф]])),
IF((G417="3/24"),((база!$M$4*Таблица1[[#This Row],[сумма]]*Таблица1[[#This Row],[коэф]])),
IF((G417="5/16"),((база!$L$6*Таблица1[[#This Row],[сумма]]*Таблица1[[#This Row],[коэф]])),
IF((G417="4/16"),((база!$L$5*Таблица1[[#This Row],[сумма]]*Таблица1[[#This Row],[коэф]])),
IF((G417="3/16"),((база!$L$4*Таблица1[[#This Row],[сумма]]*Таблица1[[#This Row],[коэф]])),
IF((G417="4/4"),((база!$I$5*Таблица1[[#This Row],[сумма]]*Таблица1[[#This Row],[коэф]])),
IF(OR(G417="2/4",G417="3/4"),((база!$I$4*Таблица1[[#This Row],[сумма]]*Таблица1[[#This Row],[коэф]])),
IF((G417="5/8"),((база!$J$6*Таблица1[[#This Row],[сумма]]*Таблица1[[#This Row],[коэф]])),
IF((G417="4/8"),((база!$J$5*Таблица1[[#This Row],[сумма]]*Таблица1[[#This Row],[коэф]])),
IF(OR(G417="3/8",G417="2/8"),((база!$J$4*Таблица1[[#This Row],[сумма]]*Таблица1[[#This Row],[коэф]])))))))))))))),
(IF((G417="5/24"),((база!$M$6*Таблица1[[#This Row],[сумма]]*Таблица1[[#This Row],[коэф]])),
IF(OR(G417="4/24",G417="3/24"),((база!$M$5*Таблица1[[#This Row],[сумма]]*Таблица1[[#This Row],[коэф]])),
IF((G417="5/16"),((база!$L$6*Таблица1[[#This Row],[сумма]]*Таблица1[[#This Row],[коэф]])),
IF(OR(G417="4/16",G417="3/16"),((база!$L$5*Таблица1[[#This Row],[сумма]]*Таблица1[[#This Row],[коэф]])),
IF(OR(G417="2/4",G417="3/4",G417="4/4"),((база!$I$5*Таблица1[[#This Row],[сумма]]*Таблица1[[#This Row],[коэф]])),
IF((G417="5/8"),((база!$J$6*Таблица1[[#This Row],[сумма]]*Таблица1[[#This Row],[коэф]])),
IF(OR(G417="4/8",G417="3/8",G417="2/8"),((база!$J$5*Таблица1[[#This Row],[сумма]]*Таблица1[[#This Row],[коэф]])))))))))))</f>
        <v>0</v>
      </c>
      <c r="AP417" s="696" t="b">
        <f>IF(AR417&lt;=3,(IF((G417="5/24"),((база!$M$6*2*Таблица1[[#This Row],[Столбец1]]*Таблица1[[#This Row],[коэф]])),
IF((G417="4/24"),((база!$M$5*2*Таблица1[[#This Row],[Столбец1]]*Таблица1[[#This Row],[коэф]])),
IF((G417="3/24"),((база!$M$4*2*Таблица1[[#This Row],[Столбец1]]*Таблица1[[#This Row],[коэф]])),
IF((G417="5/16"),((база!$L$6*2*Таблица1[[#This Row],[Столбец1]]*Таблица1[[#This Row],[коэф]])),
IF((G417="4/16"),((база!$L$5*2*Таблица1[[#This Row],[Столбец1]]*Таблица1[[#This Row],[коэф]])),
IF((G417="3/16"),((база!$L$4*2*Таблица1[[#This Row],[Столбец1]]*Таблица1[[#This Row],[коэф]])),
IF((G417="4/4"),((база!$I$5*2*Таблица1[[#This Row],[Столбец1]]*Таблица1[[#This Row],[коэф]])),
IF(OR(G417="2/4",G417="3/4"),((база!$I$4*2*Таблица1[[#This Row],[Столбец1]]*Таблица1[[#This Row],[коэф]])),
IF((G417="5/8"),((база!$J$6*2*Таблица1[[#This Row],[Столбец1]]*Таблица1[[#This Row],[коэф]])),
IF((G417="4/8"),((база!$J$5*2*Таблица1[[#This Row],[Столбец1]]*Таблица1[[#This Row],[коэф]])),
IF(OR(G417="3/8",G417="2/8"),((база!$J$4*2*Таблица1[[#This Row],[Столбец1]]*Таблица1[[#This Row],[коэф]])))))))))))))),
(IF((G417="5/24"),((база!$M$6*2*Таблица1[[#This Row],[Столбец1]]*Таблица1[[#This Row],[коэф]])),
IF(OR(G417="4/24",G417="3/24"),((база!$M$5*2*Таблица1[[#This Row],[Столбец1]]*Таблица1[[#This Row],[коэф]])),
IF((G417="5/16"),((база!$L$6*2*Таблица1[[#This Row],[Столбец1]]*Таблица1[[#This Row],[коэф]])),
IF(OR(G417="4/16",G417="3/16"),((база!$L$5*2*Таблица1[[#This Row],[Столбец1]]*Таблица1[[#This Row],[коэф]])),
IF(OR(G417="2/4",G417="3/4",G417="4/4"),((база!$I$5*2*Таблица1[[#This Row],[Столбец1]]*Таблица1[[#This Row],[коэф]])),
IF((G417="5/8"),((база!$J$6*2*Таблица1[[#This Row],[Столбец1]]*Таблица1[[#This Row],[коэф]])),
IF(OR(G417="4/8",G417="3/8",G417="2/8"),((база!$J$5*2*Таблица1[[#This Row],[Столбец1]]*Таблица1[[#This Row],[коэф]])))))))))))</f>
        <v>0</v>
      </c>
      <c r="AQ417" s="678" t="str">
        <f>IFERROR(INDEX(база!T:T, MATCH(F417,база!Q:Q,0)),"")</f>
        <v/>
      </c>
      <c r="AR417" s="193">
        <f>IFERROR(INDEX(база!D:D, MATCH(F417,база!B:B,0)),"")</f>
        <v>0</v>
      </c>
    </row>
    <row r="418" spans="1:44" ht="15">
      <c r="A418" s="59"/>
      <c r="B418" s="215"/>
      <c r="C418" s="54"/>
      <c r="D418" s="55"/>
      <c r="E418" s="196"/>
      <c r="F418" s="651"/>
      <c r="G418" s="42"/>
      <c r="H418" s="539"/>
      <c r="I418" s="539"/>
      <c r="J418" s="539"/>
      <c r="K418" s="539"/>
      <c r="L418" s="539"/>
      <c r="M418" s="539"/>
      <c r="N418" s="539"/>
      <c r="O418" s="539"/>
      <c r="P418" s="278"/>
      <c r="Q418" s="539"/>
      <c r="R418" s="539"/>
      <c r="S418" s="539"/>
      <c r="T418" s="539"/>
      <c r="U418" s="539"/>
      <c r="V418" s="539"/>
      <c r="W418" s="539"/>
      <c r="X418" s="539"/>
      <c r="Y418" s="539"/>
      <c r="Z418" s="539"/>
      <c r="AA418" s="539"/>
      <c r="AB418" s="539"/>
      <c r="AC418" s="539"/>
      <c r="AD418" s="43"/>
      <c r="AE418" s="43"/>
      <c r="AF418" s="43"/>
      <c r="AG418" s="43"/>
      <c r="AH418" s="43"/>
      <c r="AI418" s="43"/>
      <c r="AJ418" s="43"/>
      <c r="AK418" s="43"/>
      <c r="AL418" s="45"/>
      <c r="AM418" s="197">
        <f>IF(AQ418=1,SUM(H418:I418,L418:O418,R418:U418,X418:AA418,AD418:AG418,AI418:AK418),
IF(AQ418=2,SUM(H418:K418,N418:Q418,T418:W418,Z418:AC418,AF418:AI418),
IF(AQ418=3,SUM(J418:M418,P418:S418,V418:Y418,AB418:AE418,AH418:AK418),SUM(Таблица1[[#This Row],[1]:[31]])-Таблица1[[#This Row],[Столбец1]])))</f>
        <v>0</v>
      </c>
      <c r="AN418" s="269">
        <f t="array" ref="AN418">IF(AQ418=1,SUM(J418:K418,P418:Q418,V418:W418,AB418:AC418,AH418:AI418),
IF(AQ418=2,SUM(L418:M418,R418:S418,X418:Y418,AD418:AE418),
IF(AQ418=3,SUM(H418:I418,N418:O418,T418:U418,Z418:AA418,AF418:AG418),
SUM(IFERROR(WEEKDAY($H$2:$AL$2,2)&gt;5,)*H418:AL418))))</f>
        <v>0</v>
      </c>
      <c r="AO418" s="271" t="b">
        <f>IF(AR418&lt;=3,(IF((G418="5/24"),((база!$M$6*Таблица1[[#This Row],[сумма]]*Таблица1[[#This Row],[коэф]])),
IF((G418="4/24"),((база!$M$5*Таблица1[[#This Row],[сумма]]*Таблица1[[#This Row],[коэф]])),
IF((G418="3/24"),((база!$M$4*Таблица1[[#This Row],[сумма]]*Таблица1[[#This Row],[коэф]])),
IF((G418="5/16"),((база!$L$6*Таблица1[[#This Row],[сумма]]*Таблица1[[#This Row],[коэф]])),
IF((G418="4/16"),((база!$L$5*Таблица1[[#This Row],[сумма]]*Таблица1[[#This Row],[коэф]])),
IF((G418="3/16"),((база!$L$4*Таблица1[[#This Row],[сумма]]*Таблица1[[#This Row],[коэф]])),
IF((G418="4/4"),((база!$I$5*Таблица1[[#This Row],[сумма]]*Таблица1[[#This Row],[коэф]])),
IF(OR(G418="2/4",G418="3/4"),((база!$I$4*Таблица1[[#This Row],[сумма]]*Таблица1[[#This Row],[коэф]])),
IF((G418="5/8"),((база!$J$6*Таблица1[[#This Row],[сумма]]*Таблица1[[#This Row],[коэф]])),
IF((G418="4/8"),((база!$J$5*Таблица1[[#This Row],[сумма]]*Таблица1[[#This Row],[коэф]])),
IF(OR(G418="3/8",G418="2/8"),((база!$J$4*Таблица1[[#This Row],[сумма]]*Таблица1[[#This Row],[коэф]])))))))))))))),
(IF((G418="5/24"),((база!$M$6*Таблица1[[#This Row],[сумма]]*Таблица1[[#This Row],[коэф]])),
IF(OR(G418="4/24",G418="3/24"),((база!$M$5*Таблица1[[#This Row],[сумма]]*Таблица1[[#This Row],[коэф]])),
IF((G418="5/16"),((база!$L$6*Таблица1[[#This Row],[сумма]]*Таблица1[[#This Row],[коэф]])),
IF(OR(G418="4/16",G418="3/16"),((база!$L$5*Таблица1[[#This Row],[сумма]]*Таблица1[[#This Row],[коэф]])),
IF(OR(G418="2/4",G418="3/4",G418="4/4"),((база!$I$5*Таблица1[[#This Row],[сумма]]*Таблица1[[#This Row],[коэф]])),
IF((G418="5/8"),((база!$J$6*Таблица1[[#This Row],[сумма]]*Таблица1[[#This Row],[коэф]])),
IF(OR(G418="4/8",G418="3/8",G418="2/8"),((база!$J$5*Таблица1[[#This Row],[сумма]]*Таблица1[[#This Row],[коэф]])))))))))))</f>
        <v>0</v>
      </c>
      <c r="AP418" s="696" t="b">
        <f>IF(AR418&lt;=3,(IF((G418="5/24"),((база!$M$6*2*Таблица1[[#This Row],[Столбец1]]*Таблица1[[#This Row],[коэф]])),
IF((G418="4/24"),((база!$M$5*2*Таблица1[[#This Row],[Столбец1]]*Таблица1[[#This Row],[коэф]])),
IF((G418="3/24"),((база!$M$4*2*Таблица1[[#This Row],[Столбец1]]*Таблица1[[#This Row],[коэф]])),
IF((G418="5/16"),((база!$L$6*2*Таблица1[[#This Row],[Столбец1]]*Таблица1[[#This Row],[коэф]])),
IF((G418="4/16"),((база!$L$5*2*Таблица1[[#This Row],[Столбец1]]*Таблица1[[#This Row],[коэф]])),
IF((G418="3/16"),((база!$L$4*2*Таблица1[[#This Row],[Столбец1]]*Таблица1[[#This Row],[коэф]])),
IF((G418="4/4"),((база!$I$5*2*Таблица1[[#This Row],[Столбец1]]*Таблица1[[#This Row],[коэф]])),
IF(OR(G418="2/4",G418="3/4"),((база!$I$4*2*Таблица1[[#This Row],[Столбец1]]*Таблица1[[#This Row],[коэф]])),
IF((G418="5/8"),((база!$J$6*2*Таблица1[[#This Row],[Столбец1]]*Таблица1[[#This Row],[коэф]])),
IF((G418="4/8"),((база!$J$5*2*Таблица1[[#This Row],[Столбец1]]*Таблица1[[#This Row],[коэф]])),
IF(OR(G418="3/8",G418="2/8"),((база!$J$4*2*Таблица1[[#This Row],[Столбец1]]*Таблица1[[#This Row],[коэф]])))))))))))))),
(IF((G418="5/24"),((база!$M$6*2*Таблица1[[#This Row],[Столбец1]]*Таблица1[[#This Row],[коэф]])),
IF(OR(G418="4/24",G418="3/24"),((база!$M$5*2*Таблица1[[#This Row],[Столбец1]]*Таблица1[[#This Row],[коэф]])),
IF((G418="5/16"),((база!$L$6*2*Таблица1[[#This Row],[Столбец1]]*Таблица1[[#This Row],[коэф]])),
IF(OR(G418="4/16",G418="3/16"),((база!$L$5*2*Таблица1[[#This Row],[Столбец1]]*Таблица1[[#This Row],[коэф]])),
IF(OR(G418="2/4",G418="3/4",G418="4/4"),((база!$I$5*2*Таблица1[[#This Row],[Столбец1]]*Таблица1[[#This Row],[коэф]])),
IF((G418="5/8"),((база!$J$6*2*Таблица1[[#This Row],[Столбец1]]*Таблица1[[#This Row],[коэф]])),
IF(OR(G418="4/8",G418="3/8",G418="2/8"),((база!$J$5*2*Таблица1[[#This Row],[Столбец1]]*Таблица1[[#This Row],[коэф]])))))))))))</f>
        <v>0</v>
      </c>
      <c r="AQ418" s="678" t="str">
        <f>IFERROR(INDEX(база!T:T, MATCH(F418,база!Q:Q,0)),"")</f>
        <v/>
      </c>
      <c r="AR418" s="193">
        <f>IFERROR(INDEX(база!D:D, MATCH(F418,база!B:B,0)),"")</f>
        <v>0</v>
      </c>
    </row>
    <row r="419" spans="1:44" ht="15">
      <c r="A419" s="59"/>
      <c r="B419" s="215"/>
      <c r="C419" s="277"/>
      <c r="D419" s="55"/>
      <c r="E419" s="196"/>
      <c r="F419" s="651"/>
      <c r="G419" s="42"/>
      <c r="H419" s="539"/>
      <c r="I419" s="539"/>
      <c r="J419" s="539"/>
      <c r="K419" s="539"/>
      <c r="L419" s="539"/>
      <c r="M419" s="539"/>
      <c r="N419" s="539"/>
      <c r="O419" s="539"/>
      <c r="P419" s="278"/>
      <c r="Q419" s="539"/>
      <c r="R419" s="539"/>
      <c r="S419" s="539"/>
      <c r="T419" s="539"/>
      <c r="U419" s="539"/>
      <c r="V419" s="539"/>
      <c r="W419" s="539"/>
      <c r="X419" s="539"/>
      <c r="Y419" s="539"/>
      <c r="Z419" s="539"/>
      <c r="AA419" s="539"/>
      <c r="AB419" s="539"/>
      <c r="AC419" s="539"/>
      <c r="AD419" s="43"/>
      <c r="AE419" s="43"/>
      <c r="AF419" s="238"/>
      <c r="AG419" s="43"/>
      <c r="AH419" s="43"/>
      <c r="AI419" s="238"/>
      <c r="AJ419" s="238"/>
      <c r="AK419" s="238"/>
      <c r="AL419" s="238"/>
      <c r="AM419" s="197">
        <f>IF(AQ419=1,SUM(H419:I419,L419:O419,R419:U419,X419:AA419,AD419:AG419,AI419:AK419),
IF(AQ419=2,SUM(H419:K419,N419:Q419,T419:W419,Z419:AC419,AF419:AI419),
IF(AQ419=3,SUM(J419:M419,P419:S419,V419:Y419,AB419:AE419,AH419:AK419),SUM(Таблица1[[#This Row],[1]:[31]])-Таблица1[[#This Row],[Столбец1]])))</f>
        <v>0</v>
      </c>
      <c r="AN419" s="269">
        <f t="array" ref="AN419">IF(AQ419=1,SUM(J419:K419,P419:Q419,V419:W419,AB419:AC419,AH419:AI419),
IF(AQ419=2,SUM(L419:M419,R419:S419,X419:Y419,AD419:AE419),
IF(AQ419=3,SUM(H419:I419,N419:O419,T419:U419,Z419:AA419,AF419:AG419),
SUM(IFERROR(WEEKDAY($H$2:$AL$2,2)&gt;5,)*H419:AL419))))</f>
        <v>0</v>
      </c>
      <c r="AO419" s="271" t="b">
        <f>IF(AR419&lt;=3,(IF((G419="5/24"),((база!$M$6*Таблица1[[#This Row],[сумма]]*Таблица1[[#This Row],[коэф]])),
IF((G419="4/24"),((база!$M$5*Таблица1[[#This Row],[сумма]]*Таблица1[[#This Row],[коэф]])),
IF((G419="3/24"),((база!$M$4*Таблица1[[#This Row],[сумма]]*Таблица1[[#This Row],[коэф]])),
IF((G419="5/16"),((база!$L$6*Таблица1[[#This Row],[сумма]]*Таблица1[[#This Row],[коэф]])),
IF((G419="4/16"),((база!$L$5*Таблица1[[#This Row],[сумма]]*Таблица1[[#This Row],[коэф]])),
IF((G419="3/16"),((база!$L$4*Таблица1[[#This Row],[сумма]]*Таблица1[[#This Row],[коэф]])),
IF((G419="4/4"),((база!$I$5*Таблица1[[#This Row],[сумма]]*Таблица1[[#This Row],[коэф]])),
IF(OR(G419="2/4",G419="3/4"),((база!$I$4*Таблица1[[#This Row],[сумма]]*Таблица1[[#This Row],[коэф]])),
IF((G419="5/8"),((база!$J$6*Таблица1[[#This Row],[сумма]]*Таблица1[[#This Row],[коэф]])),
IF((G419="4/8"),((база!$J$5*Таблица1[[#This Row],[сумма]]*Таблица1[[#This Row],[коэф]])),
IF(OR(G419="3/8",G419="2/8"),((база!$J$4*Таблица1[[#This Row],[сумма]]*Таблица1[[#This Row],[коэф]])))))))))))))),
(IF((G419="5/24"),((база!$M$6*Таблица1[[#This Row],[сумма]]*Таблица1[[#This Row],[коэф]])),
IF(OR(G419="4/24",G419="3/24"),((база!$M$5*Таблица1[[#This Row],[сумма]]*Таблица1[[#This Row],[коэф]])),
IF((G419="5/16"),((база!$L$6*Таблица1[[#This Row],[сумма]]*Таблица1[[#This Row],[коэф]])),
IF(OR(G419="4/16",G419="3/16"),((база!$L$5*Таблица1[[#This Row],[сумма]]*Таблица1[[#This Row],[коэф]])),
IF(OR(G419="2/4",G419="3/4",G419="4/4"),((база!$I$5*Таблица1[[#This Row],[сумма]]*Таблица1[[#This Row],[коэф]])),
IF((G419="5/8"),((база!$J$6*Таблица1[[#This Row],[сумма]]*Таблица1[[#This Row],[коэф]])),
IF(OR(G419="4/8",G419="3/8",G419="2/8"),((база!$J$5*Таблица1[[#This Row],[сумма]]*Таблица1[[#This Row],[коэф]])))))))))))</f>
        <v>0</v>
      </c>
      <c r="AP419" s="696" t="b">
        <f>IF(AR419&lt;=3,(IF((G419="5/24"),((база!$M$6*2*Таблица1[[#This Row],[Столбец1]]*Таблица1[[#This Row],[коэф]])),
IF((G419="4/24"),((база!$M$5*2*Таблица1[[#This Row],[Столбец1]]*Таблица1[[#This Row],[коэф]])),
IF((G419="3/24"),((база!$M$4*2*Таблица1[[#This Row],[Столбец1]]*Таблица1[[#This Row],[коэф]])),
IF((G419="5/16"),((база!$L$6*2*Таблица1[[#This Row],[Столбец1]]*Таблица1[[#This Row],[коэф]])),
IF((G419="4/16"),((база!$L$5*2*Таблица1[[#This Row],[Столбец1]]*Таблица1[[#This Row],[коэф]])),
IF((G419="3/16"),((база!$L$4*2*Таблица1[[#This Row],[Столбец1]]*Таблица1[[#This Row],[коэф]])),
IF((G419="4/4"),((база!$I$5*2*Таблица1[[#This Row],[Столбец1]]*Таблица1[[#This Row],[коэф]])),
IF(OR(G419="2/4",G419="3/4"),((база!$I$4*2*Таблица1[[#This Row],[Столбец1]]*Таблица1[[#This Row],[коэф]])),
IF((G419="5/8"),((база!$J$6*2*Таблица1[[#This Row],[Столбец1]]*Таблица1[[#This Row],[коэф]])),
IF((G419="4/8"),((база!$J$5*2*Таблица1[[#This Row],[Столбец1]]*Таблица1[[#This Row],[коэф]])),
IF(OR(G419="3/8",G419="2/8"),((база!$J$4*2*Таблица1[[#This Row],[Столбец1]]*Таблица1[[#This Row],[коэф]])))))))))))))),
(IF((G419="5/24"),((база!$M$6*2*Таблица1[[#This Row],[Столбец1]]*Таблица1[[#This Row],[коэф]])),
IF(OR(G419="4/24",G419="3/24"),((база!$M$5*2*Таблица1[[#This Row],[Столбец1]]*Таблица1[[#This Row],[коэф]])),
IF((G419="5/16"),((база!$L$6*2*Таблица1[[#This Row],[Столбец1]]*Таблица1[[#This Row],[коэф]])),
IF(OR(G419="4/16",G419="3/16"),((база!$L$5*2*Таблица1[[#This Row],[Столбец1]]*Таблица1[[#This Row],[коэф]])),
IF(OR(G419="2/4",G419="3/4",G419="4/4"),((база!$I$5*2*Таблица1[[#This Row],[Столбец1]]*Таблица1[[#This Row],[коэф]])),
IF((G419="5/8"),((база!$J$6*2*Таблица1[[#This Row],[Столбец1]]*Таблица1[[#This Row],[коэф]])),
IF(OR(G419="4/8",G419="3/8",G419="2/8"),((база!$J$5*2*Таблица1[[#This Row],[Столбец1]]*Таблица1[[#This Row],[коэф]])))))))))))</f>
        <v>0</v>
      </c>
      <c r="AQ419" s="678" t="str">
        <f>IFERROR(INDEX(база!T:T, MATCH(F419,база!Q:Q,0)),"")</f>
        <v/>
      </c>
      <c r="AR419" s="193">
        <f>IFERROR(INDEX(база!D:D, MATCH(F419,база!B:B,0)),"")</f>
        <v>0</v>
      </c>
    </row>
    <row r="420" spans="1:44" ht="15">
      <c r="A420" s="59"/>
      <c r="B420" s="215"/>
      <c r="C420" s="54"/>
      <c r="D420" s="55"/>
      <c r="E420" s="196"/>
      <c r="F420" s="651"/>
      <c r="G420" s="42"/>
      <c r="H420" s="539"/>
      <c r="I420" s="539"/>
      <c r="J420" s="539"/>
      <c r="K420" s="539"/>
      <c r="L420" s="539"/>
      <c r="M420" s="539"/>
      <c r="N420" s="539"/>
      <c r="O420" s="539"/>
      <c r="P420" s="278"/>
      <c r="Q420" s="539"/>
      <c r="R420" s="539"/>
      <c r="S420" s="539"/>
      <c r="T420" s="539"/>
      <c r="U420" s="539"/>
      <c r="V420" s="539"/>
      <c r="W420" s="539"/>
      <c r="X420" s="539"/>
      <c r="Y420" s="539"/>
      <c r="Z420" s="539"/>
      <c r="AA420" s="539"/>
      <c r="AB420" s="539"/>
      <c r="AC420" s="539"/>
      <c r="AD420" s="43"/>
      <c r="AE420" s="43"/>
      <c r="AF420" s="238"/>
      <c r="AG420" s="43"/>
      <c r="AH420" s="43"/>
      <c r="AI420" s="43"/>
      <c r="AJ420" s="43"/>
      <c r="AK420" s="43"/>
      <c r="AL420" s="45"/>
      <c r="AM420" s="197">
        <f>IF(AQ420=1,SUM(H420:I420,L420:O420,R420:U420,X420:AA420,AD420:AG420,AI420:AK420),
IF(AQ420=2,SUM(H420:K420,N420:Q420,T420:W420,Z420:AC420,AF420:AI420),
IF(AQ420=3,SUM(J420:M420,P420:S420,V420:Y420,AB420:AE420,AH420:AK420),SUM(Таблица1[[#This Row],[1]:[31]])-Таблица1[[#This Row],[Столбец1]])))</f>
        <v>0</v>
      </c>
      <c r="AN420" s="269">
        <f t="array" ref="AN420">IF(AQ420=1,SUM(J420:K420,P420:Q420,V420:W420,AB420:AC420,AH420:AI420),
IF(AQ420=2,SUM(L420:M420,R420:S420,X420:Y420,AD420:AE420),
IF(AQ420=3,SUM(H420:I420,N420:O420,T420:U420,Z420:AA420,AF420:AG420),
SUM(IFERROR(WEEKDAY($H$2:$AL$2,2)&gt;5,)*H420:AL420))))</f>
        <v>0</v>
      </c>
      <c r="AO420" s="271" t="b">
        <f>IF(AR420&lt;=3,(IF((G420="5/24"),((база!$M$6*Таблица1[[#This Row],[сумма]]*Таблица1[[#This Row],[коэф]])),
IF((G420="4/24"),((база!$M$5*Таблица1[[#This Row],[сумма]]*Таблица1[[#This Row],[коэф]])),
IF((G420="3/24"),((база!$M$4*Таблица1[[#This Row],[сумма]]*Таблица1[[#This Row],[коэф]])),
IF((G420="5/16"),((база!$L$6*Таблица1[[#This Row],[сумма]]*Таблица1[[#This Row],[коэф]])),
IF((G420="4/16"),((база!$L$5*Таблица1[[#This Row],[сумма]]*Таблица1[[#This Row],[коэф]])),
IF((G420="3/16"),((база!$L$4*Таблица1[[#This Row],[сумма]]*Таблица1[[#This Row],[коэф]])),
IF((G420="4/4"),((база!$I$5*Таблица1[[#This Row],[сумма]]*Таблица1[[#This Row],[коэф]])),
IF(OR(G420="2/4",G420="3/4"),((база!$I$4*Таблица1[[#This Row],[сумма]]*Таблица1[[#This Row],[коэф]])),
IF((G420="5/8"),((база!$J$6*Таблица1[[#This Row],[сумма]]*Таблица1[[#This Row],[коэф]])),
IF((G420="4/8"),((база!$J$5*Таблица1[[#This Row],[сумма]]*Таблица1[[#This Row],[коэф]])),
IF(OR(G420="3/8",G420="2/8"),((база!$J$4*Таблица1[[#This Row],[сумма]]*Таблица1[[#This Row],[коэф]])))))))))))))),
(IF((G420="5/24"),((база!$M$6*Таблица1[[#This Row],[сумма]]*Таблица1[[#This Row],[коэф]])),
IF(OR(G420="4/24",G420="3/24"),((база!$M$5*Таблица1[[#This Row],[сумма]]*Таблица1[[#This Row],[коэф]])),
IF((G420="5/16"),((база!$L$6*Таблица1[[#This Row],[сумма]]*Таблица1[[#This Row],[коэф]])),
IF(OR(G420="4/16",G420="3/16"),((база!$L$5*Таблица1[[#This Row],[сумма]]*Таблица1[[#This Row],[коэф]])),
IF(OR(G420="2/4",G420="3/4",G420="4/4"),((база!$I$5*Таблица1[[#This Row],[сумма]]*Таблица1[[#This Row],[коэф]])),
IF((G420="5/8"),((база!$J$6*Таблица1[[#This Row],[сумма]]*Таблица1[[#This Row],[коэф]])),
IF(OR(G420="4/8",G420="3/8",G420="2/8"),((база!$J$5*Таблица1[[#This Row],[сумма]]*Таблица1[[#This Row],[коэф]])))))))))))</f>
        <v>0</v>
      </c>
      <c r="AP420" s="696" t="b">
        <f>IF(AR420&lt;=3,(IF((G420="5/24"),((база!$M$6*2*Таблица1[[#This Row],[Столбец1]]*Таблица1[[#This Row],[коэф]])),
IF((G420="4/24"),((база!$M$5*2*Таблица1[[#This Row],[Столбец1]]*Таблица1[[#This Row],[коэф]])),
IF((G420="3/24"),((база!$M$4*2*Таблица1[[#This Row],[Столбец1]]*Таблица1[[#This Row],[коэф]])),
IF((G420="5/16"),((база!$L$6*2*Таблица1[[#This Row],[Столбец1]]*Таблица1[[#This Row],[коэф]])),
IF((G420="4/16"),((база!$L$5*2*Таблица1[[#This Row],[Столбец1]]*Таблица1[[#This Row],[коэф]])),
IF((G420="3/16"),((база!$L$4*2*Таблица1[[#This Row],[Столбец1]]*Таблица1[[#This Row],[коэф]])),
IF((G420="4/4"),((база!$I$5*2*Таблица1[[#This Row],[Столбец1]]*Таблица1[[#This Row],[коэф]])),
IF(OR(G420="2/4",G420="3/4"),((база!$I$4*2*Таблица1[[#This Row],[Столбец1]]*Таблица1[[#This Row],[коэф]])),
IF((G420="5/8"),((база!$J$6*2*Таблица1[[#This Row],[Столбец1]]*Таблица1[[#This Row],[коэф]])),
IF((G420="4/8"),((база!$J$5*2*Таблица1[[#This Row],[Столбец1]]*Таблица1[[#This Row],[коэф]])),
IF(OR(G420="3/8",G420="2/8"),((база!$J$4*2*Таблица1[[#This Row],[Столбец1]]*Таблица1[[#This Row],[коэф]])))))))))))))),
(IF((G420="5/24"),((база!$M$6*2*Таблица1[[#This Row],[Столбец1]]*Таблица1[[#This Row],[коэф]])),
IF(OR(G420="4/24",G420="3/24"),((база!$M$5*2*Таблица1[[#This Row],[Столбец1]]*Таблица1[[#This Row],[коэф]])),
IF((G420="5/16"),((база!$L$6*2*Таблица1[[#This Row],[Столбец1]]*Таблица1[[#This Row],[коэф]])),
IF(OR(G420="4/16",G420="3/16"),((база!$L$5*2*Таблица1[[#This Row],[Столбец1]]*Таблица1[[#This Row],[коэф]])),
IF(OR(G420="2/4",G420="3/4",G420="4/4"),((база!$I$5*2*Таблица1[[#This Row],[Столбец1]]*Таблица1[[#This Row],[коэф]])),
IF((G420="5/8"),((база!$J$6*2*Таблица1[[#This Row],[Столбец1]]*Таблица1[[#This Row],[коэф]])),
IF(OR(G420="4/8",G420="3/8",G420="2/8"),((база!$J$5*2*Таблица1[[#This Row],[Столбец1]]*Таблица1[[#This Row],[коэф]])))))))))))</f>
        <v>0</v>
      </c>
      <c r="AQ420" s="678" t="str">
        <f>IFERROR(INDEX(база!T:T, MATCH(F420,база!Q:Q,0)),"")</f>
        <v/>
      </c>
      <c r="AR420" s="193">
        <f>IFERROR(INDEX(база!D:D, MATCH(F420,база!B:B,0)),"")</f>
        <v>0</v>
      </c>
    </row>
    <row r="421" spans="1:44" ht="15">
      <c r="A421" s="59"/>
      <c r="B421" s="215"/>
      <c r="C421" s="54"/>
      <c r="D421" s="55"/>
      <c r="E421" s="196"/>
      <c r="F421" s="651"/>
      <c r="G421" s="42"/>
      <c r="H421" s="539"/>
      <c r="I421" s="539"/>
      <c r="J421" s="539"/>
      <c r="K421" s="539"/>
      <c r="L421" s="539"/>
      <c r="M421" s="539"/>
      <c r="N421" s="539"/>
      <c r="O421" s="539"/>
      <c r="P421" s="278"/>
      <c r="Q421" s="539"/>
      <c r="R421" s="539"/>
      <c r="S421" s="539"/>
      <c r="T421" s="539"/>
      <c r="U421" s="539"/>
      <c r="V421" s="539"/>
      <c r="W421" s="539"/>
      <c r="X421" s="539"/>
      <c r="Y421" s="539"/>
      <c r="Z421" s="539"/>
      <c r="AA421" s="539"/>
      <c r="AB421" s="539"/>
      <c r="AC421" s="539"/>
      <c r="AD421" s="43"/>
      <c r="AE421" s="43"/>
      <c r="AF421" s="238"/>
      <c r="AG421" s="43"/>
      <c r="AH421" s="43"/>
      <c r="AI421" s="238"/>
      <c r="AJ421" s="238"/>
      <c r="AK421" s="238"/>
      <c r="AL421" s="238"/>
      <c r="AM421" s="197">
        <f>IF(AQ421=1,SUM(H421:I421,L421:O421,R421:U421,X421:AA421,AD421:AG421,AI421:AK421),
IF(AQ421=2,SUM(H421:K421,N421:Q421,T421:W421,Z421:AC421,AF421:AI421),
IF(AQ421=3,SUM(J421:M421,P421:S421,V421:Y421,AB421:AE421,AH421:AK421),SUM(Таблица1[[#This Row],[1]:[31]])-Таблица1[[#This Row],[Столбец1]])))</f>
        <v>0</v>
      </c>
      <c r="AN421" s="269">
        <f t="array" ref="AN421">IF(AQ421=1,SUM(J421:K421,P421:Q421,V421:W421,AB421:AC421,AH421:AI421),
IF(AQ421=2,SUM(L421:M421,R421:S421,X421:Y421,AD421:AE421),
IF(AQ421=3,SUM(H421:I421,N421:O421,T421:U421,Z421:AA421,AF421:AG421),
SUM(IFERROR(WEEKDAY($H$2:$AL$2,2)&gt;5,)*H421:AL421))))</f>
        <v>0</v>
      </c>
      <c r="AO421" s="271" t="b">
        <f>IF(AR421&lt;=3,(IF((G421="5/24"),((база!$M$6*Таблица1[[#This Row],[сумма]]*Таблица1[[#This Row],[коэф]])),
IF((G421="4/24"),((база!$M$5*Таблица1[[#This Row],[сумма]]*Таблица1[[#This Row],[коэф]])),
IF((G421="3/24"),((база!$M$4*Таблица1[[#This Row],[сумма]]*Таблица1[[#This Row],[коэф]])),
IF((G421="5/16"),((база!$L$6*Таблица1[[#This Row],[сумма]]*Таблица1[[#This Row],[коэф]])),
IF((G421="4/16"),((база!$L$5*Таблица1[[#This Row],[сумма]]*Таблица1[[#This Row],[коэф]])),
IF((G421="3/16"),((база!$L$4*Таблица1[[#This Row],[сумма]]*Таблица1[[#This Row],[коэф]])),
IF((G421="4/4"),((база!$I$5*Таблица1[[#This Row],[сумма]]*Таблица1[[#This Row],[коэф]])),
IF(OR(G421="2/4",G421="3/4"),((база!$I$4*Таблица1[[#This Row],[сумма]]*Таблица1[[#This Row],[коэф]])),
IF((G421="5/8"),((база!$J$6*Таблица1[[#This Row],[сумма]]*Таблица1[[#This Row],[коэф]])),
IF((G421="4/8"),((база!$J$5*Таблица1[[#This Row],[сумма]]*Таблица1[[#This Row],[коэф]])),
IF(OR(G421="3/8",G421="2/8"),((база!$J$4*Таблица1[[#This Row],[сумма]]*Таблица1[[#This Row],[коэф]])))))))))))))),
(IF((G421="5/24"),((база!$M$6*Таблица1[[#This Row],[сумма]]*Таблица1[[#This Row],[коэф]])),
IF(OR(G421="4/24",G421="3/24"),((база!$M$5*Таблица1[[#This Row],[сумма]]*Таблица1[[#This Row],[коэф]])),
IF((G421="5/16"),((база!$L$6*Таблица1[[#This Row],[сумма]]*Таблица1[[#This Row],[коэф]])),
IF(OR(G421="4/16",G421="3/16"),((база!$L$5*Таблица1[[#This Row],[сумма]]*Таблица1[[#This Row],[коэф]])),
IF(OR(G421="2/4",G421="3/4",G421="4/4"),((база!$I$5*Таблица1[[#This Row],[сумма]]*Таблица1[[#This Row],[коэф]])),
IF((G421="5/8"),((база!$J$6*Таблица1[[#This Row],[сумма]]*Таблица1[[#This Row],[коэф]])),
IF(OR(G421="4/8",G421="3/8",G421="2/8"),((база!$J$5*Таблица1[[#This Row],[сумма]]*Таблица1[[#This Row],[коэф]])))))))))))</f>
        <v>0</v>
      </c>
      <c r="AP421" s="696" t="b">
        <f>IF(AR421&lt;=3,(IF((G421="5/24"),((база!$M$6*2*Таблица1[[#This Row],[Столбец1]]*Таблица1[[#This Row],[коэф]])),
IF((G421="4/24"),((база!$M$5*2*Таблица1[[#This Row],[Столбец1]]*Таблица1[[#This Row],[коэф]])),
IF((G421="3/24"),((база!$M$4*2*Таблица1[[#This Row],[Столбец1]]*Таблица1[[#This Row],[коэф]])),
IF((G421="5/16"),((база!$L$6*2*Таблица1[[#This Row],[Столбец1]]*Таблица1[[#This Row],[коэф]])),
IF((G421="4/16"),((база!$L$5*2*Таблица1[[#This Row],[Столбец1]]*Таблица1[[#This Row],[коэф]])),
IF((G421="3/16"),((база!$L$4*2*Таблица1[[#This Row],[Столбец1]]*Таблица1[[#This Row],[коэф]])),
IF((G421="4/4"),((база!$I$5*2*Таблица1[[#This Row],[Столбец1]]*Таблица1[[#This Row],[коэф]])),
IF(OR(G421="2/4",G421="3/4"),((база!$I$4*2*Таблица1[[#This Row],[Столбец1]]*Таблица1[[#This Row],[коэф]])),
IF((G421="5/8"),((база!$J$6*2*Таблица1[[#This Row],[Столбец1]]*Таблица1[[#This Row],[коэф]])),
IF((G421="4/8"),((база!$J$5*2*Таблица1[[#This Row],[Столбец1]]*Таблица1[[#This Row],[коэф]])),
IF(OR(G421="3/8",G421="2/8"),((база!$J$4*2*Таблица1[[#This Row],[Столбец1]]*Таблица1[[#This Row],[коэф]])))))))))))))),
(IF((G421="5/24"),((база!$M$6*2*Таблица1[[#This Row],[Столбец1]]*Таблица1[[#This Row],[коэф]])),
IF(OR(G421="4/24",G421="3/24"),((база!$M$5*2*Таблица1[[#This Row],[Столбец1]]*Таблица1[[#This Row],[коэф]])),
IF((G421="5/16"),((база!$L$6*2*Таблица1[[#This Row],[Столбец1]]*Таблица1[[#This Row],[коэф]])),
IF(OR(G421="4/16",G421="3/16"),((база!$L$5*2*Таблица1[[#This Row],[Столбец1]]*Таблица1[[#This Row],[коэф]])),
IF(OR(G421="2/4",G421="3/4",G421="4/4"),((база!$I$5*2*Таблица1[[#This Row],[Столбец1]]*Таблица1[[#This Row],[коэф]])),
IF((G421="5/8"),((база!$J$6*2*Таблица1[[#This Row],[Столбец1]]*Таблица1[[#This Row],[коэф]])),
IF(OR(G421="4/8",G421="3/8",G421="2/8"),((база!$J$5*2*Таблица1[[#This Row],[Столбец1]]*Таблица1[[#This Row],[коэф]])))))))))))</f>
        <v>0</v>
      </c>
      <c r="AQ421" s="678" t="str">
        <f>IFERROR(INDEX(база!T:T, MATCH(F421,база!Q:Q,0)),"")</f>
        <v/>
      </c>
      <c r="AR421" s="193">
        <f>IFERROR(INDEX(база!D:D, MATCH(F421,база!B:B,0)),"")</f>
        <v>0</v>
      </c>
    </row>
    <row r="422" spans="1:44" ht="15">
      <c r="A422" s="59"/>
      <c r="B422" s="215"/>
      <c r="C422" s="277"/>
      <c r="D422" s="55"/>
      <c r="E422" s="196"/>
      <c r="F422" s="651"/>
      <c r="G422" s="42"/>
      <c r="H422" s="539"/>
      <c r="I422" s="539"/>
      <c r="J422" s="539"/>
      <c r="K422" s="539"/>
      <c r="L422" s="539"/>
      <c r="M422" s="539"/>
      <c r="N422" s="539"/>
      <c r="O422" s="539"/>
      <c r="P422" s="278"/>
      <c r="Q422" s="539"/>
      <c r="R422" s="539"/>
      <c r="S422" s="539"/>
      <c r="T422" s="539"/>
      <c r="U422" s="539"/>
      <c r="V422" s="539"/>
      <c r="W422" s="539"/>
      <c r="X422" s="539"/>
      <c r="Y422" s="539"/>
      <c r="Z422" s="539"/>
      <c r="AA422" s="539"/>
      <c r="AB422" s="539"/>
      <c r="AC422" s="539"/>
      <c r="AD422" s="43"/>
      <c r="AE422" s="43"/>
      <c r="AF422" s="238"/>
      <c r="AG422" s="43"/>
      <c r="AH422" s="43"/>
      <c r="AI422" s="43"/>
      <c r="AJ422" s="43"/>
      <c r="AK422" s="43"/>
      <c r="AL422" s="45"/>
      <c r="AM422" s="197">
        <f>IF(AQ422=1,SUM(H422:I422,L422:O422,R422:U422,X422:AA422,AD422:AG422,AI422:AK422),
IF(AQ422=2,SUM(H422:K422,N422:Q422,T422:W422,Z422:AC422,AF422:AI422),
IF(AQ422=3,SUM(J422:M422,P422:S422,V422:Y422,AB422:AE422,AH422:AK422),SUM(Таблица1[[#This Row],[1]:[31]])-Таблица1[[#This Row],[Столбец1]])))</f>
        <v>0</v>
      </c>
      <c r="AN422" s="269">
        <f t="array" ref="AN422">IF(AQ422=1,SUM(J422:K422,P422:Q422,V422:W422,AB422:AC422,AH422:AI422),
IF(AQ422=2,SUM(L422:M422,R422:S422,X422:Y422,AD422:AE422),
IF(AQ422=3,SUM(H422:I422,N422:O422,T422:U422,Z422:AA422,AF422:AG422),
SUM(IFERROR(WEEKDAY($H$2:$AL$2,2)&gt;5,)*H422:AL422))))</f>
        <v>0</v>
      </c>
      <c r="AO422" s="271" t="b">
        <f>IF(AR422&lt;=3,(IF((G422="5/24"),((база!$M$6*Таблица1[[#This Row],[сумма]]*Таблица1[[#This Row],[коэф]])),
IF((G422="4/24"),((база!$M$5*Таблица1[[#This Row],[сумма]]*Таблица1[[#This Row],[коэф]])),
IF((G422="3/24"),((база!$M$4*Таблица1[[#This Row],[сумма]]*Таблица1[[#This Row],[коэф]])),
IF((G422="5/16"),((база!$L$6*Таблица1[[#This Row],[сумма]]*Таблица1[[#This Row],[коэф]])),
IF((G422="4/16"),((база!$L$5*Таблица1[[#This Row],[сумма]]*Таблица1[[#This Row],[коэф]])),
IF((G422="3/16"),((база!$L$4*Таблица1[[#This Row],[сумма]]*Таблица1[[#This Row],[коэф]])),
IF((G422="4/4"),((база!$I$5*Таблица1[[#This Row],[сумма]]*Таблица1[[#This Row],[коэф]])),
IF(OR(G422="2/4",G422="3/4"),((база!$I$4*Таблица1[[#This Row],[сумма]]*Таблица1[[#This Row],[коэф]])),
IF((G422="5/8"),((база!$J$6*Таблица1[[#This Row],[сумма]]*Таблица1[[#This Row],[коэф]])),
IF((G422="4/8"),((база!$J$5*Таблица1[[#This Row],[сумма]]*Таблица1[[#This Row],[коэф]])),
IF(OR(G422="3/8",G422="2/8"),((база!$J$4*Таблица1[[#This Row],[сумма]]*Таблица1[[#This Row],[коэф]])))))))))))))),
(IF((G422="5/24"),((база!$M$6*Таблица1[[#This Row],[сумма]]*Таблица1[[#This Row],[коэф]])),
IF(OR(G422="4/24",G422="3/24"),((база!$M$5*Таблица1[[#This Row],[сумма]]*Таблица1[[#This Row],[коэф]])),
IF((G422="5/16"),((база!$L$6*Таблица1[[#This Row],[сумма]]*Таблица1[[#This Row],[коэф]])),
IF(OR(G422="4/16",G422="3/16"),((база!$L$5*Таблица1[[#This Row],[сумма]]*Таблица1[[#This Row],[коэф]])),
IF(OR(G422="2/4",G422="3/4",G422="4/4"),((база!$I$5*Таблица1[[#This Row],[сумма]]*Таблица1[[#This Row],[коэф]])),
IF((G422="5/8"),((база!$J$6*Таблица1[[#This Row],[сумма]]*Таблица1[[#This Row],[коэф]])),
IF(OR(G422="4/8",G422="3/8",G422="2/8"),((база!$J$5*Таблица1[[#This Row],[сумма]]*Таблица1[[#This Row],[коэф]])))))))))))</f>
        <v>0</v>
      </c>
      <c r="AP422" s="696" t="b">
        <f>IF(AR422&lt;=3,(IF((G422="5/24"),((база!$M$6*2*Таблица1[[#This Row],[Столбец1]]*Таблица1[[#This Row],[коэф]])),
IF((G422="4/24"),((база!$M$5*2*Таблица1[[#This Row],[Столбец1]]*Таблица1[[#This Row],[коэф]])),
IF((G422="3/24"),((база!$M$4*2*Таблица1[[#This Row],[Столбец1]]*Таблица1[[#This Row],[коэф]])),
IF((G422="5/16"),((база!$L$6*2*Таблица1[[#This Row],[Столбец1]]*Таблица1[[#This Row],[коэф]])),
IF((G422="4/16"),((база!$L$5*2*Таблица1[[#This Row],[Столбец1]]*Таблица1[[#This Row],[коэф]])),
IF((G422="3/16"),((база!$L$4*2*Таблица1[[#This Row],[Столбец1]]*Таблица1[[#This Row],[коэф]])),
IF((G422="4/4"),((база!$I$5*2*Таблица1[[#This Row],[Столбец1]]*Таблица1[[#This Row],[коэф]])),
IF(OR(G422="2/4",G422="3/4"),((база!$I$4*2*Таблица1[[#This Row],[Столбец1]]*Таблица1[[#This Row],[коэф]])),
IF((G422="5/8"),((база!$J$6*2*Таблица1[[#This Row],[Столбец1]]*Таблица1[[#This Row],[коэф]])),
IF((G422="4/8"),((база!$J$5*2*Таблица1[[#This Row],[Столбец1]]*Таблица1[[#This Row],[коэф]])),
IF(OR(G422="3/8",G422="2/8"),((база!$J$4*2*Таблица1[[#This Row],[Столбец1]]*Таблица1[[#This Row],[коэф]])))))))))))))),
(IF((G422="5/24"),((база!$M$6*2*Таблица1[[#This Row],[Столбец1]]*Таблица1[[#This Row],[коэф]])),
IF(OR(G422="4/24",G422="3/24"),((база!$M$5*2*Таблица1[[#This Row],[Столбец1]]*Таблица1[[#This Row],[коэф]])),
IF((G422="5/16"),((база!$L$6*2*Таблица1[[#This Row],[Столбец1]]*Таблица1[[#This Row],[коэф]])),
IF(OR(G422="4/16",G422="3/16"),((база!$L$5*2*Таблица1[[#This Row],[Столбец1]]*Таблица1[[#This Row],[коэф]])),
IF(OR(G422="2/4",G422="3/4",G422="4/4"),((база!$I$5*2*Таблица1[[#This Row],[Столбец1]]*Таблица1[[#This Row],[коэф]])),
IF((G422="5/8"),((база!$J$6*2*Таблица1[[#This Row],[Столбец1]]*Таблица1[[#This Row],[коэф]])),
IF(OR(G422="4/8",G422="3/8",G422="2/8"),((база!$J$5*2*Таблица1[[#This Row],[Столбец1]]*Таблица1[[#This Row],[коэф]])))))))))))</f>
        <v>0</v>
      </c>
      <c r="AQ422" s="678" t="str">
        <f>IFERROR(INDEX(база!T:T, MATCH(F422,база!Q:Q,0)),"")</f>
        <v/>
      </c>
      <c r="AR422" s="193">
        <f>IFERROR(INDEX(база!D:D, MATCH(F422,база!B:B,0)),"")</f>
        <v>0</v>
      </c>
    </row>
    <row r="423" spans="1:44" ht="15">
      <c r="A423" s="59"/>
      <c r="B423" s="215"/>
      <c r="C423" s="54"/>
      <c r="D423" s="55"/>
      <c r="E423" s="196"/>
      <c r="F423" s="651"/>
      <c r="G423" s="42"/>
      <c r="H423" s="539"/>
      <c r="I423" s="539"/>
      <c r="J423" s="539"/>
      <c r="K423" s="539"/>
      <c r="L423" s="539"/>
      <c r="M423" s="539"/>
      <c r="N423" s="539"/>
      <c r="O423" s="539"/>
      <c r="P423" s="278"/>
      <c r="Q423" s="539"/>
      <c r="R423" s="539"/>
      <c r="S423" s="539"/>
      <c r="T423" s="539"/>
      <c r="U423" s="539"/>
      <c r="V423" s="539"/>
      <c r="W423" s="539"/>
      <c r="X423" s="539"/>
      <c r="Y423" s="539"/>
      <c r="Z423" s="539"/>
      <c r="AA423" s="539"/>
      <c r="AB423" s="539"/>
      <c r="AC423" s="539"/>
      <c r="AD423" s="43"/>
      <c r="AE423" s="43"/>
      <c r="AF423" s="238"/>
      <c r="AG423" s="43"/>
      <c r="AH423" s="43"/>
      <c r="AI423" s="238"/>
      <c r="AJ423" s="238"/>
      <c r="AK423" s="238"/>
      <c r="AL423" s="238"/>
      <c r="AM423" s="197">
        <f>IF(AQ423=1,SUM(H423:I423,L423:O423,R423:U423,X423:AA423,AD423:AG423,AI423:AK423),
IF(AQ423=2,SUM(H423:K423,N423:Q423,T423:W423,Z423:AC423,AF423:AI423),
IF(AQ423=3,SUM(J423:M423,P423:S423,V423:Y423,AB423:AE423,AH423:AK423),SUM(Таблица1[[#This Row],[1]:[31]])-Таблица1[[#This Row],[Столбец1]])))</f>
        <v>0</v>
      </c>
      <c r="AN423" s="269">
        <f t="array" ref="AN423">IF(AQ423=1,SUM(J423:K423,P423:Q423,V423:W423,AB423:AC423,AH423:AI423),
IF(AQ423=2,SUM(L423:M423,R423:S423,X423:Y423,AD423:AE423),
IF(AQ423=3,SUM(H423:I423,N423:O423,T423:U423,Z423:AA423,AF423:AG423),
SUM(IFERROR(WEEKDAY($H$2:$AL$2,2)&gt;5,)*H423:AL423))))</f>
        <v>0</v>
      </c>
      <c r="AO423" s="271" t="b">
        <f>IF(AR423&lt;=3,(IF((G423="5/24"),((база!$M$6*Таблица1[[#This Row],[сумма]]*Таблица1[[#This Row],[коэф]])),
IF((G423="4/24"),((база!$M$5*Таблица1[[#This Row],[сумма]]*Таблица1[[#This Row],[коэф]])),
IF((G423="3/24"),((база!$M$4*Таблица1[[#This Row],[сумма]]*Таблица1[[#This Row],[коэф]])),
IF((G423="5/16"),((база!$L$6*Таблица1[[#This Row],[сумма]]*Таблица1[[#This Row],[коэф]])),
IF((G423="4/16"),((база!$L$5*Таблица1[[#This Row],[сумма]]*Таблица1[[#This Row],[коэф]])),
IF((G423="3/16"),((база!$L$4*Таблица1[[#This Row],[сумма]]*Таблица1[[#This Row],[коэф]])),
IF((G423="4/4"),((база!$I$5*Таблица1[[#This Row],[сумма]]*Таблица1[[#This Row],[коэф]])),
IF(OR(G423="2/4",G423="3/4"),((база!$I$4*Таблица1[[#This Row],[сумма]]*Таблица1[[#This Row],[коэф]])),
IF((G423="5/8"),((база!$J$6*Таблица1[[#This Row],[сумма]]*Таблица1[[#This Row],[коэф]])),
IF((G423="4/8"),((база!$J$5*Таблица1[[#This Row],[сумма]]*Таблица1[[#This Row],[коэф]])),
IF(OR(G423="3/8",G423="2/8"),((база!$J$4*Таблица1[[#This Row],[сумма]]*Таблица1[[#This Row],[коэф]])))))))))))))),
(IF((G423="5/24"),((база!$M$6*Таблица1[[#This Row],[сумма]]*Таблица1[[#This Row],[коэф]])),
IF(OR(G423="4/24",G423="3/24"),((база!$M$5*Таблица1[[#This Row],[сумма]]*Таблица1[[#This Row],[коэф]])),
IF((G423="5/16"),((база!$L$6*Таблица1[[#This Row],[сумма]]*Таблица1[[#This Row],[коэф]])),
IF(OR(G423="4/16",G423="3/16"),((база!$L$5*Таблица1[[#This Row],[сумма]]*Таблица1[[#This Row],[коэф]])),
IF(OR(G423="2/4",G423="3/4",G423="4/4"),((база!$I$5*Таблица1[[#This Row],[сумма]]*Таблица1[[#This Row],[коэф]])),
IF((G423="5/8"),((база!$J$6*Таблица1[[#This Row],[сумма]]*Таблица1[[#This Row],[коэф]])),
IF(OR(G423="4/8",G423="3/8",G423="2/8"),((база!$J$5*Таблица1[[#This Row],[сумма]]*Таблица1[[#This Row],[коэф]])))))))))))</f>
        <v>0</v>
      </c>
      <c r="AP423" s="696" t="b">
        <f>IF(AR423&lt;=3,(IF((G423="5/24"),((база!$M$6*2*Таблица1[[#This Row],[Столбец1]]*Таблица1[[#This Row],[коэф]])),
IF((G423="4/24"),((база!$M$5*2*Таблица1[[#This Row],[Столбец1]]*Таблица1[[#This Row],[коэф]])),
IF((G423="3/24"),((база!$M$4*2*Таблица1[[#This Row],[Столбец1]]*Таблица1[[#This Row],[коэф]])),
IF((G423="5/16"),((база!$L$6*2*Таблица1[[#This Row],[Столбец1]]*Таблица1[[#This Row],[коэф]])),
IF((G423="4/16"),((база!$L$5*2*Таблица1[[#This Row],[Столбец1]]*Таблица1[[#This Row],[коэф]])),
IF((G423="3/16"),((база!$L$4*2*Таблица1[[#This Row],[Столбец1]]*Таблица1[[#This Row],[коэф]])),
IF((G423="4/4"),((база!$I$5*2*Таблица1[[#This Row],[Столбец1]]*Таблица1[[#This Row],[коэф]])),
IF(OR(G423="2/4",G423="3/4"),((база!$I$4*2*Таблица1[[#This Row],[Столбец1]]*Таблица1[[#This Row],[коэф]])),
IF((G423="5/8"),((база!$J$6*2*Таблица1[[#This Row],[Столбец1]]*Таблица1[[#This Row],[коэф]])),
IF((G423="4/8"),((база!$J$5*2*Таблица1[[#This Row],[Столбец1]]*Таблица1[[#This Row],[коэф]])),
IF(OR(G423="3/8",G423="2/8"),((база!$J$4*2*Таблица1[[#This Row],[Столбец1]]*Таблица1[[#This Row],[коэф]])))))))))))))),
(IF((G423="5/24"),((база!$M$6*2*Таблица1[[#This Row],[Столбец1]]*Таблица1[[#This Row],[коэф]])),
IF(OR(G423="4/24",G423="3/24"),((база!$M$5*2*Таблица1[[#This Row],[Столбец1]]*Таблица1[[#This Row],[коэф]])),
IF((G423="5/16"),((база!$L$6*2*Таблица1[[#This Row],[Столбец1]]*Таблица1[[#This Row],[коэф]])),
IF(OR(G423="4/16",G423="3/16"),((база!$L$5*2*Таблица1[[#This Row],[Столбец1]]*Таблица1[[#This Row],[коэф]])),
IF(OR(G423="2/4",G423="3/4",G423="4/4"),((база!$I$5*2*Таблица1[[#This Row],[Столбец1]]*Таблица1[[#This Row],[коэф]])),
IF((G423="5/8"),((база!$J$6*2*Таблица1[[#This Row],[Столбец1]]*Таблица1[[#This Row],[коэф]])),
IF(OR(G423="4/8",G423="3/8",G423="2/8"),((база!$J$5*2*Таблица1[[#This Row],[Столбец1]]*Таблица1[[#This Row],[коэф]])))))))))))</f>
        <v>0</v>
      </c>
      <c r="AQ423" s="678" t="str">
        <f>IFERROR(INDEX(база!T:T, MATCH(F423,база!Q:Q,0)),"")</f>
        <v/>
      </c>
      <c r="AR423" s="193">
        <f>IFERROR(INDEX(база!D:D, MATCH(F423,база!B:B,0)),"")</f>
        <v>0</v>
      </c>
    </row>
    <row r="424" spans="1:44" ht="15">
      <c r="A424" s="59"/>
      <c r="B424" s="215"/>
      <c r="C424" s="54"/>
      <c r="D424" s="55"/>
      <c r="E424" s="196"/>
      <c r="F424" s="651"/>
      <c r="G424" s="42"/>
      <c r="H424" s="539"/>
      <c r="I424" s="539"/>
      <c r="J424" s="539"/>
      <c r="K424" s="539"/>
      <c r="L424" s="539"/>
      <c r="M424" s="539"/>
      <c r="N424" s="539"/>
      <c r="O424" s="539"/>
      <c r="P424" s="278"/>
      <c r="Q424" s="539"/>
      <c r="R424" s="539"/>
      <c r="S424" s="539"/>
      <c r="T424" s="539"/>
      <c r="U424" s="539"/>
      <c r="V424" s="539"/>
      <c r="W424" s="539"/>
      <c r="X424" s="539"/>
      <c r="Y424" s="539"/>
      <c r="Z424" s="539"/>
      <c r="AA424" s="539"/>
      <c r="AB424" s="539"/>
      <c r="AC424" s="539"/>
      <c r="AD424" s="43"/>
      <c r="AE424" s="43"/>
      <c r="AF424" s="238"/>
      <c r="AG424" s="43"/>
      <c r="AH424" s="43"/>
      <c r="AI424" s="43"/>
      <c r="AJ424" s="43"/>
      <c r="AK424" s="43"/>
      <c r="AL424" s="45"/>
      <c r="AM424" s="197">
        <f>IF(AQ424=1,SUM(H424:I424,L424:O424,R424:U424,X424:AA424,AD424:AG424,AI424:AK424),
IF(AQ424=2,SUM(H424:K424,N424:Q424,T424:W424,Z424:AC424,AF424:AI424),
IF(AQ424=3,SUM(J424:M424,P424:S424,V424:Y424,AB424:AE424,AH424:AK424),SUM(Таблица1[[#This Row],[1]:[31]])-Таблица1[[#This Row],[Столбец1]])))</f>
        <v>0</v>
      </c>
      <c r="AN424" s="269">
        <f t="array" ref="AN424">IF(AQ424=1,SUM(J424:K424,P424:Q424,V424:W424,AB424:AC424,AH424:AI424),
IF(AQ424=2,SUM(L424:M424,R424:S424,X424:Y424,AD424:AE424),
IF(AQ424=3,SUM(H424:I424,N424:O424,T424:U424,Z424:AA424,AF424:AG424),
SUM(IFERROR(WEEKDAY($H$2:$AL$2,2)&gt;5,)*H424:AL424))))</f>
        <v>0</v>
      </c>
      <c r="AO424" s="271" t="b">
        <f>IF(AR424&lt;=3,(IF((G424="5/24"),((база!$M$6*Таблица1[[#This Row],[сумма]]*Таблица1[[#This Row],[коэф]])),
IF((G424="4/24"),((база!$M$5*Таблица1[[#This Row],[сумма]]*Таблица1[[#This Row],[коэф]])),
IF((G424="3/24"),((база!$M$4*Таблица1[[#This Row],[сумма]]*Таблица1[[#This Row],[коэф]])),
IF((G424="5/16"),((база!$L$6*Таблица1[[#This Row],[сумма]]*Таблица1[[#This Row],[коэф]])),
IF((G424="4/16"),((база!$L$5*Таблица1[[#This Row],[сумма]]*Таблица1[[#This Row],[коэф]])),
IF((G424="3/16"),((база!$L$4*Таблица1[[#This Row],[сумма]]*Таблица1[[#This Row],[коэф]])),
IF((G424="4/4"),((база!$I$5*Таблица1[[#This Row],[сумма]]*Таблица1[[#This Row],[коэф]])),
IF(OR(G424="2/4",G424="3/4"),((база!$I$4*Таблица1[[#This Row],[сумма]]*Таблица1[[#This Row],[коэф]])),
IF((G424="5/8"),((база!$J$6*Таблица1[[#This Row],[сумма]]*Таблица1[[#This Row],[коэф]])),
IF((G424="4/8"),((база!$J$5*Таблица1[[#This Row],[сумма]]*Таблица1[[#This Row],[коэф]])),
IF(OR(G424="3/8",G424="2/8"),((база!$J$4*Таблица1[[#This Row],[сумма]]*Таблица1[[#This Row],[коэф]])))))))))))))),
(IF((G424="5/24"),((база!$M$6*Таблица1[[#This Row],[сумма]]*Таблица1[[#This Row],[коэф]])),
IF(OR(G424="4/24",G424="3/24"),((база!$M$5*Таблица1[[#This Row],[сумма]]*Таблица1[[#This Row],[коэф]])),
IF((G424="5/16"),((база!$L$6*Таблица1[[#This Row],[сумма]]*Таблица1[[#This Row],[коэф]])),
IF(OR(G424="4/16",G424="3/16"),((база!$L$5*Таблица1[[#This Row],[сумма]]*Таблица1[[#This Row],[коэф]])),
IF(OR(G424="2/4",G424="3/4",G424="4/4"),((база!$I$5*Таблица1[[#This Row],[сумма]]*Таблица1[[#This Row],[коэф]])),
IF((G424="5/8"),((база!$J$6*Таблица1[[#This Row],[сумма]]*Таблица1[[#This Row],[коэф]])),
IF(OR(G424="4/8",G424="3/8",G424="2/8"),((база!$J$5*Таблица1[[#This Row],[сумма]]*Таблица1[[#This Row],[коэф]])))))))))))</f>
        <v>0</v>
      </c>
      <c r="AP424" s="696" t="b">
        <f>IF(AR424&lt;=3,(IF((G424="5/24"),((база!$M$6*2*Таблица1[[#This Row],[Столбец1]]*Таблица1[[#This Row],[коэф]])),
IF((G424="4/24"),((база!$M$5*2*Таблица1[[#This Row],[Столбец1]]*Таблица1[[#This Row],[коэф]])),
IF((G424="3/24"),((база!$M$4*2*Таблица1[[#This Row],[Столбец1]]*Таблица1[[#This Row],[коэф]])),
IF((G424="5/16"),((база!$L$6*2*Таблица1[[#This Row],[Столбец1]]*Таблица1[[#This Row],[коэф]])),
IF((G424="4/16"),((база!$L$5*2*Таблица1[[#This Row],[Столбец1]]*Таблица1[[#This Row],[коэф]])),
IF((G424="3/16"),((база!$L$4*2*Таблица1[[#This Row],[Столбец1]]*Таблица1[[#This Row],[коэф]])),
IF((G424="4/4"),((база!$I$5*2*Таблица1[[#This Row],[Столбец1]]*Таблица1[[#This Row],[коэф]])),
IF(OR(G424="2/4",G424="3/4"),((база!$I$4*2*Таблица1[[#This Row],[Столбец1]]*Таблица1[[#This Row],[коэф]])),
IF((G424="5/8"),((база!$J$6*2*Таблица1[[#This Row],[Столбец1]]*Таблица1[[#This Row],[коэф]])),
IF((G424="4/8"),((база!$J$5*2*Таблица1[[#This Row],[Столбец1]]*Таблица1[[#This Row],[коэф]])),
IF(OR(G424="3/8",G424="2/8"),((база!$J$4*2*Таблица1[[#This Row],[Столбец1]]*Таблица1[[#This Row],[коэф]])))))))))))))),
(IF((G424="5/24"),((база!$M$6*2*Таблица1[[#This Row],[Столбец1]]*Таблица1[[#This Row],[коэф]])),
IF(OR(G424="4/24",G424="3/24"),((база!$M$5*2*Таблица1[[#This Row],[Столбец1]]*Таблица1[[#This Row],[коэф]])),
IF((G424="5/16"),((база!$L$6*2*Таблица1[[#This Row],[Столбец1]]*Таблица1[[#This Row],[коэф]])),
IF(OR(G424="4/16",G424="3/16"),((база!$L$5*2*Таблица1[[#This Row],[Столбец1]]*Таблица1[[#This Row],[коэф]])),
IF(OR(G424="2/4",G424="3/4",G424="4/4"),((база!$I$5*2*Таблица1[[#This Row],[Столбец1]]*Таблица1[[#This Row],[коэф]])),
IF((G424="5/8"),((база!$J$6*2*Таблица1[[#This Row],[Столбец1]]*Таблица1[[#This Row],[коэф]])),
IF(OR(G424="4/8",G424="3/8",G424="2/8"),((база!$J$5*2*Таблица1[[#This Row],[Столбец1]]*Таблица1[[#This Row],[коэф]])))))))))))</f>
        <v>0</v>
      </c>
      <c r="AQ424" s="678" t="str">
        <f>IFERROR(INDEX(база!T:T, MATCH(F424,база!Q:Q,0)),"")</f>
        <v/>
      </c>
      <c r="AR424" s="193">
        <f>IFERROR(INDEX(база!D:D, MATCH(F424,база!B:B,0)),"")</f>
        <v>0</v>
      </c>
    </row>
    <row r="425" spans="1:44" ht="15">
      <c r="A425" s="59"/>
      <c r="B425" s="215"/>
      <c r="C425" s="54"/>
      <c r="D425" s="55"/>
      <c r="E425" s="196"/>
      <c r="F425" s="651"/>
      <c r="G425" s="42"/>
      <c r="H425" s="539"/>
      <c r="I425" s="539"/>
      <c r="J425" s="539"/>
      <c r="K425" s="539"/>
      <c r="L425" s="539"/>
      <c r="M425" s="539"/>
      <c r="N425" s="539"/>
      <c r="O425" s="539"/>
      <c r="P425" s="278"/>
      <c r="Q425" s="539"/>
      <c r="R425" s="539"/>
      <c r="S425" s="539"/>
      <c r="T425" s="539"/>
      <c r="U425" s="539"/>
      <c r="V425" s="539"/>
      <c r="W425" s="539"/>
      <c r="X425" s="539"/>
      <c r="Y425" s="539"/>
      <c r="Z425" s="539"/>
      <c r="AA425" s="539"/>
      <c r="AB425" s="539"/>
      <c r="AC425" s="539"/>
      <c r="AD425" s="43"/>
      <c r="AE425" s="43"/>
      <c r="AF425" s="238"/>
      <c r="AG425" s="43"/>
      <c r="AH425" s="43"/>
      <c r="AI425" s="238"/>
      <c r="AJ425" s="238"/>
      <c r="AK425" s="238"/>
      <c r="AL425" s="238"/>
      <c r="AM425" s="197">
        <f>IF(AQ425=1,SUM(H425:I425,L425:O425,R425:U425,X425:AA425,AD425:AG425,AI425:AK425),
IF(AQ425=2,SUM(H425:K425,N425:Q425,T425:W425,Z425:AC425,AF425:AI425),
IF(AQ425=3,SUM(J425:M425,P425:S425,V425:Y425,AB425:AE425,AH425:AK425),SUM(Таблица1[[#This Row],[1]:[31]])-Таблица1[[#This Row],[Столбец1]])))</f>
        <v>0</v>
      </c>
      <c r="AN425" s="269">
        <f t="array" ref="AN425">IF(AQ425=1,SUM(J425:K425,P425:Q425,V425:W425,AB425:AC425,AH425:AI425),
IF(AQ425=2,SUM(L425:M425,R425:S425,X425:Y425,AD425:AE425),
IF(AQ425=3,SUM(H425:I425,N425:O425,T425:U425,Z425:AA425,AF425:AG425),
SUM(IFERROR(WEEKDAY($H$2:$AL$2,2)&gt;5,)*H425:AL425))))</f>
        <v>0</v>
      </c>
      <c r="AO425" s="271" t="b">
        <f>IF(AR425&lt;=3,(IF((G425="5/24"),((база!$M$6*Таблица1[[#This Row],[сумма]]*Таблица1[[#This Row],[коэф]])),
IF((G425="4/24"),((база!$M$5*Таблица1[[#This Row],[сумма]]*Таблица1[[#This Row],[коэф]])),
IF((G425="3/24"),((база!$M$4*Таблица1[[#This Row],[сумма]]*Таблица1[[#This Row],[коэф]])),
IF((G425="5/16"),((база!$L$6*Таблица1[[#This Row],[сумма]]*Таблица1[[#This Row],[коэф]])),
IF((G425="4/16"),((база!$L$5*Таблица1[[#This Row],[сумма]]*Таблица1[[#This Row],[коэф]])),
IF((G425="3/16"),((база!$L$4*Таблица1[[#This Row],[сумма]]*Таблица1[[#This Row],[коэф]])),
IF((G425="4/4"),((база!$I$5*Таблица1[[#This Row],[сумма]]*Таблица1[[#This Row],[коэф]])),
IF(OR(G425="2/4",G425="3/4"),((база!$I$4*Таблица1[[#This Row],[сумма]]*Таблица1[[#This Row],[коэф]])),
IF((G425="5/8"),((база!$J$6*Таблица1[[#This Row],[сумма]]*Таблица1[[#This Row],[коэф]])),
IF((G425="4/8"),((база!$J$5*Таблица1[[#This Row],[сумма]]*Таблица1[[#This Row],[коэф]])),
IF(OR(G425="3/8",G425="2/8"),((база!$J$4*Таблица1[[#This Row],[сумма]]*Таблица1[[#This Row],[коэф]])))))))))))))),
(IF((G425="5/24"),((база!$M$6*Таблица1[[#This Row],[сумма]]*Таблица1[[#This Row],[коэф]])),
IF(OR(G425="4/24",G425="3/24"),((база!$M$5*Таблица1[[#This Row],[сумма]]*Таблица1[[#This Row],[коэф]])),
IF((G425="5/16"),((база!$L$6*Таблица1[[#This Row],[сумма]]*Таблица1[[#This Row],[коэф]])),
IF(OR(G425="4/16",G425="3/16"),((база!$L$5*Таблица1[[#This Row],[сумма]]*Таблица1[[#This Row],[коэф]])),
IF(OR(G425="2/4",G425="3/4",G425="4/4"),((база!$I$5*Таблица1[[#This Row],[сумма]]*Таблица1[[#This Row],[коэф]])),
IF((G425="5/8"),((база!$J$6*Таблица1[[#This Row],[сумма]]*Таблица1[[#This Row],[коэф]])),
IF(OR(G425="4/8",G425="3/8",G425="2/8"),((база!$J$5*Таблица1[[#This Row],[сумма]]*Таблица1[[#This Row],[коэф]])))))))))))</f>
        <v>0</v>
      </c>
      <c r="AP425" s="696" t="b">
        <f>IF(AR425&lt;=3,(IF((G425="5/24"),((база!$M$6*2*Таблица1[[#This Row],[Столбец1]]*Таблица1[[#This Row],[коэф]])),
IF((G425="4/24"),((база!$M$5*2*Таблица1[[#This Row],[Столбец1]]*Таблица1[[#This Row],[коэф]])),
IF((G425="3/24"),((база!$M$4*2*Таблица1[[#This Row],[Столбец1]]*Таблица1[[#This Row],[коэф]])),
IF((G425="5/16"),((база!$L$6*2*Таблица1[[#This Row],[Столбец1]]*Таблица1[[#This Row],[коэф]])),
IF((G425="4/16"),((база!$L$5*2*Таблица1[[#This Row],[Столбец1]]*Таблица1[[#This Row],[коэф]])),
IF((G425="3/16"),((база!$L$4*2*Таблица1[[#This Row],[Столбец1]]*Таблица1[[#This Row],[коэф]])),
IF((G425="4/4"),((база!$I$5*2*Таблица1[[#This Row],[Столбец1]]*Таблица1[[#This Row],[коэф]])),
IF(OR(G425="2/4",G425="3/4"),((база!$I$4*2*Таблица1[[#This Row],[Столбец1]]*Таблица1[[#This Row],[коэф]])),
IF((G425="5/8"),((база!$J$6*2*Таблица1[[#This Row],[Столбец1]]*Таблица1[[#This Row],[коэф]])),
IF((G425="4/8"),((база!$J$5*2*Таблица1[[#This Row],[Столбец1]]*Таблица1[[#This Row],[коэф]])),
IF(OR(G425="3/8",G425="2/8"),((база!$J$4*2*Таблица1[[#This Row],[Столбец1]]*Таблица1[[#This Row],[коэф]])))))))))))))),
(IF((G425="5/24"),((база!$M$6*2*Таблица1[[#This Row],[Столбец1]]*Таблица1[[#This Row],[коэф]])),
IF(OR(G425="4/24",G425="3/24"),((база!$M$5*2*Таблица1[[#This Row],[Столбец1]]*Таблица1[[#This Row],[коэф]])),
IF((G425="5/16"),((база!$L$6*2*Таблица1[[#This Row],[Столбец1]]*Таблица1[[#This Row],[коэф]])),
IF(OR(G425="4/16",G425="3/16"),((база!$L$5*2*Таблица1[[#This Row],[Столбец1]]*Таблица1[[#This Row],[коэф]])),
IF(OR(G425="2/4",G425="3/4",G425="4/4"),((база!$I$5*2*Таблица1[[#This Row],[Столбец1]]*Таблица1[[#This Row],[коэф]])),
IF((G425="5/8"),((база!$J$6*2*Таблица1[[#This Row],[Столбец1]]*Таблица1[[#This Row],[коэф]])),
IF(OR(G425="4/8",G425="3/8",G425="2/8"),((база!$J$5*2*Таблица1[[#This Row],[Столбец1]]*Таблица1[[#This Row],[коэф]])))))))))))</f>
        <v>0</v>
      </c>
      <c r="AQ425" s="678" t="str">
        <f>IFERROR(INDEX(база!T:T, MATCH(F425,база!Q:Q,0)),"")</f>
        <v/>
      </c>
      <c r="AR425" s="193">
        <f>IFERROR(INDEX(база!D:D, MATCH(F425,база!B:B,0)),"")</f>
        <v>0</v>
      </c>
    </row>
    <row r="426" spans="1:44" ht="15">
      <c r="A426" s="59"/>
      <c r="B426" s="215"/>
      <c r="C426" s="277"/>
      <c r="D426" s="55"/>
      <c r="E426" s="196"/>
      <c r="F426" s="651"/>
      <c r="G426" s="42"/>
      <c r="H426" s="539"/>
      <c r="I426" s="539"/>
      <c r="J426" s="539"/>
      <c r="K426" s="539"/>
      <c r="L426" s="539"/>
      <c r="M426" s="539"/>
      <c r="N426" s="539"/>
      <c r="O426" s="539"/>
      <c r="P426" s="278"/>
      <c r="Q426" s="539"/>
      <c r="R426" s="539"/>
      <c r="S426" s="539"/>
      <c r="T426" s="539"/>
      <c r="U426" s="539"/>
      <c r="V426" s="539"/>
      <c r="W426" s="539"/>
      <c r="X426" s="539"/>
      <c r="Y426" s="539"/>
      <c r="Z426" s="539"/>
      <c r="AA426" s="539"/>
      <c r="AB426" s="539"/>
      <c r="AC426" s="539"/>
      <c r="AD426" s="43"/>
      <c r="AE426" s="43"/>
      <c r="AF426" s="238"/>
      <c r="AG426" s="43"/>
      <c r="AH426" s="43"/>
      <c r="AI426" s="43"/>
      <c r="AJ426" s="43"/>
      <c r="AK426" s="43"/>
      <c r="AL426" s="45"/>
      <c r="AM426" s="197">
        <f>IF(AQ426=1,SUM(H426:I426,L426:O426,R426:U426,X426:AA426,AD426:AG426,AI426:AK426),
IF(AQ426=2,SUM(H426:K426,N426:Q426,T426:W426,Z426:AC426,AF426:AI426),
IF(AQ426=3,SUM(J426:M426,P426:S426,V426:Y426,AB426:AE426,AH426:AK426),SUM(Таблица1[[#This Row],[1]:[31]])-Таблица1[[#This Row],[Столбец1]])))</f>
        <v>0</v>
      </c>
      <c r="AN426" s="269">
        <f t="array" ref="AN426">IF(AQ426=1,SUM(J426:K426,P426:Q426,V426:W426,AB426:AC426,AH426:AI426),
IF(AQ426=2,SUM(L426:M426,R426:S426,X426:Y426,AD426:AE426),
IF(AQ426=3,SUM(H426:I426,N426:O426,T426:U426,Z426:AA426,AF426:AG426),
SUM(IFERROR(WEEKDAY($H$2:$AL$2,2)&gt;5,)*H426:AL426))))</f>
        <v>0</v>
      </c>
      <c r="AO426" s="271" t="b">
        <f>IF(AR426&lt;=3,(IF((G426="5/24"),((база!$M$6*Таблица1[[#This Row],[сумма]]*Таблица1[[#This Row],[коэф]])),
IF((G426="4/24"),((база!$M$5*Таблица1[[#This Row],[сумма]]*Таблица1[[#This Row],[коэф]])),
IF((G426="3/24"),((база!$M$4*Таблица1[[#This Row],[сумма]]*Таблица1[[#This Row],[коэф]])),
IF((G426="5/16"),((база!$L$6*Таблица1[[#This Row],[сумма]]*Таблица1[[#This Row],[коэф]])),
IF((G426="4/16"),((база!$L$5*Таблица1[[#This Row],[сумма]]*Таблица1[[#This Row],[коэф]])),
IF((G426="3/16"),((база!$L$4*Таблица1[[#This Row],[сумма]]*Таблица1[[#This Row],[коэф]])),
IF((G426="4/4"),((база!$I$5*Таблица1[[#This Row],[сумма]]*Таблица1[[#This Row],[коэф]])),
IF(OR(G426="2/4",G426="3/4"),((база!$I$4*Таблица1[[#This Row],[сумма]]*Таблица1[[#This Row],[коэф]])),
IF((G426="5/8"),((база!$J$6*Таблица1[[#This Row],[сумма]]*Таблица1[[#This Row],[коэф]])),
IF((G426="4/8"),((база!$J$5*Таблица1[[#This Row],[сумма]]*Таблица1[[#This Row],[коэф]])),
IF(OR(G426="3/8",G426="2/8"),((база!$J$4*Таблица1[[#This Row],[сумма]]*Таблица1[[#This Row],[коэф]])))))))))))))),
(IF((G426="5/24"),((база!$M$6*Таблица1[[#This Row],[сумма]]*Таблица1[[#This Row],[коэф]])),
IF(OR(G426="4/24",G426="3/24"),((база!$M$5*Таблица1[[#This Row],[сумма]]*Таблица1[[#This Row],[коэф]])),
IF((G426="5/16"),((база!$L$6*Таблица1[[#This Row],[сумма]]*Таблица1[[#This Row],[коэф]])),
IF(OR(G426="4/16",G426="3/16"),((база!$L$5*Таблица1[[#This Row],[сумма]]*Таблица1[[#This Row],[коэф]])),
IF(OR(G426="2/4",G426="3/4",G426="4/4"),((база!$I$5*Таблица1[[#This Row],[сумма]]*Таблица1[[#This Row],[коэф]])),
IF((G426="5/8"),((база!$J$6*Таблица1[[#This Row],[сумма]]*Таблица1[[#This Row],[коэф]])),
IF(OR(G426="4/8",G426="3/8",G426="2/8"),((база!$J$5*Таблица1[[#This Row],[сумма]]*Таблица1[[#This Row],[коэф]])))))))))))</f>
        <v>0</v>
      </c>
      <c r="AP426" s="696" t="b">
        <f>IF(AR426&lt;=3,(IF((G426="5/24"),((база!$M$6*2*Таблица1[[#This Row],[Столбец1]]*Таблица1[[#This Row],[коэф]])),
IF((G426="4/24"),((база!$M$5*2*Таблица1[[#This Row],[Столбец1]]*Таблица1[[#This Row],[коэф]])),
IF((G426="3/24"),((база!$M$4*2*Таблица1[[#This Row],[Столбец1]]*Таблица1[[#This Row],[коэф]])),
IF((G426="5/16"),((база!$L$6*2*Таблица1[[#This Row],[Столбец1]]*Таблица1[[#This Row],[коэф]])),
IF((G426="4/16"),((база!$L$5*2*Таблица1[[#This Row],[Столбец1]]*Таблица1[[#This Row],[коэф]])),
IF((G426="3/16"),((база!$L$4*2*Таблица1[[#This Row],[Столбец1]]*Таблица1[[#This Row],[коэф]])),
IF((G426="4/4"),((база!$I$5*2*Таблица1[[#This Row],[Столбец1]]*Таблица1[[#This Row],[коэф]])),
IF(OR(G426="2/4",G426="3/4"),((база!$I$4*2*Таблица1[[#This Row],[Столбец1]]*Таблица1[[#This Row],[коэф]])),
IF((G426="5/8"),((база!$J$6*2*Таблица1[[#This Row],[Столбец1]]*Таблица1[[#This Row],[коэф]])),
IF((G426="4/8"),((база!$J$5*2*Таблица1[[#This Row],[Столбец1]]*Таблица1[[#This Row],[коэф]])),
IF(OR(G426="3/8",G426="2/8"),((база!$J$4*2*Таблица1[[#This Row],[Столбец1]]*Таблица1[[#This Row],[коэф]])))))))))))))),
(IF((G426="5/24"),((база!$M$6*2*Таблица1[[#This Row],[Столбец1]]*Таблица1[[#This Row],[коэф]])),
IF(OR(G426="4/24",G426="3/24"),((база!$M$5*2*Таблица1[[#This Row],[Столбец1]]*Таблица1[[#This Row],[коэф]])),
IF((G426="5/16"),((база!$L$6*2*Таблица1[[#This Row],[Столбец1]]*Таблица1[[#This Row],[коэф]])),
IF(OR(G426="4/16",G426="3/16"),((база!$L$5*2*Таблица1[[#This Row],[Столбец1]]*Таблица1[[#This Row],[коэф]])),
IF(OR(G426="2/4",G426="3/4",G426="4/4"),((база!$I$5*2*Таблица1[[#This Row],[Столбец1]]*Таблица1[[#This Row],[коэф]])),
IF((G426="5/8"),((база!$J$6*2*Таблица1[[#This Row],[Столбец1]]*Таблица1[[#This Row],[коэф]])),
IF(OR(G426="4/8",G426="3/8",G426="2/8"),((база!$J$5*2*Таблица1[[#This Row],[Столбец1]]*Таблица1[[#This Row],[коэф]])))))))))))</f>
        <v>0</v>
      </c>
      <c r="AQ426" s="678" t="str">
        <f>IFERROR(INDEX(база!T:T, MATCH(F426,база!Q:Q,0)),"")</f>
        <v/>
      </c>
      <c r="AR426" s="193">
        <f>IFERROR(INDEX(база!D:D, MATCH(F426,база!B:B,0)),"")</f>
        <v>0</v>
      </c>
    </row>
    <row r="427" spans="1:44" ht="15">
      <c r="A427" s="59"/>
      <c r="B427" s="215"/>
      <c r="C427" s="54"/>
      <c r="D427" s="55"/>
      <c r="E427" s="196"/>
      <c r="F427" s="651"/>
      <c r="G427" s="42"/>
      <c r="H427" s="539"/>
      <c r="I427" s="539"/>
      <c r="J427" s="539"/>
      <c r="K427" s="539"/>
      <c r="L427" s="539"/>
      <c r="M427" s="539"/>
      <c r="N427" s="539"/>
      <c r="O427" s="539"/>
      <c r="P427" s="278"/>
      <c r="Q427" s="539"/>
      <c r="R427" s="539"/>
      <c r="S427" s="539"/>
      <c r="T427" s="539"/>
      <c r="U427" s="539"/>
      <c r="V427" s="539"/>
      <c r="W427" s="539"/>
      <c r="X427" s="539"/>
      <c r="Y427" s="539"/>
      <c r="Z427" s="539"/>
      <c r="AA427" s="539"/>
      <c r="AB427" s="539"/>
      <c r="AC427" s="539"/>
      <c r="AD427" s="43"/>
      <c r="AE427" s="43"/>
      <c r="AF427" s="238"/>
      <c r="AG427" s="43"/>
      <c r="AH427" s="43"/>
      <c r="AI427" s="238"/>
      <c r="AJ427" s="238"/>
      <c r="AK427" s="238"/>
      <c r="AL427" s="238"/>
      <c r="AM427" s="197">
        <f>IF(AQ427=1,SUM(H427:I427,L427:O427,R427:U427,X427:AA427,AD427:AG427,AI427:AK427),
IF(AQ427=2,SUM(H427:K427,N427:Q427,T427:W427,Z427:AC427,AF427:AI427),
IF(AQ427=3,SUM(J427:M427,P427:S427,V427:Y427,AB427:AE427,AH427:AK427),SUM(Таблица1[[#This Row],[1]:[31]])-Таблица1[[#This Row],[Столбец1]])))</f>
        <v>0</v>
      </c>
      <c r="AN427" s="269">
        <f t="array" ref="AN427">IF(AQ427=1,SUM(J427:K427,P427:Q427,V427:W427,AB427:AC427,AH427:AI427),
IF(AQ427=2,SUM(L427:M427,R427:S427,X427:Y427,AD427:AE427),
IF(AQ427=3,SUM(H427:I427,N427:O427,T427:U427,Z427:AA427,AF427:AG427),
SUM(IFERROR(WEEKDAY($H$2:$AL$2,2)&gt;5,)*H427:AL427))))</f>
        <v>0</v>
      </c>
      <c r="AO427" s="271" t="b">
        <f>IF(AR427&lt;=3,(IF((G427="5/24"),((база!$M$6*Таблица1[[#This Row],[сумма]]*Таблица1[[#This Row],[коэф]])),
IF((G427="4/24"),((база!$M$5*Таблица1[[#This Row],[сумма]]*Таблица1[[#This Row],[коэф]])),
IF((G427="3/24"),((база!$M$4*Таблица1[[#This Row],[сумма]]*Таблица1[[#This Row],[коэф]])),
IF((G427="5/16"),((база!$L$6*Таблица1[[#This Row],[сумма]]*Таблица1[[#This Row],[коэф]])),
IF((G427="4/16"),((база!$L$5*Таблица1[[#This Row],[сумма]]*Таблица1[[#This Row],[коэф]])),
IF((G427="3/16"),((база!$L$4*Таблица1[[#This Row],[сумма]]*Таблица1[[#This Row],[коэф]])),
IF((G427="4/4"),((база!$I$5*Таблица1[[#This Row],[сумма]]*Таблица1[[#This Row],[коэф]])),
IF(OR(G427="2/4",G427="3/4"),((база!$I$4*Таблица1[[#This Row],[сумма]]*Таблица1[[#This Row],[коэф]])),
IF((G427="5/8"),((база!$J$6*Таблица1[[#This Row],[сумма]]*Таблица1[[#This Row],[коэф]])),
IF((G427="4/8"),((база!$J$5*Таблица1[[#This Row],[сумма]]*Таблица1[[#This Row],[коэф]])),
IF(OR(G427="3/8",G427="2/8"),((база!$J$4*Таблица1[[#This Row],[сумма]]*Таблица1[[#This Row],[коэф]])))))))))))))),
(IF((G427="5/24"),((база!$M$6*Таблица1[[#This Row],[сумма]]*Таблица1[[#This Row],[коэф]])),
IF(OR(G427="4/24",G427="3/24"),((база!$M$5*Таблица1[[#This Row],[сумма]]*Таблица1[[#This Row],[коэф]])),
IF((G427="5/16"),((база!$L$6*Таблица1[[#This Row],[сумма]]*Таблица1[[#This Row],[коэф]])),
IF(OR(G427="4/16",G427="3/16"),((база!$L$5*Таблица1[[#This Row],[сумма]]*Таблица1[[#This Row],[коэф]])),
IF(OR(G427="2/4",G427="3/4",G427="4/4"),((база!$I$5*Таблица1[[#This Row],[сумма]]*Таблица1[[#This Row],[коэф]])),
IF((G427="5/8"),((база!$J$6*Таблица1[[#This Row],[сумма]]*Таблица1[[#This Row],[коэф]])),
IF(OR(G427="4/8",G427="3/8",G427="2/8"),((база!$J$5*Таблица1[[#This Row],[сумма]]*Таблица1[[#This Row],[коэф]])))))))))))</f>
        <v>0</v>
      </c>
      <c r="AP427" s="696" t="b">
        <f>IF(AR427&lt;=3,(IF((G427="5/24"),((база!$M$6*2*Таблица1[[#This Row],[Столбец1]]*Таблица1[[#This Row],[коэф]])),
IF((G427="4/24"),((база!$M$5*2*Таблица1[[#This Row],[Столбец1]]*Таблица1[[#This Row],[коэф]])),
IF((G427="3/24"),((база!$M$4*2*Таблица1[[#This Row],[Столбец1]]*Таблица1[[#This Row],[коэф]])),
IF((G427="5/16"),((база!$L$6*2*Таблица1[[#This Row],[Столбец1]]*Таблица1[[#This Row],[коэф]])),
IF((G427="4/16"),((база!$L$5*2*Таблица1[[#This Row],[Столбец1]]*Таблица1[[#This Row],[коэф]])),
IF((G427="3/16"),((база!$L$4*2*Таблица1[[#This Row],[Столбец1]]*Таблица1[[#This Row],[коэф]])),
IF((G427="4/4"),((база!$I$5*2*Таблица1[[#This Row],[Столбец1]]*Таблица1[[#This Row],[коэф]])),
IF(OR(G427="2/4",G427="3/4"),((база!$I$4*2*Таблица1[[#This Row],[Столбец1]]*Таблица1[[#This Row],[коэф]])),
IF((G427="5/8"),((база!$J$6*2*Таблица1[[#This Row],[Столбец1]]*Таблица1[[#This Row],[коэф]])),
IF((G427="4/8"),((база!$J$5*2*Таблица1[[#This Row],[Столбец1]]*Таблица1[[#This Row],[коэф]])),
IF(OR(G427="3/8",G427="2/8"),((база!$J$4*2*Таблица1[[#This Row],[Столбец1]]*Таблица1[[#This Row],[коэф]])))))))))))))),
(IF((G427="5/24"),((база!$M$6*2*Таблица1[[#This Row],[Столбец1]]*Таблица1[[#This Row],[коэф]])),
IF(OR(G427="4/24",G427="3/24"),((база!$M$5*2*Таблица1[[#This Row],[Столбец1]]*Таблица1[[#This Row],[коэф]])),
IF((G427="5/16"),((база!$L$6*2*Таблица1[[#This Row],[Столбец1]]*Таблица1[[#This Row],[коэф]])),
IF(OR(G427="4/16",G427="3/16"),((база!$L$5*2*Таблица1[[#This Row],[Столбец1]]*Таблица1[[#This Row],[коэф]])),
IF(OR(G427="2/4",G427="3/4",G427="4/4"),((база!$I$5*2*Таблица1[[#This Row],[Столбец1]]*Таблица1[[#This Row],[коэф]])),
IF((G427="5/8"),((база!$J$6*2*Таблица1[[#This Row],[Столбец1]]*Таблица1[[#This Row],[коэф]])),
IF(OR(G427="4/8",G427="3/8",G427="2/8"),((база!$J$5*2*Таблица1[[#This Row],[Столбец1]]*Таблица1[[#This Row],[коэф]])))))))))))</f>
        <v>0</v>
      </c>
      <c r="AQ427" s="678" t="str">
        <f>IFERROR(INDEX(база!T:T, MATCH(F427,база!Q:Q,0)),"")</f>
        <v/>
      </c>
      <c r="AR427" s="193">
        <f>IFERROR(INDEX(база!D:D, MATCH(F427,база!B:B,0)),"")</f>
        <v>0</v>
      </c>
    </row>
    <row r="428" spans="1:44" ht="15">
      <c r="A428" s="59"/>
      <c r="B428" s="215"/>
      <c r="C428" s="54"/>
      <c r="D428" s="55"/>
      <c r="E428" s="196"/>
      <c r="F428" s="651"/>
      <c r="G428" s="42"/>
      <c r="H428" s="539"/>
      <c r="I428" s="539"/>
      <c r="J428" s="539"/>
      <c r="K428" s="539"/>
      <c r="L428" s="539"/>
      <c r="M428" s="539"/>
      <c r="N428" s="539"/>
      <c r="O428" s="539"/>
      <c r="P428" s="278"/>
      <c r="Q428" s="539"/>
      <c r="R428" s="539"/>
      <c r="S428" s="539"/>
      <c r="T428" s="539"/>
      <c r="U428" s="539"/>
      <c r="V428" s="539"/>
      <c r="W428" s="539"/>
      <c r="X428" s="539"/>
      <c r="Y428" s="539"/>
      <c r="Z428" s="539"/>
      <c r="AA428" s="539"/>
      <c r="AB428" s="539"/>
      <c r="AC428" s="539"/>
      <c r="AD428" s="43"/>
      <c r="AE428" s="43"/>
      <c r="AF428" s="238"/>
      <c r="AG428" s="43"/>
      <c r="AH428" s="43"/>
      <c r="AI428" s="43"/>
      <c r="AJ428" s="43"/>
      <c r="AK428" s="43"/>
      <c r="AL428" s="45"/>
      <c r="AM428" s="197">
        <f>IF(AQ428=1,SUM(H428:I428,L428:O428,R428:U428,X428:AA428,AD428:AG428,AI428:AK428),
IF(AQ428=2,SUM(H428:K428,N428:Q428,T428:W428,Z428:AC428,AF428:AI428),
IF(AQ428=3,SUM(J428:M428,P428:S428,V428:Y428,AB428:AE428,AH428:AK428),SUM(Таблица1[[#This Row],[1]:[31]])-Таблица1[[#This Row],[Столбец1]])))</f>
        <v>0</v>
      </c>
      <c r="AN428" s="269">
        <f t="array" ref="AN428">IF(AQ428=1,SUM(J428:K428,P428:Q428,V428:W428,AB428:AC428,AH428:AI428),
IF(AQ428=2,SUM(L428:M428,R428:S428,X428:Y428,AD428:AE428),
IF(AQ428=3,SUM(H428:I428,N428:O428,T428:U428,Z428:AA428,AF428:AG428),
SUM(IFERROR(WEEKDAY($H$2:$AL$2,2)&gt;5,)*H428:AL428))))</f>
        <v>0</v>
      </c>
      <c r="AO428" s="271" t="b">
        <f>IF(AR428&lt;=3,(IF((G428="5/24"),((база!$M$6*Таблица1[[#This Row],[сумма]]*Таблица1[[#This Row],[коэф]])),
IF((G428="4/24"),((база!$M$5*Таблица1[[#This Row],[сумма]]*Таблица1[[#This Row],[коэф]])),
IF((G428="3/24"),((база!$M$4*Таблица1[[#This Row],[сумма]]*Таблица1[[#This Row],[коэф]])),
IF((G428="5/16"),((база!$L$6*Таблица1[[#This Row],[сумма]]*Таблица1[[#This Row],[коэф]])),
IF((G428="4/16"),((база!$L$5*Таблица1[[#This Row],[сумма]]*Таблица1[[#This Row],[коэф]])),
IF((G428="3/16"),((база!$L$4*Таблица1[[#This Row],[сумма]]*Таблица1[[#This Row],[коэф]])),
IF((G428="4/4"),((база!$I$5*Таблица1[[#This Row],[сумма]]*Таблица1[[#This Row],[коэф]])),
IF(OR(G428="2/4",G428="3/4"),((база!$I$4*Таблица1[[#This Row],[сумма]]*Таблица1[[#This Row],[коэф]])),
IF((G428="5/8"),((база!$J$6*Таблица1[[#This Row],[сумма]]*Таблица1[[#This Row],[коэф]])),
IF((G428="4/8"),((база!$J$5*Таблица1[[#This Row],[сумма]]*Таблица1[[#This Row],[коэф]])),
IF(OR(G428="3/8",G428="2/8"),((база!$J$4*Таблица1[[#This Row],[сумма]]*Таблица1[[#This Row],[коэф]])))))))))))))),
(IF((G428="5/24"),((база!$M$6*Таблица1[[#This Row],[сумма]]*Таблица1[[#This Row],[коэф]])),
IF(OR(G428="4/24",G428="3/24"),((база!$M$5*Таблица1[[#This Row],[сумма]]*Таблица1[[#This Row],[коэф]])),
IF((G428="5/16"),((база!$L$6*Таблица1[[#This Row],[сумма]]*Таблица1[[#This Row],[коэф]])),
IF(OR(G428="4/16",G428="3/16"),((база!$L$5*Таблица1[[#This Row],[сумма]]*Таблица1[[#This Row],[коэф]])),
IF(OR(G428="2/4",G428="3/4",G428="4/4"),((база!$I$5*Таблица1[[#This Row],[сумма]]*Таблица1[[#This Row],[коэф]])),
IF((G428="5/8"),((база!$J$6*Таблица1[[#This Row],[сумма]]*Таблица1[[#This Row],[коэф]])),
IF(OR(G428="4/8",G428="3/8",G428="2/8"),((база!$J$5*Таблица1[[#This Row],[сумма]]*Таблица1[[#This Row],[коэф]])))))))))))</f>
        <v>0</v>
      </c>
      <c r="AP428" s="696" t="b">
        <f>IF(AR428&lt;=3,(IF((G428="5/24"),((база!$M$6*2*Таблица1[[#This Row],[Столбец1]]*Таблица1[[#This Row],[коэф]])),
IF((G428="4/24"),((база!$M$5*2*Таблица1[[#This Row],[Столбец1]]*Таблица1[[#This Row],[коэф]])),
IF((G428="3/24"),((база!$M$4*2*Таблица1[[#This Row],[Столбец1]]*Таблица1[[#This Row],[коэф]])),
IF((G428="5/16"),((база!$L$6*2*Таблица1[[#This Row],[Столбец1]]*Таблица1[[#This Row],[коэф]])),
IF((G428="4/16"),((база!$L$5*2*Таблица1[[#This Row],[Столбец1]]*Таблица1[[#This Row],[коэф]])),
IF((G428="3/16"),((база!$L$4*2*Таблица1[[#This Row],[Столбец1]]*Таблица1[[#This Row],[коэф]])),
IF((G428="4/4"),((база!$I$5*2*Таблица1[[#This Row],[Столбец1]]*Таблица1[[#This Row],[коэф]])),
IF(OR(G428="2/4",G428="3/4"),((база!$I$4*2*Таблица1[[#This Row],[Столбец1]]*Таблица1[[#This Row],[коэф]])),
IF((G428="5/8"),((база!$J$6*2*Таблица1[[#This Row],[Столбец1]]*Таблица1[[#This Row],[коэф]])),
IF((G428="4/8"),((база!$J$5*2*Таблица1[[#This Row],[Столбец1]]*Таблица1[[#This Row],[коэф]])),
IF(OR(G428="3/8",G428="2/8"),((база!$J$4*2*Таблица1[[#This Row],[Столбец1]]*Таблица1[[#This Row],[коэф]])))))))))))))),
(IF((G428="5/24"),((база!$M$6*2*Таблица1[[#This Row],[Столбец1]]*Таблица1[[#This Row],[коэф]])),
IF(OR(G428="4/24",G428="3/24"),((база!$M$5*2*Таблица1[[#This Row],[Столбец1]]*Таблица1[[#This Row],[коэф]])),
IF((G428="5/16"),((база!$L$6*2*Таблица1[[#This Row],[Столбец1]]*Таблица1[[#This Row],[коэф]])),
IF(OR(G428="4/16",G428="3/16"),((база!$L$5*2*Таблица1[[#This Row],[Столбец1]]*Таблица1[[#This Row],[коэф]])),
IF(OR(G428="2/4",G428="3/4",G428="4/4"),((база!$I$5*2*Таблица1[[#This Row],[Столбец1]]*Таблица1[[#This Row],[коэф]])),
IF((G428="5/8"),((база!$J$6*2*Таблица1[[#This Row],[Столбец1]]*Таблица1[[#This Row],[коэф]])),
IF(OR(G428="4/8",G428="3/8",G428="2/8"),((база!$J$5*2*Таблица1[[#This Row],[Столбец1]]*Таблица1[[#This Row],[коэф]])))))))))))</f>
        <v>0</v>
      </c>
      <c r="AQ428" s="678" t="str">
        <f>IFERROR(INDEX(база!T:T, MATCH(F428,база!Q:Q,0)),"")</f>
        <v/>
      </c>
      <c r="AR428" s="193">
        <f>IFERROR(INDEX(база!D:D, MATCH(F428,база!B:B,0)),"")</f>
        <v>0</v>
      </c>
    </row>
    <row r="429" spans="1:44" ht="15">
      <c r="A429" s="59"/>
      <c r="B429" s="215"/>
      <c r="C429" s="277"/>
      <c r="D429" s="55"/>
      <c r="E429" s="196"/>
      <c r="F429" s="651"/>
      <c r="G429" s="42"/>
      <c r="H429" s="539"/>
      <c r="I429" s="539"/>
      <c r="J429" s="539"/>
      <c r="K429" s="539"/>
      <c r="L429" s="539"/>
      <c r="M429" s="539"/>
      <c r="N429" s="539"/>
      <c r="O429" s="539"/>
      <c r="P429" s="278"/>
      <c r="Q429" s="539"/>
      <c r="R429" s="539"/>
      <c r="S429" s="539"/>
      <c r="T429" s="539"/>
      <c r="U429" s="539"/>
      <c r="V429" s="539"/>
      <c r="W429" s="539"/>
      <c r="X429" s="539"/>
      <c r="Y429" s="539"/>
      <c r="Z429" s="539"/>
      <c r="AA429" s="539"/>
      <c r="AB429" s="539"/>
      <c r="AC429" s="539"/>
      <c r="AD429" s="539"/>
      <c r="AE429" s="539"/>
      <c r="AF429" s="238"/>
      <c r="AG429" s="43"/>
      <c r="AH429" s="43"/>
      <c r="AI429" s="238"/>
      <c r="AJ429" s="238"/>
      <c r="AK429" s="238"/>
      <c r="AL429" s="238"/>
      <c r="AM429" s="197">
        <f>IF(AQ429=1,SUM(H429:I429,L429:O429,R429:U429,X429:AA429,AD429:AG429,AI429:AK429),
IF(AQ429=2,SUM(H429:K429,N429:Q429,T429:W429,Z429:AC429,AF429:AI429),
IF(AQ429=3,SUM(J429:M429,P429:S429,V429:Y429,AB429:AE429,AH429:AK429),SUM(Таблица1[[#This Row],[1]:[31]])-Таблица1[[#This Row],[Столбец1]])))</f>
        <v>0</v>
      </c>
      <c r="AN429" s="269">
        <f t="array" ref="AN429">IF(AQ429=1,SUM(J429:K429,P429:Q429,V429:W429,AB429:AC429,AH429:AI429),
IF(AQ429=2,SUM(L429:M429,R429:S429,X429:Y429,AD429:AE429),
IF(AQ429=3,SUM(H429:I429,N429:O429,T429:U429,Z429:AA429,AF429:AG429),
SUM(IFERROR(WEEKDAY($H$2:$AL$2,2)&gt;5,)*H429:AL429))))</f>
        <v>0</v>
      </c>
      <c r="AO429" s="271" t="b">
        <f>IF(AR429&lt;=3,(IF((G429="5/24"),((база!$M$6*Таблица1[[#This Row],[сумма]]*Таблица1[[#This Row],[коэф]])),
IF((G429="4/24"),((база!$M$5*Таблица1[[#This Row],[сумма]]*Таблица1[[#This Row],[коэф]])),
IF((G429="3/24"),((база!$M$4*Таблица1[[#This Row],[сумма]]*Таблица1[[#This Row],[коэф]])),
IF((G429="5/16"),((база!$L$6*Таблица1[[#This Row],[сумма]]*Таблица1[[#This Row],[коэф]])),
IF((G429="4/16"),((база!$L$5*Таблица1[[#This Row],[сумма]]*Таблица1[[#This Row],[коэф]])),
IF((G429="3/16"),((база!$L$4*Таблица1[[#This Row],[сумма]]*Таблица1[[#This Row],[коэф]])),
IF((G429="4/4"),((база!$I$5*Таблица1[[#This Row],[сумма]]*Таблица1[[#This Row],[коэф]])),
IF(OR(G429="2/4",G429="3/4"),((база!$I$4*Таблица1[[#This Row],[сумма]]*Таблица1[[#This Row],[коэф]])),
IF((G429="5/8"),((база!$J$6*Таблица1[[#This Row],[сумма]]*Таблица1[[#This Row],[коэф]])),
IF((G429="4/8"),((база!$J$5*Таблица1[[#This Row],[сумма]]*Таблица1[[#This Row],[коэф]])),
IF(OR(G429="3/8",G429="2/8"),((база!$J$4*Таблица1[[#This Row],[сумма]]*Таблица1[[#This Row],[коэф]])))))))))))))),
(IF((G429="5/24"),((база!$M$6*Таблица1[[#This Row],[сумма]]*Таблица1[[#This Row],[коэф]])),
IF(OR(G429="4/24",G429="3/24"),((база!$M$5*Таблица1[[#This Row],[сумма]]*Таблица1[[#This Row],[коэф]])),
IF((G429="5/16"),((база!$L$6*Таблица1[[#This Row],[сумма]]*Таблица1[[#This Row],[коэф]])),
IF(OR(G429="4/16",G429="3/16"),((база!$L$5*Таблица1[[#This Row],[сумма]]*Таблица1[[#This Row],[коэф]])),
IF(OR(G429="2/4",G429="3/4",G429="4/4"),((база!$I$5*Таблица1[[#This Row],[сумма]]*Таблица1[[#This Row],[коэф]])),
IF((G429="5/8"),((база!$J$6*Таблица1[[#This Row],[сумма]]*Таблица1[[#This Row],[коэф]])),
IF(OR(G429="4/8",G429="3/8",G429="2/8"),((база!$J$5*Таблица1[[#This Row],[сумма]]*Таблица1[[#This Row],[коэф]])))))))))))</f>
        <v>0</v>
      </c>
      <c r="AP429" s="696" t="b">
        <f>IF(AR429&lt;=3,(IF((G429="5/24"),((база!$M$6*2*Таблица1[[#This Row],[Столбец1]]*Таблица1[[#This Row],[коэф]])),
IF((G429="4/24"),((база!$M$5*2*Таблица1[[#This Row],[Столбец1]]*Таблица1[[#This Row],[коэф]])),
IF((G429="3/24"),((база!$M$4*2*Таблица1[[#This Row],[Столбец1]]*Таблица1[[#This Row],[коэф]])),
IF((G429="5/16"),((база!$L$6*2*Таблица1[[#This Row],[Столбец1]]*Таблица1[[#This Row],[коэф]])),
IF((G429="4/16"),((база!$L$5*2*Таблица1[[#This Row],[Столбец1]]*Таблица1[[#This Row],[коэф]])),
IF((G429="3/16"),((база!$L$4*2*Таблица1[[#This Row],[Столбец1]]*Таблица1[[#This Row],[коэф]])),
IF((G429="4/4"),((база!$I$5*2*Таблица1[[#This Row],[Столбец1]]*Таблица1[[#This Row],[коэф]])),
IF(OR(G429="2/4",G429="3/4"),((база!$I$4*2*Таблица1[[#This Row],[Столбец1]]*Таблица1[[#This Row],[коэф]])),
IF((G429="5/8"),((база!$J$6*2*Таблица1[[#This Row],[Столбец1]]*Таблица1[[#This Row],[коэф]])),
IF((G429="4/8"),((база!$J$5*2*Таблица1[[#This Row],[Столбец1]]*Таблица1[[#This Row],[коэф]])),
IF(OR(G429="3/8",G429="2/8"),((база!$J$4*2*Таблица1[[#This Row],[Столбец1]]*Таблица1[[#This Row],[коэф]])))))))))))))),
(IF((G429="5/24"),((база!$M$6*2*Таблица1[[#This Row],[Столбец1]]*Таблица1[[#This Row],[коэф]])),
IF(OR(G429="4/24",G429="3/24"),((база!$M$5*2*Таблица1[[#This Row],[Столбец1]]*Таблица1[[#This Row],[коэф]])),
IF((G429="5/16"),((база!$L$6*2*Таблица1[[#This Row],[Столбец1]]*Таблица1[[#This Row],[коэф]])),
IF(OR(G429="4/16",G429="3/16"),((база!$L$5*2*Таблица1[[#This Row],[Столбец1]]*Таблица1[[#This Row],[коэф]])),
IF(OR(G429="2/4",G429="3/4",G429="4/4"),((база!$I$5*2*Таблица1[[#This Row],[Столбец1]]*Таблица1[[#This Row],[коэф]])),
IF((G429="5/8"),((база!$J$6*2*Таблица1[[#This Row],[Столбец1]]*Таблица1[[#This Row],[коэф]])),
IF(OR(G429="4/8",G429="3/8",G429="2/8"),((база!$J$5*2*Таблица1[[#This Row],[Столбец1]]*Таблица1[[#This Row],[коэф]])))))))))))</f>
        <v>0</v>
      </c>
      <c r="AQ429" s="678" t="str">
        <f>IFERROR(INDEX(база!T:T, MATCH(F429,база!Q:Q,0)),"")</f>
        <v/>
      </c>
      <c r="AR429" s="193">
        <f>IFERROR(INDEX(база!D:D, MATCH(F429,база!B:B,0)),"")</f>
        <v>0</v>
      </c>
    </row>
    <row r="430" spans="1:44" ht="15">
      <c r="A430" s="59"/>
      <c r="B430" s="215"/>
      <c r="C430" s="277"/>
      <c r="D430" s="55"/>
      <c r="E430" s="196"/>
      <c r="F430" s="651"/>
      <c r="G430" s="42"/>
      <c r="H430" s="539"/>
      <c r="I430" s="539"/>
      <c r="J430" s="539"/>
      <c r="K430" s="539"/>
      <c r="L430" s="539"/>
      <c r="M430" s="539"/>
      <c r="N430" s="539"/>
      <c r="O430" s="539"/>
      <c r="P430" s="278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43"/>
      <c r="AE430" s="43"/>
      <c r="AF430" s="238"/>
      <c r="AG430" s="43"/>
      <c r="AH430" s="43"/>
      <c r="AI430" s="43"/>
      <c r="AJ430" s="43"/>
      <c r="AK430" s="43"/>
      <c r="AL430" s="45"/>
      <c r="AM430" s="197">
        <f>IF(AQ430=1,SUM(H430:I430,L430:O430,R430:U430,X430:AA430,AD430:AG430,AI430:AK430),
IF(AQ430=2,SUM(H430:K430,N430:Q430,T430:W430,Z430:AC430,AF430:AI430),
IF(AQ430=3,SUM(J430:M430,P430:S430,V430:Y430,AB430:AE430,AH430:AK430),SUM(Таблица1[[#This Row],[1]:[31]])-Таблица1[[#This Row],[Столбец1]])))</f>
        <v>0</v>
      </c>
      <c r="AN430" s="269">
        <f t="array" ref="AN430">IF(AQ430=1,SUM(J430:K430,P430:Q430,V430:W430,AB430:AC430,AH430:AI430),
IF(AQ430=2,SUM(L430:M430,R430:S430,X430:Y430,AD430:AE430),
IF(AQ430=3,SUM(H430:I430,N430:O430,T430:U430,Z430:AA430,AF430:AG430),
SUM(IFERROR(WEEKDAY($H$2:$AL$2,2)&gt;5,)*H430:AL430))))</f>
        <v>0</v>
      </c>
      <c r="AO430" s="271" t="b">
        <f>IF(AR430&lt;=3,(IF((G430="5/24"),((база!$M$6*Таблица1[[#This Row],[сумма]]*Таблица1[[#This Row],[коэф]])),
IF((G430="4/24"),((база!$M$5*Таблица1[[#This Row],[сумма]]*Таблица1[[#This Row],[коэф]])),
IF((G430="3/24"),((база!$M$4*Таблица1[[#This Row],[сумма]]*Таблица1[[#This Row],[коэф]])),
IF((G430="5/16"),((база!$L$6*Таблица1[[#This Row],[сумма]]*Таблица1[[#This Row],[коэф]])),
IF((G430="4/16"),((база!$L$5*Таблица1[[#This Row],[сумма]]*Таблица1[[#This Row],[коэф]])),
IF((G430="3/16"),((база!$L$4*Таблица1[[#This Row],[сумма]]*Таблица1[[#This Row],[коэф]])),
IF((G430="4/4"),((база!$I$5*Таблица1[[#This Row],[сумма]]*Таблица1[[#This Row],[коэф]])),
IF(OR(G430="2/4",G430="3/4"),((база!$I$4*Таблица1[[#This Row],[сумма]]*Таблица1[[#This Row],[коэф]])),
IF((G430="5/8"),((база!$J$6*Таблица1[[#This Row],[сумма]]*Таблица1[[#This Row],[коэф]])),
IF((G430="4/8"),((база!$J$5*Таблица1[[#This Row],[сумма]]*Таблица1[[#This Row],[коэф]])),
IF(OR(G430="3/8",G430="2/8"),((база!$J$4*Таблица1[[#This Row],[сумма]]*Таблица1[[#This Row],[коэф]])))))))))))))),
(IF((G430="5/24"),((база!$M$6*Таблица1[[#This Row],[сумма]]*Таблица1[[#This Row],[коэф]])),
IF(OR(G430="4/24",G430="3/24"),((база!$M$5*Таблица1[[#This Row],[сумма]]*Таблица1[[#This Row],[коэф]])),
IF((G430="5/16"),((база!$L$6*Таблица1[[#This Row],[сумма]]*Таблица1[[#This Row],[коэф]])),
IF(OR(G430="4/16",G430="3/16"),((база!$L$5*Таблица1[[#This Row],[сумма]]*Таблица1[[#This Row],[коэф]])),
IF(OR(G430="2/4",G430="3/4",G430="4/4"),((база!$I$5*Таблица1[[#This Row],[сумма]]*Таблица1[[#This Row],[коэф]])),
IF((G430="5/8"),((база!$J$6*Таблица1[[#This Row],[сумма]]*Таблица1[[#This Row],[коэф]])),
IF(OR(G430="4/8",G430="3/8",G430="2/8"),((база!$J$5*Таблица1[[#This Row],[сумма]]*Таблица1[[#This Row],[коэф]])))))))))))</f>
        <v>0</v>
      </c>
      <c r="AP430" s="696" t="b">
        <f>IF(AR430&lt;=3,(IF((G430="5/24"),((база!$M$6*2*Таблица1[[#This Row],[Столбец1]]*Таблица1[[#This Row],[коэф]])),
IF((G430="4/24"),((база!$M$5*2*Таблица1[[#This Row],[Столбец1]]*Таблица1[[#This Row],[коэф]])),
IF((G430="3/24"),((база!$M$4*2*Таблица1[[#This Row],[Столбец1]]*Таблица1[[#This Row],[коэф]])),
IF((G430="5/16"),((база!$L$6*2*Таблица1[[#This Row],[Столбец1]]*Таблица1[[#This Row],[коэф]])),
IF((G430="4/16"),((база!$L$5*2*Таблица1[[#This Row],[Столбец1]]*Таблица1[[#This Row],[коэф]])),
IF((G430="3/16"),((база!$L$4*2*Таблица1[[#This Row],[Столбец1]]*Таблица1[[#This Row],[коэф]])),
IF((G430="4/4"),((база!$I$5*2*Таблица1[[#This Row],[Столбец1]]*Таблица1[[#This Row],[коэф]])),
IF(OR(G430="2/4",G430="3/4"),((база!$I$4*2*Таблица1[[#This Row],[Столбец1]]*Таблица1[[#This Row],[коэф]])),
IF((G430="5/8"),((база!$J$6*2*Таблица1[[#This Row],[Столбец1]]*Таблица1[[#This Row],[коэф]])),
IF((G430="4/8"),((база!$J$5*2*Таблица1[[#This Row],[Столбец1]]*Таблица1[[#This Row],[коэф]])),
IF(OR(G430="3/8",G430="2/8"),((база!$J$4*2*Таблица1[[#This Row],[Столбец1]]*Таблица1[[#This Row],[коэф]])))))))))))))),
(IF((G430="5/24"),((база!$M$6*2*Таблица1[[#This Row],[Столбец1]]*Таблица1[[#This Row],[коэф]])),
IF(OR(G430="4/24",G430="3/24"),((база!$M$5*2*Таблица1[[#This Row],[Столбец1]]*Таблица1[[#This Row],[коэф]])),
IF((G430="5/16"),((база!$L$6*2*Таблица1[[#This Row],[Столбец1]]*Таблица1[[#This Row],[коэф]])),
IF(OR(G430="4/16",G430="3/16"),((база!$L$5*2*Таблица1[[#This Row],[Столбец1]]*Таблица1[[#This Row],[коэф]])),
IF(OR(G430="2/4",G430="3/4",G430="4/4"),((база!$I$5*2*Таблица1[[#This Row],[Столбец1]]*Таблица1[[#This Row],[коэф]])),
IF((G430="5/8"),((база!$J$6*2*Таблица1[[#This Row],[Столбец1]]*Таблица1[[#This Row],[коэф]])),
IF(OR(G430="4/8",G430="3/8",G430="2/8"),((база!$J$5*2*Таблица1[[#This Row],[Столбец1]]*Таблица1[[#This Row],[коэф]])))))))))))</f>
        <v>0</v>
      </c>
      <c r="AQ430" s="678" t="str">
        <f>IFERROR(INDEX(база!T:T, MATCH(F430,база!Q:Q,0)),"")</f>
        <v/>
      </c>
      <c r="AR430" s="193">
        <f>IFERROR(INDEX(база!D:D, MATCH(F430,база!B:B,0)),"")</f>
        <v>0</v>
      </c>
    </row>
    <row r="431" spans="1:44" ht="15">
      <c r="A431" s="59"/>
      <c r="B431" s="215"/>
      <c r="C431" s="277"/>
      <c r="D431" s="55"/>
      <c r="E431" s="196"/>
      <c r="F431" s="651"/>
      <c r="G431" s="42"/>
      <c r="H431" s="539"/>
      <c r="I431" s="539"/>
      <c r="J431" s="539"/>
      <c r="K431" s="539"/>
      <c r="L431" s="539"/>
      <c r="M431" s="539"/>
      <c r="N431" s="539"/>
      <c r="O431" s="539"/>
      <c r="P431" s="278"/>
      <c r="Q431" s="539"/>
      <c r="R431" s="539"/>
      <c r="S431" s="539"/>
      <c r="T431" s="539"/>
      <c r="U431" s="539"/>
      <c r="V431" s="539"/>
      <c r="W431" s="539"/>
      <c r="X431" s="539"/>
      <c r="Y431" s="539"/>
      <c r="Z431" s="539"/>
      <c r="AA431" s="539"/>
      <c r="AB431" s="539"/>
      <c r="AC431" s="539"/>
      <c r="AD431" s="43"/>
      <c r="AE431" s="43"/>
      <c r="AF431" s="238"/>
      <c r="AG431" s="43"/>
      <c r="AH431" s="43"/>
      <c r="AI431" s="238"/>
      <c r="AJ431" s="238"/>
      <c r="AK431" s="238"/>
      <c r="AL431" s="238"/>
      <c r="AM431" s="197">
        <f>IF(AQ431=1,SUM(H431:I431,L431:O431,R431:U431,X431:AA431,AD431:AG431,AI431:AK431),
IF(AQ431=2,SUM(H431:K431,N431:Q431,T431:W431,Z431:AC431,AF431:AI431),
IF(AQ431=3,SUM(J431:M431,P431:S431,V431:Y431,AB431:AE431,AH431:AK431),SUM(Таблица1[[#This Row],[1]:[31]])-Таблица1[[#This Row],[Столбец1]])))</f>
        <v>0</v>
      </c>
      <c r="AN431" s="269">
        <f t="array" ref="AN431">IF(AQ431=1,SUM(J431:K431,P431:Q431,V431:W431,AB431:AC431,AH431:AI431),
IF(AQ431=2,SUM(L431:M431,R431:S431,X431:Y431,AD431:AE431),
IF(AQ431=3,SUM(H431:I431,N431:O431,T431:U431,Z431:AA431,AF431:AG431),
SUM(IFERROR(WEEKDAY($H$2:$AL$2,2)&gt;5,)*H431:AL431))))</f>
        <v>0</v>
      </c>
      <c r="AO431" s="271" t="b">
        <f>IF(AR431&lt;=3,(IF((G431="5/24"),((база!$M$6*Таблица1[[#This Row],[сумма]]*Таблица1[[#This Row],[коэф]])),
IF((G431="4/24"),((база!$M$5*Таблица1[[#This Row],[сумма]]*Таблица1[[#This Row],[коэф]])),
IF((G431="3/24"),((база!$M$4*Таблица1[[#This Row],[сумма]]*Таблица1[[#This Row],[коэф]])),
IF((G431="5/16"),((база!$L$6*Таблица1[[#This Row],[сумма]]*Таблица1[[#This Row],[коэф]])),
IF((G431="4/16"),((база!$L$5*Таблица1[[#This Row],[сумма]]*Таблица1[[#This Row],[коэф]])),
IF((G431="3/16"),((база!$L$4*Таблица1[[#This Row],[сумма]]*Таблица1[[#This Row],[коэф]])),
IF((G431="4/4"),((база!$I$5*Таблица1[[#This Row],[сумма]]*Таблица1[[#This Row],[коэф]])),
IF(OR(G431="2/4",G431="3/4"),((база!$I$4*Таблица1[[#This Row],[сумма]]*Таблица1[[#This Row],[коэф]])),
IF((G431="5/8"),((база!$J$6*Таблица1[[#This Row],[сумма]]*Таблица1[[#This Row],[коэф]])),
IF((G431="4/8"),((база!$J$5*Таблица1[[#This Row],[сумма]]*Таблица1[[#This Row],[коэф]])),
IF(OR(G431="3/8",G431="2/8"),((база!$J$4*Таблица1[[#This Row],[сумма]]*Таблица1[[#This Row],[коэф]])))))))))))))),
(IF((G431="5/24"),((база!$M$6*Таблица1[[#This Row],[сумма]]*Таблица1[[#This Row],[коэф]])),
IF(OR(G431="4/24",G431="3/24"),((база!$M$5*Таблица1[[#This Row],[сумма]]*Таблица1[[#This Row],[коэф]])),
IF((G431="5/16"),((база!$L$6*Таблица1[[#This Row],[сумма]]*Таблица1[[#This Row],[коэф]])),
IF(OR(G431="4/16",G431="3/16"),((база!$L$5*Таблица1[[#This Row],[сумма]]*Таблица1[[#This Row],[коэф]])),
IF(OR(G431="2/4",G431="3/4",G431="4/4"),((база!$I$5*Таблица1[[#This Row],[сумма]]*Таблица1[[#This Row],[коэф]])),
IF((G431="5/8"),((база!$J$6*Таблица1[[#This Row],[сумма]]*Таблица1[[#This Row],[коэф]])),
IF(OR(G431="4/8",G431="3/8",G431="2/8"),((база!$J$5*Таблица1[[#This Row],[сумма]]*Таблица1[[#This Row],[коэф]])))))))))))</f>
        <v>0</v>
      </c>
      <c r="AP431" s="696" t="b">
        <f>IF(AR431&lt;=3,(IF((G431="5/24"),((база!$M$6*2*Таблица1[[#This Row],[Столбец1]]*Таблица1[[#This Row],[коэф]])),
IF((G431="4/24"),((база!$M$5*2*Таблица1[[#This Row],[Столбец1]]*Таблица1[[#This Row],[коэф]])),
IF((G431="3/24"),((база!$M$4*2*Таблица1[[#This Row],[Столбец1]]*Таблица1[[#This Row],[коэф]])),
IF((G431="5/16"),((база!$L$6*2*Таблица1[[#This Row],[Столбец1]]*Таблица1[[#This Row],[коэф]])),
IF((G431="4/16"),((база!$L$5*2*Таблица1[[#This Row],[Столбец1]]*Таблица1[[#This Row],[коэф]])),
IF((G431="3/16"),((база!$L$4*2*Таблица1[[#This Row],[Столбец1]]*Таблица1[[#This Row],[коэф]])),
IF((G431="4/4"),((база!$I$5*2*Таблица1[[#This Row],[Столбец1]]*Таблица1[[#This Row],[коэф]])),
IF(OR(G431="2/4",G431="3/4"),((база!$I$4*2*Таблица1[[#This Row],[Столбец1]]*Таблица1[[#This Row],[коэф]])),
IF((G431="5/8"),((база!$J$6*2*Таблица1[[#This Row],[Столбец1]]*Таблица1[[#This Row],[коэф]])),
IF((G431="4/8"),((база!$J$5*2*Таблица1[[#This Row],[Столбец1]]*Таблица1[[#This Row],[коэф]])),
IF(OR(G431="3/8",G431="2/8"),((база!$J$4*2*Таблица1[[#This Row],[Столбец1]]*Таблица1[[#This Row],[коэф]])))))))))))))),
(IF((G431="5/24"),((база!$M$6*2*Таблица1[[#This Row],[Столбец1]]*Таблица1[[#This Row],[коэф]])),
IF(OR(G431="4/24",G431="3/24"),((база!$M$5*2*Таблица1[[#This Row],[Столбец1]]*Таблица1[[#This Row],[коэф]])),
IF((G431="5/16"),((база!$L$6*2*Таблица1[[#This Row],[Столбец1]]*Таблица1[[#This Row],[коэф]])),
IF(OR(G431="4/16",G431="3/16"),((база!$L$5*2*Таблица1[[#This Row],[Столбец1]]*Таблица1[[#This Row],[коэф]])),
IF(OR(G431="2/4",G431="3/4",G431="4/4"),((база!$I$5*2*Таблица1[[#This Row],[Столбец1]]*Таблица1[[#This Row],[коэф]])),
IF((G431="5/8"),((база!$J$6*2*Таблица1[[#This Row],[Столбец1]]*Таблица1[[#This Row],[коэф]])),
IF(OR(G431="4/8",G431="3/8",G431="2/8"),((база!$J$5*2*Таблица1[[#This Row],[Столбец1]]*Таблица1[[#This Row],[коэф]])))))))))))</f>
        <v>0</v>
      </c>
      <c r="AQ431" s="678" t="str">
        <f>IFERROR(INDEX(база!T:T, MATCH(F431,база!Q:Q,0)),"")</f>
        <v/>
      </c>
      <c r="AR431" s="193">
        <f>IFERROR(INDEX(база!D:D, MATCH(F431,база!B:B,0)),"")</f>
        <v>0</v>
      </c>
    </row>
    <row r="432" spans="1:44" ht="15">
      <c r="A432" s="59"/>
      <c r="B432" s="215"/>
      <c r="C432" s="54"/>
      <c r="D432" s="55"/>
      <c r="E432" s="196"/>
      <c r="F432" s="651"/>
      <c r="G432" s="42"/>
      <c r="H432" s="539"/>
      <c r="I432" s="539"/>
      <c r="J432" s="539"/>
      <c r="K432" s="539"/>
      <c r="L432" s="539"/>
      <c r="M432" s="539"/>
      <c r="N432" s="539"/>
      <c r="O432" s="539"/>
      <c r="P432" s="278"/>
      <c r="Q432" s="539"/>
      <c r="R432" s="539"/>
      <c r="S432" s="539"/>
      <c r="T432" s="539"/>
      <c r="U432" s="539"/>
      <c r="V432" s="539"/>
      <c r="W432" s="539"/>
      <c r="X432" s="539"/>
      <c r="Y432" s="539"/>
      <c r="Z432" s="539"/>
      <c r="AA432" s="539"/>
      <c r="AB432" s="539"/>
      <c r="AC432" s="539"/>
      <c r="AD432" s="43"/>
      <c r="AE432" s="43"/>
      <c r="AF432" s="238"/>
      <c r="AG432" s="43"/>
      <c r="AH432" s="43"/>
      <c r="AI432" s="43"/>
      <c r="AJ432" s="43"/>
      <c r="AK432" s="43"/>
      <c r="AL432" s="45"/>
      <c r="AM432" s="197">
        <f>IF(AQ432=1,SUM(H432:I432,L432:O432,R432:U432,X432:AA432,AD432:AG432,AI432:AK432),
IF(AQ432=2,SUM(H432:K432,N432:Q432,T432:W432,Z432:AC432,AF432:AI432),
IF(AQ432=3,SUM(J432:M432,P432:S432,V432:Y432,AB432:AE432,AH432:AK432),SUM(Таблица1[[#This Row],[1]:[31]])-Таблица1[[#This Row],[Столбец1]])))</f>
        <v>0</v>
      </c>
      <c r="AN432" s="269">
        <f t="array" ref="AN432">IF(AQ432=1,SUM(J432:K432,P432:Q432,V432:W432,AB432:AC432,AH432:AI432),
IF(AQ432=2,SUM(L432:M432,R432:S432,X432:Y432,AD432:AE432),
IF(AQ432=3,SUM(H432:I432,N432:O432,T432:U432,Z432:AA432,AF432:AG432),
SUM(IFERROR(WEEKDAY($H$2:$AL$2,2)&gt;5,)*H432:AL432))))</f>
        <v>0</v>
      </c>
      <c r="AO432" s="271" t="b">
        <f>IF(AR432&lt;=3,(IF((G432="5/24"),((база!$M$6*Таблица1[[#This Row],[сумма]]*Таблица1[[#This Row],[коэф]])),
IF((G432="4/24"),((база!$M$5*Таблица1[[#This Row],[сумма]]*Таблица1[[#This Row],[коэф]])),
IF((G432="3/24"),((база!$M$4*Таблица1[[#This Row],[сумма]]*Таблица1[[#This Row],[коэф]])),
IF((G432="5/16"),((база!$L$6*Таблица1[[#This Row],[сумма]]*Таблица1[[#This Row],[коэф]])),
IF((G432="4/16"),((база!$L$5*Таблица1[[#This Row],[сумма]]*Таблица1[[#This Row],[коэф]])),
IF((G432="3/16"),((база!$L$4*Таблица1[[#This Row],[сумма]]*Таблица1[[#This Row],[коэф]])),
IF((G432="4/4"),((база!$I$5*Таблица1[[#This Row],[сумма]]*Таблица1[[#This Row],[коэф]])),
IF(OR(G432="2/4",G432="3/4"),((база!$I$4*Таблица1[[#This Row],[сумма]]*Таблица1[[#This Row],[коэф]])),
IF((G432="5/8"),((база!$J$6*Таблица1[[#This Row],[сумма]]*Таблица1[[#This Row],[коэф]])),
IF((G432="4/8"),((база!$J$5*Таблица1[[#This Row],[сумма]]*Таблица1[[#This Row],[коэф]])),
IF(OR(G432="3/8",G432="2/8"),((база!$J$4*Таблица1[[#This Row],[сумма]]*Таблица1[[#This Row],[коэф]])))))))))))))),
(IF((G432="5/24"),((база!$M$6*Таблица1[[#This Row],[сумма]]*Таблица1[[#This Row],[коэф]])),
IF(OR(G432="4/24",G432="3/24"),((база!$M$5*Таблица1[[#This Row],[сумма]]*Таблица1[[#This Row],[коэф]])),
IF((G432="5/16"),((база!$L$6*Таблица1[[#This Row],[сумма]]*Таблица1[[#This Row],[коэф]])),
IF(OR(G432="4/16",G432="3/16"),((база!$L$5*Таблица1[[#This Row],[сумма]]*Таблица1[[#This Row],[коэф]])),
IF(OR(G432="2/4",G432="3/4",G432="4/4"),((база!$I$5*Таблица1[[#This Row],[сумма]]*Таблица1[[#This Row],[коэф]])),
IF((G432="5/8"),((база!$J$6*Таблица1[[#This Row],[сумма]]*Таблица1[[#This Row],[коэф]])),
IF(OR(G432="4/8",G432="3/8",G432="2/8"),((база!$J$5*Таблица1[[#This Row],[сумма]]*Таблица1[[#This Row],[коэф]])))))))))))</f>
        <v>0</v>
      </c>
      <c r="AP432" s="696" t="b">
        <f>IF(AR432&lt;=3,(IF((G432="5/24"),((база!$M$6*2*Таблица1[[#This Row],[Столбец1]]*Таблица1[[#This Row],[коэф]])),
IF((G432="4/24"),((база!$M$5*2*Таблица1[[#This Row],[Столбец1]]*Таблица1[[#This Row],[коэф]])),
IF((G432="3/24"),((база!$M$4*2*Таблица1[[#This Row],[Столбец1]]*Таблица1[[#This Row],[коэф]])),
IF((G432="5/16"),((база!$L$6*2*Таблица1[[#This Row],[Столбец1]]*Таблица1[[#This Row],[коэф]])),
IF((G432="4/16"),((база!$L$5*2*Таблица1[[#This Row],[Столбец1]]*Таблица1[[#This Row],[коэф]])),
IF((G432="3/16"),((база!$L$4*2*Таблица1[[#This Row],[Столбец1]]*Таблица1[[#This Row],[коэф]])),
IF((G432="4/4"),((база!$I$5*2*Таблица1[[#This Row],[Столбец1]]*Таблица1[[#This Row],[коэф]])),
IF(OR(G432="2/4",G432="3/4"),((база!$I$4*2*Таблица1[[#This Row],[Столбец1]]*Таблица1[[#This Row],[коэф]])),
IF((G432="5/8"),((база!$J$6*2*Таблица1[[#This Row],[Столбец1]]*Таблица1[[#This Row],[коэф]])),
IF((G432="4/8"),((база!$J$5*2*Таблица1[[#This Row],[Столбец1]]*Таблица1[[#This Row],[коэф]])),
IF(OR(G432="3/8",G432="2/8"),((база!$J$4*2*Таблица1[[#This Row],[Столбец1]]*Таблица1[[#This Row],[коэф]])))))))))))))),
(IF((G432="5/24"),((база!$M$6*2*Таблица1[[#This Row],[Столбец1]]*Таблица1[[#This Row],[коэф]])),
IF(OR(G432="4/24",G432="3/24"),((база!$M$5*2*Таблица1[[#This Row],[Столбец1]]*Таблица1[[#This Row],[коэф]])),
IF((G432="5/16"),((база!$L$6*2*Таблица1[[#This Row],[Столбец1]]*Таблица1[[#This Row],[коэф]])),
IF(OR(G432="4/16",G432="3/16"),((база!$L$5*2*Таблица1[[#This Row],[Столбец1]]*Таблица1[[#This Row],[коэф]])),
IF(OR(G432="2/4",G432="3/4",G432="4/4"),((база!$I$5*2*Таблица1[[#This Row],[Столбец1]]*Таблица1[[#This Row],[коэф]])),
IF((G432="5/8"),((база!$J$6*2*Таблица1[[#This Row],[Столбец1]]*Таблица1[[#This Row],[коэф]])),
IF(OR(G432="4/8",G432="3/8",G432="2/8"),((база!$J$5*2*Таблица1[[#This Row],[Столбец1]]*Таблица1[[#This Row],[коэф]])))))))))))</f>
        <v>0</v>
      </c>
      <c r="AQ432" s="678" t="str">
        <f>IFERROR(INDEX(база!T:T, MATCH(F432,база!Q:Q,0)),"")</f>
        <v/>
      </c>
      <c r="AR432" s="193">
        <f>IFERROR(INDEX(база!D:D, MATCH(F432,база!B:B,0)),"")</f>
        <v>0</v>
      </c>
    </row>
    <row r="433" spans="1:44" ht="15">
      <c r="A433" s="59"/>
      <c r="B433" s="215"/>
      <c r="C433" s="277"/>
      <c r="D433" s="55"/>
      <c r="E433" s="196"/>
      <c r="F433" s="651"/>
      <c r="G433" s="42"/>
      <c r="H433" s="539"/>
      <c r="I433" s="539"/>
      <c r="J433" s="539"/>
      <c r="K433" s="539"/>
      <c r="L433" s="539"/>
      <c r="M433" s="539"/>
      <c r="N433" s="539"/>
      <c r="O433" s="539"/>
      <c r="P433" s="278"/>
      <c r="Q433" s="539"/>
      <c r="R433" s="539"/>
      <c r="S433" s="539"/>
      <c r="T433" s="539"/>
      <c r="U433" s="539"/>
      <c r="V433" s="539"/>
      <c r="W433" s="539"/>
      <c r="X433" s="539"/>
      <c r="Y433" s="539"/>
      <c r="Z433" s="539"/>
      <c r="AA433" s="539"/>
      <c r="AB433" s="539"/>
      <c r="AC433" s="539"/>
      <c r="AD433" s="43"/>
      <c r="AE433" s="43"/>
      <c r="AF433" s="238"/>
      <c r="AG433" s="43"/>
      <c r="AH433" s="43"/>
      <c r="AI433" s="238"/>
      <c r="AJ433" s="238"/>
      <c r="AK433" s="238"/>
      <c r="AL433" s="238"/>
      <c r="AM433" s="197">
        <f>IF(AQ433=1,SUM(H433:I433,L433:O433,R433:U433,X433:AA433,AD433:AG433,AI433:AK433),
IF(AQ433=2,SUM(H433:K433,N433:Q433,T433:W433,Z433:AC433,AF433:AI433),
IF(AQ433=3,SUM(J433:M433,P433:S433,V433:Y433,AB433:AE433,AH433:AK433),SUM(Таблица1[[#This Row],[1]:[31]])-Таблица1[[#This Row],[Столбец1]])))</f>
        <v>0</v>
      </c>
      <c r="AN433" s="269">
        <f t="array" ref="AN433">IF(AQ433=1,SUM(J433:K433,P433:Q433,V433:W433,AB433:AC433,AH433:AI433),
IF(AQ433=2,SUM(L433:M433,R433:S433,X433:Y433,AD433:AE433),
IF(AQ433=3,SUM(H433:I433,N433:O433,T433:U433,Z433:AA433,AF433:AG433),
SUM(IFERROR(WEEKDAY($H$2:$AL$2,2)&gt;5,)*H433:AL433))))</f>
        <v>0</v>
      </c>
      <c r="AO433" s="271" t="b">
        <f>IF(AR433&lt;=3,(IF((G433="5/24"),((база!$M$6*Таблица1[[#This Row],[сумма]]*Таблица1[[#This Row],[коэф]])),
IF((G433="4/24"),((база!$M$5*Таблица1[[#This Row],[сумма]]*Таблица1[[#This Row],[коэф]])),
IF((G433="3/24"),((база!$M$4*Таблица1[[#This Row],[сумма]]*Таблица1[[#This Row],[коэф]])),
IF((G433="5/16"),((база!$L$6*Таблица1[[#This Row],[сумма]]*Таблица1[[#This Row],[коэф]])),
IF((G433="4/16"),((база!$L$5*Таблица1[[#This Row],[сумма]]*Таблица1[[#This Row],[коэф]])),
IF((G433="3/16"),((база!$L$4*Таблица1[[#This Row],[сумма]]*Таблица1[[#This Row],[коэф]])),
IF((G433="4/4"),((база!$I$5*Таблица1[[#This Row],[сумма]]*Таблица1[[#This Row],[коэф]])),
IF(OR(G433="2/4",G433="3/4"),((база!$I$4*Таблица1[[#This Row],[сумма]]*Таблица1[[#This Row],[коэф]])),
IF((G433="5/8"),((база!$J$6*Таблица1[[#This Row],[сумма]]*Таблица1[[#This Row],[коэф]])),
IF((G433="4/8"),((база!$J$5*Таблица1[[#This Row],[сумма]]*Таблица1[[#This Row],[коэф]])),
IF(OR(G433="3/8",G433="2/8"),((база!$J$4*Таблица1[[#This Row],[сумма]]*Таблица1[[#This Row],[коэф]])))))))))))))),
(IF((G433="5/24"),((база!$M$6*Таблица1[[#This Row],[сумма]]*Таблица1[[#This Row],[коэф]])),
IF(OR(G433="4/24",G433="3/24"),((база!$M$5*Таблица1[[#This Row],[сумма]]*Таблица1[[#This Row],[коэф]])),
IF((G433="5/16"),((база!$L$6*Таблица1[[#This Row],[сумма]]*Таблица1[[#This Row],[коэф]])),
IF(OR(G433="4/16",G433="3/16"),((база!$L$5*Таблица1[[#This Row],[сумма]]*Таблица1[[#This Row],[коэф]])),
IF(OR(G433="2/4",G433="3/4",G433="4/4"),((база!$I$5*Таблица1[[#This Row],[сумма]]*Таблица1[[#This Row],[коэф]])),
IF((G433="5/8"),((база!$J$6*Таблица1[[#This Row],[сумма]]*Таблица1[[#This Row],[коэф]])),
IF(OR(G433="4/8",G433="3/8",G433="2/8"),((база!$J$5*Таблица1[[#This Row],[сумма]]*Таблица1[[#This Row],[коэф]])))))))))))</f>
        <v>0</v>
      </c>
      <c r="AP433" s="696" t="b">
        <f>IF(AR433&lt;=3,(IF((G433="5/24"),((база!$M$6*2*Таблица1[[#This Row],[Столбец1]]*Таблица1[[#This Row],[коэф]])),
IF((G433="4/24"),((база!$M$5*2*Таблица1[[#This Row],[Столбец1]]*Таблица1[[#This Row],[коэф]])),
IF((G433="3/24"),((база!$M$4*2*Таблица1[[#This Row],[Столбец1]]*Таблица1[[#This Row],[коэф]])),
IF((G433="5/16"),((база!$L$6*2*Таблица1[[#This Row],[Столбец1]]*Таблица1[[#This Row],[коэф]])),
IF((G433="4/16"),((база!$L$5*2*Таблица1[[#This Row],[Столбец1]]*Таблица1[[#This Row],[коэф]])),
IF((G433="3/16"),((база!$L$4*2*Таблица1[[#This Row],[Столбец1]]*Таблица1[[#This Row],[коэф]])),
IF((G433="4/4"),((база!$I$5*2*Таблица1[[#This Row],[Столбец1]]*Таблица1[[#This Row],[коэф]])),
IF(OR(G433="2/4",G433="3/4"),((база!$I$4*2*Таблица1[[#This Row],[Столбец1]]*Таблица1[[#This Row],[коэф]])),
IF((G433="5/8"),((база!$J$6*2*Таблица1[[#This Row],[Столбец1]]*Таблица1[[#This Row],[коэф]])),
IF((G433="4/8"),((база!$J$5*2*Таблица1[[#This Row],[Столбец1]]*Таблица1[[#This Row],[коэф]])),
IF(OR(G433="3/8",G433="2/8"),((база!$J$4*2*Таблица1[[#This Row],[Столбец1]]*Таблица1[[#This Row],[коэф]])))))))))))))),
(IF((G433="5/24"),((база!$M$6*2*Таблица1[[#This Row],[Столбец1]]*Таблица1[[#This Row],[коэф]])),
IF(OR(G433="4/24",G433="3/24"),((база!$M$5*2*Таблица1[[#This Row],[Столбец1]]*Таблица1[[#This Row],[коэф]])),
IF((G433="5/16"),((база!$L$6*2*Таблица1[[#This Row],[Столбец1]]*Таблица1[[#This Row],[коэф]])),
IF(OR(G433="4/16",G433="3/16"),((база!$L$5*2*Таблица1[[#This Row],[Столбец1]]*Таблица1[[#This Row],[коэф]])),
IF(OR(G433="2/4",G433="3/4",G433="4/4"),((база!$I$5*2*Таблица1[[#This Row],[Столбец1]]*Таблица1[[#This Row],[коэф]])),
IF((G433="5/8"),((база!$J$6*2*Таблица1[[#This Row],[Столбец1]]*Таблица1[[#This Row],[коэф]])),
IF(OR(G433="4/8",G433="3/8",G433="2/8"),((база!$J$5*2*Таблица1[[#This Row],[Столбец1]]*Таблица1[[#This Row],[коэф]])))))))))))</f>
        <v>0</v>
      </c>
      <c r="AQ433" s="678" t="str">
        <f>IFERROR(INDEX(база!T:T, MATCH(F433,база!Q:Q,0)),"")</f>
        <v/>
      </c>
      <c r="AR433" s="193">
        <f>IFERROR(INDEX(база!D:D, MATCH(F433,база!B:B,0)),"")</f>
        <v>0</v>
      </c>
    </row>
    <row r="434" spans="1:44" ht="15">
      <c r="A434" s="59"/>
      <c r="B434" s="215"/>
      <c r="C434" s="54"/>
      <c r="D434" s="55"/>
      <c r="E434" s="196"/>
      <c r="F434" s="651"/>
      <c r="G434" s="42"/>
      <c r="H434" s="539"/>
      <c r="I434" s="539"/>
      <c r="J434" s="539"/>
      <c r="K434" s="539"/>
      <c r="L434" s="539"/>
      <c r="M434" s="539"/>
      <c r="N434" s="539"/>
      <c r="O434" s="539"/>
      <c r="P434" s="278"/>
      <c r="Q434" s="539"/>
      <c r="R434" s="539"/>
      <c r="S434" s="539"/>
      <c r="T434" s="539"/>
      <c r="U434" s="539"/>
      <c r="V434" s="539"/>
      <c r="W434" s="539"/>
      <c r="X434" s="539"/>
      <c r="Y434" s="539"/>
      <c r="Z434" s="539"/>
      <c r="AA434" s="539"/>
      <c r="AB434" s="539"/>
      <c r="AC434" s="539"/>
      <c r="AD434" s="43"/>
      <c r="AE434" s="43"/>
      <c r="AF434" s="238"/>
      <c r="AG434" s="43"/>
      <c r="AH434" s="43"/>
      <c r="AI434" s="43"/>
      <c r="AJ434" s="43"/>
      <c r="AK434" s="43"/>
      <c r="AL434" s="45"/>
      <c r="AM434" s="197">
        <f>IF(AQ434=1,SUM(H434:I434,L434:O434,R434:U434,X434:AA434,AD434:AG434,AI434:AK434),
IF(AQ434=2,SUM(H434:K434,N434:Q434,T434:W434,Z434:AC434,AF434:AI434),
IF(AQ434=3,SUM(J434:M434,P434:S434,V434:Y434,AB434:AE434,AH434:AK434),SUM(Таблица1[[#This Row],[1]:[31]])-Таблица1[[#This Row],[Столбец1]])))</f>
        <v>0</v>
      </c>
      <c r="AN434" s="269">
        <f t="array" ref="AN434">IF(AQ434=1,SUM(J434:K434,P434:Q434,V434:W434,AB434:AC434,AH434:AI434),
IF(AQ434=2,SUM(L434:M434,R434:S434,X434:Y434,AD434:AE434),
IF(AQ434=3,SUM(H434:I434,N434:O434,T434:U434,Z434:AA434,AF434:AG434),
SUM(IFERROR(WEEKDAY($H$2:$AL$2,2)&gt;5,)*H434:AL434))))</f>
        <v>0</v>
      </c>
      <c r="AO434" s="271" t="b">
        <f>IF(AR434&lt;=3,(IF((G434="5/24"),((база!$M$6*Таблица1[[#This Row],[сумма]]*Таблица1[[#This Row],[коэф]])),
IF((G434="4/24"),((база!$M$5*Таблица1[[#This Row],[сумма]]*Таблица1[[#This Row],[коэф]])),
IF((G434="3/24"),((база!$M$4*Таблица1[[#This Row],[сумма]]*Таблица1[[#This Row],[коэф]])),
IF((G434="5/16"),((база!$L$6*Таблица1[[#This Row],[сумма]]*Таблица1[[#This Row],[коэф]])),
IF((G434="4/16"),((база!$L$5*Таблица1[[#This Row],[сумма]]*Таблица1[[#This Row],[коэф]])),
IF((G434="3/16"),((база!$L$4*Таблица1[[#This Row],[сумма]]*Таблица1[[#This Row],[коэф]])),
IF((G434="4/4"),((база!$I$5*Таблица1[[#This Row],[сумма]]*Таблица1[[#This Row],[коэф]])),
IF(OR(G434="2/4",G434="3/4"),((база!$I$4*Таблица1[[#This Row],[сумма]]*Таблица1[[#This Row],[коэф]])),
IF((G434="5/8"),((база!$J$6*Таблица1[[#This Row],[сумма]]*Таблица1[[#This Row],[коэф]])),
IF((G434="4/8"),((база!$J$5*Таблица1[[#This Row],[сумма]]*Таблица1[[#This Row],[коэф]])),
IF(OR(G434="3/8",G434="2/8"),((база!$J$4*Таблица1[[#This Row],[сумма]]*Таблица1[[#This Row],[коэф]])))))))))))))),
(IF((G434="5/24"),((база!$M$6*Таблица1[[#This Row],[сумма]]*Таблица1[[#This Row],[коэф]])),
IF(OR(G434="4/24",G434="3/24"),((база!$M$5*Таблица1[[#This Row],[сумма]]*Таблица1[[#This Row],[коэф]])),
IF((G434="5/16"),((база!$L$6*Таблица1[[#This Row],[сумма]]*Таблица1[[#This Row],[коэф]])),
IF(OR(G434="4/16",G434="3/16"),((база!$L$5*Таблица1[[#This Row],[сумма]]*Таблица1[[#This Row],[коэф]])),
IF(OR(G434="2/4",G434="3/4",G434="4/4"),((база!$I$5*Таблица1[[#This Row],[сумма]]*Таблица1[[#This Row],[коэф]])),
IF((G434="5/8"),((база!$J$6*Таблица1[[#This Row],[сумма]]*Таблица1[[#This Row],[коэф]])),
IF(OR(G434="4/8",G434="3/8",G434="2/8"),((база!$J$5*Таблица1[[#This Row],[сумма]]*Таблица1[[#This Row],[коэф]])))))))))))</f>
        <v>0</v>
      </c>
      <c r="AP434" s="696" t="b">
        <f>IF(AR434&lt;=3,(IF((G434="5/24"),((база!$M$6*2*Таблица1[[#This Row],[Столбец1]]*Таблица1[[#This Row],[коэф]])),
IF((G434="4/24"),((база!$M$5*2*Таблица1[[#This Row],[Столбец1]]*Таблица1[[#This Row],[коэф]])),
IF((G434="3/24"),((база!$M$4*2*Таблица1[[#This Row],[Столбец1]]*Таблица1[[#This Row],[коэф]])),
IF((G434="5/16"),((база!$L$6*2*Таблица1[[#This Row],[Столбец1]]*Таблица1[[#This Row],[коэф]])),
IF((G434="4/16"),((база!$L$5*2*Таблица1[[#This Row],[Столбец1]]*Таблица1[[#This Row],[коэф]])),
IF((G434="3/16"),((база!$L$4*2*Таблица1[[#This Row],[Столбец1]]*Таблица1[[#This Row],[коэф]])),
IF((G434="4/4"),((база!$I$5*2*Таблица1[[#This Row],[Столбец1]]*Таблица1[[#This Row],[коэф]])),
IF(OR(G434="2/4",G434="3/4"),((база!$I$4*2*Таблица1[[#This Row],[Столбец1]]*Таблица1[[#This Row],[коэф]])),
IF((G434="5/8"),((база!$J$6*2*Таблица1[[#This Row],[Столбец1]]*Таблица1[[#This Row],[коэф]])),
IF((G434="4/8"),((база!$J$5*2*Таблица1[[#This Row],[Столбец1]]*Таблица1[[#This Row],[коэф]])),
IF(OR(G434="3/8",G434="2/8"),((база!$J$4*2*Таблица1[[#This Row],[Столбец1]]*Таблица1[[#This Row],[коэф]])))))))))))))),
(IF((G434="5/24"),((база!$M$6*2*Таблица1[[#This Row],[Столбец1]]*Таблица1[[#This Row],[коэф]])),
IF(OR(G434="4/24",G434="3/24"),((база!$M$5*2*Таблица1[[#This Row],[Столбец1]]*Таблица1[[#This Row],[коэф]])),
IF((G434="5/16"),((база!$L$6*2*Таблица1[[#This Row],[Столбец1]]*Таблица1[[#This Row],[коэф]])),
IF(OR(G434="4/16",G434="3/16"),((база!$L$5*2*Таблица1[[#This Row],[Столбец1]]*Таблица1[[#This Row],[коэф]])),
IF(OR(G434="2/4",G434="3/4",G434="4/4"),((база!$I$5*2*Таблица1[[#This Row],[Столбец1]]*Таблица1[[#This Row],[коэф]])),
IF((G434="5/8"),((база!$J$6*2*Таблица1[[#This Row],[Столбец1]]*Таблица1[[#This Row],[коэф]])),
IF(OR(G434="4/8",G434="3/8",G434="2/8"),((база!$J$5*2*Таблица1[[#This Row],[Столбец1]]*Таблица1[[#This Row],[коэф]])))))))))))</f>
        <v>0</v>
      </c>
      <c r="AQ434" s="678" t="str">
        <f>IFERROR(INDEX(база!T:T, MATCH(F434,база!Q:Q,0)),"")</f>
        <v/>
      </c>
      <c r="AR434" s="193">
        <f>IFERROR(INDEX(база!D:D, MATCH(F434,база!B:B,0)),"")</f>
        <v>0</v>
      </c>
    </row>
    <row r="435" spans="1:44" ht="15">
      <c r="A435" s="59"/>
      <c r="B435" s="215"/>
      <c r="C435" s="277"/>
      <c r="D435" s="55"/>
      <c r="E435" s="196"/>
      <c r="F435" s="651"/>
      <c r="G435" s="42"/>
      <c r="H435" s="539"/>
      <c r="I435" s="539"/>
      <c r="J435" s="539"/>
      <c r="K435" s="539"/>
      <c r="L435" s="539"/>
      <c r="M435" s="539"/>
      <c r="N435" s="539"/>
      <c r="O435" s="539"/>
      <c r="P435" s="278"/>
      <c r="Q435" s="539"/>
      <c r="R435" s="539"/>
      <c r="S435" s="539"/>
      <c r="T435" s="539"/>
      <c r="U435" s="539"/>
      <c r="V435" s="539"/>
      <c r="W435" s="539"/>
      <c r="X435" s="539"/>
      <c r="Y435" s="539"/>
      <c r="Z435" s="539"/>
      <c r="AA435" s="539"/>
      <c r="AB435" s="539"/>
      <c r="AC435" s="539"/>
      <c r="AD435" s="43"/>
      <c r="AE435" s="43"/>
      <c r="AF435" s="238"/>
      <c r="AG435" s="238"/>
      <c r="AH435" s="238"/>
      <c r="AI435" s="238"/>
      <c r="AJ435" s="238"/>
      <c r="AK435" s="238"/>
      <c r="AL435" s="238"/>
      <c r="AM435" s="197">
        <f>IF(AQ435=1,SUM(H435:I435,L435:O435,R435:U435,X435:AA435,AD435:AG435,AI435:AK435),
IF(AQ435=2,SUM(H435:K435,N435:Q435,T435:W435,Z435:AC435,AF435:AI435),
IF(AQ435=3,SUM(J435:M435,P435:S435,V435:Y435,AB435:AE435,AH435:AK435),SUM(Таблица1[[#This Row],[1]:[31]])-Таблица1[[#This Row],[Столбец1]])))</f>
        <v>0</v>
      </c>
      <c r="AN435" s="269">
        <f t="array" ref="AN435">IF(AQ435=1,SUM(J435:K435,P435:Q435,V435:W435,AB435:AC435,AH435:AI435),
IF(AQ435=2,SUM(L435:M435,R435:S435,X435:Y435,AD435:AE435),
IF(AQ435=3,SUM(H435:I435,N435:O435,T435:U435,Z435:AA435,AF435:AG435),
SUM(IFERROR(WEEKDAY($H$2:$AL$2,2)&gt;5,)*H435:AL435))))</f>
        <v>0</v>
      </c>
      <c r="AO435" s="271" t="b">
        <f>IF(AR435&lt;=3,(IF((G435="5/24"),((база!$M$6*Таблица1[[#This Row],[сумма]]*Таблица1[[#This Row],[коэф]])),
IF((G435="4/24"),((база!$M$5*Таблица1[[#This Row],[сумма]]*Таблица1[[#This Row],[коэф]])),
IF((G435="3/24"),((база!$M$4*Таблица1[[#This Row],[сумма]]*Таблица1[[#This Row],[коэф]])),
IF((G435="5/16"),((база!$L$6*Таблица1[[#This Row],[сумма]]*Таблица1[[#This Row],[коэф]])),
IF((G435="4/16"),((база!$L$5*Таблица1[[#This Row],[сумма]]*Таблица1[[#This Row],[коэф]])),
IF((G435="3/16"),((база!$L$4*Таблица1[[#This Row],[сумма]]*Таблица1[[#This Row],[коэф]])),
IF((G435="4/4"),((база!$I$5*Таблица1[[#This Row],[сумма]]*Таблица1[[#This Row],[коэф]])),
IF(OR(G435="2/4",G435="3/4"),((база!$I$4*Таблица1[[#This Row],[сумма]]*Таблица1[[#This Row],[коэф]])),
IF((G435="5/8"),((база!$J$6*Таблица1[[#This Row],[сумма]]*Таблица1[[#This Row],[коэф]])),
IF((G435="4/8"),((база!$J$5*Таблица1[[#This Row],[сумма]]*Таблица1[[#This Row],[коэф]])),
IF(OR(G435="3/8",G435="2/8"),((база!$J$4*Таблица1[[#This Row],[сумма]]*Таблица1[[#This Row],[коэф]])))))))))))))),
(IF((G435="5/24"),((база!$M$6*Таблица1[[#This Row],[сумма]]*Таблица1[[#This Row],[коэф]])),
IF(OR(G435="4/24",G435="3/24"),((база!$M$5*Таблица1[[#This Row],[сумма]]*Таблица1[[#This Row],[коэф]])),
IF((G435="5/16"),((база!$L$6*Таблица1[[#This Row],[сумма]]*Таблица1[[#This Row],[коэф]])),
IF(OR(G435="4/16",G435="3/16"),((база!$L$5*Таблица1[[#This Row],[сумма]]*Таблица1[[#This Row],[коэф]])),
IF(OR(G435="2/4",G435="3/4",G435="4/4"),((база!$I$5*Таблица1[[#This Row],[сумма]]*Таблица1[[#This Row],[коэф]])),
IF((G435="5/8"),((база!$J$6*Таблица1[[#This Row],[сумма]]*Таблица1[[#This Row],[коэф]])),
IF(OR(G435="4/8",G435="3/8",G435="2/8"),((база!$J$5*Таблица1[[#This Row],[сумма]]*Таблица1[[#This Row],[коэф]])))))))))))</f>
        <v>0</v>
      </c>
      <c r="AP435" s="696" t="b">
        <f>IF(AR435&lt;=3,(IF((G435="5/24"),((база!$M$6*2*Таблица1[[#This Row],[Столбец1]]*Таблица1[[#This Row],[коэф]])),
IF((G435="4/24"),((база!$M$5*2*Таблица1[[#This Row],[Столбец1]]*Таблица1[[#This Row],[коэф]])),
IF((G435="3/24"),((база!$M$4*2*Таблица1[[#This Row],[Столбец1]]*Таблица1[[#This Row],[коэф]])),
IF((G435="5/16"),((база!$L$6*2*Таблица1[[#This Row],[Столбец1]]*Таблица1[[#This Row],[коэф]])),
IF((G435="4/16"),((база!$L$5*2*Таблица1[[#This Row],[Столбец1]]*Таблица1[[#This Row],[коэф]])),
IF((G435="3/16"),((база!$L$4*2*Таблица1[[#This Row],[Столбец1]]*Таблица1[[#This Row],[коэф]])),
IF((G435="4/4"),((база!$I$5*2*Таблица1[[#This Row],[Столбец1]]*Таблица1[[#This Row],[коэф]])),
IF(OR(G435="2/4",G435="3/4"),((база!$I$4*2*Таблица1[[#This Row],[Столбец1]]*Таблица1[[#This Row],[коэф]])),
IF((G435="5/8"),((база!$J$6*2*Таблица1[[#This Row],[Столбец1]]*Таблица1[[#This Row],[коэф]])),
IF((G435="4/8"),((база!$J$5*2*Таблица1[[#This Row],[Столбец1]]*Таблица1[[#This Row],[коэф]])),
IF(OR(G435="3/8",G435="2/8"),((база!$J$4*2*Таблица1[[#This Row],[Столбец1]]*Таблица1[[#This Row],[коэф]])))))))))))))),
(IF((G435="5/24"),((база!$M$6*2*Таблица1[[#This Row],[Столбец1]]*Таблица1[[#This Row],[коэф]])),
IF(OR(G435="4/24",G435="3/24"),((база!$M$5*2*Таблица1[[#This Row],[Столбец1]]*Таблица1[[#This Row],[коэф]])),
IF((G435="5/16"),((база!$L$6*2*Таблица1[[#This Row],[Столбец1]]*Таблица1[[#This Row],[коэф]])),
IF(OR(G435="4/16",G435="3/16"),((база!$L$5*2*Таблица1[[#This Row],[Столбец1]]*Таблица1[[#This Row],[коэф]])),
IF(OR(G435="2/4",G435="3/4",G435="4/4"),((база!$I$5*2*Таблица1[[#This Row],[Столбец1]]*Таблица1[[#This Row],[коэф]])),
IF((G435="5/8"),((база!$J$6*2*Таблица1[[#This Row],[Столбец1]]*Таблица1[[#This Row],[коэф]])),
IF(OR(G435="4/8",G435="3/8",G435="2/8"),((база!$J$5*2*Таблица1[[#This Row],[Столбец1]]*Таблица1[[#This Row],[коэф]])))))))))))</f>
        <v>0</v>
      </c>
      <c r="AQ435" s="678" t="str">
        <f>IFERROR(INDEX(база!T:T, MATCH(F435,база!Q:Q,0)),"")</f>
        <v/>
      </c>
      <c r="AR435" s="193">
        <f>IFERROR(INDEX(база!D:D, MATCH(F435,база!B:B,0)),"")</f>
        <v>0</v>
      </c>
    </row>
    <row r="436" spans="1:44" ht="15">
      <c r="A436" s="59"/>
      <c r="B436" s="631"/>
      <c r="C436" s="632"/>
      <c r="D436" s="55"/>
      <c r="E436" s="196"/>
      <c r="F436" s="651"/>
      <c r="G436" s="42"/>
      <c r="H436" s="539"/>
      <c r="I436" s="539"/>
      <c r="J436" s="539"/>
      <c r="K436" s="539"/>
      <c r="L436" s="539"/>
      <c r="M436" s="539"/>
      <c r="N436" s="539"/>
      <c r="O436" s="539"/>
      <c r="P436" s="278"/>
      <c r="Q436" s="539"/>
      <c r="R436" s="539"/>
      <c r="S436" s="539"/>
      <c r="T436" s="539"/>
      <c r="U436" s="539"/>
      <c r="V436" s="539"/>
      <c r="W436" s="539"/>
      <c r="X436" s="539"/>
      <c r="Y436" s="539"/>
      <c r="Z436" s="539"/>
      <c r="AA436" s="539"/>
      <c r="AB436" s="539"/>
      <c r="AC436" s="539"/>
      <c r="AD436" s="43"/>
      <c r="AE436" s="43"/>
      <c r="AF436" s="238"/>
      <c r="AG436" s="238"/>
      <c r="AH436" s="238"/>
      <c r="AI436" s="238"/>
      <c r="AJ436" s="238"/>
      <c r="AK436" s="238"/>
      <c r="AL436" s="238"/>
      <c r="AM436" s="197">
        <f>IF(AQ436=1,SUM(H436:I436,L436:O436,R436:U436,X436:AA436,AD436:AG436,AI436:AK436),
IF(AQ436=2,SUM(H436:K436,N436:Q436,T436:W436,Z436:AC436,AF436:AI436),
IF(AQ436=3,SUM(J436:M436,P436:S436,V436:Y436,AB436:AE436,AH436:AK436),SUM(Таблица1[[#This Row],[1]:[31]])-Таблица1[[#This Row],[Столбец1]])))</f>
        <v>0</v>
      </c>
      <c r="AN436" s="269">
        <f t="array" ref="AN436">IF(AQ436=1,SUM(J436:K436,P436:Q436,V436:W436,AB436:AC436,AH436:AI436),
IF(AQ436=2,SUM(L436:M436,R436:S436,X436:Y436,AD436:AE436),
IF(AQ436=3,SUM(H436:I436,N436:O436,T436:U436,Z436:AA436,AF436:AG436),
SUM(IFERROR(WEEKDAY($H$2:$AL$2,2)&gt;5,)*H436:AL436))))</f>
        <v>0</v>
      </c>
      <c r="AO436" s="271" t="b">
        <f>IF(AR436&lt;=3,(IF((G436="5/24"),((база!$M$6*Таблица1[[#This Row],[сумма]]*Таблица1[[#This Row],[коэф]])),
IF((G436="4/24"),((база!$M$5*Таблица1[[#This Row],[сумма]]*Таблица1[[#This Row],[коэф]])),
IF((G436="3/24"),((база!$M$4*Таблица1[[#This Row],[сумма]]*Таблица1[[#This Row],[коэф]])),
IF((G436="5/16"),((база!$L$6*Таблица1[[#This Row],[сумма]]*Таблица1[[#This Row],[коэф]])),
IF((G436="4/16"),((база!$L$5*Таблица1[[#This Row],[сумма]]*Таблица1[[#This Row],[коэф]])),
IF((G436="3/16"),((база!$L$4*Таблица1[[#This Row],[сумма]]*Таблица1[[#This Row],[коэф]])),
IF((G436="4/4"),((база!$I$5*Таблица1[[#This Row],[сумма]]*Таблица1[[#This Row],[коэф]])),
IF(OR(G436="2/4",G436="3/4"),((база!$I$4*Таблица1[[#This Row],[сумма]]*Таблица1[[#This Row],[коэф]])),
IF((G436="5/8"),((база!$J$6*Таблица1[[#This Row],[сумма]]*Таблица1[[#This Row],[коэф]])),
IF((G436="4/8"),((база!$J$5*Таблица1[[#This Row],[сумма]]*Таблица1[[#This Row],[коэф]])),
IF(OR(G436="3/8",G436="2/8"),((база!$J$4*Таблица1[[#This Row],[сумма]]*Таблица1[[#This Row],[коэф]])))))))))))))),
(IF((G436="5/24"),((база!$M$6*Таблица1[[#This Row],[сумма]]*Таблица1[[#This Row],[коэф]])),
IF(OR(G436="4/24",G436="3/24"),((база!$M$5*Таблица1[[#This Row],[сумма]]*Таблица1[[#This Row],[коэф]])),
IF((G436="5/16"),((база!$L$6*Таблица1[[#This Row],[сумма]]*Таблица1[[#This Row],[коэф]])),
IF(OR(G436="4/16",G436="3/16"),((база!$L$5*Таблица1[[#This Row],[сумма]]*Таблица1[[#This Row],[коэф]])),
IF(OR(G436="2/4",G436="3/4",G436="4/4"),((база!$I$5*Таблица1[[#This Row],[сумма]]*Таблица1[[#This Row],[коэф]])),
IF((G436="5/8"),((база!$J$6*Таблица1[[#This Row],[сумма]]*Таблица1[[#This Row],[коэф]])),
IF(OR(G436="4/8",G436="3/8",G436="2/8"),((база!$J$5*Таблица1[[#This Row],[сумма]]*Таблица1[[#This Row],[коэф]])))))))))))</f>
        <v>0</v>
      </c>
      <c r="AP436" s="696" t="b">
        <f>IF(AR436&lt;=3,(IF((G436="5/24"),((база!$M$6*2*Таблица1[[#This Row],[Столбец1]]*Таблица1[[#This Row],[коэф]])),
IF((G436="4/24"),((база!$M$5*2*Таблица1[[#This Row],[Столбец1]]*Таблица1[[#This Row],[коэф]])),
IF((G436="3/24"),((база!$M$4*2*Таблица1[[#This Row],[Столбец1]]*Таблица1[[#This Row],[коэф]])),
IF((G436="5/16"),((база!$L$6*2*Таблица1[[#This Row],[Столбец1]]*Таблица1[[#This Row],[коэф]])),
IF((G436="4/16"),((база!$L$5*2*Таблица1[[#This Row],[Столбец1]]*Таблица1[[#This Row],[коэф]])),
IF((G436="3/16"),((база!$L$4*2*Таблица1[[#This Row],[Столбец1]]*Таблица1[[#This Row],[коэф]])),
IF((G436="4/4"),((база!$I$5*2*Таблица1[[#This Row],[Столбец1]]*Таблица1[[#This Row],[коэф]])),
IF(OR(G436="2/4",G436="3/4"),((база!$I$4*2*Таблица1[[#This Row],[Столбец1]]*Таблица1[[#This Row],[коэф]])),
IF((G436="5/8"),((база!$J$6*2*Таблица1[[#This Row],[Столбец1]]*Таблица1[[#This Row],[коэф]])),
IF((G436="4/8"),((база!$J$5*2*Таблица1[[#This Row],[Столбец1]]*Таблица1[[#This Row],[коэф]])),
IF(OR(G436="3/8",G436="2/8"),((база!$J$4*2*Таблица1[[#This Row],[Столбец1]]*Таблица1[[#This Row],[коэф]])))))))))))))),
(IF((G436="5/24"),((база!$M$6*2*Таблица1[[#This Row],[Столбец1]]*Таблица1[[#This Row],[коэф]])),
IF(OR(G436="4/24",G436="3/24"),((база!$M$5*2*Таблица1[[#This Row],[Столбец1]]*Таблица1[[#This Row],[коэф]])),
IF((G436="5/16"),((база!$L$6*2*Таблица1[[#This Row],[Столбец1]]*Таблица1[[#This Row],[коэф]])),
IF(OR(G436="4/16",G436="3/16"),((база!$L$5*2*Таблица1[[#This Row],[Столбец1]]*Таблица1[[#This Row],[коэф]])),
IF(OR(G436="2/4",G436="3/4",G436="4/4"),((база!$I$5*2*Таблица1[[#This Row],[Столбец1]]*Таблица1[[#This Row],[коэф]])),
IF((G436="5/8"),((база!$J$6*2*Таблица1[[#This Row],[Столбец1]]*Таблица1[[#This Row],[коэф]])),
IF(OR(G436="4/8",G436="3/8",G436="2/8"),((база!$J$5*2*Таблица1[[#This Row],[Столбец1]]*Таблица1[[#This Row],[коэф]])))))))))))</f>
        <v>0</v>
      </c>
      <c r="AQ436" s="678" t="str">
        <f>IFERROR(INDEX(база!T:T, MATCH(F436,база!Q:Q,0)),"")</f>
        <v/>
      </c>
      <c r="AR436" s="193">
        <f>IFERROR(INDEX(база!D:D, MATCH(F436,база!B:B,0)),"")</f>
        <v>0</v>
      </c>
    </row>
    <row r="437" spans="1:44" ht="15">
      <c r="A437" s="59"/>
      <c r="B437" s="215"/>
      <c r="C437" s="277"/>
      <c r="D437" s="55"/>
      <c r="E437" s="196"/>
      <c r="F437" s="651"/>
      <c r="G437" s="42"/>
      <c r="H437" s="539"/>
      <c r="I437" s="539"/>
      <c r="J437" s="539"/>
      <c r="K437" s="539"/>
      <c r="L437" s="539"/>
      <c r="M437" s="539"/>
      <c r="N437" s="539"/>
      <c r="O437" s="539"/>
      <c r="P437" s="278"/>
      <c r="Q437" s="539"/>
      <c r="R437" s="539"/>
      <c r="S437" s="539"/>
      <c r="T437" s="539"/>
      <c r="U437" s="539"/>
      <c r="V437" s="539"/>
      <c r="W437" s="539"/>
      <c r="X437" s="539"/>
      <c r="Y437" s="539"/>
      <c r="Z437" s="539"/>
      <c r="AA437" s="539"/>
      <c r="AB437" s="539"/>
      <c r="AC437" s="539"/>
      <c r="AD437" s="43"/>
      <c r="AE437" s="43"/>
      <c r="AF437" s="238"/>
      <c r="AG437" s="43"/>
      <c r="AH437" s="43"/>
      <c r="AI437" s="43"/>
      <c r="AJ437" s="43"/>
      <c r="AK437" s="43"/>
      <c r="AL437" s="45"/>
      <c r="AM437" s="197">
        <f>IF(AQ437=1,SUM(H437:I437,L437:O437,R437:U437,X437:AA437,AD437:AG437,AI437:AK437),
IF(AQ437=2,SUM(H437:K437,N437:Q437,T437:W437,Z437:AC437,AF437:AI437),
IF(AQ437=3,SUM(J437:M437,P437:S437,V437:Y437,AB437:AE437,AH437:AK437),SUM(Таблица1[[#This Row],[1]:[31]])-Таблица1[[#This Row],[Столбец1]])))</f>
        <v>0</v>
      </c>
      <c r="AN437" s="269">
        <f t="array" ref="AN437">IF(AQ437=1,SUM(J437:K437,P437:Q437,V437:W437,AB437:AC437,AH437:AI437),
IF(AQ437=2,SUM(L437:M437,R437:S437,X437:Y437,AD437:AE437),
IF(AQ437=3,SUM(H437:I437,N437:O437,T437:U437,Z437:AA437,AF437:AG437),
SUM(IFERROR(WEEKDAY($H$2:$AL$2,2)&gt;5,)*H437:AL437))))</f>
        <v>0</v>
      </c>
      <c r="AO437" s="271" t="b">
        <f>IF(AR437&lt;=3,(IF((G437="5/24"),((база!$M$6*Таблица1[[#This Row],[сумма]]*Таблица1[[#This Row],[коэф]])),
IF((G437="4/24"),((база!$M$5*Таблица1[[#This Row],[сумма]]*Таблица1[[#This Row],[коэф]])),
IF((G437="3/24"),((база!$M$4*Таблица1[[#This Row],[сумма]]*Таблица1[[#This Row],[коэф]])),
IF((G437="5/16"),((база!$L$6*Таблица1[[#This Row],[сумма]]*Таблица1[[#This Row],[коэф]])),
IF((G437="4/16"),((база!$L$5*Таблица1[[#This Row],[сумма]]*Таблица1[[#This Row],[коэф]])),
IF((G437="3/16"),((база!$L$4*Таблица1[[#This Row],[сумма]]*Таблица1[[#This Row],[коэф]])),
IF((G437="4/4"),((база!$I$5*Таблица1[[#This Row],[сумма]]*Таблица1[[#This Row],[коэф]])),
IF(OR(G437="2/4",G437="3/4"),((база!$I$4*Таблица1[[#This Row],[сумма]]*Таблица1[[#This Row],[коэф]])),
IF((G437="5/8"),((база!$J$6*Таблица1[[#This Row],[сумма]]*Таблица1[[#This Row],[коэф]])),
IF((G437="4/8"),((база!$J$5*Таблица1[[#This Row],[сумма]]*Таблица1[[#This Row],[коэф]])),
IF(OR(G437="3/8",G437="2/8"),((база!$J$4*Таблица1[[#This Row],[сумма]]*Таблица1[[#This Row],[коэф]])))))))))))))),
(IF((G437="5/24"),((база!$M$6*Таблица1[[#This Row],[сумма]]*Таблица1[[#This Row],[коэф]])),
IF(OR(G437="4/24",G437="3/24"),((база!$M$5*Таблица1[[#This Row],[сумма]]*Таблица1[[#This Row],[коэф]])),
IF((G437="5/16"),((база!$L$6*Таблица1[[#This Row],[сумма]]*Таблица1[[#This Row],[коэф]])),
IF(OR(G437="4/16",G437="3/16"),((база!$L$5*Таблица1[[#This Row],[сумма]]*Таблица1[[#This Row],[коэф]])),
IF(OR(G437="2/4",G437="3/4",G437="4/4"),((база!$I$5*Таблица1[[#This Row],[сумма]]*Таблица1[[#This Row],[коэф]])),
IF((G437="5/8"),((база!$J$6*Таблица1[[#This Row],[сумма]]*Таблица1[[#This Row],[коэф]])),
IF(OR(G437="4/8",G437="3/8",G437="2/8"),((база!$J$5*Таблица1[[#This Row],[сумма]]*Таблица1[[#This Row],[коэф]])))))))))))</f>
        <v>0</v>
      </c>
      <c r="AP437" s="696" t="b">
        <f>IF(AR437&lt;=3,(IF((G437="5/24"),((база!$M$6*2*Таблица1[[#This Row],[Столбец1]]*Таблица1[[#This Row],[коэф]])),
IF((G437="4/24"),((база!$M$5*2*Таблица1[[#This Row],[Столбец1]]*Таблица1[[#This Row],[коэф]])),
IF((G437="3/24"),((база!$M$4*2*Таблица1[[#This Row],[Столбец1]]*Таблица1[[#This Row],[коэф]])),
IF((G437="5/16"),((база!$L$6*2*Таблица1[[#This Row],[Столбец1]]*Таблица1[[#This Row],[коэф]])),
IF((G437="4/16"),((база!$L$5*2*Таблица1[[#This Row],[Столбец1]]*Таблица1[[#This Row],[коэф]])),
IF((G437="3/16"),((база!$L$4*2*Таблица1[[#This Row],[Столбец1]]*Таблица1[[#This Row],[коэф]])),
IF((G437="4/4"),((база!$I$5*2*Таблица1[[#This Row],[Столбец1]]*Таблица1[[#This Row],[коэф]])),
IF(OR(G437="2/4",G437="3/4"),((база!$I$4*2*Таблица1[[#This Row],[Столбец1]]*Таблица1[[#This Row],[коэф]])),
IF((G437="5/8"),((база!$J$6*2*Таблица1[[#This Row],[Столбец1]]*Таблица1[[#This Row],[коэф]])),
IF((G437="4/8"),((база!$J$5*2*Таблица1[[#This Row],[Столбец1]]*Таблица1[[#This Row],[коэф]])),
IF(OR(G437="3/8",G437="2/8"),((база!$J$4*2*Таблица1[[#This Row],[Столбец1]]*Таблица1[[#This Row],[коэф]])))))))))))))),
(IF((G437="5/24"),((база!$M$6*2*Таблица1[[#This Row],[Столбец1]]*Таблица1[[#This Row],[коэф]])),
IF(OR(G437="4/24",G437="3/24"),((база!$M$5*2*Таблица1[[#This Row],[Столбец1]]*Таблица1[[#This Row],[коэф]])),
IF((G437="5/16"),((база!$L$6*2*Таблица1[[#This Row],[Столбец1]]*Таблица1[[#This Row],[коэф]])),
IF(OR(G437="4/16",G437="3/16"),((база!$L$5*2*Таблица1[[#This Row],[Столбец1]]*Таблица1[[#This Row],[коэф]])),
IF(OR(G437="2/4",G437="3/4",G437="4/4"),((база!$I$5*2*Таблица1[[#This Row],[Столбец1]]*Таблица1[[#This Row],[коэф]])),
IF((G437="5/8"),((база!$J$6*2*Таблица1[[#This Row],[Столбец1]]*Таблица1[[#This Row],[коэф]])),
IF(OR(G437="4/8",G437="3/8",G437="2/8"),((база!$J$5*2*Таблица1[[#This Row],[Столбец1]]*Таблица1[[#This Row],[коэф]])))))))))))</f>
        <v>0</v>
      </c>
      <c r="AQ437" s="678" t="str">
        <f>IFERROR(INDEX(база!T:T, MATCH(F437,база!Q:Q,0)),"")</f>
        <v/>
      </c>
      <c r="AR437" s="193">
        <f>IFERROR(INDEX(база!D:D, MATCH(F437,база!B:B,0)),"")</f>
        <v>0</v>
      </c>
    </row>
    <row r="438" spans="1:44" ht="15">
      <c r="A438" s="59"/>
      <c r="B438" s="215"/>
      <c r="C438" s="277"/>
      <c r="D438" s="55"/>
      <c r="E438" s="196"/>
      <c r="F438" s="651"/>
      <c r="G438" s="42"/>
      <c r="H438" s="539"/>
      <c r="I438" s="539"/>
      <c r="J438" s="539"/>
      <c r="K438" s="539"/>
      <c r="L438" s="539"/>
      <c r="M438" s="539"/>
      <c r="N438" s="539"/>
      <c r="O438" s="539"/>
      <c r="P438" s="278"/>
      <c r="Q438" s="539"/>
      <c r="R438" s="539"/>
      <c r="S438" s="539"/>
      <c r="T438" s="539"/>
      <c r="U438" s="539"/>
      <c r="V438" s="539"/>
      <c r="W438" s="539"/>
      <c r="X438" s="539"/>
      <c r="Y438" s="539"/>
      <c r="Z438" s="539"/>
      <c r="AA438" s="539"/>
      <c r="AB438" s="539"/>
      <c r="AC438" s="539"/>
      <c r="AD438" s="43"/>
      <c r="AE438" s="43"/>
      <c r="AF438" s="238"/>
      <c r="AG438" s="43"/>
      <c r="AH438" s="43"/>
      <c r="AI438" s="238"/>
      <c r="AJ438" s="238"/>
      <c r="AK438" s="238"/>
      <c r="AL438" s="238"/>
      <c r="AM438" s="197">
        <f>IF(AQ438=1,SUM(H438:I438,L438:O438,R438:U438,X438:AA438,AD438:AG438,AI438:AK438),
IF(AQ438=2,SUM(H438:K438,N438:Q438,T438:W438,Z438:AC438,AF438:AI438),
IF(AQ438=3,SUM(J438:M438,P438:S438,V438:Y438,AB438:AE438,AH438:AK438),SUM(Таблица1[[#This Row],[1]:[31]])-Таблица1[[#This Row],[Столбец1]])))</f>
        <v>0</v>
      </c>
      <c r="AN438" s="269">
        <f t="array" ref="AN438">IF(AQ438=1,SUM(J438:K438,P438:Q438,V438:W438,AB438:AC438,AH438:AI438),
IF(AQ438=2,SUM(L438:M438,R438:S438,X438:Y438,AD438:AE438),
IF(AQ438=3,SUM(H438:I438,N438:O438,T438:U438,Z438:AA438,AF438:AG438),
SUM(IFERROR(WEEKDAY($H$2:$AL$2,2)&gt;5,)*H438:AL438))))</f>
        <v>0</v>
      </c>
      <c r="AO438" s="271" t="b">
        <f>IF(AR438&lt;=3,(IF((G438="5/24"),((база!$M$6*Таблица1[[#This Row],[сумма]]*Таблица1[[#This Row],[коэф]])),
IF((G438="4/24"),((база!$M$5*Таблица1[[#This Row],[сумма]]*Таблица1[[#This Row],[коэф]])),
IF((G438="3/24"),((база!$M$4*Таблица1[[#This Row],[сумма]]*Таблица1[[#This Row],[коэф]])),
IF((G438="5/16"),((база!$L$6*Таблица1[[#This Row],[сумма]]*Таблица1[[#This Row],[коэф]])),
IF((G438="4/16"),((база!$L$5*Таблица1[[#This Row],[сумма]]*Таблица1[[#This Row],[коэф]])),
IF((G438="3/16"),((база!$L$4*Таблица1[[#This Row],[сумма]]*Таблица1[[#This Row],[коэф]])),
IF((G438="4/4"),((база!$I$5*Таблица1[[#This Row],[сумма]]*Таблица1[[#This Row],[коэф]])),
IF(OR(G438="2/4",G438="3/4"),((база!$I$4*Таблица1[[#This Row],[сумма]]*Таблица1[[#This Row],[коэф]])),
IF((G438="5/8"),((база!$J$6*Таблица1[[#This Row],[сумма]]*Таблица1[[#This Row],[коэф]])),
IF((G438="4/8"),((база!$J$5*Таблица1[[#This Row],[сумма]]*Таблица1[[#This Row],[коэф]])),
IF(OR(G438="3/8",G438="2/8"),((база!$J$4*Таблица1[[#This Row],[сумма]]*Таблица1[[#This Row],[коэф]])))))))))))))),
(IF((G438="5/24"),((база!$M$6*Таблица1[[#This Row],[сумма]]*Таблица1[[#This Row],[коэф]])),
IF(OR(G438="4/24",G438="3/24"),((база!$M$5*Таблица1[[#This Row],[сумма]]*Таблица1[[#This Row],[коэф]])),
IF((G438="5/16"),((база!$L$6*Таблица1[[#This Row],[сумма]]*Таблица1[[#This Row],[коэф]])),
IF(OR(G438="4/16",G438="3/16"),((база!$L$5*Таблица1[[#This Row],[сумма]]*Таблица1[[#This Row],[коэф]])),
IF(OR(G438="2/4",G438="3/4",G438="4/4"),((база!$I$5*Таблица1[[#This Row],[сумма]]*Таблица1[[#This Row],[коэф]])),
IF((G438="5/8"),((база!$J$6*Таблица1[[#This Row],[сумма]]*Таблица1[[#This Row],[коэф]])),
IF(OR(G438="4/8",G438="3/8",G438="2/8"),((база!$J$5*Таблица1[[#This Row],[сумма]]*Таблица1[[#This Row],[коэф]])))))))))))</f>
        <v>0</v>
      </c>
      <c r="AP438" s="696" t="b">
        <f>IF(AR438&lt;=3,(IF((G438="5/24"),((база!$M$6*2*Таблица1[[#This Row],[Столбец1]]*Таблица1[[#This Row],[коэф]])),
IF((G438="4/24"),((база!$M$5*2*Таблица1[[#This Row],[Столбец1]]*Таблица1[[#This Row],[коэф]])),
IF((G438="3/24"),((база!$M$4*2*Таблица1[[#This Row],[Столбец1]]*Таблица1[[#This Row],[коэф]])),
IF((G438="5/16"),((база!$L$6*2*Таблица1[[#This Row],[Столбец1]]*Таблица1[[#This Row],[коэф]])),
IF((G438="4/16"),((база!$L$5*2*Таблица1[[#This Row],[Столбец1]]*Таблица1[[#This Row],[коэф]])),
IF((G438="3/16"),((база!$L$4*2*Таблица1[[#This Row],[Столбец1]]*Таблица1[[#This Row],[коэф]])),
IF((G438="4/4"),((база!$I$5*2*Таблица1[[#This Row],[Столбец1]]*Таблица1[[#This Row],[коэф]])),
IF(OR(G438="2/4",G438="3/4"),((база!$I$4*2*Таблица1[[#This Row],[Столбец1]]*Таблица1[[#This Row],[коэф]])),
IF((G438="5/8"),((база!$J$6*2*Таблица1[[#This Row],[Столбец1]]*Таблица1[[#This Row],[коэф]])),
IF((G438="4/8"),((база!$J$5*2*Таблица1[[#This Row],[Столбец1]]*Таблица1[[#This Row],[коэф]])),
IF(OR(G438="3/8",G438="2/8"),((база!$J$4*2*Таблица1[[#This Row],[Столбец1]]*Таблица1[[#This Row],[коэф]])))))))))))))),
(IF((G438="5/24"),((база!$M$6*2*Таблица1[[#This Row],[Столбец1]]*Таблица1[[#This Row],[коэф]])),
IF(OR(G438="4/24",G438="3/24"),((база!$M$5*2*Таблица1[[#This Row],[Столбец1]]*Таблица1[[#This Row],[коэф]])),
IF((G438="5/16"),((база!$L$6*2*Таблица1[[#This Row],[Столбец1]]*Таблица1[[#This Row],[коэф]])),
IF(OR(G438="4/16",G438="3/16"),((база!$L$5*2*Таблица1[[#This Row],[Столбец1]]*Таблица1[[#This Row],[коэф]])),
IF(OR(G438="2/4",G438="3/4",G438="4/4"),((база!$I$5*2*Таблица1[[#This Row],[Столбец1]]*Таблица1[[#This Row],[коэф]])),
IF((G438="5/8"),((база!$J$6*2*Таблица1[[#This Row],[Столбец1]]*Таблица1[[#This Row],[коэф]])),
IF(OR(G438="4/8",G438="3/8",G438="2/8"),((база!$J$5*2*Таблица1[[#This Row],[Столбец1]]*Таблица1[[#This Row],[коэф]])))))))))))</f>
        <v>0</v>
      </c>
      <c r="AQ438" s="678" t="str">
        <f>IFERROR(INDEX(база!T:T, MATCH(F438,база!Q:Q,0)),"")</f>
        <v/>
      </c>
      <c r="AR438" s="193">
        <f>IFERROR(INDEX(база!D:D, MATCH(F438,база!B:B,0)),"")</f>
        <v>0</v>
      </c>
    </row>
    <row r="439" spans="1:44" ht="15">
      <c r="A439" s="59"/>
      <c r="B439" s="215"/>
      <c r="C439" s="277"/>
      <c r="D439" s="55"/>
      <c r="E439" s="196"/>
      <c r="F439" s="651"/>
      <c r="G439" s="42"/>
      <c r="H439" s="539"/>
      <c r="I439" s="539"/>
      <c r="J439" s="539"/>
      <c r="K439" s="539"/>
      <c r="L439" s="539"/>
      <c r="M439" s="539"/>
      <c r="N439" s="539"/>
      <c r="O439" s="539"/>
      <c r="P439" s="278"/>
      <c r="Q439" s="539"/>
      <c r="R439" s="539"/>
      <c r="S439" s="539"/>
      <c r="T439" s="539"/>
      <c r="U439" s="539"/>
      <c r="V439" s="539"/>
      <c r="W439" s="539"/>
      <c r="X439" s="539"/>
      <c r="Y439" s="539"/>
      <c r="Z439" s="539"/>
      <c r="AA439" s="539"/>
      <c r="AB439" s="539"/>
      <c r="AC439" s="539"/>
      <c r="AD439" s="43"/>
      <c r="AE439" s="43"/>
      <c r="AF439" s="238"/>
      <c r="AG439" s="43"/>
      <c r="AH439" s="43"/>
      <c r="AI439" s="43"/>
      <c r="AJ439" s="43"/>
      <c r="AK439" s="43"/>
      <c r="AL439" s="45"/>
      <c r="AM439" s="197">
        <f>IF(AQ439=1,SUM(H439:I439,L439:O439,R439:U439,X439:AA439,AD439:AG439,AI439:AK439),
IF(AQ439=2,SUM(H439:K439,N439:Q439,T439:W439,Z439:AC439,AF439:AI439),
IF(AQ439=3,SUM(J439:M439,P439:S439,V439:Y439,AB439:AE439,AH439:AK439),SUM(Таблица1[[#This Row],[1]:[31]])-Таблица1[[#This Row],[Столбец1]])))</f>
        <v>0</v>
      </c>
      <c r="AN439" s="269">
        <f t="array" ref="AN439">IF(AQ439=1,SUM(J439:K439,P439:Q439,V439:W439,AB439:AC439,AH439:AI439),
IF(AQ439=2,SUM(L439:M439,R439:S439,X439:Y439,AD439:AE439),
IF(AQ439=3,SUM(H439:I439,N439:O439,T439:U439,Z439:AA439,AF439:AG439),
SUM(IFERROR(WEEKDAY($H$2:$AL$2,2)&gt;5,)*H439:AL439))))</f>
        <v>0</v>
      </c>
      <c r="AO439" s="271" t="b">
        <f>IF(AR439&lt;=3,(IF((G439="5/24"),((база!$M$6*Таблица1[[#This Row],[сумма]]*Таблица1[[#This Row],[коэф]])),
IF((G439="4/24"),((база!$M$5*Таблица1[[#This Row],[сумма]]*Таблица1[[#This Row],[коэф]])),
IF((G439="3/24"),((база!$M$4*Таблица1[[#This Row],[сумма]]*Таблица1[[#This Row],[коэф]])),
IF((G439="5/16"),((база!$L$6*Таблица1[[#This Row],[сумма]]*Таблица1[[#This Row],[коэф]])),
IF((G439="4/16"),((база!$L$5*Таблица1[[#This Row],[сумма]]*Таблица1[[#This Row],[коэф]])),
IF((G439="3/16"),((база!$L$4*Таблица1[[#This Row],[сумма]]*Таблица1[[#This Row],[коэф]])),
IF((G439="4/4"),((база!$I$5*Таблица1[[#This Row],[сумма]]*Таблица1[[#This Row],[коэф]])),
IF(OR(G439="2/4",G439="3/4"),((база!$I$4*Таблица1[[#This Row],[сумма]]*Таблица1[[#This Row],[коэф]])),
IF((G439="5/8"),((база!$J$6*Таблица1[[#This Row],[сумма]]*Таблица1[[#This Row],[коэф]])),
IF((G439="4/8"),((база!$J$5*Таблица1[[#This Row],[сумма]]*Таблица1[[#This Row],[коэф]])),
IF(OR(G439="3/8",G439="2/8"),((база!$J$4*Таблица1[[#This Row],[сумма]]*Таблица1[[#This Row],[коэф]])))))))))))))),
(IF((G439="5/24"),((база!$M$6*Таблица1[[#This Row],[сумма]]*Таблица1[[#This Row],[коэф]])),
IF(OR(G439="4/24",G439="3/24"),((база!$M$5*Таблица1[[#This Row],[сумма]]*Таблица1[[#This Row],[коэф]])),
IF((G439="5/16"),((база!$L$6*Таблица1[[#This Row],[сумма]]*Таблица1[[#This Row],[коэф]])),
IF(OR(G439="4/16",G439="3/16"),((база!$L$5*Таблица1[[#This Row],[сумма]]*Таблица1[[#This Row],[коэф]])),
IF(OR(G439="2/4",G439="3/4",G439="4/4"),((база!$I$5*Таблица1[[#This Row],[сумма]]*Таблица1[[#This Row],[коэф]])),
IF((G439="5/8"),((база!$J$6*Таблица1[[#This Row],[сумма]]*Таблица1[[#This Row],[коэф]])),
IF(OR(G439="4/8",G439="3/8",G439="2/8"),((база!$J$5*Таблица1[[#This Row],[сумма]]*Таблица1[[#This Row],[коэф]])))))))))))</f>
        <v>0</v>
      </c>
      <c r="AP439" s="696" t="b">
        <f>IF(AR439&lt;=3,(IF((G439="5/24"),((база!$M$6*2*Таблица1[[#This Row],[Столбец1]]*Таблица1[[#This Row],[коэф]])),
IF((G439="4/24"),((база!$M$5*2*Таблица1[[#This Row],[Столбец1]]*Таблица1[[#This Row],[коэф]])),
IF((G439="3/24"),((база!$M$4*2*Таблица1[[#This Row],[Столбец1]]*Таблица1[[#This Row],[коэф]])),
IF((G439="5/16"),((база!$L$6*2*Таблица1[[#This Row],[Столбец1]]*Таблица1[[#This Row],[коэф]])),
IF((G439="4/16"),((база!$L$5*2*Таблица1[[#This Row],[Столбец1]]*Таблица1[[#This Row],[коэф]])),
IF((G439="3/16"),((база!$L$4*2*Таблица1[[#This Row],[Столбец1]]*Таблица1[[#This Row],[коэф]])),
IF((G439="4/4"),((база!$I$5*2*Таблица1[[#This Row],[Столбец1]]*Таблица1[[#This Row],[коэф]])),
IF(OR(G439="2/4",G439="3/4"),((база!$I$4*2*Таблица1[[#This Row],[Столбец1]]*Таблица1[[#This Row],[коэф]])),
IF((G439="5/8"),((база!$J$6*2*Таблица1[[#This Row],[Столбец1]]*Таблица1[[#This Row],[коэф]])),
IF((G439="4/8"),((база!$J$5*2*Таблица1[[#This Row],[Столбец1]]*Таблица1[[#This Row],[коэф]])),
IF(OR(G439="3/8",G439="2/8"),((база!$J$4*2*Таблица1[[#This Row],[Столбец1]]*Таблица1[[#This Row],[коэф]])))))))))))))),
(IF((G439="5/24"),((база!$M$6*2*Таблица1[[#This Row],[Столбец1]]*Таблица1[[#This Row],[коэф]])),
IF(OR(G439="4/24",G439="3/24"),((база!$M$5*2*Таблица1[[#This Row],[Столбец1]]*Таблица1[[#This Row],[коэф]])),
IF((G439="5/16"),((база!$L$6*2*Таблица1[[#This Row],[Столбец1]]*Таблица1[[#This Row],[коэф]])),
IF(OR(G439="4/16",G439="3/16"),((база!$L$5*2*Таблица1[[#This Row],[Столбец1]]*Таблица1[[#This Row],[коэф]])),
IF(OR(G439="2/4",G439="3/4",G439="4/4"),((база!$I$5*2*Таблица1[[#This Row],[Столбец1]]*Таблица1[[#This Row],[коэф]])),
IF((G439="5/8"),((база!$J$6*2*Таблица1[[#This Row],[Столбец1]]*Таблица1[[#This Row],[коэф]])),
IF(OR(G439="4/8",G439="3/8",G439="2/8"),((база!$J$5*2*Таблица1[[#This Row],[Столбец1]]*Таблица1[[#This Row],[коэф]])))))))))))</f>
        <v>0</v>
      </c>
      <c r="AQ439" s="678" t="str">
        <f>IFERROR(INDEX(база!T:T, MATCH(F439,база!Q:Q,0)),"")</f>
        <v/>
      </c>
      <c r="AR439" s="193">
        <f>IFERROR(INDEX(база!D:D, MATCH(F439,база!B:B,0)),"")</f>
        <v>0</v>
      </c>
    </row>
    <row r="440" spans="1:44" ht="15">
      <c r="A440" s="59"/>
      <c r="B440" s="215"/>
      <c r="C440" s="54"/>
      <c r="D440" s="55"/>
      <c r="E440" s="196"/>
      <c r="F440" s="651"/>
      <c r="G440" s="42"/>
      <c r="H440" s="539"/>
      <c r="I440" s="539"/>
      <c r="J440" s="539"/>
      <c r="K440" s="539"/>
      <c r="L440" s="539"/>
      <c r="M440" s="539"/>
      <c r="N440" s="539"/>
      <c r="O440" s="539"/>
      <c r="P440" s="278"/>
      <c r="Q440" s="539"/>
      <c r="R440" s="539"/>
      <c r="S440" s="539"/>
      <c r="T440" s="539"/>
      <c r="U440" s="539"/>
      <c r="V440" s="539"/>
      <c r="W440" s="539"/>
      <c r="X440" s="539"/>
      <c r="Y440" s="539"/>
      <c r="Z440" s="539"/>
      <c r="AA440" s="539"/>
      <c r="AB440" s="539"/>
      <c r="AC440" s="539"/>
      <c r="AD440" s="43"/>
      <c r="AE440" s="43"/>
      <c r="AF440" s="43"/>
      <c r="AG440" s="43"/>
      <c r="AH440" s="43"/>
      <c r="AI440" s="43"/>
      <c r="AJ440" s="238"/>
      <c r="AK440" s="238"/>
      <c r="AL440" s="238"/>
      <c r="AM440" s="197">
        <f>IF(AQ440=1,SUM(H440:I440,L440:O440,R440:U440,X440:AA440,AD440:AG440,AI440:AK440),
IF(AQ440=2,SUM(H440:K440,N440:Q440,T440:W440,Z440:AC440,AF440:AI440),
IF(AQ440=3,SUM(J440:M440,P440:S440,V440:Y440,AB440:AE440,AH440:AK440),SUM(Таблица1[[#This Row],[1]:[31]])-Таблица1[[#This Row],[Столбец1]])))</f>
        <v>0</v>
      </c>
      <c r="AN440" s="269">
        <f t="array" ref="AN440">IF(AQ440=1,SUM(J440:K440,P440:Q440,V440:W440,AB440:AC440,AH440:AI440),
IF(AQ440=2,SUM(L440:M440,R440:S440,X440:Y440,AD440:AE440),
IF(AQ440=3,SUM(H440:I440,N440:O440,T440:U440,Z440:AA440,AF440:AG440),
SUM(IFERROR(WEEKDAY($H$2:$AL$2,2)&gt;5,)*H440:AL440))))</f>
        <v>0</v>
      </c>
      <c r="AO440" s="271" t="b">
        <f>IF(AR440&lt;=3,(IF((G440="5/24"),((база!$M$6*Таблица1[[#This Row],[сумма]]*Таблица1[[#This Row],[коэф]])),
IF((G440="4/24"),((база!$M$5*Таблица1[[#This Row],[сумма]]*Таблица1[[#This Row],[коэф]])),
IF((G440="3/24"),((база!$M$4*Таблица1[[#This Row],[сумма]]*Таблица1[[#This Row],[коэф]])),
IF((G440="5/16"),((база!$L$6*Таблица1[[#This Row],[сумма]]*Таблица1[[#This Row],[коэф]])),
IF((G440="4/16"),((база!$L$5*Таблица1[[#This Row],[сумма]]*Таблица1[[#This Row],[коэф]])),
IF((G440="3/16"),((база!$L$4*Таблица1[[#This Row],[сумма]]*Таблица1[[#This Row],[коэф]])),
IF((G440="4/4"),((база!$I$5*Таблица1[[#This Row],[сумма]]*Таблица1[[#This Row],[коэф]])),
IF(OR(G440="2/4",G440="3/4"),((база!$I$4*Таблица1[[#This Row],[сумма]]*Таблица1[[#This Row],[коэф]])),
IF((G440="5/8"),((база!$J$6*Таблица1[[#This Row],[сумма]]*Таблица1[[#This Row],[коэф]])),
IF((G440="4/8"),((база!$J$5*Таблица1[[#This Row],[сумма]]*Таблица1[[#This Row],[коэф]])),
IF(OR(G440="3/8",G440="2/8"),((база!$J$4*Таблица1[[#This Row],[сумма]]*Таблица1[[#This Row],[коэф]])))))))))))))),
(IF((G440="5/24"),((база!$M$6*Таблица1[[#This Row],[сумма]]*Таблица1[[#This Row],[коэф]])),
IF(OR(G440="4/24",G440="3/24"),((база!$M$5*Таблица1[[#This Row],[сумма]]*Таблица1[[#This Row],[коэф]])),
IF((G440="5/16"),((база!$L$6*Таблица1[[#This Row],[сумма]]*Таблица1[[#This Row],[коэф]])),
IF(OR(G440="4/16",G440="3/16"),((база!$L$5*Таблица1[[#This Row],[сумма]]*Таблица1[[#This Row],[коэф]])),
IF(OR(G440="2/4",G440="3/4",G440="4/4"),((база!$I$5*Таблица1[[#This Row],[сумма]]*Таблица1[[#This Row],[коэф]])),
IF((G440="5/8"),((база!$J$6*Таблица1[[#This Row],[сумма]]*Таблица1[[#This Row],[коэф]])),
IF(OR(G440="4/8",G440="3/8",G440="2/8"),((база!$J$5*Таблица1[[#This Row],[сумма]]*Таблица1[[#This Row],[коэф]])))))))))))</f>
        <v>0</v>
      </c>
      <c r="AP440" s="696" t="b">
        <f>IF(AR440&lt;=3,(IF((G440="5/24"),((база!$M$6*2*Таблица1[[#This Row],[Столбец1]]*Таблица1[[#This Row],[коэф]])),
IF((G440="4/24"),((база!$M$5*2*Таблица1[[#This Row],[Столбец1]]*Таблица1[[#This Row],[коэф]])),
IF((G440="3/24"),((база!$M$4*2*Таблица1[[#This Row],[Столбец1]]*Таблица1[[#This Row],[коэф]])),
IF((G440="5/16"),((база!$L$6*2*Таблица1[[#This Row],[Столбец1]]*Таблица1[[#This Row],[коэф]])),
IF((G440="4/16"),((база!$L$5*2*Таблица1[[#This Row],[Столбец1]]*Таблица1[[#This Row],[коэф]])),
IF((G440="3/16"),((база!$L$4*2*Таблица1[[#This Row],[Столбец1]]*Таблица1[[#This Row],[коэф]])),
IF((G440="4/4"),((база!$I$5*2*Таблица1[[#This Row],[Столбец1]]*Таблица1[[#This Row],[коэф]])),
IF(OR(G440="2/4",G440="3/4"),((база!$I$4*2*Таблица1[[#This Row],[Столбец1]]*Таблица1[[#This Row],[коэф]])),
IF((G440="5/8"),((база!$J$6*2*Таблица1[[#This Row],[Столбец1]]*Таблица1[[#This Row],[коэф]])),
IF((G440="4/8"),((база!$J$5*2*Таблица1[[#This Row],[Столбец1]]*Таблица1[[#This Row],[коэф]])),
IF(OR(G440="3/8",G440="2/8"),((база!$J$4*2*Таблица1[[#This Row],[Столбец1]]*Таблица1[[#This Row],[коэф]])))))))))))))),
(IF((G440="5/24"),((база!$M$6*2*Таблица1[[#This Row],[Столбец1]]*Таблица1[[#This Row],[коэф]])),
IF(OR(G440="4/24",G440="3/24"),((база!$M$5*2*Таблица1[[#This Row],[Столбец1]]*Таблица1[[#This Row],[коэф]])),
IF((G440="5/16"),((база!$L$6*2*Таблица1[[#This Row],[Столбец1]]*Таблица1[[#This Row],[коэф]])),
IF(OR(G440="4/16",G440="3/16"),((база!$L$5*2*Таблица1[[#This Row],[Столбец1]]*Таблица1[[#This Row],[коэф]])),
IF(OR(G440="2/4",G440="3/4",G440="4/4"),((база!$I$5*2*Таблица1[[#This Row],[Столбец1]]*Таблица1[[#This Row],[коэф]])),
IF((G440="5/8"),((база!$J$6*2*Таблица1[[#This Row],[Столбец1]]*Таблица1[[#This Row],[коэф]])),
IF(OR(G440="4/8",G440="3/8",G440="2/8"),((база!$J$5*2*Таблица1[[#This Row],[Столбец1]]*Таблица1[[#This Row],[коэф]])))))))))))</f>
        <v>0</v>
      </c>
      <c r="AQ440" s="678" t="str">
        <f>IFERROR(INDEX(база!T:T, MATCH(F440,база!Q:Q,0)),"")</f>
        <v/>
      </c>
      <c r="AR440" s="193">
        <f>IFERROR(INDEX(база!D:D, MATCH(F440,база!B:B,0)),"")</f>
        <v>0</v>
      </c>
    </row>
    <row r="441" spans="1:44" ht="15">
      <c r="A441" s="59"/>
      <c r="B441" s="215"/>
      <c r="C441" s="54"/>
      <c r="D441" s="55"/>
      <c r="E441" s="196"/>
      <c r="F441" s="651"/>
      <c r="G441" s="42"/>
      <c r="H441" s="539"/>
      <c r="I441" s="539"/>
      <c r="J441" s="539"/>
      <c r="K441" s="539"/>
      <c r="L441" s="539"/>
      <c r="M441" s="539"/>
      <c r="N441" s="539"/>
      <c r="O441" s="539"/>
      <c r="P441" s="278"/>
      <c r="Q441" s="539"/>
      <c r="R441" s="539"/>
      <c r="S441" s="539"/>
      <c r="T441" s="539"/>
      <c r="U441" s="539"/>
      <c r="V441" s="539"/>
      <c r="W441" s="539"/>
      <c r="X441" s="539"/>
      <c r="Y441" s="539"/>
      <c r="Z441" s="539"/>
      <c r="AA441" s="539"/>
      <c r="AB441" s="539"/>
      <c r="AC441" s="539"/>
      <c r="AD441" s="43"/>
      <c r="AE441" s="43"/>
      <c r="AF441" s="238"/>
      <c r="AG441" s="238"/>
      <c r="AH441" s="238"/>
      <c r="AI441" s="238"/>
      <c r="AJ441" s="43"/>
      <c r="AK441" s="43"/>
      <c r="AL441" s="45"/>
      <c r="AM441" s="197">
        <f>IF(AQ441=1,SUM(H441:I441,L441:O441,R441:U441,X441:AA441,AD441:AG441,AI441:AK441),
IF(AQ441=2,SUM(H441:K441,N441:Q441,T441:W441,Z441:AC441,AF441:AI441),
IF(AQ441=3,SUM(J441:M441,P441:S441,V441:Y441,AB441:AE441,AH441:AK441),SUM(Таблица1[[#This Row],[1]:[31]])-Таблица1[[#This Row],[Столбец1]])))</f>
        <v>0</v>
      </c>
      <c r="AN441" s="269">
        <f t="array" ref="AN441">IF(AQ441=1,SUM(J441:K441,P441:Q441,V441:W441,AB441:AC441,AH441:AI441),
IF(AQ441=2,SUM(L441:M441,R441:S441,X441:Y441,AD441:AE441),
IF(AQ441=3,SUM(H441:I441,N441:O441,T441:U441,Z441:AA441,AF441:AG441),
SUM(IFERROR(WEEKDAY($H$2:$AL$2,2)&gt;5,)*H441:AL441))))</f>
        <v>0</v>
      </c>
      <c r="AO441" s="271" t="b">
        <f>IF(AR441&lt;=3,(IF((G441="5/24"),((база!$M$6*Таблица1[[#This Row],[сумма]]*Таблица1[[#This Row],[коэф]])),
IF((G441="4/24"),((база!$M$5*Таблица1[[#This Row],[сумма]]*Таблица1[[#This Row],[коэф]])),
IF((G441="3/24"),((база!$M$4*Таблица1[[#This Row],[сумма]]*Таблица1[[#This Row],[коэф]])),
IF((G441="5/16"),((база!$L$6*Таблица1[[#This Row],[сумма]]*Таблица1[[#This Row],[коэф]])),
IF((G441="4/16"),((база!$L$5*Таблица1[[#This Row],[сумма]]*Таблица1[[#This Row],[коэф]])),
IF((G441="3/16"),((база!$L$4*Таблица1[[#This Row],[сумма]]*Таблица1[[#This Row],[коэф]])),
IF((G441="4/4"),((база!$I$5*Таблица1[[#This Row],[сумма]]*Таблица1[[#This Row],[коэф]])),
IF(OR(G441="2/4",G441="3/4"),((база!$I$4*Таблица1[[#This Row],[сумма]]*Таблица1[[#This Row],[коэф]])),
IF((G441="5/8"),((база!$J$6*Таблица1[[#This Row],[сумма]]*Таблица1[[#This Row],[коэф]])),
IF((G441="4/8"),((база!$J$5*Таблица1[[#This Row],[сумма]]*Таблица1[[#This Row],[коэф]])),
IF(OR(G441="3/8",G441="2/8"),((база!$J$4*Таблица1[[#This Row],[сумма]]*Таблица1[[#This Row],[коэф]])))))))))))))),
(IF((G441="5/24"),((база!$M$6*Таблица1[[#This Row],[сумма]]*Таблица1[[#This Row],[коэф]])),
IF(OR(G441="4/24",G441="3/24"),((база!$M$5*Таблица1[[#This Row],[сумма]]*Таблица1[[#This Row],[коэф]])),
IF((G441="5/16"),((база!$L$6*Таблица1[[#This Row],[сумма]]*Таблица1[[#This Row],[коэф]])),
IF(OR(G441="4/16",G441="3/16"),((база!$L$5*Таблица1[[#This Row],[сумма]]*Таблица1[[#This Row],[коэф]])),
IF(OR(G441="2/4",G441="3/4",G441="4/4"),((база!$I$5*Таблица1[[#This Row],[сумма]]*Таблица1[[#This Row],[коэф]])),
IF((G441="5/8"),((база!$J$6*Таблица1[[#This Row],[сумма]]*Таблица1[[#This Row],[коэф]])),
IF(OR(G441="4/8",G441="3/8",G441="2/8"),((база!$J$5*Таблица1[[#This Row],[сумма]]*Таблица1[[#This Row],[коэф]])))))))))))</f>
        <v>0</v>
      </c>
      <c r="AP441" s="696" t="b">
        <f>IF(AR441&lt;=3,(IF((G441="5/24"),((база!$M$6*2*Таблица1[[#This Row],[Столбец1]]*Таблица1[[#This Row],[коэф]])),
IF((G441="4/24"),((база!$M$5*2*Таблица1[[#This Row],[Столбец1]]*Таблица1[[#This Row],[коэф]])),
IF((G441="3/24"),((база!$M$4*2*Таблица1[[#This Row],[Столбец1]]*Таблица1[[#This Row],[коэф]])),
IF((G441="5/16"),((база!$L$6*2*Таблица1[[#This Row],[Столбец1]]*Таблица1[[#This Row],[коэф]])),
IF((G441="4/16"),((база!$L$5*2*Таблица1[[#This Row],[Столбец1]]*Таблица1[[#This Row],[коэф]])),
IF((G441="3/16"),((база!$L$4*2*Таблица1[[#This Row],[Столбец1]]*Таблица1[[#This Row],[коэф]])),
IF((G441="4/4"),((база!$I$5*2*Таблица1[[#This Row],[Столбец1]]*Таблица1[[#This Row],[коэф]])),
IF(OR(G441="2/4",G441="3/4"),((база!$I$4*2*Таблица1[[#This Row],[Столбец1]]*Таблица1[[#This Row],[коэф]])),
IF((G441="5/8"),((база!$J$6*2*Таблица1[[#This Row],[Столбец1]]*Таблица1[[#This Row],[коэф]])),
IF((G441="4/8"),((база!$J$5*2*Таблица1[[#This Row],[Столбец1]]*Таблица1[[#This Row],[коэф]])),
IF(OR(G441="3/8",G441="2/8"),((база!$J$4*2*Таблица1[[#This Row],[Столбец1]]*Таблица1[[#This Row],[коэф]])))))))))))))),
(IF((G441="5/24"),((база!$M$6*2*Таблица1[[#This Row],[Столбец1]]*Таблица1[[#This Row],[коэф]])),
IF(OR(G441="4/24",G441="3/24"),((база!$M$5*2*Таблица1[[#This Row],[Столбец1]]*Таблица1[[#This Row],[коэф]])),
IF((G441="5/16"),((база!$L$6*2*Таблица1[[#This Row],[Столбец1]]*Таблица1[[#This Row],[коэф]])),
IF(OR(G441="4/16",G441="3/16"),((база!$L$5*2*Таблица1[[#This Row],[Столбец1]]*Таблица1[[#This Row],[коэф]])),
IF(OR(G441="2/4",G441="3/4",G441="4/4"),((база!$I$5*2*Таблица1[[#This Row],[Столбец1]]*Таблица1[[#This Row],[коэф]])),
IF((G441="5/8"),((база!$J$6*2*Таблица1[[#This Row],[Столбец1]]*Таблица1[[#This Row],[коэф]])),
IF(OR(G441="4/8",G441="3/8",G441="2/8"),((база!$J$5*2*Таблица1[[#This Row],[Столбец1]]*Таблица1[[#This Row],[коэф]])))))))))))</f>
        <v>0</v>
      </c>
      <c r="AQ441" s="678" t="str">
        <f>IFERROR(INDEX(база!T:T, MATCH(F441,база!Q:Q,0)),"")</f>
        <v/>
      </c>
      <c r="AR441" s="193">
        <f>IFERROR(INDEX(база!D:D, MATCH(F441,база!B:B,0)),"")</f>
        <v>0</v>
      </c>
    </row>
    <row r="442" spans="1:44" ht="15">
      <c r="A442" s="59"/>
      <c r="B442" s="215"/>
      <c r="C442" s="277"/>
      <c r="D442" s="55"/>
      <c r="E442" s="196"/>
      <c r="F442" s="651"/>
      <c r="G442" s="42"/>
      <c r="H442" s="539"/>
      <c r="I442" s="539"/>
      <c r="J442" s="539"/>
      <c r="K442" s="539"/>
      <c r="L442" s="539"/>
      <c r="M442" s="539"/>
      <c r="N442" s="539"/>
      <c r="O442" s="539"/>
      <c r="P442" s="278"/>
      <c r="Q442" s="539"/>
      <c r="R442" s="539"/>
      <c r="S442" s="539"/>
      <c r="T442" s="539"/>
      <c r="U442" s="539"/>
      <c r="V442" s="539"/>
      <c r="W442" s="539"/>
      <c r="X442" s="539"/>
      <c r="Y442" s="539"/>
      <c r="Z442" s="539"/>
      <c r="AA442" s="539"/>
      <c r="AB442" s="539"/>
      <c r="AC442" s="539"/>
      <c r="AD442" s="43"/>
      <c r="AE442" s="43"/>
      <c r="AF442" s="238"/>
      <c r="AG442" s="43"/>
      <c r="AH442" s="43"/>
      <c r="AI442" s="238"/>
      <c r="AJ442" s="238"/>
      <c r="AK442" s="238"/>
      <c r="AL442" s="238"/>
      <c r="AM442" s="197">
        <f>IF(AQ442=1,SUM(H442:I442,L442:O442,R442:U442,X442:AA442,AD442:AG442,AI442:AK442),
IF(AQ442=2,SUM(H442:K442,N442:Q442,T442:W442,Z442:AC442,AF442:AI442),
IF(AQ442=3,SUM(J442:M442,P442:S442,V442:Y442,AB442:AE442,AH442:AK442),SUM(Таблица1[[#This Row],[1]:[31]])-Таблица1[[#This Row],[Столбец1]])))</f>
        <v>0</v>
      </c>
      <c r="AN442" s="269">
        <f t="array" ref="AN442">IF(AQ442=1,SUM(J442:K442,P442:Q442,V442:W442,AB442:AC442,AH442:AI442),
IF(AQ442=2,SUM(L442:M442,R442:S442,X442:Y442,AD442:AE442),
IF(AQ442=3,SUM(H442:I442,N442:O442,T442:U442,Z442:AA442,AF442:AG442),
SUM(IFERROR(WEEKDAY($H$2:$AL$2,2)&gt;5,)*H442:AL442))))</f>
        <v>0</v>
      </c>
      <c r="AO442" s="271" t="b">
        <f>IF(AR442&lt;=3,(IF((G442="5/24"),((база!$M$6*Таблица1[[#This Row],[сумма]]*Таблица1[[#This Row],[коэф]])),
IF((G442="4/24"),((база!$M$5*Таблица1[[#This Row],[сумма]]*Таблица1[[#This Row],[коэф]])),
IF((G442="3/24"),((база!$M$4*Таблица1[[#This Row],[сумма]]*Таблица1[[#This Row],[коэф]])),
IF((G442="5/16"),((база!$L$6*Таблица1[[#This Row],[сумма]]*Таблица1[[#This Row],[коэф]])),
IF((G442="4/16"),((база!$L$5*Таблица1[[#This Row],[сумма]]*Таблица1[[#This Row],[коэф]])),
IF((G442="3/16"),((база!$L$4*Таблица1[[#This Row],[сумма]]*Таблица1[[#This Row],[коэф]])),
IF((G442="4/4"),((база!$I$5*Таблица1[[#This Row],[сумма]]*Таблица1[[#This Row],[коэф]])),
IF(OR(G442="2/4",G442="3/4"),((база!$I$4*Таблица1[[#This Row],[сумма]]*Таблица1[[#This Row],[коэф]])),
IF((G442="5/8"),((база!$J$6*Таблица1[[#This Row],[сумма]]*Таблица1[[#This Row],[коэф]])),
IF((G442="4/8"),((база!$J$5*Таблица1[[#This Row],[сумма]]*Таблица1[[#This Row],[коэф]])),
IF(OR(G442="3/8",G442="2/8"),((база!$J$4*Таблица1[[#This Row],[сумма]]*Таблица1[[#This Row],[коэф]])))))))))))))),
(IF((G442="5/24"),((база!$M$6*Таблица1[[#This Row],[сумма]]*Таблица1[[#This Row],[коэф]])),
IF(OR(G442="4/24",G442="3/24"),((база!$M$5*Таблица1[[#This Row],[сумма]]*Таблица1[[#This Row],[коэф]])),
IF((G442="5/16"),((база!$L$6*Таблица1[[#This Row],[сумма]]*Таблица1[[#This Row],[коэф]])),
IF(OR(G442="4/16",G442="3/16"),((база!$L$5*Таблица1[[#This Row],[сумма]]*Таблица1[[#This Row],[коэф]])),
IF(OR(G442="2/4",G442="3/4",G442="4/4"),((база!$I$5*Таблица1[[#This Row],[сумма]]*Таблица1[[#This Row],[коэф]])),
IF((G442="5/8"),((база!$J$6*Таблица1[[#This Row],[сумма]]*Таблица1[[#This Row],[коэф]])),
IF(OR(G442="4/8",G442="3/8",G442="2/8"),((база!$J$5*Таблица1[[#This Row],[сумма]]*Таблица1[[#This Row],[коэф]])))))))))))</f>
        <v>0</v>
      </c>
      <c r="AP442" s="696" t="b">
        <f>IF(AR442&lt;=3,(IF((G442="5/24"),((база!$M$6*2*Таблица1[[#This Row],[Столбец1]]*Таблица1[[#This Row],[коэф]])),
IF((G442="4/24"),((база!$M$5*2*Таблица1[[#This Row],[Столбец1]]*Таблица1[[#This Row],[коэф]])),
IF((G442="3/24"),((база!$M$4*2*Таблица1[[#This Row],[Столбец1]]*Таблица1[[#This Row],[коэф]])),
IF((G442="5/16"),((база!$L$6*2*Таблица1[[#This Row],[Столбец1]]*Таблица1[[#This Row],[коэф]])),
IF((G442="4/16"),((база!$L$5*2*Таблица1[[#This Row],[Столбец1]]*Таблица1[[#This Row],[коэф]])),
IF((G442="3/16"),((база!$L$4*2*Таблица1[[#This Row],[Столбец1]]*Таблица1[[#This Row],[коэф]])),
IF((G442="4/4"),((база!$I$5*2*Таблица1[[#This Row],[Столбец1]]*Таблица1[[#This Row],[коэф]])),
IF(OR(G442="2/4",G442="3/4"),((база!$I$4*2*Таблица1[[#This Row],[Столбец1]]*Таблица1[[#This Row],[коэф]])),
IF((G442="5/8"),((база!$J$6*2*Таблица1[[#This Row],[Столбец1]]*Таблица1[[#This Row],[коэф]])),
IF((G442="4/8"),((база!$J$5*2*Таблица1[[#This Row],[Столбец1]]*Таблица1[[#This Row],[коэф]])),
IF(OR(G442="3/8",G442="2/8"),((база!$J$4*2*Таблица1[[#This Row],[Столбец1]]*Таблица1[[#This Row],[коэф]])))))))))))))),
(IF((G442="5/24"),((база!$M$6*2*Таблица1[[#This Row],[Столбец1]]*Таблица1[[#This Row],[коэф]])),
IF(OR(G442="4/24",G442="3/24"),((база!$M$5*2*Таблица1[[#This Row],[Столбец1]]*Таблица1[[#This Row],[коэф]])),
IF((G442="5/16"),((база!$L$6*2*Таблица1[[#This Row],[Столбец1]]*Таблица1[[#This Row],[коэф]])),
IF(OR(G442="4/16",G442="3/16"),((база!$L$5*2*Таблица1[[#This Row],[Столбец1]]*Таблица1[[#This Row],[коэф]])),
IF(OR(G442="2/4",G442="3/4",G442="4/4"),((база!$I$5*2*Таблица1[[#This Row],[Столбец1]]*Таблица1[[#This Row],[коэф]])),
IF((G442="5/8"),((база!$J$6*2*Таблица1[[#This Row],[Столбец1]]*Таблица1[[#This Row],[коэф]])),
IF(OR(G442="4/8",G442="3/8",G442="2/8"),((база!$J$5*2*Таблица1[[#This Row],[Столбец1]]*Таблица1[[#This Row],[коэф]])))))))))))</f>
        <v>0</v>
      </c>
      <c r="AQ442" s="678" t="str">
        <f>IFERROR(INDEX(база!T:T, MATCH(F442,база!Q:Q,0)),"")</f>
        <v/>
      </c>
      <c r="AR442" s="193">
        <f>IFERROR(INDEX(база!D:D, MATCH(F442,база!B:B,0)),"")</f>
        <v>0</v>
      </c>
    </row>
    <row r="443" spans="1:44" ht="15">
      <c r="A443" s="59"/>
      <c r="B443" s="215"/>
      <c r="C443" s="277"/>
      <c r="D443" s="55"/>
      <c r="E443" s="196"/>
      <c r="F443" s="651"/>
      <c r="G443" s="42"/>
      <c r="H443" s="539"/>
      <c r="I443" s="539"/>
      <c r="J443" s="539"/>
      <c r="K443" s="539"/>
      <c r="L443" s="539"/>
      <c r="M443" s="539"/>
      <c r="N443" s="539"/>
      <c r="O443" s="539"/>
      <c r="P443" s="278"/>
      <c r="Q443" s="539"/>
      <c r="R443" s="539"/>
      <c r="S443" s="539"/>
      <c r="T443" s="539"/>
      <c r="U443" s="539"/>
      <c r="V443" s="539"/>
      <c r="W443" s="539"/>
      <c r="X443" s="539"/>
      <c r="Y443" s="539"/>
      <c r="Z443" s="539"/>
      <c r="AA443" s="539"/>
      <c r="AB443" s="539"/>
      <c r="AC443" s="539"/>
      <c r="AD443" s="43"/>
      <c r="AE443" s="43"/>
      <c r="AF443" s="238"/>
      <c r="AG443" s="43"/>
      <c r="AH443" s="43"/>
      <c r="AI443" s="43"/>
      <c r="AJ443" s="43"/>
      <c r="AK443" s="43"/>
      <c r="AL443" s="45"/>
      <c r="AM443" s="197">
        <f>IF(AQ443=1,SUM(H443:I443,L443:O443,R443:U443,X443:AA443,AD443:AG443,AI443:AK443),
IF(AQ443=2,SUM(H443:K443,N443:Q443,T443:W443,Z443:AC443,AF443:AI443),
IF(AQ443=3,SUM(J443:M443,P443:S443,V443:Y443,AB443:AE443,AH443:AK443),SUM(Таблица1[[#This Row],[1]:[31]])-Таблица1[[#This Row],[Столбец1]])))</f>
        <v>0</v>
      </c>
      <c r="AN443" s="269">
        <f t="array" ref="AN443">IF(AQ443=1,SUM(J443:K443,P443:Q443,V443:W443,AB443:AC443,AH443:AI443),
IF(AQ443=2,SUM(L443:M443,R443:S443,X443:Y443,AD443:AE443),
IF(AQ443=3,SUM(H443:I443,N443:O443,T443:U443,Z443:AA443,AF443:AG443),
SUM(IFERROR(WEEKDAY($H$2:$AL$2,2)&gt;5,)*H443:AL443))))</f>
        <v>0</v>
      </c>
      <c r="AO443" s="271" t="b">
        <f>IF(AR443&lt;=3,(IF((G443="5/24"),((база!$M$6*Таблица1[[#This Row],[сумма]]*Таблица1[[#This Row],[коэф]])),
IF((G443="4/24"),((база!$M$5*Таблица1[[#This Row],[сумма]]*Таблица1[[#This Row],[коэф]])),
IF((G443="3/24"),((база!$M$4*Таблица1[[#This Row],[сумма]]*Таблица1[[#This Row],[коэф]])),
IF((G443="5/16"),((база!$L$6*Таблица1[[#This Row],[сумма]]*Таблица1[[#This Row],[коэф]])),
IF((G443="4/16"),((база!$L$5*Таблица1[[#This Row],[сумма]]*Таблица1[[#This Row],[коэф]])),
IF((G443="3/16"),((база!$L$4*Таблица1[[#This Row],[сумма]]*Таблица1[[#This Row],[коэф]])),
IF((G443="4/4"),((база!$I$5*Таблица1[[#This Row],[сумма]]*Таблица1[[#This Row],[коэф]])),
IF(OR(G443="2/4",G443="3/4"),((база!$I$4*Таблица1[[#This Row],[сумма]]*Таблица1[[#This Row],[коэф]])),
IF((G443="5/8"),((база!$J$6*Таблица1[[#This Row],[сумма]]*Таблица1[[#This Row],[коэф]])),
IF((G443="4/8"),((база!$J$5*Таблица1[[#This Row],[сумма]]*Таблица1[[#This Row],[коэф]])),
IF(OR(G443="3/8",G443="2/8"),((база!$J$4*Таблица1[[#This Row],[сумма]]*Таблица1[[#This Row],[коэф]])))))))))))))),
(IF((G443="5/24"),((база!$M$6*Таблица1[[#This Row],[сумма]]*Таблица1[[#This Row],[коэф]])),
IF(OR(G443="4/24",G443="3/24"),((база!$M$5*Таблица1[[#This Row],[сумма]]*Таблица1[[#This Row],[коэф]])),
IF((G443="5/16"),((база!$L$6*Таблица1[[#This Row],[сумма]]*Таблица1[[#This Row],[коэф]])),
IF(OR(G443="4/16",G443="3/16"),((база!$L$5*Таблица1[[#This Row],[сумма]]*Таблица1[[#This Row],[коэф]])),
IF(OR(G443="2/4",G443="3/4",G443="4/4"),((база!$I$5*Таблица1[[#This Row],[сумма]]*Таблица1[[#This Row],[коэф]])),
IF((G443="5/8"),((база!$J$6*Таблица1[[#This Row],[сумма]]*Таблица1[[#This Row],[коэф]])),
IF(OR(G443="4/8",G443="3/8",G443="2/8"),((база!$J$5*Таблица1[[#This Row],[сумма]]*Таблица1[[#This Row],[коэф]])))))))))))</f>
        <v>0</v>
      </c>
      <c r="AP443" s="696" t="b">
        <f>IF(AR443&lt;=3,(IF((G443="5/24"),((база!$M$6*2*Таблица1[[#This Row],[Столбец1]]*Таблица1[[#This Row],[коэф]])),
IF((G443="4/24"),((база!$M$5*2*Таблица1[[#This Row],[Столбец1]]*Таблица1[[#This Row],[коэф]])),
IF((G443="3/24"),((база!$M$4*2*Таблица1[[#This Row],[Столбец1]]*Таблица1[[#This Row],[коэф]])),
IF((G443="5/16"),((база!$L$6*2*Таблица1[[#This Row],[Столбец1]]*Таблица1[[#This Row],[коэф]])),
IF((G443="4/16"),((база!$L$5*2*Таблица1[[#This Row],[Столбец1]]*Таблица1[[#This Row],[коэф]])),
IF((G443="3/16"),((база!$L$4*2*Таблица1[[#This Row],[Столбец1]]*Таблица1[[#This Row],[коэф]])),
IF((G443="4/4"),((база!$I$5*2*Таблица1[[#This Row],[Столбец1]]*Таблица1[[#This Row],[коэф]])),
IF(OR(G443="2/4",G443="3/4"),((база!$I$4*2*Таблица1[[#This Row],[Столбец1]]*Таблица1[[#This Row],[коэф]])),
IF((G443="5/8"),((база!$J$6*2*Таблица1[[#This Row],[Столбец1]]*Таблица1[[#This Row],[коэф]])),
IF((G443="4/8"),((база!$J$5*2*Таблица1[[#This Row],[Столбец1]]*Таблица1[[#This Row],[коэф]])),
IF(OR(G443="3/8",G443="2/8"),((база!$J$4*2*Таблица1[[#This Row],[Столбец1]]*Таблица1[[#This Row],[коэф]])))))))))))))),
(IF((G443="5/24"),((база!$M$6*2*Таблица1[[#This Row],[Столбец1]]*Таблица1[[#This Row],[коэф]])),
IF(OR(G443="4/24",G443="3/24"),((база!$M$5*2*Таблица1[[#This Row],[Столбец1]]*Таблица1[[#This Row],[коэф]])),
IF((G443="5/16"),((база!$L$6*2*Таблица1[[#This Row],[Столбец1]]*Таблица1[[#This Row],[коэф]])),
IF(OR(G443="4/16",G443="3/16"),((база!$L$5*2*Таблица1[[#This Row],[Столбец1]]*Таблица1[[#This Row],[коэф]])),
IF(OR(G443="2/4",G443="3/4",G443="4/4"),((база!$I$5*2*Таблица1[[#This Row],[Столбец1]]*Таблица1[[#This Row],[коэф]])),
IF((G443="5/8"),((база!$J$6*2*Таблица1[[#This Row],[Столбец1]]*Таблица1[[#This Row],[коэф]])),
IF(OR(G443="4/8",G443="3/8",G443="2/8"),((база!$J$5*2*Таблица1[[#This Row],[Столбец1]]*Таблица1[[#This Row],[коэф]])))))))))))</f>
        <v>0</v>
      </c>
      <c r="AQ443" s="678" t="str">
        <f>IFERROR(INDEX(база!T:T, MATCH(F443,база!Q:Q,0)),"")</f>
        <v/>
      </c>
      <c r="AR443" s="193">
        <f>IFERROR(INDEX(база!D:D, MATCH(F443,база!B:B,0)),"")</f>
        <v>0</v>
      </c>
    </row>
    <row r="444" spans="1:44" ht="15">
      <c r="A444" s="59"/>
      <c r="B444" s="215"/>
      <c r="C444" s="54"/>
      <c r="D444" s="55"/>
      <c r="E444" s="196"/>
      <c r="F444" s="651"/>
      <c r="G444" s="42"/>
      <c r="H444" s="539"/>
      <c r="I444" s="539"/>
      <c r="J444" s="539"/>
      <c r="K444" s="539"/>
      <c r="L444" s="539"/>
      <c r="M444" s="539"/>
      <c r="N444" s="539"/>
      <c r="O444" s="539"/>
      <c r="P444" s="278"/>
      <c r="Q444" s="539"/>
      <c r="R444" s="539"/>
      <c r="S444" s="539"/>
      <c r="T444" s="539"/>
      <c r="U444" s="539"/>
      <c r="V444" s="539"/>
      <c r="W444" s="539"/>
      <c r="X444" s="539"/>
      <c r="Y444" s="539"/>
      <c r="Z444" s="539"/>
      <c r="AA444" s="539"/>
      <c r="AB444" s="539"/>
      <c r="AC444" s="539"/>
      <c r="AD444" s="43"/>
      <c r="AE444" s="43"/>
      <c r="AF444" s="238"/>
      <c r="AG444" s="238"/>
      <c r="AH444" s="238"/>
      <c r="AI444" s="238"/>
      <c r="AJ444" s="238"/>
      <c r="AK444" s="238"/>
      <c r="AL444" s="238"/>
      <c r="AM444" s="197">
        <f>IF(AQ444=1,SUM(H444:I444,L444:O444,R444:U444,X444:AA444,AD444:AG444,AI444:AK444),
IF(AQ444=2,SUM(H444:K444,N444:Q444,T444:W444,Z444:AC444,AF444:AI444),
IF(AQ444=3,SUM(J444:M444,P444:S444,V444:Y444,AB444:AE444,AH444:AK444),SUM(Таблица1[[#This Row],[1]:[31]])-Таблица1[[#This Row],[Столбец1]])))</f>
        <v>0</v>
      </c>
      <c r="AN444" s="269">
        <f t="array" ref="AN444">IF(AQ444=1,SUM(J444:K444,P444:Q444,V444:W444,AB444:AC444,AH444:AI444),
IF(AQ444=2,SUM(L444:M444,R444:S444,X444:Y444,AD444:AE444),
IF(AQ444=3,SUM(H444:I444,N444:O444,T444:U444,Z444:AA444,AF444:AG444),
SUM(IFERROR(WEEKDAY($H$2:$AL$2,2)&gt;5,)*H444:AL444))))</f>
        <v>0</v>
      </c>
      <c r="AO444" s="271" t="b">
        <f>IF(AR444&lt;=3,(IF((G444="5/24"),((база!$M$6*Таблица1[[#This Row],[сумма]]*Таблица1[[#This Row],[коэф]])),
IF((G444="4/24"),((база!$M$5*Таблица1[[#This Row],[сумма]]*Таблица1[[#This Row],[коэф]])),
IF((G444="3/24"),((база!$M$4*Таблица1[[#This Row],[сумма]]*Таблица1[[#This Row],[коэф]])),
IF((G444="5/16"),((база!$L$6*Таблица1[[#This Row],[сумма]]*Таблица1[[#This Row],[коэф]])),
IF((G444="4/16"),((база!$L$5*Таблица1[[#This Row],[сумма]]*Таблица1[[#This Row],[коэф]])),
IF((G444="3/16"),((база!$L$4*Таблица1[[#This Row],[сумма]]*Таблица1[[#This Row],[коэф]])),
IF((G444="4/4"),((база!$I$5*Таблица1[[#This Row],[сумма]]*Таблица1[[#This Row],[коэф]])),
IF(OR(G444="2/4",G444="3/4"),((база!$I$4*Таблица1[[#This Row],[сумма]]*Таблица1[[#This Row],[коэф]])),
IF((G444="5/8"),((база!$J$6*Таблица1[[#This Row],[сумма]]*Таблица1[[#This Row],[коэф]])),
IF((G444="4/8"),((база!$J$5*Таблица1[[#This Row],[сумма]]*Таблица1[[#This Row],[коэф]])),
IF(OR(G444="3/8",G444="2/8"),((база!$J$4*Таблица1[[#This Row],[сумма]]*Таблица1[[#This Row],[коэф]])))))))))))))),
(IF((G444="5/24"),((база!$M$6*Таблица1[[#This Row],[сумма]]*Таблица1[[#This Row],[коэф]])),
IF(OR(G444="4/24",G444="3/24"),((база!$M$5*Таблица1[[#This Row],[сумма]]*Таблица1[[#This Row],[коэф]])),
IF((G444="5/16"),((база!$L$6*Таблица1[[#This Row],[сумма]]*Таблица1[[#This Row],[коэф]])),
IF(OR(G444="4/16",G444="3/16"),((база!$L$5*Таблица1[[#This Row],[сумма]]*Таблица1[[#This Row],[коэф]])),
IF(OR(G444="2/4",G444="3/4",G444="4/4"),((база!$I$5*Таблица1[[#This Row],[сумма]]*Таблица1[[#This Row],[коэф]])),
IF((G444="5/8"),((база!$J$6*Таблица1[[#This Row],[сумма]]*Таблица1[[#This Row],[коэф]])),
IF(OR(G444="4/8",G444="3/8",G444="2/8"),((база!$J$5*Таблица1[[#This Row],[сумма]]*Таблица1[[#This Row],[коэф]])))))))))))</f>
        <v>0</v>
      </c>
      <c r="AP444" s="696" t="b">
        <f>IF(AR444&lt;=3,(IF((G444="5/24"),((база!$M$6*2*Таблица1[[#This Row],[Столбец1]]*Таблица1[[#This Row],[коэф]])),
IF((G444="4/24"),((база!$M$5*2*Таблица1[[#This Row],[Столбец1]]*Таблица1[[#This Row],[коэф]])),
IF((G444="3/24"),((база!$M$4*2*Таблица1[[#This Row],[Столбец1]]*Таблица1[[#This Row],[коэф]])),
IF((G444="5/16"),((база!$L$6*2*Таблица1[[#This Row],[Столбец1]]*Таблица1[[#This Row],[коэф]])),
IF((G444="4/16"),((база!$L$5*2*Таблица1[[#This Row],[Столбец1]]*Таблица1[[#This Row],[коэф]])),
IF((G444="3/16"),((база!$L$4*2*Таблица1[[#This Row],[Столбец1]]*Таблица1[[#This Row],[коэф]])),
IF((G444="4/4"),((база!$I$5*2*Таблица1[[#This Row],[Столбец1]]*Таблица1[[#This Row],[коэф]])),
IF(OR(G444="2/4",G444="3/4"),((база!$I$4*2*Таблица1[[#This Row],[Столбец1]]*Таблица1[[#This Row],[коэф]])),
IF((G444="5/8"),((база!$J$6*2*Таблица1[[#This Row],[Столбец1]]*Таблица1[[#This Row],[коэф]])),
IF((G444="4/8"),((база!$J$5*2*Таблица1[[#This Row],[Столбец1]]*Таблица1[[#This Row],[коэф]])),
IF(OR(G444="3/8",G444="2/8"),((база!$J$4*2*Таблица1[[#This Row],[Столбец1]]*Таблица1[[#This Row],[коэф]])))))))))))))),
(IF((G444="5/24"),((база!$M$6*2*Таблица1[[#This Row],[Столбец1]]*Таблица1[[#This Row],[коэф]])),
IF(OR(G444="4/24",G444="3/24"),((база!$M$5*2*Таблица1[[#This Row],[Столбец1]]*Таблица1[[#This Row],[коэф]])),
IF((G444="5/16"),((база!$L$6*2*Таблица1[[#This Row],[Столбец1]]*Таблица1[[#This Row],[коэф]])),
IF(OR(G444="4/16",G444="3/16"),((база!$L$5*2*Таблица1[[#This Row],[Столбец1]]*Таблица1[[#This Row],[коэф]])),
IF(OR(G444="2/4",G444="3/4",G444="4/4"),((база!$I$5*2*Таблица1[[#This Row],[Столбец1]]*Таблица1[[#This Row],[коэф]])),
IF((G444="5/8"),((база!$J$6*2*Таблица1[[#This Row],[Столбец1]]*Таблица1[[#This Row],[коэф]])),
IF(OR(G444="4/8",G444="3/8",G444="2/8"),((база!$J$5*2*Таблица1[[#This Row],[Столбец1]]*Таблица1[[#This Row],[коэф]])))))))))))</f>
        <v>0</v>
      </c>
      <c r="AQ444" s="678" t="str">
        <f>IFERROR(INDEX(база!T:T, MATCH(F444,база!Q:Q,0)),"")</f>
        <v/>
      </c>
      <c r="AR444" s="193">
        <f>IFERROR(INDEX(база!D:D, MATCH(F444,база!B:B,0)),"")</f>
        <v>0</v>
      </c>
    </row>
    <row r="445" spans="1:44" ht="15">
      <c r="A445" s="59"/>
      <c r="B445" s="215"/>
      <c r="C445" s="54"/>
      <c r="D445" s="55"/>
      <c r="E445" s="196"/>
      <c r="F445" s="651"/>
      <c r="G445" s="42"/>
      <c r="H445" s="539"/>
      <c r="I445" s="539"/>
      <c r="J445" s="539"/>
      <c r="K445" s="539"/>
      <c r="L445" s="539"/>
      <c r="M445" s="539"/>
      <c r="N445" s="539"/>
      <c r="O445" s="539"/>
      <c r="P445" s="278"/>
      <c r="Q445" s="539"/>
      <c r="R445" s="539"/>
      <c r="S445" s="539"/>
      <c r="T445" s="539"/>
      <c r="U445" s="539"/>
      <c r="V445" s="539"/>
      <c r="W445" s="539"/>
      <c r="X445" s="539"/>
      <c r="Y445" s="539"/>
      <c r="Z445" s="539"/>
      <c r="AA445" s="539"/>
      <c r="AB445" s="539"/>
      <c r="AC445" s="539"/>
      <c r="AD445" s="43"/>
      <c r="AE445" s="43"/>
      <c r="AF445" s="238"/>
      <c r="AG445" s="43"/>
      <c r="AH445" s="43"/>
      <c r="AI445" s="43"/>
      <c r="AJ445" s="43"/>
      <c r="AK445" s="43"/>
      <c r="AL445" s="45"/>
      <c r="AM445" s="197">
        <f>IF(AQ445=1,SUM(H445:I445,L445:O445,R445:U445,X445:AA445,AD445:AG445,AI445:AK445),
IF(AQ445=2,SUM(H445:K445,N445:Q445,T445:W445,Z445:AC445,AF445:AI445),
IF(AQ445=3,SUM(J445:M445,P445:S445,V445:Y445,AB445:AE445,AH445:AK445),SUM(Таблица1[[#This Row],[1]:[31]])-Таблица1[[#This Row],[Столбец1]])))</f>
        <v>0</v>
      </c>
      <c r="AN445" s="269">
        <f t="array" ref="AN445">IF(AQ445=1,SUM(J445:K445,P445:Q445,V445:W445,AB445:AC445,AH445:AI445),
IF(AQ445=2,SUM(L445:M445,R445:S445,X445:Y445,AD445:AE445),
IF(AQ445=3,SUM(H445:I445,N445:O445,T445:U445,Z445:AA445,AF445:AG445),
SUM(IFERROR(WEEKDAY($H$2:$AL$2,2)&gt;5,)*H445:AL445))))</f>
        <v>0</v>
      </c>
      <c r="AO445" s="271" t="b">
        <f>IF(AR445&lt;=3,(IF((G445="5/24"),((база!$M$6*Таблица1[[#This Row],[сумма]]*Таблица1[[#This Row],[коэф]])),
IF((G445="4/24"),((база!$M$5*Таблица1[[#This Row],[сумма]]*Таблица1[[#This Row],[коэф]])),
IF((G445="3/24"),((база!$M$4*Таблица1[[#This Row],[сумма]]*Таблица1[[#This Row],[коэф]])),
IF((G445="5/16"),((база!$L$6*Таблица1[[#This Row],[сумма]]*Таблица1[[#This Row],[коэф]])),
IF((G445="4/16"),((база!$L$5*Таблица1[[#This Row],[сумма]]*Таблица1[[#This Row],[коэф]])),
IF((G445="3/16"),((база!$L$4*Таблица1[[#This Row],[сумма]]*Таблица1[[#This Row],[коэф]])),
IF((G445="4/4"),((база!$I$5*Таблица1[[#This Row],[сумма]]*Таблица1[[#This Row],[коэф]])),
IF(OR(G445="2/4",G445="3/4"),((база!$I$4*Таблица1[[#This Row],[сумма]]*Таблица1[[#This Row],[коэф]])),
IF((G445="5/8"),((база!$J$6*Таблица1[[#This Row],[сумма]]*Таблица1[[#This Row],[коэф]])),
IF((G445="4/8"),((база!$J$5*Таблица1[[#This Row],[сумма]]*Таблица1[[#This Row],[коэф]])),
IF(OR(G445="3/8",G445="2/8"),((база!$J$4*Таблица1[[#This Row],[сумма]]*Таблица1[[#This Row],[коэф]])))))))))))))),
(IF((G445="5/24"),((база!$M$6*Таблица1[[#This Row],[сумма]]*Таблица1[[#This Row],[коэф]])),
IF(OR(G445="4/24",G445="3/24"),((база!$M$5*Таблица1[[#This Row],[сумма]]*Таблица1[[#This Row],[коэф]])),
IF((G445="5/16"),((база!$L$6*Таблица1[[#This Row],[сумма]]*Таблица1[[#This Row],[коэф]])),
IF(OR(G445="4/16",G445="3/16"),((база!$L$5*Таблица1[[#This Row],[сумма]]*Таблица1[[#This Row],[коэф]])),
IF(OR(G445="2/4",G445="3/4",G445="4/4"),((база!$I$5*Таблица1[[#This Row],[сумма]]*Таблица1[[#This Row],[коэф]])),
IF((G445="5/8"),((база!$J$6*Таблица1[[#This Row],[сумма]]*Таблица1[[#This Row],[коэф]])),
IF(OR(G445="4/8",G445="3/8",G445="2/8"),((база!$J$5*Таблица1[[#This Row],[сумма]]*Таблица1[[#This Row],[коэф]])))))))))))</f>
        <v>0</v>
      </c>
      <c r="AP445" s="696" t="b">
        <f>IF(AR445&lt;=3,(IF((G445="5/24"),((база!$M$6*2*Таблица1[[#This Row],[Столбец1]]*Таблица1[[#This Row],[коэф]])),
IF((G445="4/24"),((база!$M$5*2*Таблица1[[#This Row],[Столбец1]]*Таблица1[[#This Row],[коэф]])),
IF((G445="3/24"),((база!$M$4*2*Таблица1[[#This Row],[Столбец1]]*Таблица1[[#This Row],[коэф]])),
IF((G445="5/16"),((база!$L$6*2*Таблица1[[#This Row],[Столбец1]]*Таблица1[[#This Row],[коэф]])),
IF((G445="4/16"),((база!$L$5*2*Таблица1[[#This Row],[Столбец1]]*Таблица1[[#This Row],[коэф]])),
IF((G445="3/16"),((база!$L$4*2*Таблица1[[#This Row],[Столбец1]]*Таблица1[[#This Row],[коэф]])),
IF((G445="4/4"),((база!$I$5*2*Таблица1[[#This Row],[Столбец1]]*Таблица1[[#This Row],[коэф]])),
IF(OR(G445="2/4",G445="3/4"),((база!$I$4*2*Таблица1[[#This Row],[Столбец1]]*Таблица1[[#This Row],[коэф]])),
IF((G445="5/8"),((база!$J$6*2*Таблица1[[#This Row],[Столбец1]]*Таблица1[[#This Row],[коэф]])),
IF((G445="4/8"),((база!$J$5*2*Таблица1[[#This Row],[Столбец1]]*Таблица1[[#This Row],[коэф]])),
IF(OR(G445="3/8",G445="2/8"),((база!$J$4*2*Таблица1[[#This Row],[Столбец1]]*Таблица1[[#This Row],[коэф]])))))))))))))),
(IF((G445="5/24"),((база!$M$6*2*Таблица1[[#This Row],[Столбец1]]*Таблица1[[#This Row],[коэф]])),
IF(OR(G445="4/24",G445="3/24"),((база!$M$5*2*Таблица1[[#This Row],[Столбец1]]*Таблица1[[#This Row],[коэф]])),
IF((G445="5/16"),((база!$L$6*2*Таблица1[[#This Row],[Столбец1]]*Таблица1[[#This Row],[коэф]])),
IF(OR(G445="4/16",G445="3/16"),((база!$L$5*2*Таблица1[[#This Row],[Столбец1]]*Таблица1[[#This Row],[коэф]])),
IF(OR(G445="2/4",G445="3/4",G445="4/4"),((база!$I$5*2*Таблица1[[#This Row],[Столбец1]]*Таблица1[[#This Row],[коэф]])),
IF((G445="5/8"),((база!$J$6*2*Таблица1[[#This Row],[Столбец1]]*Таблица1[[#This Row],[коэф]])),
IF(OR(G445="4/8",G445="3/8",G445="2/8"),((база!$J$5*2*Таблица1[[#This Row],[Столбец1]]*Таблица1[[#This Row],[коэф]])))))))))))</f>
        <v>0</v>
      </c>
      <c r="AQ445" s="678" t="str">
        <f>IFERROR(INDEX(база!T:T, MATCH(F445,база!Q:Q,0)),"")</f>
        <v/>
      </c>
      <c r="AR445" s="193">
        <f>IFERROR(INDEX(база!D:D, MATCH(F445,база!B:B,0)),"")</f>
        <v>0</v>
      </c>
    </row>
    <row r="446" spans="1:44" ht="15">
      <c r="A446" s="59"/>
      <c r="B446" s="215"/>
      <c r="C446" s="277"/>
      <c r="D446" s="55"/>
      <c r="E446" s="196"/>
      <c r="F446" s="651"/>
      <c r="G446" s="42"/>
      <c r="H446" s="539"/>
      <c r="I446" s="539"/>
      <c r="J446" s="539"/>
      <c r="K446" s="539"/>
      <c r="L446" s="539"/>
      <c r="M446" s="539"/>
      <c r="N446" s="539"/>
      <c r="O446" s="539"/>
      <c r="P446" s="278"/>
      <c r="Q446" s="539"/>
      <c r="R446" s="539"/>
      <c r="S446" s="539"/>
      <c r="T446" s="539"/>
      <c r="U446" s="539"/>
      <c r="V446" s="539"/>
      <c r="W446" s="539"/>
      <c r="X446" s="539"/>
      <c r="Y446" s="539"/>
      <c r="Z446" s="539"/>
      <c r="AA446" s="539"/>
      <c r="AB446" s="539"/>
      <c r="AC446" s="539"/>
      <c r="AD446" s="43"/>
      <c r="AE446" s="43"/>
      <c r="AF446" s="238"/>
      <c r="AG446" s="43"/>
      <c r="AH446" s="43"/>
      <c r="AI446" s="238"/>
      <c r="AJ446" s="238"/>
      <c r="AK446" s="238"/>
      <c r="AL446" s="238"/>
      <c r="AM446" s="197">
        <f>IF(AQ446=1,SUM(H446:I446,L446:O446,R446:U446,X446:AA446,AD446:AG446,AI446:AK446),
IF(AQ446=2,SUM(H446:K446,N446:Q446,T446:W446,Z446:AC446,AF446:AI446),
IF(AQ446=3,SUM(J446:M446,P446:S446,V446:Y446,AB446:AE446,AH446:AK446),SUM(Таблица1[[#This Row],[1]:[31]])-Таблица1[[#This Row],[Столбец1]])))</f>
        <v>0</v>
      </c>
      <c r="AN446" s="269">
        <f t="array" ref="AN446">IF(AQ446=1,SUM(J446:K446,P446:Q446,V446:W446,AB446:AC446,AH446:AI446),
IF(AQ446=2,SUM(L446:M446,R446:S446,X446:Y446,AD446:AE446),
IF(AQ446=3,SUM(H446:I446,N446:O446,T446:U446,Z446:AA446,AF446:AG446),
SUM(IFERROR(WEEKDAY($H$2:$AL$2,2)&gt;5,)*H446:AL446))))</f>
        <v>0</v>
      </c>
      <c r="AO446" s="271" t="b">
        <f>IF(AR446&lt;=3,(IF((G446="5/24"),((база!$M$6*Таблица1[[#This Row],[сумма]]*Таблица1[[#This Row],[коэф]])),
IF((G446="4/24"),((база!$M$5*Таблица1[[#This Row],[сумма]]*Таблица1[[#This Row],[коэф]])),
IF((G446="3/24"),((база!$M$4*Таблица1[[#This Row],[сумма]]*Таблица1[[#This Row],[коэф]])),
IF((G446="5/16"),((база!$L$6*Таблица1[[#This Row],[сумма]]*Таблица1[[#This Row],[коэф]])),
IF((G446="4/16"),((база!$L$5*Таблица1[[#This Row],[сумма]]*Таблица1[[#This Row],[коэф]])),
IF((G446="3/16"),((база!$L$4*Таблица1[[#This Row],[сумма]]*Таблица1[[#This Row],[коэф]])),
IF((G446="4/4"),((база!$I$5*Таблица1[[#This Row],[сумма]]*Таблица1[[#This Row],[коэф]])),
IF(OR(G446="2/4",G446="3/4"),((база!$I$4*Таблица1[[#This Row],[сумма]]*Таблица1[[#This Row],[коэф]])),
IF((G446="5/8"),((база!$J$6*Таблица1[[#This Row],[сумма]]*Таблица1[[#This Row],[коэф]])),
IF((G446="4/8"),((база!$J$5*Таблица1[[#This Row],[сумма]]*Таблица1[[#This Row],[коэф]])),
IF(OR(G446="3/8",G446="2/8"),((база!$J$4*Таблица1[[#This Row],[сумма]]*Таблица1[[#This Row],[коэф]])))))))))))))),
(IF((G446="5/24"),((база!$M$6*Таблица1[[#This Row],[сумма]]*Таблица1[[#This Row],[коэф]])),
IF(OR(G446="4/24",G446="3/24"),((база!$M$5*Таблица1[[#This Row],[сумма]]*Таблица1[[#This Row],[коэф]])),
IF((G446="5/16"),((база!$L$6*Таблица1[[#This Row],[сумма]]*Таблица1[[#This Row],[коэф]])),
IF(OR(G446="4/16",G446="3/16"),((база!$L$5*Таблица1[[#This Row],[сумма]]*Таблица1[[#This Row],[коэф]])),
IF(OR(G446="2/4",G446="3/4",G446="4/4"),((база!$I$5*Таблица1[[#This Row],[сумма]]*Таблица1[[#This Row],[коэф]])),
IF((G446="5/8"),((база!$J$6*Таблица1[[#This Row],[сумма]]*Таблица1[[#This Row],[коэф]])),
IF(OR(G446="4/8",G446="3/8",G446="2/8"),((база!$J$5*Таблица1[[#This Row],[сумма]]*Таблица1[[#This Row],[коэф]])))))))))))</f>
        <v>0</v>
      </c>
      <c r="AP446" s="696" t="b">
        <f>IF(AR446&lt;=3,(IF((G446="5/24"),((база!$M$6*2*Таблица1[[#This Row],[Столбец1]]*Таблица1[[#This Row],[коэф]])),
IF((G446="4/24"),((база!$M$5*2*Таблица1[[#This Row],[Столбец1]]*Таблица1[[#This Row],[коэф]])),
IF((G446="3/24"),((база!$M$4*2*Таблица1[[#This Row],[Столбец1]]*Таблица1[[#This Row],[коэф]])),
IF((G446="5/16"),((база!$L$6*2*Таблица1[[#This Row],[Столбец1]]*Таблица1[[#This Row],[коэф]])),
IF((G446="4/16"),((база!$L$5*2*Таблица1[[#This Row],[Столбец1]]*Таблица1[[#This Row],[коэф]])),
IF((G446="3/16"),((база!$L$4*2*Таблица1[[#This Row],[Столбец1]]*Таблица1[[#This Row],[коэф]])),
IF((G446="4/4"),((база!$I$5*2*Таблица1[[#This Row],[Столбец1]]*Таблица1[[#This Row],[коэф]])),
IF(OR(G446="2/4",G446="3/4"),((база!$I$4*2*Таблица1[[#This Row],[Столбец1]]*Таблица1[[#This Row],[коэф]])),
IF((G446="5/8"),((база!$J$6*2*Таблица1[[#This Row],[Столбец1]]*Таблица1[[#This Row],[коэф]])),
IF((G446="4/8"),((база!$J$5*2*Таблица1[[#This Row],[Столбец1]]*Таблица1[[#This Row],[коэф]])),
IF(OR(G446="3/8",G446="2/8"),((база!$J$4*2*Таблица1[[#This Row],[Столбец1]]*Таблица1[[#This Row],[коэф]])))))))))))))),
(IF((G446="5/24"),((база!$M$6*2*Таблица1[[#This Row],[Столбец1]]*Таблица1[[#This Row],[коэф]])),
IF(OR(G446="4/24",G446="3/24"),((база!$M$5*2*Таблица1[[#This Row],[Столбец1]]*Таблица1[[#This Row],[коэф]])),
IF((G446="5/16"),((база!$L$6*2*Таблица1[[#This Row],[Столбец1]]*Таблица1[[#This Row],[коэф]])),
IF(OR(G446="4/16",G446="3/16"),((база!$L$5*2*Таблица1[[#This Row],[Столбец1]]*Таблица1[[#This Row],[коэф]])),
IF(OR(G446="2/4",G446="3/4",G446="4/4"),((база!$I$5*2*Таблица1[[#This Row],[Столбец1]]*Таблица1[[#This Row],[коэф]])),
IF((G446="5/8"),((база!$J$6*2*Таблица1[[#This Row],[Столбец1]]*Таблица1[[#This Row],[коэф]])),
IF(OR(G446="4/8",G446="3/8",G446="2/8"),((база!$J$5*2*Таблица1[[#This Row],[Столбец1]]*Таблица1[[#This Row],[коэф]])))))))))))</f>
        <v>0</v>
      </c>
      <c r="AQ446" s="678" t="str">
        <f>IFERROR(INDEX(база!T:T, MATCH(F446,база!Q:Q,0)),"")</f>
        <v/>
      </c>
      <c r="AR446" s="193">
        <f>IFERROR(INDEX(база!D:D, MATCH(F446,база!B:B,0)),"")</f>
        <v>0</v>
      </c>
    </row>
    <row r="447" spans="1:44" ht="15">
      <c r="A447" s="59"/>
      <c r="B447" s="215"/>
      <c r="C447" s="54"/>
      <c r="D447" s="55"/>
      <c r="E447" s="196"/>
      <c r="F447" s="651"/>
      <c r="G447" s="42"/>
      <c r="H447" s="539"/>
      <c r="I447" s="539"/>
      <c r="J447" s="539"/>
      <c r="K447" s="539"/>
      <c r="L447" s="539"/>
      <c r="M447" s="539"/>
      <c r="N447" s="539"/>
      <c r="O447" s="539"/>
      <c r="P447" s="278"/>
      <c r="Q447" s="539"/>
      <c r="R447" s="539"/>
      <c r="S447" s="539"/>
      <c r="T447" s="539"/>
      <c r="U447" s="539"/>
      <c r="V447" s="539"/>
      <c r="W447" s="539"/>
      <c r="X447" s="539"/>
      <c r="Y447" s="539"/>
      <c r="Z447" s="539"/>
      <c r="AA447" s="539"/>
      <c r="AB447" s="539"/>
      <c r="AC447" s="539"/>
      <c r="AD447" s="43"/>
      <c r="AE447" s="43"/>
      <c r="AF447" s="238"/>
      <c r="AG447" s="43"/>
      <c r="AH447" s="43"/>
      <c r="AI447" s="43"/>
      <c r="AJ447" s="43"/>
      <c r="AK447" s="43"/>
      <c r="AL447" s="45"/>
      <c r="AM447" s="197">
        <f>IF(AQ447=1,SUM(H447:I447,L447:O447,R447:U447,X447:AA447,AD447:AG447,AI447:AK447),
IF(AQ447=2,SUM(H447:K447,N447:Q447,T447:W447,Z447:AC447,AF447:AI447),
IF(AQ447=3,SUM(J447:M447,P447:S447,V447:Y447,AB447:AE447,AH447:AK447),SUM(Таблица1[[#This Row],[1]:[31]])-Таблица1[[#This Row],[Столбец1]])))</f>
        <v>0</v>
      </c>
      <c r="AN447" s="269">
        <f t="array" ref="AN447">IF(AQ447=1,SUM(J447:K447,P447:Q447,V447:W447,AB447:AC447,AH447:AI447),
IF(AQ447=2,SUM(L447:M447,R447:S447,X447:Y447,AD447:AE447),
IF(AQ447=3,SUM(H447:I447,N447:O447,T447:U447,Z447:AA447,AF447:AG447),
SUM(IFERROR(WEEKDAY($H$2:$AL$2,2)&gt;5,)*H447:AL447))))</f>
        <v>0</v>
      </c>
      <c r="AO447" s="271" t="b">
        <f>IF(AR447&lt;=3,(IF((G447="5/24"),((база!$M$6*Таблица1[[#This Row],[сумма]]*Таблица1[[#This Row],[коэф]])),
IF((G447="4/24"),((база!$M$5*Таблица1[[#This Row],[сумма]]*Таблица1[[#This Row],[коэф]])),
IF((G447="3/24"),((база!$M$4*Таблица1[[#This Row],[сумма]]*Таблица1[[#This Row],[коэф]])),
IF((G447="5/16"),((база!$L$6*Таблица1[[#This Row],[сумма]]*Таблица1[[#This Row],[коэф]])),
IF((G447="4/16"),((база!$L$5*Таблица1[[#This Row],[сумма]]*Таблица1[[#This Row],[коэф]])),
IF((G447="3/16"),((база!$L$4*Таблица1[[#This Row],[сумма]]*Таблица1[[#This Row],[коэф]])),
IF((G447="4/4"),((база!$I$5*Таблица1[[#This Row],[сумма]]*Таблица1[[#This Row],[коэф]])),
IF(OR(G447="2/4",G447="3/4"),((база!$I$4*Таблица1[[#This Row],[сумма]]*Таблица1[[#This Row],[коэф]])),
IF((G447="5/8"),((база!$J$6*Таблица1[[#This Row],[сумма]]*Таблица1[[#This Row],[коэф]])),
IF((G447="4/8"),((база!$J$5*Таблица1[[#This Row],[сумма]]*Таблица1[[#This Row],[коэф]])),
IF(OR(G447="3/8",G447="2/8"),((база!$J$4*Таблица1[[#This Row],[сумма]]*Таблица1[[#This Row],[коэф]])))))))))))))),
(IF((G447="5/24"),((база!$M$6*Таблица1[[#This Row],[сумма]]*Таблица1[[#This Row],[коэф]])),
IF(OR(G447="4/24",G447="3/24"),((база!$M$5*Таблица1[[#This Row],[сумма]]*Таблица1[[#This Row],[коэф]])),
IF((G447="5/16"),((база!$L$6*Таблица1[[#This Row],[сумма]]*Таблица1[[#This Row],[коэф]])),
IF(OR(G447="4/16",G447="3/16"),((база!$L$5*Таблица1[[#This Row],[сумма]]*Таблица1[[#This Row],[коэф]])),
IF(OR(G447="2/4",G447="3/4",G447="4/4"),((база!$I$5*Таблица1[[#This Row],[сумма]]*Таблица1[[#This Row],[коэф]])),
IF((G447="5/8"),((база!$J$6*Таблица1[[#This Row],[сумма]]*Таблица1[[#This Row],[коэф]])),
IF(OR(G447="4/8",G447="3/8",G447="2/8"),((база!$J$5*Таблица1[[#This Row],[сумма]]*Таблица1[[#This Row],[коэф]])))))))))))</f>
        <v>0</v>
      </c>
      <c r="AP447" s="696" t="b">
        <f>IF(AR447&lt;=3,(IF((G447="5/24"),((база!$M$6*2*Таблица1[[#This Row],[Столбец1]]*Таблица1[[#This Row],[коэф]])),
IF((G447="4/24"),((база!$M$5*2*Таблица1[[#This Row],[Столбец1]]*Таблица1[[#This Row],[коэф]])),
IF((G447="3/24"),((база!$M$4*2*Таблица1[[#This Row],[Столбец1]]*Таблица1[[#This Row],[коэф]])),
IF((G447="5/16"),((база!$L$6*2*Таблица1[[#This Row],[Столбец1]]*Таблица1[[#This Row],[коэф]])),
IF((G447="4/16"),((база!$L$5*2*Таблица1[[#This Row],[Столбец1]]*Таблица1[[#This Row],[коэф]])),
IF((G447="3/16"),((база!$L$4*2*Таблица1[[#This Row],[Столбец1]]*Таблица1[[#This Row],[коэф]])),
IF((G447="4/4"),((база!$I$5*2*Таблица1[[#This Row],[Столбец1]]*Таблица1[[#This Row],[коэф]])),
IF(OR(G447="2/4",G447="3/4"),((база!$I$4*2*Таблица1[[#This Row],[Столбец1]]*Таблица1[[#This Row],[коэф]])),
IF((G447="5/8"),((база!$J$6*2*Таблица1[[#This Row],[Столбец1]]*Таблица1[[#This Row],[коэф]])),
IF((G447="4/8"),((база!$J$5*2*Таблица1[[#This Row],[Столбец1]]*Таблица1[[#This Row],[коэф]])),
IF(OR(G447="3/8",G447="2/8"),((база!$J$4*2*Таблица1[[#This Row],[Столбец1]]*Таблица1[[#This Row],[коэф]])))))))))))))),
(IF((G447="5/24"),((база!$M$6*2*Таблица1[[#This Row],[Столбец1]]*Таблица1[[#This Row],[коэф]])),
IF(OR(G447="4/24",G447="3/24"),((база!$M$5*2*Таблица1[[#This Row],[Столбец1]]*Таблица1[[#This Row],[коэф]])),
IF((G447="5/16"),((база!$L$6*2*Таблица1[[#This Row],[Столбец1]]*Таблица1[[#This Row],[коэф]])),
IF(OR(G447="4/16",G447="3/16"),((база!$L$5*2*Таблица1[[#This Row],[Столбец1]]*Таблица1[[#This Row],[коэф]])),
IF(OR(G447="2/4",G447="3/4",G447="4/4"),((база!$I$5*2*Таблица1[[#This Row],[Столбец1]]*Таблица1[[#This Row],[коэф]])),
IF((G447="5/8"),((база!$J$6*2*Таблица1[[#This Row],[Столбец1]]*Таблица1[[#This Row],[коэф]])),
IF(OR(G447="4/8",G447="3/8",G447="2/8"),((база!$J$5*2*Таблица1[[#This Row],[Столбец1]]*Таблица1[[#This Row],[коэф]])))))))))))</f>
        <v>0</v>
      </c>
      <c r="AQ447" s="678" t="str">
        <f>IFERROR(INDEX(база!T:T, MATCH(F447,база!Q:Q,0)),"")</f>
        <v/>
      </c>
      <c r="AR447" s="193">
        <f>IFERROR(INDEX(база!D:D, MATCH(F447,база!B:B,0)),"")</f>
        <v>0</v>
      </c>
    </row>
    <row r="448" spans="1:44" ht="15">
      <c r="A448" s="59"/>
      <c r="B448" s="215"/>
      <c r="C448" s="54"/>
      <c r="D448" s="55"/>
      <c r="E448" s="196"/>
      <c r="F448" s="651"/>
      <c r="G448" s="42"/>
      <c r="H448" s="539"/>
      <c r="I448" s="539"/>
      <c r="J448" s="539"/>
      <c r="K448" s="539"/>
      <c r="L448" s="539"/>
      <c r="M448" s="539"/>
      <c r="N448" s="539"/>
      <c r="O448" s="539"/>
      <c r="P448" s="278"/>
      <c r="Q448" s="539"/>
      <c r="R448" s="539"/>
      <c r="S448" s="539"/>
      <c r="T448" s="539"/>
      <c r="U448" s="539"/>
      <c r="V448" s="539"/>
      <c r="W448" s="539"/>
      <c r="X448" s="539"/>
      <c r="Y448" s="539"/>
      <c r="Z448" s="539"/>
      <c r="AA448" s="539"/>
      <c r="AB448" s="539"/>
      <c r="AC448" s="539"/>
      <c r="AD448" s="43"/>
      <c r="AE448" s="43"/>
      <c r="AF448" s="238"/>
      <c r="AG448" s="43"/>
      <c r="AH448" s="43"/>
      <c r="AI448" s="238"/>
      <c r="AJ448" s="238"/>
      <c r="AK448" s="238"/>
      <c r="AL448" s="238"/>
      <c r="AM448" s="197">
        <f>IF(AQ448=1,SUM(H448:I448,L448:O448,R448:U448,X448:AA448,AD448:AG448,AI448:AK448),
IF(AQ448=2,SUM(H448:K448,N448:Q448,T448:W448,Z448:AC448,AF448:AI448),
IF(AQ448=3,SUM(J448:M448,P448:S448,V448:Y448,AB448:AE448,AH448:AK448),SUM(Таблица1[[#This Row],[1]:[31]])-Таблица1[[#This Row],[Столбец1]])))</f>
        <v>0</v>
      </c>
      <c r="AN448" s="269">
        <f t="array" ref="AN448">IF(AQ448=1,SUM(J448:K448,P448:Q448,V448:W448,AB448:AC448,AH448:AI448),
IF(AQ448=2,SUM(L448:M448,R448:S448,X448:Y448,AD448:AE448),
IF(AQ448=3,SUM(H448:I448,N448:O448,T448:U448,Z448:AA448,AF448:AG448),
SUM(IFERROR(WEEKDAY($H$2:$AL$2,2)&gt;5,)*H448:AL448))))</f>
        <v>0</v>
      </c>
      <c r="AO448" s="271" t="b">
        <f>IF(AR448&lt;=3,(IF((G448="5/24"),((база!$M$6*Таблица1[[#This Row],[сумма]]*Таблица1[[#This Row],[коэф]])),
IF((G448="4/24"),((база!$M$5*Таблица1[[#This Row],[сумма]]*Таблица1[[#This Row],[коэф]])),
IF((G448="3/24"),((база!$M$4*Таблица1[[#This Row],[сумма]]*Таблица1[[#This Row],[коэф]])),
IF((G448="5/16"),((база!$L$6*Таблица1[[#This Row],[сумма]]*Таблица1[[#This Row],[коэф]])),
IF((G448="4/16"),((база!$L$5*Таблица1[[#This Row],[сумма]]*Таблица1[[#This Row],[коэф]])),
IF((G448="3/16"),((база!$L$4*Таблица1[[#This Row],[сумма]]*Таблица1[[#This Row],[коэф]])),
IF((G448="4/4"),((база!$I$5*Таблица1[[#This Row],[сумма]]*Таблица1[[#This Row],[коэф]])),
IF(OR(G448="2/4",G448="3/4"),((база!$I$4*Таблица1[[#This Row],[сумма]]*Таблица1[[#This Row],[коэф]])),
IF((G448="5/8"),((база!$J$6*Таблица1[[#This Row],[сумма]]*Таблица1[[#This Row],[коэф]])),
IF((G448="4/8"),((база!$J$5*Таблица1[[#This Row],[сумма]]*Таблица1[[#This Row],[коэф]])),
IF(OR(G448="3/8",G448="2/8"),((база!$J$4*Таблица1[[#This Row],[сумма]]*Таблица1[[#This Row],[коэф]])))))))))))))),
(IF((G448="5/24"),((база!$M$6*Таблица1[[#This Row],[сумма]]*Таблица1[[#This Row],[коэф]])),
IF(OR(G448="4/24",G448="3/24"),((база!$M$5*Таблица1[[#This Row],[сумма]]*Таблица1[[#This Row],[коэф]])),
IF((G448="5/16"),((база!$L$6*Таблица1[[#This Row],[сумма]]*Таблица1[[#This Row],[коэф]])),
IF(OR(G448="4/16",G448="3/16"),((база!$L$5*Таблица1[[#This Row],[сумма]]*Таблица1[[#This Row],[коэф]])),
IF(OR(G448="2/4",G448="3/4",G448="4/4"),((база!$I$5*Таблица1[[#This Row],[сумма]]*Таблица1[[#This Row],[коэф]])),
IF((G448="5/8"),((база!$J$6*Таблица1[[#This Row],[сумма]]*Таблица1[[#This Row],[коэф]])),
IF(OR(G448="4/8",G448="3/8",G448="2/8"),((база!$J$5*Таблица1[[#This Row],[сумма]]*Таблица1[[#This Row],[коэф]])))))))))))</f>
        <v>0</v>
      </c>
      <c r="AP448" s="696" t="b">
        <f>IF(AR448&lt;=3,(IF((G448="5/24"),((база!$M$6*2*Таблица1[[#This Row],[Столбец1]]*Таблица1[[#This Row],[коэф]])),
IF((G448="4/24"),((база!$M$5*2*Таблица1[[#This Row],[Столбец1]]*Таблица1[[#This Row],[коэф]])),
IF((G448="3/24"),((база!$M$4*2*Таблица1[[#This Row],[Столбец1]]*Таблица1[[#This Row],[коэф]])),
IF((G448="5/16"),((база!$L$6*2*Таблица1[[#This Row],[Столбец1]]*Таблица1[[#This Row],[коэф]])),
IF((G448="4/16"),((база!$L$5*2*Таблица1[[#This Row],[Столбец1]]*Таблица1[[#This Row],[коэф]])),
IF((G448="3/16"),((база!$L$4*2*Таблица1[[#This Row],[Столбец1]]*Таблица1[[#This Row],[коэф]])),
IF((G448="4/4"),((база!$I$5*2*Таблица1[[#This Row],[Столбец1]]*Таблица1[[#This Row],[коэф]])),
IF(OR(G448="2/4",G448="3/4"),((база!$I$4*2*Таблица1[[#This Row],[Столбец1]]*Таблица1[[#This Row],[коэф]])),
IF((G448="5/8"),((база!$J$6*2*Таблица1[[#This Row],[Столбец1]]*Таблица1[[#This Row],[коэф]])),
IF((G448="4/8"),((база!$J$5*2*Таблица1[[#This Row],[Столбец1]]*Таблица1[[#This Row],[коэф]])),
IF(OR(G448="3/8",G448="2/8"),((база!$J$4*2*Таблица1[[#This Row],[Столбец1]]*Таблица1[[#This Row],[коэф]])))))))))))))),
(IF((G448="5/24"),((база!$M$6*2*Таблица1[[#This Row],[Столбец1]]*Таблица1[[#This Row],[коэф]])),
IF(OR(G448="4/24",G448="3/24"),((база!$M$5*2*Таблица1[[#This Row],[Столбец1]]*Таблица1[[#This Row],[коэф]])),
IF((G448="5/16"),((база!$L$6*2*Таблица1[[#This Row],[Столбец1]]*Таблица1[[#This Row],[коэф]])),
IF(OR(G448="4/16",G448="3/16"),((база!$L$5*2*Таблица1[[#This Row],[Столбец1]]*Таблица1[[#This Row],[коэф]])),
IF(OR(G448="2/4",G448="3/4",G448="4/4"),((база!$I$5*2*Таблица1[[#This Row],[Столбец1]]*Таблица1[[#This Row],[коэф]])),
IF((G448="5/8"),((база!$J$6*2*Таблица1[[#This Row],[Столбец1]]*Таблица1[[#This Row],[коэф]])),
IF(OR(G448="4/8",G448="3/8",G448="2/8"),((база!$J$5*2*Таблица1[[#This Row],[Столбец1]]*Таблица1[[#This Row],[коэф]])))))))))))</f>
        <v>0</v>
      </c>
      <c r="AQ448" s="678" t="str">
        <f>IFERROR(INDEX(база!T:T, MATCH(F448,база!Q:Q,0)),"")</f>
        <v/>
      </c>
      <c r="AR448" s="193">
        <f>IFERROR(INDEX(база!D:D, MATCH(F448,база!B:B,0)),"")</f>
        <v>0</v>
      </c>
    </row>
    <row r="449" spans="1:44" ht="15">
      <c r="A449" s="59"/>
      <c r="B449" s="215"/>
      <c r="C449" s="277"/>
      <c r="D449" s="55"/>
      <c r="E449" s="196"/>
      <c r="F449" s="651"/>
      <c r="G449" s="42"/>
      <c r="H449" s="539"/>
      <c r="I449" s="539"/>
      <c r="J449" s="539"/>
      <c r="K449" s="539"/>
      <c r="L449" s="539"/>
      <c r="M449" s="539"/>
      <c r="N449" s="539"/>
      <c r="O449" s="539"/>
      <c r="P449" s="278"/>
      <c r="Q449" s="539"/>
      <c r="R449" s="539"/>
      <c r="S449" s="539"/>
      <c r="T449" s="539"/>
      <c r="U449" s="539"/>
      <c r="V449" s="539"/>
      <c r="W449" s="539"/>
      <c r="X449" s="539"/>
      <c r="Y449" s="539"/>
      <c r="Z449" s="539"/>
      <c r="AA449" s="539"/>
      <c r="AB449" s="539"/>
      <c r="AC449" s="539"/>
      <c r="AD449" s="43"/>
      <c r="AE449" s="43"/>
      <c r="AF449" s="238"/>
      <c r="AG449" s="43"/>
      <c r="AH449" s="43"/>
      <c r="AI449" s="43"/>
      <c r="AJ449" s="43"/>
      <c r="AK449" s="43"/>
      <c r="AL449" s="45"/>
      <c r="AM449" s="197">
        <f>IF(AQ449=1,SUM(H449:I449,L449:O449,R449:U449,X449:AA449,AD449:AG449,AI449:AK449),
IF(AQ449=2,SUM(H449:K449,N449:Q449,T449:W449,Z449:AC449,AF449:AI449),
IF(AQ449=3,SUM(J449:M449,P449:S449,V449:Y449,AB449:AE449,AH449:AK449),SUM(Таблица1[[#This Row],[1]:[31]])-Таблица1[[#This Row],[Столбец1]])))</f>
        <v>0</v>
      </c>
      <c r="AN449" s="269">
        <f t="array" ref="AN449">IF(AQ449=1,SUM(J449:K449,P449:Q449,V449:W449,AB449:AC449,AH449:AI449),
IF(AQ449=2,SUM(L449:M449,R449:S449,X449:Y449,AD449:AE449),
IF(AQ449=3,SUM(H449:I449,N449:O449,T449:U449,Z449:AA449,AF449:AG449),
SUM(IFERROR(WEEKDAY($H$2:$AL$2,2)&gt;5,)*H449:AL449))))</f>
        <v>0</v>
      </c>
      <c r="AO449" s="271" t="b">
        <f>IF(AR449&lt;=3,(IF((G449="5/24"),((база!$M$6*Таблица1[[#This Row],[сумма]]*Таблица1[[#This Row],[коэф]])),
IF((G449="4/24"),((база!$M$5*Таблица1[[#This Row],[сумма]]*Таблица1[[#This Row],[коэф]])),
IF((G449="3/24"),((база!$M$4*Таблица1[[#This Row],[сумма]]*Таблица1[[#This Row],[коэф]])),
IF((G449="5/16"),((база!$L$6*Таблица1[[#This Row],[сумма]]*Таблица1[[#This Row],[коэф]])),
IF((G449="4/16"),((база!$L$5*Таблица1[[#This Row],[сумма]]*Таблица1[[#This Row],[коэф]])),
IF((G449="3/16"),((база!$L$4*Таблица1[[#This Row],[сумма]]*Таблица1[[#This Row],[коэф]])),
IF((G449="4/4"),((база!$I$5*Таблица1[[#This Row],[сумма]]*Таблица1[[#This Row],[коэф]])),
IF(OR(G449="2/4",G449="3/4"),((база!$I$4*Таблица1[[#This Row],[сумма]]*Таблица1[[#This Row],[коэф]])),
IF((G449="5/8"),((база!$J$6*Таблица1[[#This Row],[сумма]]*Таблица1[[#This Row],[коэф]])),
IF((G449="4/8"),((база!$J$5*Таблица1[[#This Row],[сумма]]*Таблица1[[#This Row],[коэф]])),
IF(OR(G449="3/8",G449="2/8"),((база!$J$4*Таблица1[[#This Row],[сумма]]*Таблица1[[#This Row],[коэф]])))))))))))))),
(IF((G449="5/24"),((база!$M$6*Таблица1[[#This Row],[сумма]]*Таблица1[[#This Row],[коэф]])),
IF(OR(G449="4/24",G449="3/24"),((база!$M$5*Таблица1[[#This Row],[сумма]]*Таблица1[[#This Row],[коэф]])),
IF((G449="5/16"),((база!$L$6*Таблица1[[#This Row],[сумма]]*Таблица1[[#This Row],[коэф]])),
IF(OR(G449="4/16",G449="3/16"),((база!$L$5*Таблица1[[#This Row],[сумма]]*Таблица1[[#This Row],[коэф]])),
IF(OR(G449="2/4",G449="3/4",G449="4/4"),((база!$I$5*Таблица1[[#This Row],[сумма]]*Таблица1[[#This Row],[коэф]])),
IF((G449="5/8"),((база!$J$6*Таблица1[[#This Row],[сумма]]*Таблица1[[#This Row],[коэф]])),
IF(OR(G449="4/8",G449="3/8",G449="2/8"),((база!$J$5*Таблица1[[#This Row],[сумма]]*Таблица1[[#This Row],[коэф]])))))))))))</f>
        <v>0</v>
      </c>
      <c r="AP449" s="696" t="b">
        <f>IF(AR449&lt;=3,(IF((G449="5/24"),((база!$M$6*2*Таблица1[[#This Row],[Столбец1]]*Таблица1[[#This Row],[коэф]])),
IF((G449="4/24"),((база!$M$5*2*Таблица1[[#This Row],[Столбец1]]*Таблица1[[#This Row],[коэф]])),
IF((G449="3/24"),((база!$M$4*2*Таблица1[[#This Row],[Столбец1]]*Таблица1[[#This Row],[коэф]])),
IF((G449="5/16"),((база!$L$6*2*Таблица1[[#This Row],[Столбец1]]*Таблица1[[#This Row],[коэф]])),
IF((G449="4/16"),((база!$L$5*2*Таблица1[[#This Row],[Столбец1]]*Таблица1[[#This Row],[коэф]])),
IF((G449="3/16"),((база!$L$4*2*Таблица1[[#This Row],[Столбец1]]*Таблица1[[#This Row],[коэф]])),
IF((G449="4/4"),((база!$I$5*2*Таблица1[[#This Row],[Столбец1]]*Таблица1[[#This Row],[коэф]])),
IF(OR(G449="2/4",G449="3/4"),((база!$I$4*2*Таблица1[[#This Row],[Столбец1]]*Таблица1[[#This Row],[коэф]])),
IF((G449="5/8"),((база!$J$6*2*Таблица1[[#This Row],[Столбец1]]*Таблица1[[#This Row],[коэф]])),
IF((G449="4/8"),((база!$J$5*2*Таблица1[[#This Row],[Столбец1]]*Таблица1[[#This Row],[коэф]])),
IF(OR(G449="3/8",G449="2/8"),((база!$J$4*2*Таблица1[[#This Row],[Столбец1]]*Таблица1[[#This Row],[коэф]])))))))))))))),
(IF((G449="5/24"),((база!$M$6*2*Таблица1[[#This Row],[Столбец1]]*Таблица1[[#This Row],[коэф]])),
IF(OR(G449="4/24",G449="3/24"),((база!$M$5*2*Таблица1[[#This Row],[Столбец1]]*Таблица1[[#This Row],[коэф]])),
IF((G449="5/16"),((база!$L$6*2*Таблица1[[#This Row],[Столбец1]]*Таблица1[[#This Row],[коэф]])),
IF(OR(G449="4/16",G449="3/16"),((база!$L$5*2*Таблица1[[#This Row],[Столбец1]]*Таблица1[[#This Row],[коэф]])),
IF(OR(G449="2/4",G449="3/4",G449="4/4"),((база!$I$5*2*Таблица1[[#This Row],[Столбец1]]*Таблица1[[#This Row],[коэф]])),
IF((G449="5/8"),((база!$J$6*2*Таблица1[[#This Row],[Столбец1]]*Таблица1[[#This Row],[коэф]])),
IF(OR(G449="4/8",G449="3/8",G449="2/8"),((база!$J$5*2*Таблица1[[#This Row],[Столбец1]]*Таблица1[[#This Row],[коэф]])))))))))))</f>
        <v>0</v>
      </c>
      <c r="AQ449" s="678" t="str">
        <f>IFERROR(INDEX(база!T:T, MATCH(F449,база!Q:Q,0)),"")</f>
        <v/>
      </c>
      <c r="AR449" s="193">
        <f>IFERROR(INDEX(база!D:D, MATCH(F449,база!B:B,0)),"")</f>
        <v>0</v>
      </c>
    </row>
    <row r="450" spans="1:44" ht="15">
      <c r="A450" s="59"/>
      <c r="B450" s="215"/>
      <c r="C450" s="277"/>
      <c r="D450" s="55"/>
      <c r="E450" s="196"/>
      <c r="F450" s="651"/>
      <c r="G450" s="42"/>
      <c r="H450" s="539"/>
      <c r="I450" s="539"/>
      <c r="J450" s="539"/>
      <c r="K450" s="539"/>
      <c r="L450" s="539"/>
      <c r="M450" s="539"/>
      <c r="N450" s="539"/>
      <c r="O450" s="539"/>
      <c r="P450" s="278"/>
      <c r="Q450" s="539"/>
      <c r="R450" s="539"/>
      <c r="S450" s="539"/>
      <c r="T450" s="539"/>
      <c r="U450" s="539"/>
      <c r="V450" s="539"/>
      <c r="W450" s="539"/>
      <c r="X450" s="539"/>
      <c r="Y450" s="539"/>
      <c r="Z450" s="539"/>
      <c r="AA450" s="539"/>
      <c r="AB450" s="539"/>
      <c r="AC450" s="539"/>
      <c r="AD450" s="43"/>
      <c r="AE450" s="43"/>
      <c r="AF450" s="238"/>
      <c r="AG450" s="43"/>
      <c r="AH450" s="43"/>
      <c r="AI450" s="238"/>
      <c r="AJ450" s="238"/>
      <c r="AK450" s="238"/>
      <c r="AL450" s="238"/>
      <c r="AM450" s="197">
        <f>IF(AQ450=1,SUM(H450:I450,L450:O450,R450:U450,X450:AA450,AD450:AG450,AI450:AK450),
IF(AQ450=2,SUM(H450:K450,N450:Q450,T450:W450,Z450:AC450,AF450:AI450),
IF(AQ450=3,SUM(J450:M450,P450:S450,V450:Y450,AB450:AE450,AH450:AK450),SUM(Таблица1[[#This Row],[1]:[31]])-Таблица1[[#This Row],[Столбец1]])))</f>
        <v>0</v>
      </c>
      <c r="AN450" s="269">
        <f t="array" ref="AN450">IF(AQ450=1,SUM(J450:K450,P450:Q450,V450:W450,AB450:AC450,AH450:AI450),
IF(AQ450=2,SUM(L450:M450,R450:S450,X450:Y450,AD450:AE450),
IF(AQ450=3,SUM(H450:I450,N450:O450,T450:U450,Z450:AA450,AF450:AG450),
SUM(IFERROR(WEEKDAY($H$2:$AL$2,2)&gt;5,)*H450:AL450))))</f>
        <v>0</v>
      </c>
      <c r="AO450" s="271" t="b">
        <f>IF(AR450&lt;=3,(IF((G450="5/24"),((база!$M$6*Таблица1[[#This Row],[сумма]]*Таблица1[[#This Row],[коэф]])),
IF((G450="4/24"),((база!$M$5*Таблица1[[#This Row],[сумма]]*Таблица1[[#This Row],[коэф]])),
IF((G450="3/24"),((база!$M$4*Таблица1[[#This Row],[сумма]]*Таблица1[[#This Row],[коэф]])),
IF((G450="5/16"),((база!$L$6*Таблица1[[#This Row],[сумма]]*Таблица1[[#This Row],[коэф]])),
IF((G450="4/16"),((база!$L$5*Таблица1[[#This Row],[сумма]]*Таблица1[[#This Row],[коэф]])),
IF((G450="3/16"),((база!$L$4*Таблица1[[#This Row],[сумма]]*Таблица1[[#This Row],[коэф]])),
IF((G450="4/4"),((база!$I$5*Таблица1[[#This Row],[сумма]]*Таблица1[[#This Row],[коэф]])),
IF(OR(G450="2/4",G450="3/4"),((база!$I$4*Таблица1[[#This Row],[сумма]]*Таблица1[[#This Row],[коэф]])),
IF((G450="5/8"),((база!$J$6*Таблица1[[#This Row],[сумма]]*Таблица1[[#This Row],[коэф]])),
IF((G450="4/8"),((база!$J$5*Таблица1[[#This Row],[сумма]]*Таблица1[[#This Row],[коэф]])),
IF(OR(G450="3/8",G450="2/8"),((база!$J$4*Таблица1[[#This Row],[сумма]]*Таблица1[[#This Row],[коэф]])))))))))))))),
(IF((G450="5/24"),((база!$M$6*Таблица1[[#This Row],[сумма]]*Таблица1[[#This Row],[коэф]])),
IF(OR(G450="4/24",G450="3/24"),((база!$M$5*Таблица1[[#This Row],[сумма]]*Таблица1[[#This Row],[коэф]])),
IF((G450="5/16"),((база!$L$6*Таблица1[[#This Row],[сумма]]*Таблица1[[#This Row],[коэф]])),
IF(OR(G450="4/16",G450="3/16"),((база!$L$5*Таблица1[[#This Row],[сумма]]*Таблица1[[#This Row],[коэф]])),
IF(OR(G450="2/4",G450="3/4",G450="4/4"),((база!$I$5*Таблица1[[#This Row],[сумма]]*Таблица1[[#This Row],[коэф]])),
IF((G450="5/8"),((база!$J$6*Таблица1[[#This Row],[сумма]]*Таблица1[[#This Row],[коэф]])),
IF(OR(G450="4/8",G450="3/8",G450="2/8"),((база!$J$5*Таблица1[[#This Row],[сумма]]*Таблица1[[#This Row],[коэф]])))))))))))</f>
        <v>0</v>
      </c>
      <c r="AP450" s="696" t="b">
        <f>IF(AR450&lt;=3,(IF((G450="5/24"),((база!$M$6*2*Таблица1[[#This Row],[Столбец1]]*Таблица1[[#This Row],[коэф]])),
IF((G450="4/24"),((база!$M$5*2*Таблица1[[#This Row],[Столбец1]]*Таблица1[[#This Row],[коэф]])),
IF((G450="3/24"),((база!$M$4*2*Таблица1[[#This Row],[Столбец1]]*Таблица1[[#This Row],[коэф]])),
IF((G450="5/16"),((база!$L$6*2*Таблица1[[#This Row],[Столбец1]]*Таблица1[[#This Row],[коэф]])),
IF((G450="4/16"),((база!$L$5*2*Таблица1[[#This Row],[Столбец1]]*Таблица1[[#This Row],[коэф]])),
IF((G450="3/16"),((база!$L$4*2*Таблица1[[#This Row],[Столбец1]]*Таблица1[[#This Row],[коэф]])),
IF((G450="4/4"),((база!$I$5*2*Таблица1[[#This Row],[Столбец1]]*Таблица1[[#This Row],[коэф]])),
IF(OR(G450="2/4",G450="3/4"),((база!$I$4*2*Таблица1[[#This Row],[Столбец1]]*Таблица1[[#This Row],[коэф]])),
IF((G450="5/8"),((база!$J$6*2*Таблица1[[#This Row],[Столбец1]]*Таблица1[[#This Row],[коэф]])),
IF((G450="4/8"),((база!$J$5*2*Таблица1[[#This Row],[Столбец1]]*Таблица1[[#This Row],[коэф]])),
IF(OR(G450="3/8",G450="2/8"),((база!$J$4*2*Таблица1[[#This Row],[Столбец1]]*Таблица1[[#This Row],[коэф]])))))))))))))),
(IF((G450="5/24"),((база!$M$6*2*Таблица1[[#This Row],[Столбец1]]*Таблица1[[#This Row],[коэф]])),
IF(OR(G450="4/24",G450="3/24"),((база!$M$5*2*Таблица1[[#This Row],[Столбец1]]*Таблица1[[#This Row],[коэф]])),
IF((G450="5/16"),((база!$L$6*2*Таблица1[[#This Row],[Столбец1]]*Таблица1[[#This Row],[коэф]])),
IF(OR(G450="4/16",G450="3/16"),((база!$L$5*2*Таблица1[[#This Row],[Столбец1]]*Таблица1[[#This Row],[коэф]])),
IF(OR(G450="2/4",G450="3/4",G450="4/4"),((база!$I$5*2*Таблица1[[#This Row],[Столбец1]]*Таблица1[[#This Row],[коэф]])),
IF((G450="5/8"),((база!$J$6*2*Таблица1[[#This Row],[Столбец1]]*Таблица1[[#This Row],[коэф]])),
IF(OR(G450="4/8",G450="3/8",G450="2/8"),((база!$J$5*2*Таблица1[[#This Row],[Столбец1]]*Таблица1[[#This Row],[коэф]])))))))))))</f>
        <v>0</v>
      </c>
      <c r="AQ450" s="678" t="str">
        <f>IFERROR(INDEX(база!T:T, MATCH(F450,база!Q:Q,0)),"")</f>
        <v/>
      </c>
      <c r="AR450" s="193">
        <f>IFERROR(INDEX(база!D:D, MATCH(F450,база!B:B,0)),"")</f>
        <v>0</v>
      </c>
    </row>
    <row r="451" spans="1:44" ht="15">
      <c r="A451" s="59"/>
      <c r="B451" s="215"/>
      <c r="C451" s="277"/>
      <c r="D451" s="55"/>
      <c r="E451" s="196"/>
      <c r="F451" s="651"/>
      <c r="G451" s="42"/>
      <c r="H451" s="539"/>
      <c r="I451" s="539"/>
      <c r="J451" s="539"/>
      <c r="K451" s="539"/>
      <c r="L451" s="539"/>
      <c r="M451" s="539"/>
      <c r="N451" s="539"/>
      <c r="O451" s="539"/>
      <c r="P451" s="278"/>
      <c r="Q451" s="539"/>
      <c r="R451" s="539"/>
      <c r="S451" s="539"/>
      <c r="T451" s="539"/>
      <c r="U451" s="539"/>
      <c r="V451" s="539"/>
      <c r="W451" s="539"/>
      <c r="X451" s="539"/>
      <c r="Y451" s="539"/>
      <c r="Z451" s="539"/>
      <c r="AA451" s="539"/>
      <c r="AB451" s="539"/>
      <c r="AC451" s="539"/>
      <c r="AD451" s="43"/>
      <c r="AE451" s="43"/>
      <c r="AF451" s="238"/>
      <c r="AG451" s="43"/>
      <c r="AH451" s="43"/>
      <c r="AI451" s="43"/>
      <c r="AJ451" s="43"/>
      <c r="AK451" s="43"/>
      <c r="AL451" s="45"/>
      <c r="AM451" s="197">
        <f>IF(AQ451=1,SUM(H451:I451,L451:O451,R451:U451,X451:AA451,AD451:AG451,AI451:AK451),
IF(AQ451=2,SUM(H451:K451,N451:Q451,T451:W451,Z451:AC451,AF451:AI451),
IF(AQ451=3,SUM(J451:M451,P451:S451,V451:Y451,AB451:AE451,AH451:AK451),SUM(Таблица1[[#This Row],[1]:[31]])-Таблица1[[#This Row],[Столбец1]])))</f>
        <v>0</v>
      </c>
      <c r="AN451" s="269">
        <f t="array" ref="AN451">IF(AQ451=1,SUM(J451:K451,P451:Q451,V451:W451,AB451:AC451,AH451:AI451),
IF(AQ451=2,SUM(L451:M451,R451:S451,X451:Y451,AD451:AE451),
IF(AQ451=3,SUM(H451:I451,N451:O451,T451:U451,Z451:AA451,AF451:AG451),
SUM(IFERROR(WEEKDAY($H$2:$AL$2,2)&gt;5,)*H451:AL451))))</f>
        <v>0</v>
      </c>
      <c r="AO451" s="271" t="b">
        <f>IF(AR451&lt;=3,(IF((G451="5/24"),((база!$M$6*Таблица1[[#This Row],[сумма]]*Таблица1[[#This Row],[коэф]])),
IF((G451="4/24"),((база!$M$5*Таблица1[[#This Row],[сумма]]*Таблица1[[#This Row],[коэф]])),
IF((G451="3/24"),((база!$M$4*Таблица1[[#This Row],[сумма]]*Таблица1[[#This Row],[коэф]])),
IF((G451="5/16"),((база!$L$6*Таблица1[[#This Row],[сумма]]*Таблица1[[#This Row],[коэф]])),
IF((G451="4/16"),((база!$L$5*Таблица1[[#This Row],[сумма]]*Таблица1[[#This Row],[коэф]])),
IF((G451="3/16"),((база!$L$4*Таблица1[[#This Row],[сумма]]*Таблица1[[#This Row],[коэф]])),
IF((G451="4/4"),((база!$I$5*Таблица1[[#This Row],[сумма]]*Таблица1[[#This Row],[коэф]])),
IF(OR(G451="2/4",G451="3/4"),((база!$I$4*Таблица1[[#This Row],[сумма]]*Таблица1[[#This Row],[коэф]])),
IF((G451="5/8"),((база!$J$6*Таблица1[[#This Row],[сумма]]*Таблица1[[#This Row],[коэф]])),
IF((G451="4/8"),((база!$J$5*Таблица1[[#This Row],[сумма]]*Таблица1[[#This Row],[коэф]])),
IF(OR(G451="3/8",G451="2/8"),((база!$J$4*Таблица1[[#This Row],[сумма]]*Таблица1[[#This Row],[коэф]])))))))))))))),
(IF((G451="5/24"),((база!$M$6*Таблица1[[#This Row],[сумма]]*Таблица1[[#This Row],[коэф]])),
IF(OR(G451="4/24",G451="3/24"),((база!$M$5*Таблица1[[#This Row],[сумма]]*Таблица1[[#This Row],[коэф]])),
IF((G451="5/16"),((база!$L$6*Таблица1[[#This Row],[сумма]]*Таблица1[[#This Row],[коэф]])),
IF(OR(G451="4/16",G451="3/16"),((база!$L$5*Таблица1[[#This Row],[сумма]]*Таблица1[[#This Row],[коэф]])),
IF(OR(G451="2/4",G451="3/4",G451="4/4"),((база!$I$5*Таблица1[[#This Row],[сумма]]*Таблица1[[#This Row],[коэф]])),
IF((G451="5/8"),((база!$J$6*Таблица1[[#This Row],[сумма]]*Таблица1[[#This Row],[коэф]])),
IF(OR(G451="4/8",G451="3/8",G451="2/8"),((база!$J$5*Таблица1[[#This Row],[сумма]]*Таблица1[[#This Row],[коэф]])))))))))))</f>
        <v>0</v>
      </c>
      <c r="AP451" s="696" t="b">
        <f>IF(AR451&lt;=3,(IF((G451="5/24"),((база!$M$6*2*Таблица1[[#This Row],[Столбец1]]*Таблица1[[#This Row],[коэф]])),
IF((G451="4/24"),((база!$M$5*2*Таблица1[[#This Row],[Столбец1]]*Таблица1[[#This Row],[коэф]])),
IF((G451="3/24"),((база!$M$4*2*Таблица1[[#This Row],[Столбец1]]*Таблица1[[#This Row],[коэф]])),
IF((G451="5/16"),((база!$L$6*2*Таблица1[[#This Row],[Столбец1]]*Таблица1[[#This Row],[коэф]])),
IF((G451="4/16"),((база!$L$5*2*Таблица1[[#This Row],[Столбец1]]*Таблица1[[#This Row],[коэф]])),
IF((G451="3/16"),((база!$L$4*2*Таблица1[[#This Row],[Столбец1]]*Таблица1[[#This Row],[коэф]])),
IF((G451="4/4"),((база!$I$5*2*Таблица1[[#This Row],[Столбец1]]*Таблица1[[#This Row],[коэф]])),
IF(OR(G451="2/4",G451="3/4"),((база!$I$4*2*Таблица1[[#This Row],[Столбец1]]*Таблица1[[#This Row],[коэф]])),
IF((G451="5/8"),((база!$J$6*2*Таблица1[[#This Row],[Столбец1]]*Таблица1[[#This Row],[коэф]])),
IF((G451="4/8"),((база!$J$5*2*Таблица1[[#This Row],[Столбец1]]*Таблица1[[#This Row],[коэф]])),
IF(OR(G451="3/8",G451="2/8"),((база!$J$4*2*Таблица1[[#This Row],[Столбец1]]*Таблица1[[#This Row],[коэф]])))))))))))))),
(IF((G451="5/24"),((база!$M$6*2*Таблица1[[#This Row],[Столбец1]]*Таблица1[[#This Row],[коэф]])),
IF(OR(G451="4/24",G451="3/24"),((база!$M$5*2*Таблица1[[#This Row],[Столбец1]]*Таблица1[[#This Row],[коэф]])),
IF((G451="5/16"),((база!$L$6*2*Таблица1[[#This Row],[Столбец1]]*Таблица1[[#This Row],[коэф]])),
IF(OR(G451="4/16",G451="3/16"),((база!$L$5*2*Таблица1[[#This Row],[Столбец1]]*Таблица1[[#This Row],[коэф]])),
IF(OR(G451="2/4",G451="3/4",G451="4/4"),((база!$I$5*2*Таблица1[[#This Row],[Столбец1]]*Таблица1[[#This Row],[коэф]])),
IF((G451="5/8"),((база!$J$6*2*Таблица1[[#This Row],[Столбец1]]*Таблица1[[#This Row],[коэф]])),
IF(OR(G451="4/8",G451="3/8",G451="2/8"),((база!$J$5*2*Таблица1[[#This Row],[Столбец1]]*Таблица1[[#This Row],[коэф]])))))))))))</f>
        <v>0</v>
      </c>
      <c r="AQ451" s="678" t="str">
        <f>IFERROR(INDEX(база!T:T, MATCH(F451,база!Q:Q,0)),"")</f>
        <v/>
      </c>
      <c r="AR451" s="193">
        <f>IFERROR(INDEX(база!D:D, MATCH(F451,база!B:B,0)),"")</f>
        <v>0</v>
      </c>
    </row>
    <row r="452" spans="1:44" ht="15">
      <c r="A452" s="59"/>
      <c r="B452" s="215"/>
      <c r="C452" s="277"/>
      <c r="D452" s="55"/>
      <c r="E452" s="196"/>
      <c r="F452" s="651"/>
      <c r="G452" s="42"/>
      <c r="H452" s="539"/>
      <c r="I452" s="539"/>
      <c r="J452" s="539"/>
      <c r="K452" s="539"/>
      <c r="L452" s="539"/>
      <c r="M452" s="539"/>
      <c r="N452" s="539"/>
      <c r="O452" s="539"/>
      <c r="P452" s="278"/>
      <c r="Q452" s="539"/>
      <c r="R452" s="539"/>
      <c r="S452" s="539"/>
      <c r="T452" s="539"/>
      <c r="U452" s="539"/>
      <c r="V452" s="539"/>
      <c r="W452" s="539"/>
      <c r="X452" s="539"/>
      <c r="Y452" s="539"/>
      <c r="Z452" s="539"/>
      <c r="AA452" s="539"/>
      <c r="AB452" s="539"/>
      <c r="AC452" s="539"/>
      <c r="AD452" s="43"/>
      <c r="AE452" s="43"/>
      <c r="AF452" s="238"/>
      <c r="AG452" s="43"/>
      <c r="AH452" s="43"/>
      <c r="AI452" s="238"/>
      <c r="AJ452" s="238"/>
      <c r="AK452" s="238"/>
      <c r="AL452" s="238"/>
      <c r="AM452" s="197">
        <f>IF(AQ452=1,SUM(H452:I452,L452:O452,R452:U452,X452:AA452,AD452:AG452,AI452:AK452),
IF(AQ452=2,SUM(H452:K452,N452:Q452,T452:W452,Z452:AC452,AF452:AI452),
IF(AQ452=3,SUM(J452:M452,P452:S452,V452:Y452,AB452:AE452,AH452:AK452),SUM(Таблица1[[#This Row],[1]:[31]])-Таблица1[[#This Row],[Столбец1]])))</f>
        <v>0</v>
      </c>
      <c r="AN452" s="269">
        <f t="array" ref="AN452">IF(AQ452=1,SUM(J452:K452,P452:Q452,V452:W452,AB452:AC452,AH452:AI452),
IF(AQ452=2,SUM(L452:M452,R452:S452,X452:Y452,AD452:AE452),
IF(AQ452=3,SUM(H452:I452,N452:O452,T452:U452,Z452:AA452,AF452:AG452),
SUM(IFERROR(WEEKDAY($H$2:$AL$2,2)&gt;5,)*H452:AL452))))</f>
        <v>0</v>
      </c>
      <c r="AO452" s="271" t="b">
        <f>IF(AR452&lt;=3,(IF((G452="5/24"),((база!$M$6*Таблица1[[#This Row],[сумма]]*Таблица1[[#This Row],[коэф]])),
IF((G452="4/24"),((база!$M$5*Таблица1[[#This Row],[сумма]]*Таблица1[[#This Row],[коэф]])),
IF((G452="3/24"),((база!$M$4*Таблица1[[#This Row],[сумма]]*Таблица1[[#This Row],[коэф]])),
IF((G452="5/16"),((база!$L$6*Таблица1[[#This Row],[сумма]]*Таблица1[[#This Row],[коэф]])),
IF((G452="4/16"),((база!$L$5*Таблица1[[#This Row],[сумма]]*Таблица1[[#This Row],[коэф]])),
IF((G452="3/16"),((база!$L$4*Таблица1[[#This Row],[сумма]]*Таблица1[[#This Row],[коэф]])),
IF((G452="4/4"),((база!$I$5*Таблица1[[#This Row],[сумма]]*Таблица1[[#This Row],[коэф]])),
IF(OR(G452="2/4",G452="3/4"),((база!$I$4*Таблица1[[#This Row],[сумма]]*Таблица1[[#This Row],[коэф]])),
IF((G452="5/8"),((база!$J$6*Таблица1[[#This Row],[сумма]]*Таблица1[[#This Row],[коэф]])),
IF((G452="4/8"),((база!$J$5*Таблица1[[#This Row],[сумма]]*Таблица1[[#This Row],[коэф]])),
IF(OR(G452="3/8",G452="2/8"),((база!$J$4*Таблица1[[#This Row],[сумма]]*Таблица1[[#This Row],[коэф]])))))))))))))),
(IF((G452="5/24"),((база!$M$6*Таблица1[[#This Row],[сумма]]*Таблица1[[#This Row],[коэф]])),
IF(OR(G452="4/24",G452="3/24"),((база!$M$5*Таблица1[[#This Row],[сумма]]*Таблица1[[#This Row],[коэф]])),
IF((G452="5/16"),((база!$L$6*Таблица1[[#This Row],[сумма]]*Таблица1[[#This Row],[коэф]])),
IF(OR(G452="4/16",G452="3/16"),((база!$L$5*Таблица1[[#This Row],[сумма]]*Таблица1[[#This Row],[коэф]])),
IF(OR(G452="2/4",G452="3/4",G452="4/4"),((база!$I$5*Таблица1[[#This Row],[сумма]]*Таблица1[[#This Row],[коэф]])),
IF((G452="5/8"),((база!$J$6*Таблица1[[#This Row],[сумма]]*Таблица1[[#This Row],[коэф]])),
IF(OR(G452="4/8",G452="3/8",G452="2/8"),((база!$J$5*Таблица1[[#This Row],[сумма]]*Таблица1[[#This Row],[коэф]])))))))))))</f>
        <v>0</v>
      </c>
      <c r="AP452" s="696" t="b">
        <f>IF(AR452&lt;=3,(IF((G452="5/24"),((база!$M$6*2*Таблица1[[#This Row],[Столбец1]]*Таблица1[[#This Row],[коэф]])),
IF((G452="4/24"),((база!$M$5*2*Таблица1[[#This Row],[Столбец1]]*Таблица1[[#This Row],[коэф]])),
IF((G452="3/24"),((база!$M$4*2*Таблица1[[#This Row],[Столбец1]]*Таблица1[[#This Row],[коэф]])),
IF((G452="5/16"),((база!$L$6*2*Таблица1[[#This Row],[Столбец1]]*Таблица1[[#This Row],[коэф]])),
IF((G452="4/16"),((база!$L$5*2*Таблица1[[#This Row],[Столбец1]]*Таблица1[[#This Row],[коэф]])),
IF((G452="3/16"),((база!$L$4*2*Таблица1[[#This Row],[Столбец1]]*Таблица1[[#This Row],[коэф]])),
IF((G452="4/4"),((база!$I$5*2*Таблица1[[#This Row],[Столбец1]]*Таблица1[[#This Row],[коэф]])),
IF(OR(G452="2/4",G452="3/4"),((база!$I$4*2*Таблица1[[#This Row],[Столбец1]]*Таблица1[[#This Row],[коэф]])),
IF((G452="5/8"),((база!$J$6*2*Таблица1[[#This Row],[Столбец1]]*Таблица1[[#This Row],[коэф]])),
IF((G452="4/8"),((база!$J$5*2*Таблица1[[#This Row],[Столбец1]]*Таблица1[[#This Row],[коэф]])),
IF(OR(G452="3/8",G452="2/8"),((база!$J$4*2*Таблица1[[#This Row],[Столбец1]]*Таблица1[[#This Row],[коэф]])))))))))))))),
(IF((G452="5/24"),((база!$M$6*2*Таблица1[[#This Row],[Столбец1]]*Таблица1[[#This Row],[коэф]])),
IF(OR(G452="4/24",G452="3/24"),((база!$M$5*2*Таблица1[[#This Row],[Столбец1]]*Таблица1[[#This Row],[коэф]])),
IF((G452="5/16"),((база!$L$6*2*Таблица1[[#This Row],[Столбец1]]*Таблица1[[#This Row],[коэф]])),
IF(OR(G452="4/16",G452="3/16"),((база!$L$5*2*Таблица1[[#This Row],[Столбец1]]*Таблица1[[#This Row],[коэф]])),
IF(OR(G452="2/4",G452="3/4",G452="4/4"),((база!$I$5*2*Таблица1[[#This Row],[Столбец1]]*Таблица1[[#This Row],[коэф]])),
IF((G452="5/8"),((база!$J$6*2*Таблица1[[#This Row],[Столбец1]]*Таблица1[[#This Row],[коэф]])),
IF(OR(G452="4/8",G452="3/8",G452="2/8"),((база!$J$5*2*Таблица1[[#This Row],[Столбец1]]*Таблица1[[#This Row],[коэф]])))))))))))</f>
        <v>0</v>
      </c>
      <c r="AQ452" s="678" t="str">
        <f>IFERROR(INDEX(база!T:T, MATCH(F452,база!Q:Q,0)),"")</f>
        <v/>
      </c>
      <c r="AR452" s="193">
        <f>IFERROR(INDEX(база!D:D, MATCH(F452,база!B:B,0)),"")</f>
        <v>0</v>
      </c>
    </row>
    <row r="453" spans="1:44" ht="15">
      <c r="A453" s="59"/>
      <c r="B453" s="215"/>
      <c r="C453" s="277"/>
      <c r="D453" s="55"/>
      <c r="E453" s="196"/>
      <c r="F453" s="651"/>
      <c r="G453" s="42"/>
      <c r="H453" s="539"/>
      <c r="I453" s="539"/>
      <c r="J453" s="539"/>
      <c r="K453" s="539"/>
      <c r="L453" s="539"/>
      <c r="M453" s="539"/>
      <c r="N453" s="539"/>
      <c r="O453" s="539"/>
      <c r="P453" s="278"/>
      <c r="Q453" s="539"/>
      <c r="R453" s="539"/>
      <c r="S453" s="539"/>
      <c r="T453" s="539"/>
      <c r="U453" s="539"/>
      <c r="V453" s="539"/>
      <c r="W453" s="539"/>
      <c r="X453" s="539"/>
      <c r="Y453" s="539"/>
      <c r="Z453" s="539"/>
      <c r="AA453" s="539"/>
      <c r="AB453" s="539"/>
      <c r="AC453" s="539"/>
      <c r="AD453" s="43"/>
      <c r="AE453" s="43"/>
      <c r="AF453" s="238"/>
      <c r="AG453" s="43"/>
      <c r="AH453" s="43"/>
      <c r="AI453" s="43"/>
      <c r="AJ453" s="43"/>
      <c r="AK453" s="43"/>
      <c r="AL453" s="45"/>
      <c r="AM453" s="197">
        <f>IF(AQ453=1,SUM(H453:I453,L453:O453,R453:U453,X453:AA453,AD453:AG453,AI453:AK453),
IF(AQ453=2,SUM(H453:K453,N453:Q453,T453:W453,Z453:AC453,AF453:AI453),
IF(AQ453=3,SUM(J453:M453,P453:S453,V453:Y453,AB453:AE453,AH453:AK453),SUM(Таблица1[[#This Row],[1]:[31]])-Таблица1[[#This Row],[Столбец1]])))</f>
        <v>0</v>
      </c>
      <c r="AN453" s="269">
        <f t="array" ref="AN453">IF(AQ453=1,SUM(J453:K453,P453:Q453,V453:W453,AB453:AC453,AH453:AI453),
IF(AQ453=2,SUM(L453:M453,R453:S453,X453:Y453,AD453:AE453),
IF(AQ453=3,SUM(H453:I453,N453:O453,T453:U453,Z453:AA453,AF453:AG453),
SUM(IFERROR(WEEKDAY($H$2:$AL$2,2)&gt;5,)*H453:AL453))))</f>
        <v>0</v>
      </c>
      <c r="AO453" s="271" t="b">
        <f>IF(AR453&lt;=3,(IF((G453="5/24"),((база!$M$6*Таблица1[[#This Row],[сумма]]*Таблица1[[#This Row],[коэф]])),
IF((G453="4/24"),((база!$M$5*Таблица1[[#This Row],[сумма]]*Таблица1[[#This Row],[коэф]])),
IF((G453="3/24"),((база!$M$4*Таблица1[[#This Row],[сумма]]*Таблица1[[#This Row],[коэф]])),
IF((G453="5/16"),((база!$L$6*Таблица1[[#This Row],[сумма]]*Таблица1[[#This Row],[коэф]])),
IF((G453="4/16"),((база!$L$5*Таблица1[[#This Row],[сумма]]*Таблица1[[#This Row],[коэф]])),
IF((G453="3/16"),((база!$L$4*Таблица1[[#This Row],[сумма]]*Таблица1[[#This Row],[коэф]])),
IF((G453="4/4"),((база!$I$5*Таблица1[[#This Row],[сумма]]*Таблица1[[#This Row],[коэф]])),
IF(OR(G453="2/4",G453="3/4"),((база!$I$4*Таблица1[[#This Row],[сумма]]*Таблица1[[#This Row],[коэф]])),
IF((G453="5/8"),((база!$J$6*Таблица1[[#This Row],[сумма]]*Таблица1[[#This Row],[коэф]])),
IF((G453="4/8"),((база!$J$5*Таблица1[[#This Row],[сумма]]*Таблица1[[#This Row],[коэф]])),
IF(OR(G453="3/8",G453="2/8"),((база!$J$4*Таблица1[[#This Row],[сумма]]*Таблица1[[#This Row],[коэф]])))))))))))))),
(IF((G453="5/24"),((база!$M$6*Таблица1[[#This Row],[сумма]]*Таблица1[[#This Row],[коэф]])),
IF(OR(G453="4/24",G453="3/24"),((база!$M$5*Таблица1[[#This Row],[сумма]]*Таблица1[[#This Row],[коэф]])),
IF((G453="5/16"),((база!$L$6*Таблица1[[#This Row],[сумма]]*Таблица1[[#This Row],[коэф]])),
IF(OR(G453="4/16",G453="3/16"),((база!$L$5*Таблица1[[#This Row],[сумма]]*Таблица1[[#This Row],[коэф]])),
IF(OR(G453="2/4",G453="3/4",G453="4/4"),((база!$I$5*Таблица1[[#This Row],[сумма]]*Таблица1[[#This Row],[коэф]])),
IF((G453="5/8"),((база!$J$6*Таблица1[[#This Row],[сумма]]*Таблица1[[#This Row],[коэф]])),
IF(OR(G453="4/8",G453="3/8",G453="2/8"),((база!$J$5*Таблица1[[#This Row],[сумма]]*Таблица1[[#This Row],[коэф]])))))))))))</f>
        <v>0</v>
      </c>
      <c r="AP453" s="696" t="b">
        <f>IF(AR453&lt;=3,(IF((G453="5/24"),((база!$M$6*2*Таблица1[[#This Row],[Столбец1]]*Таблица1[[#This Row],[коэф]])),
IF((G453="4/24"),((база!$M$5*2*Таблица1[[#This Row],[Столбец1]]*Таблица1[[#This Row],[коэф]])),
IF((G453="3/24"),((база!$M$4*2*Таблица1[[#This Row],[Столбец1]]*Таблица1[[#This Row],[коэф]])),
IF((G453="5/16"),((база!$L$6*2*Таблица1[[#This Row],[Столбец1]]*Таблица1[[#This Row],[коэф]])),
IF((G453="4/16"),((база!$L$5*2*Таблица1[[#This Row],[Столбец1]]*Таблица1[[#This Row],[коэф]])),
IF((G453="3/16"),((база!$L$4*2*Таблица1[[#This Row],[Столбец1]]*Таблица1[[#This Row],[коэф]])),
IF((G453="4/4"),((база!$I$5*2*Таблица1[[#This Row],[Столбец1]]*Таблица1[[#This Row],[коэф]])),
IF(OR(G453="2/4",G453="3/4"),((база!$I$4*2*Таблица1[[#This Row],[Столбец1]]*Таблица1[[#This Row],[коэф]])),
IF((G453="5/8"),((база!$J$6*2*Таблица1[[#This Row],[Столбец1]]*Таблица1[[#This Row],[коэф]])),
IF((G453="4/8"),((база!$J$5*2*Таблица1[[#This Row],[Столбец1]]*Таблица1[[#This Row],[коэф]])),
IF(OR(G453="3/8",G453="2/8"),((база!$J$4*2*Таблица1[[#This Row],[Столбец1]]*Таблица1[[#This Row],[коэф]])))))))))))))),
(IF((G453="5/24"),((база!$M$6*2*Таблица1[[#This Row],[Столбец1]]*Таблица1[[#This Row],[коэф]])),
IF(OR(G453="4/24",G453="3/24"),((база!$M$5*2*Таблица1[[#This Row],[Столбец1]]*Таблица1[[#This Row],[коэф]])),
IF((G453="5/16"),((база!$L$6*2*Таблица1[[#This Row],[Столбец1]]*Таблица1[[#This Row],[коэф]])),
IF(OR(G453="4/16",G453="3/16"),((база!$L$5*2*Таблица1[[#This Row],[Столбец1]]*Таблица1[[#This Row],[коэф]])),
IF(OR(G453="2/4",G453="3/4",G453="4/4"),((база!$I$5*2*Таблица1[[#This Row],[Столбец1]]*Таблица1[[#This Row],[коэф]])),
IF((G453="5/8"),((база!$J$6*2*Таблица1[[#This Row],[Столбец1]]*Таблица1[[#This Row],[коэф]])),
IF(OR(G453="4/8",G453="3/8",G453="2/8"),((база!$J$5*2*Таблица1[[#This Row],[Столбец1]]*Таблица1[[#This Row],[коэф]])))))))))))</f>
        <v>0</v>
      </c>
      <c r="AQ453" s="678" t="str">
        <f>IFERROR(INDEX(база!T:T, MATCH(F453,база!Q:Q,0)),"")</f>
        <v/>
      </c>
      <c r="AR453" s="193">
        <f>IFERROR(INDEX(база!D:D, MATCH(F453,база!B:B,0)),"")</f>
        <v>0</v>
      </c>
    </row>
    <row r="454" spans="1:44" ht="15">
      <c r="A454" s="59"/>
      <c r="B454" s="215"/>
      <c r="C454" s="54"/>
      <c r="D454" s="55"/>
      <c r="E454" s="196"/>
      <c r="F454" s="651"/>
      <c r="G454" s="42"/>
      <c r="H454" s="539"/>
      <c r="I454" s="539"/>
      <c r="J454" s="539"/>
      <c r="K454" s="539"/>
      <c r="L454" s="539"/>
      <c r="M454" s="539"/>
      <c r="N454" s="539"/>
      <c r="O454" s="539"/>
      <c r="P454" s="278"/>
      <c r="Q454" s="539"/>
      <c r="R454" s="539"/>
      <c r="S454" s="539"/>
      <c r="T454" s="539"/>
      <c r="U454" s="539"/>
      <c r="V454" s="539"/>
      <c r="W454" s="539"/>
      <c r="X454" s="539"/>
      <c r="Y454" s="539"/>
      <c r="Z454" s="539"/>
      <c r="AA454" s="539"/>
      <c r="AB454" s="539"/>
      <c r="AC454" s="539"/>
      <c r="AD454" s="43"/>
      <c r="AE454" s="43"/>
      <c r="AF454" s="238"/>
      <c r="AG454" s="43"/>
      <c r="AH454" s="43"/>
      <c r="AI454" s="238"/>
      <c r="AJ454" s="238"/>
      <c r="AK454" s="238"/>
      <c r="AL454" s="238"/>
      <c r="AM454" s="197">
        <f>IF(AQ454=1,SUM(H454:I454,L454:O454,R454:U454,X454:AA454,AD454:AG454,AI454:AK454),
IF(AQ454=2,SUM(H454:K454,N454:Q454,T454:W454,Z454:AC454,AF454:AI454),
IF(AQ454=3,SUM(J454:M454,P454:S454,V454:Y454,AB454:AE454,AH454:AK454),SUM(Таблица1[[#This Row],[1]:[31]])-Таблица1[[#This Row],[Столбец1]])))</f>
        <v>0</v>
      </c>
      <c r="AN454" s="269">
        <f t="array" ref="AN454">IF(AQ454=1,SUM(J454:K454,P454:Q454,V454:W454,AB454:AC454,AH454:AI454),
IF(AQ454=2,SUM(L454:M454,R454:S454,X454:Y454,AD454:AE454),
IF(AQ454=3,SUM(H454:I454,N454:O454,T454:U454,Z454:AA454,AF454:AG454),
SUM(IFERROR(WEEKDAY($H$2:$AL$2,2)&gt;5,)*H454:AL454))))</f>
        <v>0</v>
      </c>
      <c r="AO454" s="271" t="b">
        <f>IF(AR454&lt;=3,(IF((G454="5/24"),((база!$M$6*Таблица1[[#This Row],[сумма]]*Таблица1[[#This Row],[коэф]])),
IF((G454="4/24"),((база!$M$5*Таблица1[[#This Row],[сумма]]*Таблица1[[#This Row],[коэф]])),
IF((G454="3/24"),((база!$M$4*Таблица1[[#This Row],[сумма]]*Таблица1[[#This Row],[коэф]])),
IF((G454="5/16"),((база!$L$6*Таблица1[[#This Row],[сумма]]*Таблица1[[#This Row],[коэф]])),
IF((G454="4/16"),((база!$L$5*Таблица1[[#This Row],[сумма]]*Таблица1[[#This Row],[коэф]])),
IF((G454="3/16"),((база!$L$4*Таблица1[[#This Row],[сумма]]*Таблица1[[#This Row],[коэф]])),
IF((G454="4/4"),((база!$I$5*Таблица1[[#This Row],[сумма]]*Таблица1[[#This Row],[коэф]])),
IF(OR(G454="2/4",G454="3/4"),((база!$I$4*Таблица1[[#This Row],[сумма]]*Таблица1[[#This Row],[коэф]])),
IF((G454="5/8"),((база!$J$6*Таблица1[[#This Row],[сумма]]*Таблица1[[#This Row],[коэф]])),
IF((G454="4/8"),((база!$J$5*Таблица1[[#This Row],[сумма]]*Таблица1[[#This Row],[коэф]])),
IF(OR(G454="3/8",G454="2/8"),((база!$J$4*Таблица1[[#This Row],[сумма]]*Таблица1[[#This Row],[коэф]])))))))))))))),
(IF((G454="5/24"),((база!$M$6*Таблица1[[#This Row],[сумма]]*Таблица1[[#This Row],[коэф]])),
IF(OR(G454="4/24",G454="3/24"),((база!$M$5*Таблица1[[#This Row],[сумма]]*Таблица1[[#This Row],[коэф]])),
IF((G454="5/16"),((база!$L$6*Таблица1[[#This Row],[сумма]]*Таблица1[[#This Row],[коэф]])),
IF(OR(G454="4/16",G454="3/16"),((база!$L$5*Таблица1[[#This Row],[сумма]]*Таблица1[[#This Row],[коэф]])),
IF(OR(G454="2/4",G454="3/4",G454="4/4"),((база!$I$5*Таблица1[[#This Row],[сумма]]*Таблица1[[#This Row],[коэф]])),
IF((G454="5/8"),((база!$J$6*Таблица1[[#This Row],[сумма]]*Таблица1[[#This Row],[коэф]])),
IF(OR(G454="4/8",G454="3/8",G454="2/8"),((база!$J$5*Таблица1[[#This Row],[сумма]]*Таблица1[[#This Row],[коэф]])))))))))))</f>
        <v>0</v>
      </c>
      <c r="AP454" s="696" t="b">
        <f>IF(AR454&lt;=3,(IF((G454="5/24"),((база!$M$6*2*Таблица1[[#This Row],[Столбец1]]*Таблица1[[#This Row],[коэф]])),
IF((G454="4/24"),((база!$M$5*2*Таблица1[[#This Row],[Столбец1]]*Таблица1[[#This Row],[коэф]])),
IF((G454="3/24"),((база!$M$4*2*Таблица1[[#This Row],[Столбец1]]*Таблица1[[#This Row],[коэф]])),
IF((G454="5/16"),((база!$L$6*2*Таблица1[[#This Row],[Столбец1]]*Таблица1[[#This Row],[коэф]])),
IF((G454="4/16"),((база!$L$5*2*Таблица1[[#This Row],[Столбец1]]*Таблица1[[#This Row],[коэф]])),
IF((G454="3/16"),((база!$L$4*2*Таблица1[[#This Row],[Столбец1]]*Таблица1[[#This Row],[коэф]])),
IF((G454="4/4"),((база!$I$5*2*Таблица1[[#This Row],[Столбец1]]*Таблица1[[#This Row],[коэф]])),
IF(OR(G454="2/4",G454="3/4"),((база!$I$4*2*Таблица1[[#This Row],[Столбец1]]*Таблица1[[#This Row],[коэф]])),
IF((G454="5/8"),((база!$J$6*2*Таблица1[[#This Row],[Столбец1]]*Таблица1[[#This Row],[коэф]])),
IF((G454="4/8"),((база!$J$5*2*Таблица1[[#This Row],[Столбец1]]*Таблица1[[#This Row],[коэф]])),
IF(OR(G454="3/8",G454="2/8"),((база!$J$4*2*Таблица1[[#This Row],[Столбец1]]*Таблица1[[#This Row],[коэф]])))))))))))))),
(IF((G454="5/24"),((база!$M$6*2*Таблица1[[#This Row],[Столбец1]]*Таблица1[[#This Row],[коэф]])),
IF(OR(G454="4/24",G454="3/24"),((база!$M$5*2*Таблица1[[#This Row],[Столбец1]]*Таблица1[[#This Row],[коэф]])),
IF((G454="5/16"),((база!$L$6*2*Таблица1[[#This Row],[Столбец1]]*Таблица1[[#This Row],[коэф]])),
IF(OR(G454="4/16",G454="3/16"),((база!$L$5*2*Таблица1[[#This Row],[Столбец1]]*Таблица1[[#This Row],[коэф]])),
IF(OR(G454="2/4",G454="3/4",G454="4/4"),((база!$I$5*2*Таблица1[[#This Row],[Столбец1]]*Таблица1[[#This Row],[коэф]])),
IF((G454="5/8"),((база!$J$6*2*Таблица1[[#This Row],[Столбец1]]*Таблица1[[#This Row],[коэф]])),
IF(OR(G454="4/8",G454="3/8",G454="2/8"),((база!$J$5*2*Таблица1[[#This Row],[Столбец1]]*Таблица1[[#This Row],[коэф]])))))))))))</f>
        <v>0</v>
      </c>
      <c r="AQ454" s="678" t="str">
        <f>IFERROR(INDEX(база!T:T, MATCH(F454,база!Q:Q,0)),"")</f>
        <v/>
      </c>
      <c r="AR454" s="193">
        <f>IFERROR(INDEX(база!D:D, MATCH(F454,база!B:B,0)),"")</f>
        <v>0</v>
      </c>
    </row>
    <row r="455" spans="1:44" ht="15">
      <c r="A455" s="59"/>
      <c r="B455" s="215"/>
      <c r="C455" s="277"/>
      <c r="D455" s="55"/>
      <c r="E455" s="196"/>
      <c r="F455" s="651"/>
      <c r="G455" s="42"/>
      <c r="H455" s="539"/>
      <c r="I455" s="539"/>
      <c r="J455" s="539"/>
      <c r="K455" s="539"/>
      <c r="L455" s="539"/>
      <c r="M455" s="539"/>
      <c r="N455" s="539"/>
      <c r="O455" s="539"/>
      <c r="P455" s="278"/>
      <c r="Q455" s="539"/>
      <c r="R455" s="539"/>
      <c r="S455" s="539"/>
      <c r="T455" s="539"/>
      <c r="U455" s="539"/>
      <c r="V455" s="539"/>
      <c r="W455" s="539"/>
      <c r="X455" s="539"/>
      <c r="Y455" s="539"/>
      <c r="Z455" s="539"/>
      <c r="AA455" s="539"/>
      <c r="AB455" s="539"/>
      <c r="AC455" s="539"/>
      <c r="AD455" s="43"/>
      <c r="AE455" s="43"/>
      <c r="AF455" s="238"/>
      <c r="AG455" s="43"/>
      <c r="AH455" s="43"/>
      <c r="AI455" s="43"/>
      <c r="AJ455" s="43"/>
      <c r="AK455" s="43"/>
      <c r="AL455" s="45"/>
      <c r="AM455" s="197">
        <f>IF(AQ455=1,SUM(H455:I455,L455:O455,R455:U455,X455:AA455,AD455:AG455,AI455:AK455),
IF(AQ455=2,SUM(H455:K455,N455:Q455,T455:W455,Z455:AC455,AF455:AI455),
IF(AQ455=3,SUM(J455:M455,P455:S455,V455:Y455,AB455:AE455,AH455:AK455),SUM(Таблица1[[#This Row],[1]:[31]])-Таблица1[[#This Row],[Столбец1]])))</f>
        <v>0</v>
      </c>
      <c r="AN455" s="269">
        <f t="array" ref="AN455">IF(AQ455=1,SUM(J455:K455,P455:Q455,V455:W455,AB455:AC455,AH455:AI455),
IF(AQ455=2,SUM(L455:M455,R455:S455,X455:Y455,AD455:AE455),
IF(AQ455=3,SUM(H455:I455,N455:O455,T455:U455,Z455:AA455,AF455:AG455),
SUM(IFERROR(WEEKDAY($H$2:$AL$2,2)&gt;5,)*H455:AL455))))</f>
        <v>0</v>
      </c>
      <c r="AO455" s="271" t="b">
        <f>IF(AR455&lt;=3,(IF((G455="5/24"),((база!$M$6*Таблица1[[#This Row],[сумма]]*Таблица1[[#This Row],[коэф]])),
IF((G455="4/24"),((база!$M$5*Таблица1[[#This Row],[сумма]]*Таблица1[[#This Row],[коэф]])),
IF((G455="3/24"),((база!$M$4*Таблица1[[#This Row],[сумма]]*Таблица1[[#This Row],[коэф]])),
IF((G455="5/16"),((база!$L$6*Таблица1[[#This Row],[сумма]]*Таблица1[[#This Row],[коэф]])),
IF((G455="4/16"),((база!$L$5*Таблица1[[#This Row],[сумма]]*Таблица1[[#This Row],[коэф]])),
IF((G455="3/16"),((база!$L$4*Таблица1[[#This Row],[сумма]]*Таблица1[[#This Row],[коэф]])),
IF((G455="4/4"),((база!$I$5*Таблица1[[#This Row],[сумма]]*Таблица1[[#This Row],[коэф]])),
IF(OR(G455="2/4",G455="3/4"),((база!$I$4*Таблица1[[#This Row],[сумма]]*Таблица1[[#This Row],[коэф]])),
IF((G455="5/8"),((база!$J$6*Таблица1[[#This Row],[сумма]]*Таблица1[[#This Row],[коэф]])),
IF((G455="4/8"),((база!$J$5*Таблица1[[#This Row],[сумма]]*Таблица1[[#This Row],[коэф]])),
IF(OR(G455="3/8",G455="2/8"),((база!$J$4*Таблица1[[#This Row],[сумма]]*Таблица1[[#This Row],[коэф]])))))))))))))),
(IF((G455="5/24"),((база!$M$6*Таблица1[[#This Row],[сумма]]*Таблица1[[#This Row],[коэф]])),
IF(OR(G455="4/24",G455="3/24"),((база!$M$5*Таблица1[[#This Row],[сумма]]*Таблица1[[#This Row],[коэф]])),
IF((G455="5/16"),((база!$L$6*Таблица1[[#This Row],[сумма]]*Таблица1[[#This Row],[коэф]])),
IF(OR(G455="4/16",G455="3/16"),((база!$L$5*Таблица1[[#This Row],[сумма]]*Таблица1[[#This Row],[коэф]])),
IF(OR(G455="2/4",G455="3/4",G455="4/4"),((база!$I$5*Таблица1[[#This Row],[сумма]]*Таблица1[[#This Row],[коэф]])),
IF((G455="5/8"),((база!$J$6*Таблица1[[#This Row],[сумма]]*Таблица1[[#This Row],[коэф]])),
IF(OR(G455="4/8",G455="3/8",G455="2/8"),((база!$J$5*Таблица1[[#This Row],[сумма]]*Таблица1[[#This Row],[коэф]])))))))))))</f>
        <v>0</v>
      </c>
      <c r="AP455" s="696" t="b">
        <f>IF(AR455&lt;=3,(IF((G455="5/24"),((база!$M$6*2*Таблица1[[#This Row],[Столбец1]]*Таблица1[[#This Row],[коэф]])),
IF((G455="4/24"),((база!$M$5*2*Таблица1[[#This Row],[Столбец1]]*Таблица1[[#This Row],[коэф]])),
IF((G455="3/24"),((база!$M$4*2*Таблица1[[#This Row],[Столбец1]]*Таблица1[[#This Row],[коэф]])),
IF((G455="5/16"),((база!$L$6*2*Таблица1[[#This Row],[Столбец1]]*Таблица1[[#This Row],[коэф]])),
IF((G455="4/16"),((база!$L$5*2*Таблица1[[#This Row],[Столбец1]]*Таблица1[[#This Row],[коэф]])),
IF((G455="3/16"),((база!$L$4*2*Таблица1[[#This Row],[Столбец1]]*Таблица1[[#This Row],[коэф]])),
IF((G455="4/4"),((база!$I$5*2*Таблица1[[#This Row],[Столбец1]]*Таблица1[[#This Row],[коэф]])),
IF(OR(G455="2/4",G455="3/4"),((база!$I$4*2*Таблица1[[#This Row],[Столбец1]]*Таблица1[[#This Row],[коэф]])),
IF((G455="5/8"),((база!$J$6*2*Таблица1[[#This Row],[Столбец1]]*Таблица1[[#This Row],[коэф]])),
IF((G455="4/8"),((база!$J$5*2*Таблица1[[#This Row],[Столбец1]]*Таблица1[[#This Row],[коэф]])),
IF(OR(G455="3/8",G455="2/8"),((база!$J$4*2*Таблица1[[#This Row],[Столбец1]]*Таблица1[[#This Row],[коэф]])))))))))))))),
(IF((G455="5/24"),((база!$M$6*2*Таблица1[[#This Row],[Столбец1]]*Таблица1[[#This Row],[коэф]])),
IF(OR(G455="4/24",G455="3/24"),((база!$M$5*2*Таблица1[[#This Row],[Столбец1]]*Таблица1[[#This Row],[коэф]])),
IF((G455="5/16"),((база!$L$6*2*Таблица1[[#This Row],[Столбец1]]*Таблица1[[#This Row],[коэф]])),
IF(OR(G455="4/16",G455="3/16"),((база!$L$5*2*Таблица1[[#This Row],[Столбец1]]*Таблица1[[#This Row],[коэф]])),
IF(OR(G455="2/4",G455="3/4",G455="4/4"),((база!$I$5*2*Таблица1[[#This Row],[Столбец1]]*Таблица1[[#This Row],[коэф]])),
IF((G455="5/8"),((база!$J$6*2*Таблица1[[#This Row],[Столбец1]]*Таблица1[[#This Row],[коэф]])),
IF(OR(G455="4/8",G455="3/8",G455="2/8"),((база!$J$5*2*Таблица1[[#This Row],[Столбец1]]*Таблица1[[#This Row],[коэф]])))))))))))</f>
        <v>0</v>
      </c>
      <c r="AQ455" s="678" t="str">
        <f>IFERROR(INDEX(база!T:T, MATCH(F455,база!Q:Q,0)),"")</f>
        <v/>
      </c>
      <c r="AR455" s="193">
        <f>IFERROR(INDEX(база!D:D, MATCH(F455,база!B:B,0)),"")</f>
        <v>0</v>
      </c>
    </row>
    <row r="456" spans="1:44" ht="15">
      <c r="A456" s="59"/>
      <c r="B456" s="215"/>
      <c r="C456" s="277"/>
      <c r="D456" s="55"/>
      <c r="E456" s="196"/>
      <c r="F456" s="651"/>
      <c r="G456" s="42"/>
      <c r="H456" s="539"/>
      <c r="I456" s="539"/>
      <c r="J456" s="539"/>
      <c r="K456" s="539"/>
      <c r="L456" s="539"/>
      <c r="M456" s="539"/>
      <c r="N456" s="539"/>
      <c r="O456" s="539"/>
      <c r="P456" s="278"/>
      <c r="Q456" s="539"/>
      <c r="R456" s="539"/>
      <c r="S456" s="539"/>
      <c r="T456" s="539"/>
      <c r="U456" s="539"/>
      <c r="V456" s="539"/>
      <c r="W456" s="539"/>
      <c r="X456" s="539"/>
      <c r="Y456" s="539"/>
      <c r="Z456" s="539"/>
      <c r="AA456" s="539"/>
      <c r="AB456" s="539"/>
      <c r="AC456" s="539"/>
      <c r="AD456" s="43"/>
      <c r="AE456" s="43"/>
      <c r="AF456" s="43"/>
      <c r="AG456" s="43"/>
      <c r="AH456" s="43"/>
      <c r="AI456" s="43"/>
      <c r="AJ456" s="238"/>
      <c r="AK456" s="238"/>
      <c r="AL456" s="238"/>
      <c r="AM456" s="197">
        <f>IF(AQ456=1,SUM(H456:I456,L456:O456,R456:U456,X456:AA456,AD456:AG456,AI456:AK456),
IF(AQ456=2,SUM(H456:K456,N456:Q456,T456:W456,Z456:AC456,AF456:AI456),
IF(AQ456=3,SUM(J456:M456,P456:S456,V456:Y456,AB456:AE456,AH456:AK456),SUM(Таблица1[[#This Row],[1]:[31]])-Таблица1[[#This Row],[Столбец1]])))</f>
        <v>0</v>
      </c>
      <c r="AN456" s="269">
        <f t="array" ref="AN456">IF(AQ456=1,SUM(J456:K456,P456:Q456,V456:W456,AB456:AC456,AH456:AI456),
IF(AQ456=2,SUM(L456:M456,R456:S456,X456:Y456,AD456:AE456),
IF(AQ456=3,SUM(H456:I456,N456:O456,T456:U456,Z456:AA456,AF456:AG456),
SUM(IFERROR(WEEKDAY($H$2:$AL$2,2)&gt;5,)*H456:AL456))))</f>
        <v>0</v>
      </c>
      <c r="AO456" s="271" t="b">
        <f>IF(AR456&lt;=3,(IF((G456="5/24"),((база!$M$6*Таблица1[[#This Row],[сумма]]*Таблица1[[#This Row],[коэф]])),
IF((G456="4/24"),((база!$M$5*Таблица1[[#This Row],[сумма]]*Таблица1[[#This Row],[коэф]])),
IF((G456="3/24"),((база!$M$4*Таблица1[[#This Row],[сумма]]*Таблица1[[#This Row],[коэф]])),
IF((G456="5/16"),((база!$L$6*Таблица1[[#This Row],[сумма]]*Таблица1[[#This Row],[коэф]])),
IF((G456="4/16"),((база!$L$5*Таблица1[[#This Row],[сумма]]*Таблица1[[#This Row],[коэф]])),
IF((G456="3/16"),((база!$L$4*Таблица1[[#This Row],[сумма]]*Таблица1[[#This Row],[коэф]])),
IF((G456="4/4"),((база!$I$5*Таблица1[[#This Row],[сумма]]*Таблица1[[#This Row],[коэф]])),
IF(OR(G456="2/4",G456="3/4"),((база!$I$4*Таблица1[[#This Row],[сумма]]*Таблица1[[#This Row],[коэф]])),
IF((G456="5/8"),((база!$J$6*Таблица1[[#This Row],[сумма]]*Таблица1[[#This Row],[коэф]])),
IF((G456="4/8"),((база!$J$5*Таблица1[[#This Row],[сумма]]*Таблица1[[#This Row],[коэф]])),
IF(OR(G456="3/8",G456="2/8"),((база!$J$4*Таблица1[[#This Row],[сумма]]*Таблица1[[#This Row],[коэф]])))))))))))))),
(IF((G456="5/24"),((база!$M$6*Таблица1[[#This Row],[сумма]]*Таблица1[[#This Row],[коэф]])),
IF(OR(G456="4/24",G456="3/24"),((база!$M$5*Таблица1[[#This Row],[сумма]]*Таблица1[[#This Row],[коэф]])),
IF((G456="5/16"),((база!$L$6*Таблица1[[#This Row],[сумма]]*Таблица1[[#This Row],[коэф]])),
IF(OR(G456="4/16",G456="3/16"),((база!$L$5*Таблица1[[#This Row],[сумма]]*Таблица1[[#This Row],[коэф]])),
IF(OR(G456="2/4",G456="3/4",G456="4/4"),((база!$I$5*Таблица1[[#This Row],[сумма]]*Таблица1[[#This Row],[коэф]])),
IF((G456="5/8"),((база!$J$6*Таблица1[[#This Row],[сумма]]*Таблица1[[#This Row],[коэф]])),
IF(OR(G456="4/8",G456="3/8",G456="2/8"),((база!$J$5*Таблица1[[#This Row],[сумма]]*Таблица1[[#This Row],[коэф]])))))))))))</f>
        <v>0</v>
      </c>
      <c r="AP456" s="696" t="b">
        <f>IF(AR456&lt;=3,(IF((G456="5/24"),((база!$M$6*2*Таблица1[[#This Row],[Столбец1]]*Таблица1[[#This Row],[коэф]])),
IF((G456="4/24"),((база!$M$5*2*Таблица1[[#This Row],[Столбец1]]*Таблица1[[#This Row],[коэф]])),
IF((G456="3/24"),((база!$M$4*2*Таблица1[[#This Row],[Столбец1]]*Таблица1[[#This Row],[коэф]])),
IF((G456="5/16"),((база!$L$6*2*Таблица1[[#This Row],[Столбец1]]*Таблица1[[#This Row],[коэф]])),
IF((G456="4/16"),((база!$L$5*2*Таблица1[[#This Row],[Столбец1]]*Таблица1[[#This Row],[коэф]])),
IF((G456="3/16"),((база!$L$4*2*Таблица1[[#This Row],[Столбец1]]*Таблица1[[#This Row],[коэф]])),
IF((G456="4/4"),((база!$I$5*2*Таблица1[[#This Row],[Столбец1]]*Таблица1[[#This Row],[коэф]])),
IF(OR(G456="2/4",G456="3/4"),((база!$I$4*2*Таблица1[[#This Row],[Столбец1]]*Таблица1[[#This Row],[коэф]])),
IF((G456="5/8"),((база!$J$6*2*Таблица1[[#This Row],[Столбец1]]*Таблица1[[#This Row],[коэф]])),
IF((G456="4/8"),((база!$J$5*2*Таблица1[[#This Row],[Столбец1]]*Таблица1[[#This Row],[коэф]])),
IF(OR(G456="3/8",G456="2/8"),((база!$J$4*2*Таблица1[[#This Row],[Столбец1]]*Таблица1[[#This Row],[коэф]])))))))))))))),
(IF((G456="5/24"),((база!$M$6*2*Таблица1[[#This Row],[Столбец1]]*Таблица1[[#This Row],[коэф]])),
IF(OR(G456="4/24",G456="3/24"),((база!$M$5*2*Таблица1[[#This Row],[Столбец1]]*Таблица1[[#This Row],[коэф]])),
IF((G456="5/16"),((база!$L$6*2*Таблица1[[#This Row],[Столбец1]]*Таблица1[[#This Row],[коэф]])),
IF(OR(G456="4/16",G456="3/16"),((база!$L$5*2*Таблица1[[#This Row],[Столбец1]]*Таблица1[[#This Row],[коэф]])),
IF(OR(G456="2/4",G456="3/4",G456="4/4"),((база!$I$5*2*Таблица1[[#This Row],[Столбец1]]*Таблица1[[#This Row],[коэф]])),
IF((G456="5/8"),((база!$J$6*2*Таблица1[[#This Row],[Столбец1]]*Таблица1[[#This Row],[коэф]])),
IF(OR(G456="4/8",G456="3/8",G456="2/8"),((база!$J$5*2*Таблица1[[#This Row],[Столбец1]]*Таблица1[[#This Row],[коэф]])))))))))))</f>
        <v>0</v>
      </c>
      <c r="AQ456" s="678" t="str">
        <f>IFERROR(INDEX(база!T:T, MATCH(F456,база!Q:Q,0)),"")</f>
        <v/>
      </c>
      <c r="AR456" s="193">
        <f>IFERROR(INDEX(база!D:D, MATCH(F456,база!B:B,0)),"")</f>
        <v>0</v>
      </c>
    </row>
    <row r="457" spans="1:44" ht="15">
      <c r="A457" s="59"/>
      <c r="B457" s="215"/>
      <c r="C457" s="277"/>
      <c r="D457" s="55"/>
      <c r="E457" s="196"/>
      <c r="F457" s="651"/>
      <c r="G457" s="42"/>
      <c r="H457" s="539"/>
      <c r="I457" s="539"/>
      <c r="J457" s="539"/>
      <c r="K457" s="539"/>
      <c r="L457" s="539"/>
      <c r="M457" s="539"/>
      <c r="N457" s="539"/>
      <c r="O457" s="539"/>
      <c r="P457" s="278"/>
      <c r="Q457" s="539"/>
      <c r="R457" s="539"/>
      <c r="S457" s="539"/>
      <c r="T457" s="539"/>
      <c r="U457" s="539"/>
      <c r="V457" s="539"/>
      <c r="W457" s="539"/>
      <c r="X457" s="539"/>
      <c r="Y457" s="539"/>
      <c r="Z457" s="539"/>
      <c r="AA457" s="539"/>
      <c r="AB457" s="539"/>
      <c r="AC457" s="539"/>
      <c r="AD457" s="43"/>
      <c r="AE457" s="43"/>
      <c r="AF457" s="43"/>
      <c r="AG457" s="43"/>
      <c r="AH457" s="43"/>
      <c r="AI457" s="43"/>
      <c r="AJ457" s="43"/>
      <c r="AK457" s="43"/>
      <c r="AL457" s="45"/>
      <c r="AM457" s="197">
        <f>IF(AQ457=1,SUM(H457:I457,L457:O457,R457:U457,X457:AA457,AD457:AG457,AI457:AK457),
IF(AQ457=2,SUM(H457:K457,N457:Q457,T457:W457,Z457:AC457,AF457:AI457),
IF(AQ457=3,SUM(J457:M457,P457:S457,V457:Y457,AB457:AE457,AH457:AK457),SUM(Таблица1[[#This Row],[1]:[31]])-Таблица1[[#This Row],[Столбец1]])))</f>
        <v>0</v>
      </c>
      <c r="AN457" s="269">
        <f t="array" ref="AN457">IF(AQ457=1,SUM(J457:K457,P457:Q457,V457:W457,AB457:AC457,AH457:AI457),
IF(AQ457=2,SUM(L457:M457,R457:S457,X457:Y457,AD457:AE457),
IF(AQ457=3,SUM(H457:I457,N457:O457,T457:U457,Z457:AA457,AF457:AG457),
SUM(IFERROR(WEEKDAY($H$2:$AL$2,2)&gt;5,)*H457:AL457))))</f>
        <v>0</v>
      </c>
      <c r="AO457" s="271" t="b">
        <f>IF(AR457&lt;=3,(IF((G457="5/24"),((база!$M$6*Таблица1[[#This Row],[сумма]]*Таблица1[[#This Row],[коэф]])),
IF((G457="4/24"),((база!$M$5*Таблица1[[#This Row],[сумма]]*Таблица1[[#This Row],[коэф]])),
IF((G457="3/24"),((база!$M$4*Таблица1[[#This Row],[сумма]]*Таблица1[[#This Row],[коэф]])),
IF((G457="5/16"),((база!$L$6*Таблица1[[#This Row],[сумма]]*Таблица1[[#This Row],[коэф]])),
IF((G457="4/16"),((база!$L$5*Таблица1[[#This Row],[сумма]]*Таблица1[[#This Row],[коэф]])),
IF((G457="3/16"),((база!$L$4*Таблица1[[#This Row],[сумма]]*Таблица1[[#This Row],[коэф]])),
IF((G457="4/4"),((база!$I$5*Таблица1[[#This Row],[сумма]]*Таблица1[[#This Row],[коэф]])),
IF(OR(G457="2/4",G457="3/4"),((база!$I$4*Таблица1[[#This Row],[сумма]]*Таблица1[[#This Row],[коэф]])),
IF((G457="5/8"),((база!$J$6*Таблица1[[#This Row],[сумма]]*Таблица1[[#This Row],[коэф]])),
IF((G457="4/8"),((база!$J$5*Таблица1[[#This Row],[сумма]]*Таблица1[[#This Row],[коэф]])),
IF(OR(G457="3/8",G457="2/8"),((база!$J$4*Таблица1[[#This Row],[сумма]]*Таблица1[[#This Row],[коэф]])))))))))))))),
(IF((G457="5/24"),((база!$M$6*Таблица1[[#This Row],[сумма]]*Таблица1[[#This Row],[коэф]])),
IF(OR(G457="4/24",G457="3/24"),((база!$M$5*Таблица1[[#This Row],[сумма]]*Таблица1[[#This Row],[коэф]])),
IF((G457="5/16"),((база!$L$6*Таблица1[[#This Row],[сумма]]*Таблица1[[#This Row],[коэф]])),
IF(OR(G457="4/16",G457="3/16"),((база!$L$5*Таблица1[[#This Row],[сумма]]*Таблица1[[#This Row],[коэф]])),
IF(OR(G457="2/4",G457="3/4",G457="4/4"),((база!$I$5*Таблица1[[#This Row],[сумма]]*Таблица1[[#This Row],[коэф]])),
IF((G457="5/8"),((база!$J$6*Таблица1[[#This Row],[сумма]]*Таблица1[[#This Row],[коэф]])),
IF(OR(G457="4/8",G457="3/8",G457="2/8"),((база!$J$5*Таблица1[[#This Row],[сумма]]*Таблица1[[#This Row],[коэф]])))))))))))</f>
        <v>0</v>
      </c>
      <c r="AP457" s="696" t="b">
        <f>IF(AR457&lt;=3,(IF((G457="5/24"),((база!$M$6*2*Таблица1[[#This Row],[Столбец1]]*Таблица1[[#This Row],[коэф]])),
IF((G457="4/24"),((база!$M$5*2*Таблица1[[#This Row],[Столбец1]]*Таблица1[[#This Row],[коэф]])),
IF((G457="3/24"),((база!$M$4*2*Таблица1[[#This Row],[Столбец1]]*Таблица1[[#This Row],[коэф]])),
IF((G457="5/16"),((база!$L$6*2*Таблица1[[#This Row],[Столбец1]]*Таблица1[[#This Row],[коэф]])),
IF((G457="4/16"),((база!$L$5*2*Таблица1[[#This Row],[Столбец1]]*Таблица1[[#This Row],[коэф]])),
IF((G457="3/16"),((база!$L$4*2*Таблица1[[#This Row],[Столбец1]]*Таблица1[[#This Row],[коэф]])),
IF((G457="4/4"),((база!$I$5*2*Таблица1[[#This Row],[Столбец1]]*Таблица1[[#This Row],[коэф]])),
IF(OR(G457="2/4",G457="3/4"),((база!$I$4*2*Таблица1[[#This Row],[Столбец1]]*Таблица1[[#This Row],[коэф]])),
IF((G457="5/8"),((база!$J$6*2*Таблица1[[#This Row],[Столбец1]]*Таблица1[[#This Row],[коэф]])),
IF((G457="4/8"),((база!$J$5*2*Таблица1[[#This Row],[Столбец1]]*Таблица1[[#This Row],[коэф]])),
IF(OR(G457="3/8",G457="2/8"),((база!$J$4*2*Таблица1[[#This Row],[Столбец1]]*Таблица1[[#This Row],[коэф]])))))))))))))),
(IF((G457="5/24"),((база!$M$6*2*Таблица1[[#This Row],[Столбец1]]*Таблица1[[#This Row],[коэф]])),
IF(OR(G457="4/24",G457="3/24"),((база!$M$5*2*Таблица1[[#This Row],[Столбец1]]*Таблица1[[#This Row],[коэф]])),
IF((G457="5/16"),((база!$L$6*2*Таблица1[[#This Row],[Столбец1]]*Таблица1[[#This Row],[коэф]])),
IF(OR(G457="4/16",G457="3/16"),((база!$L$5*2*Таблица1[[#This Row],[Столбец1]]*Таблица1[[#This Row],[коэф]])),
IF(OR(G457="2/4",G457="3/4",G457="4/4"),((база!$I$5*2*Таблица1[[#This Row],[Столбец1]]*Таблица1[[#This Row],[коэф]])),
IF((G457="5/8"),((база!$J$6*2*Таблица1[[#This Row],[Столбец1]]*Таблица1[[#This Row],[коэф]])),
IF(OR(G457="4/8",G457="3/8",G457="2/8"),((база!$J$5*2*Таблица1[[#This Row],[Столбец1]]*Таблица1[[#This Row],[коэф]])))))))))))</f>
        <v>0</v>
      </c>
      <c r="AQ457" s="678" t="str">
        <f>IFERROR(INDEX(база!T:T, MATCH(F457,база!Q:Q,0)),"")</f>
        <v/>
      </c>
      <c r="AR457" s="193">
        <f>IFERROR(INDEX(база!D:D, MATCH(F457,база!B:B,0)),"")</f>
        <v>0</v>
      </c>
    </row>
    <row r="458" spans="1:44" ht="15">
      <c r="A458" s="59"/>
      <c r="B458" s="215"/>
      <c r="C458" s="277"/>
      <c r="D458" s="55"/>
      <c r="E458" s="196"/>
      <c r="F458" s="651"/>
      <c r="G458" s="42"/>
      <c r="H458" s="539"/>
      <c r="I458" s="539"/>
      <c r="J458" s="539"/>
      <c r="K458" s="539"/>
      <c r="L458" s="539"/>
      <c r="M458" s="539"/>
      <c r="N458" s="539"/>
      <c r="O458" s="539"/>
      <c r="P458" s="278"/>
      <c r="Q458" s="539"/>
      <c r="R458" s="539"/>
      <c r="S458" s="539"/>
      <c r="T458" s="539"/>
      <c r="U458" s="539"/>
      <c r="V458" s="539"/>
      <c r="W458" s="539"/>
      <c r="X458" s="539"/>
      <c r="Y458" s="539"/>
      <c r="Z458" s="539"/>
      <c r="AA458" s="539"/>
      <c r="AB458" s="539"/>
      <c r="AC458" s="539"/>
      <c r="AD458" s="43"/>
      <c r="AE458" s="43"/>
      <c r="AF458" s="43"/>
      <c r="AG458" s="43"/>
      <c r="AH458" s="43"/>
      <c r="AI458" s="238"/>
      <c r="AJ458" s="238"/>
      <c r="AK458" s="238"/>
      <c r="AL458" s="238"/>
      <c r="AM458" s="197">
        <f>IF(AQ458=1,SUM(H458:I458,L458:O458,R458:U458,X458:AA458,AD458:AG458,AI458:AK458),
IF(AQ458=2,SUM(H458:K458,N458:Q458,T458:W458,Z458:AC458,AF458:AI458),
IF(AQ458=3,SUM(J458:M458,P458:S458,V458:Y458,AB458:AE458,AH458:AK458),SUM(Таблица1[[#This Row],[1]:[31]])-Таблица1[[#This Row],[Столбец1]])))</f>
        <v>0</v>
      </c>
      <c r="AN458" s="269">
        <f t="array" ref="AN458">IF(AQ458=1,SUM(J458:K458,P458:Q458,V458:W458,AB458:AC458,AH458:AI458),
IF(AQ458=2,SUM(L458:M458,R458:S458,X458:Y458,AD458:AE458),
IF(AQ458=3,SUM(H458:I458,N458:O458,T458:U458,Z458:AA458,AF458:AG458),
SUM(IFERROR(WEEKDAY($H$2:$AL$2,2)&gt;5,)*H458:AL458))))</f>
        <v>0</v>
      </c>
      <c r="AO458" s="271" t="b">
        <f>IF(AR458&lt;=3,(IF((G458="5/24"),((база!$M$6*Таблица1[[#This Row],[сумма]]*Таблица1[[#This Row],[коэф]])),
IF((G458="4/24"),((база!$M$5*Таблица1[[#This Row],[сумма]]*Таблица1[[#This Row],[коэф]])),
IF((G458="3/24"),((база!$M$4*Таблица1[[#This Row],[сумма]]*Таблица1[[#This Row],[коэф]])),
IF((G458="5/16"),((база!$L$6*Таблица1[[#This Row],[сумма]]*Таблица1[[#This Row],[коэф]])),
IF((G458="4/16"),((база!$L$5*Таблица1[[#This Row],[сумма]]*Таблица1[[#This Row],[коэф]])),
IF((G458="3/16"),((база!$L$4*Таблица1[[#This Row],[сумма]]*Таблица1[[#This Row],[коэф]])),
IF((G458="4/4"),((база!$I$5*Таблица1[[#This Row],[сумма]]*Таблица1[[#This Row],[коэф]])),
IF(OR(G458="2/4",G458="3/4"),((база!$I$4*Таблица1[[#This Row],[сумма]]*Таблица1[[#This Row],[коэф]])),
IF((G458="5/8"),((база!$J$6*Таблица1[[#This Row],[сумма]]*Таблица1[[#This Row],[коэф]])),
IF((G458="4/8"),((база!$J$5*Таблица1[[#This Row],[сумма]]*Таблица1[[#This Row],[коэф]])),
IF(OR(G458="3/8",G458="2/8"),((база!$J$4*Таблица1[[#This Row],[сумма]]*Таблица1[[#This Row],[коэф]])))))))))))))),
(IF((G458="5/24"),((база!$M$6*Таблица1[[#This Row],[сумма]]*Таблица1[[#This Row],[коэф]])),
IF(OR(G458="4/24",G458="3/24"),((база!$M$5*Таблица1[[#This Row],[сумма]]*Таблица1[[#This Row],[коэф]])),
IF((G458="5/16"),((база!$L$6*Таблица1[[#This Row],[сумма]]*Таблица1[[#This Row],[коэф]])),
IF(OR(G458="4/16",G458="3/16"),((база!$L$5*Таблица1[[#This Row],[сумма]]*Таблица1[[#This Row],[коэф]])),
IF(OR(G458="2/4",G458="3/4",G458="4/4"),((база!$I$5*Таблица1[[#This Row],[сумма]]*Таблица1[[#This Row],[коэф]])),
IF((G458="5/8"),((база!$J$6*Таблица1[[#This Row],[сумма]]*Таблица1[[#This Row],[коэф]])),
IF(OR(G458="4/8",G458="3/8",G458="2/8"),((база!$J$5*Таблица1[[#This Row],[сумма]]*Таблица1[[#This Row],[коэф]])))))))))))</f>
        <v>0</v>
      </c>
      <c r="AP458" s="696" t="b">
        <f>IF(AR458&lt;=3,(IF((G458="5/24"),((база!$M$6*2*Таблица1[[#This Row],[Столбец1]]*Таблица1[[#This Row],[коэф]])),
IF((G458="4/24"),((база!$M$5*2*Таблица1[[#This Row],[Столбец1]]*Таблица1[[#This Row],[коэф]])),
IF((G458="3/24"),((база!$M$4*2*Таблица1[[#This Row],[Столбец1]]*Таблица1[[#This Row],[коэф]])),
IF((G458="5/16"),((база!$L$6*2*Таблица1[[#This Row],[Столбец1]]*Таблица1[[#This Row],[коэф]])),
IF((G458="4/16"),((база!$L$5*2*Таблица1[[#This Row],[Столбец1]]*Таблица1[[#This Row],[коэф]])),
IF((G458="3/16"),((база!$L$4*2*Таблица1[[#This Row],[Столбец1]]*Таблица1[[#This Row],[коэф]])),
IF((G458="4/4"),((база!$I$5*2*Таблица1[[#This Row],[Столбец1]]*Таблица1[[#This Row],[коэф]])),
IF(OR(G458="2/4",G458="3/4"),((база!$I$4*2*Таблица1[[#This Row],[Столбец1]]*Таблица1[[#This Row],[коэф]])),
IF((G458="5/8"),((база!$J$6*2*Таблица1[[#This Row],[Столбец1]]*Таблица1[[#This Row],[коэф]])),
IF((G458="4/8"),((база!$J$5*2*Таблица1[[#This Row],[Столбец1]]*Таблица1[[#This Row],[коэф]])),
IF(OR(G458="3/8",G458="2/8"),((база!$J$4*2*Таблица1[[#This Row],[Столбец1]]*Таблица1[[#This Row],[коэф]])))))))))))))),
(IF((G458="5/24"),((база!$M$6*2*Таблица1[[#This Row],[Столбец1]]*Таблица1[[#This Row],[коэф]])),
IF(OR(G458="4/24",G458="3/24"),((база!$M$5*2*Таблица1[[#This Row],[Столбец1]]*Таблица1[[#This Row],[коэф]])),
IF((G458="5/16"),((база!$L$6*2*Таблица1[[#This Row],[Столбец1]]*Таблица1[[#This Row],[коэф]])),
IF(OR(G458="4/16",G458="3/16"),((база!$L$5*2*Таблица1[[#This Row],[Столбец1]]*Таблица1[[#This Row],[коэф]])),
IF(OR(G458="2/4",G458="3/4",G458="4/4"),((база!$I$5*2*Таблица1[[#This Row],[Столбец1]]*Таблица1[[#This Row],[коэф]])),
IF((G458="5/8"),((база!$J$6*2*Таблица1[[#This Row],[Столбец1]]*Таблица1[[#This Row],[коэф]])),
IF(OR(G458="4/8",G458="3/8",G458="2/8"),((база!$J$5*2*Таблица1[[#This Row],[Столбец1]]*Таблица1[[#This Row],[коэф]])))))))))))</f>
        <v>0</v>
      </c>
      <c r="AQ458" s="678" t="str">
        <f>IFERROR(INDEX(база!T:T, MATCH(F458,база!Q:Q,0)),"")</f>
        <v/>
      </c>
      <c r="AR458" s="193">
        <f>IFERROR(INDEX(база!D:D, MATCH(F458,база!B:B,0)),"")</f>
        <v>0</v>
      </c>
    </row>
    <row r="459" spans="1:44" ht="15">
      <c r="A459" s="59"/>
      <c r="B459" s="215"/>
      <c r="C459" s="277"/>
      <c r="D459" s="55"/>
      <c r="E459" s="196"/>
      <c r="F459" s="651"/>
      <c r="G459" s="42"/>
      <c r="H459" s="539"/>
      <c r="I459" s="539"/>
      <c r="J459" s="539"/>
      <c r="K459" s="539"/>
      <c r="L459" s="539"/>
      <c r="M459" s="539"/>
      <c r="N459" s="539"/>
      <c r="O459" s="539"/>
      <c r="P459" s="278"/>
      <c r="Q459" s="539"/>
      <c r="R459" s="539"/>
      <c r="S459" s="539"/>
      <c r="T459" s="539"/>
      <c r="U459" s="539"/>
      <c r="V459" s="539"/>
      <c r="W459" s="539"/>
      <c r="X459" s="539"/>
      <c r="Y459" s="539"/>
      <c r="Z459" s="539"/>
      <c r="AA459" s="539"/>
      <c r="AB459" s="539"/>
      <c r="AC459" s="539"/>
      <c r="AD459" s="43"/>
      <c r="AE459" s="43"/>
      <c r="AF459" s="238"/>
      <c r="AG459" s="238"/>
      <c r="AH459" s="238"/>
      <c r="AI459" s="43"/>
      <c r="AJ459" s="43"/>
      <c r="AK459" s="43"/>
      <c r="AL459" s="45"/>
      <c r="AM459" s="197">
        <f>IF(AQ459=1,SUM(H459:I459,L459:O459,R459:U459,X459:AA459,AD459:AG459,AI459:AK459),
IF(AQ459=2,SUM(H459:K459,N459:Q459,T459:W459,Z459:AC459,AF459:AI459),
IF(AQ459=3,SUM(J459:M459,P459:S459,V459:Y459,AB459:AE459,AH459:AK459),SUM(Таблица1[[#This Row],[1]:[31]])-Таблица1[[#This Row],[Столбец1]])))</f>
        <v>0</v>
      </c>
      <c r="AN459" s="269">
        <f t="array" ref="AN459">IF(AQ459=1,SUM(J459:K459,P459:Q459,V459:W459,AB459:AC459,AH459:AI459),
IF(AQ459=2,SUM(L459:M459,R459:S459,X459:Y459,AD459:AE459),
IF(AQ459=3,SUM(H459:I459,N459:O459,T459:U459,Z459:AA459,AF459:AG459),
SUM(IFERROR(WEEKDAY($H$2:$AL$2,2)&gt;5,)*H459:AL459))))</f>
        <v>0</v>
      </c>
      <c r="AO459" s="271" t="b">
        <f>IF(AR459&lt;=3,(IF((G459="5/24"),((база!$M$6*Таблица1[[#This Row],[сумма]]*Таблица1[[#This Row],[коэф]])),
IF((G459="4/24"),((база!$M$5*Таблица1[[#This Row],[сумма]]*Таблица1[[#This Row],[коэф]])),
IF((G459="3/24"),((база!$M$4*Таблица1[[#This Row],[сумма]]*Таблица1[[#This Row],[коэф]])),
IF((G459="5/16"),((база!$L$6*Таблица1[[#This Row],[сумма]]*Таблица1[[#This Row],[коэф]])),
IF((G459="4/16"),((база!$L$5*Таблица1[[#This Row],[сумма]]*Таблица1[[#This Row],[коэф]])),
IF((G459="3/16"),((база!$L$4*Таблица1[[#This Row],[сумма]]*Таблица1[[#This Row],[коэф]])),
IF((G459="4/4"),((база!$I$5*Таблица1[[#This Row],[сумма]]*Таблица1[[#This Row],[коэф]])),
IF(OR(G459="2/4",G459="3/4"),((база!$I$4*Таблица1[[#This Row],[сумма]]*Таблица1[[#This Row],[коэф]])),
IF((G459="5/8"),((база!$J$6*Таблица1[[#This Row],[сумма]]*Таблица1[[#This Row],[коэф]])),
IF((G459="4/8"),((база!$J$5*Таблица1[[#This Row],[сумма]]*Таблица1[[#This Row],[коэф]])),
IF(OR(G459="3/8",G459="2/8"),((база!$J$4*Таблица1[[#This Row],[сумма]]*Таблица1[[#This Row],[коэф]])))))))))))))),
(IF((G459="5/24"),((база!$M$6*Таблица1[[#This Row],[сумма]]*Таблица1[[#This Row],[коэф]])),
IF(OR(G459="4/24",G459="3/24"),((база!$M$5*Таблица1[[#This Row],[сумма]]*Таблица1[[#This Row],[коэф]])),
IF((G459="5/16"),((база!$L$6*Таблица1[[#This Row],[сумма]]*Таблица1[[#This Row],[коэф]])),
IF(OR(G459="4/16",G459="3/16"),((база!$L$5*Таблица1[[#This Row],[сумма]]*Таблица1[[#This Row],[коэф]])),
IF(OR(G459="2/4",G459="3/4",G459="4/4"),((база!$I$5*Таблица1[[#This Row],[сумма]]*Таблица1[[#This Row],[коэф]])),
IF((G459="5/8"),((база!$J$6*Таблица1[[#This Row],[сумма]]*Таблица1[[#This Row],[коэф]])),
IF(OR(G459="4/8",G459="3/8",G459="2/8"),((база!$J$5*Таблица1[[#This Row],[сумма]]*Таблица1[[#This Row],[коэф]])))))))))))</f>
        <v>0</v>
      </c>
      <c r="AP459" s="696" t="b">
        <f>IF(AR459&lt;=3,(IF((G459="5/24"),((база!$M$6*2*Таблица1[[#This Row],[Столбец1]]*Таблица1[[#This Row],[коэф]])),
IF((G459="4/24"),((база!$M$5*2*Таблица1[[#This Row],[Столбец1]]*Таблица1[[#This Row],[коэф]])),
IF((G459="3/24"),((база!$M$4*2*Таблица1[[#This Row],[Столбец1]]*Таблица1[[#This Row],[коэф]])),
IF((G459="5/16"),((база!$L$6*2*Таблица1[[#This Row],[Столбец1]]*Таблица1[[#This Row],[коэф]])),
IF((G459="4/16"),((база!$L$5*2*Таблица1[[#This Row],[Столбец1]]*Таблица1[[#This Row],[коэф]])),
IF((G459="3/16"),((база!$L$4*2*Таблица1[[#This Row],[Столбец1]]*Таблица1[[#This Row],[коэф]])),
IF((G459="4/4"),((база!$I$5*2*Таблица1[[#This Row],[Столбец1]]*Таблица1[[#This Row],[коэф]])),
IF(OR(G459="2/4",G459="3/4"),((база!$I$4*2*Таблица1[[#This Row],[Столбец1]]*Таблица1[[#This Row],[коэф]])),
IF((G459="5/8"),((база!$J$6*2*Таблица1[[#This Row],[Столбец1]]*Таблица1[[#This Row],[коэф]])),
IF((G459="4/8"),((база!$J$5*2*Таблица1[[#This Row],[Столбец1]]*Таблица1[[#This Row],[коэф]])),
IF(OR(G459="3/8",G459="2/8"),((база!$J$4*2*Таблица1[[#This Row],[Столбец1]]*Таблица1[[#This Row],[коэф]])))))))))))))),
(IF((G459="5/24"),((база!$M$6*2*Таблица1[[#This Row],[Столбец1]]*Таблица1[[#This Row],[коэф]])),
IF(OR(G459="4/24",G459="3/24"),((база!$M$5*2*Таблица1[[#This Row],[Столбец1]]*Таблица1[[#This Row],[коэф]])),
IF((G459="5/16"),((база!$L$6*2*Таблица1[[#This Row],[Столбец1]]*Таблица1[[#This Row],[коэф]])),
IF(OR(G459="4/16",G459="3/16"),((база!$L$5*2*Таблица1[[#This Row],[Столбец1]]*Таблица1[[#This Row],[коэф]])),
IF(OR(G459="2/4",G459="3/4",G459="4/4"),((база!$I$5*2*Таблица1[[#This Row],[Столбец1]]*Таблица1[[#This Row],[коэф]])),
IF((G459="5/8"),((база!$J$6*2*Таблица1[[#This Row],[Столбец1]]*Таблица1[[#This Row],[коэф]])),
IF(OR(G459="4/8",G459="3/8",G459="2/8"),((база!$J$5*2*Таблица1[[#This Row],[Столбец1]]*Таблица1[[#This Row],[коэф]])))))))))))</f>
        <v>0</v>
      </c>
      <c r="AQ459" s="678" t="str">
        <f>IFERROR(INDEX(база!T:T, MATCH(F459,база!Q:Q,0)),"")</f>
        <v/>
      </c>
      <c r="AR459" s="193">
        <f>IFERROR(INDEX(база!D:D, MATCH(F459,база!B:B,0)),"")</f>
        <v>0</v>
      </c>
    </row>
    <row r="460" spans="1:44" ht="15">
      <c r="A460" s="59"/>
      <c r="B460" s="215"/>
      <c r="C460" s="277"/>
      <c r="D460" s="55"/>
      <c r="E460" s="196"/>
      <c r="F460" s="651"/>
      <c r="G460" s="42"/>
      <c r="H460" s="539"/>
      <c r="I460" s="539"/>
      <c r="J460" s="539"/>
      <c r="K460" s="539"/>
      <c r="L460" s="539"/>
      <c r="M460" s="539"/>
      <c r="N460" s="539"/>
      <c r="O460" s="539"/>
      <c r="P460" s="278"/>
      <c r="Q460" s="539"/>
      <c r="R460" s="539"/>
      <c r="S460" s="539"/>
      <c r="T460" s="539"/>
      <c r="U460" s="539"/>
      <c r="V460" s="539"/>
      <c r="W460" s="539"/>
      <c r="X460" s="539"/>
      <c r="Y460" s="539"/>
      <c r="Z460" s="539"/>
      <c r="AA460" s="539"/>
      <c r="AB460" s="539"/>
      <c r="AC460" s="539"/>
      <c r="AD460" s="43"/>
      <c r="AE460" s="43"/>
      <c r="AF460" s="238"/>
      <c r="AG460" s="43"/>
      <c r="AH460" s="43"/>
      <c r="AI460" s="238"/>
      <c r="AJ460" s="238"/>
      <c r="AK460" s="238"/>
      <c r="AL460" s="238"/>
      <c r="AM460" s="197">
        <f>IF(AQ460=1,SUM(H460:I460,L460:O460,R460:U460,X460:AA460,AD460:AG460,AI460:AK460),
IF(AQ460=2,SUM(H460:K460,N460:Q460,T460:W460,Z460:AC460,AF460:AI460),
IF(AQ460=3,SUM(J460:M460,P460:S460,V460:Y460,AB460:AE460,AH460:AK460),SUM(Таблица1[[#This Row],[1]:[31]])-Таблица1[[#This Row],[Столбец1]])))</f>
        <v>0</v>
      </c>
      <c r="AN460" s="269">
        <f t="array" ref="AN460">IF(AQ460=1,SUM(J460:K460,P460:Q460,V460:W460,AB460:AC460,AH460:AI460),
IF(AQ460=2,SUM(L460:M460,R460:S460,X460:Y460,AD460:AE460),
IF(AQ460=3,SUM(H460:I460,N460:O460,T460:U460,Z460:AA460,AF460:AG460),
SUM(IFERROR(WEEKDAY($H$2:$AL$2,2)&gt;5,)*H460:AL460))))</f>
        <v>0</v>
      </c>
      <c r="AO460" s="271" t="b">
        <f>IF(AR460&lt;=3,(IF((G460="5/24"),((база!$M$6*Таблица1[[#This Row],[сумма]]*Таблица1[[#This Row],[коэф]])),
IF((G460="4/24"),((база!$M$5*Таблица1[[#This Row],[сумма]]*Таблица1[[#This Row],[коэф]])),
IF((G460="3/24"),((база!$M$4*Таблица1[[#This Row],[сумма]]*Таблица1[[#This Row],[коэф]])),
IF((G460="5/16"),((база!$L$6*Таблица1[[#This Row],[сумма]]*Таблица1[[#This Row],[коэф]])),
IF((G460="4/16"),((база!$L$5*Таблица1[[#This Row],[сумма]]*Таблица1[[#This Row],[коэф]])),
IF((G460="3/16"),((база!$L$4*Таблица1[[#This Row],[сумма]]*Таблица1[[#This Row],[коэф]])),
IF((G460="4/4"),((база!$I$5*Таблица1[[#This Row],[сумма]]*Таблица1[[#This Row],[коэф]])),
IF(OR(G460="2/4",G460="3/4"),((база!$I$4*Таблица1[[#This Row],[сумма]]*Таблица1[[#This Row],[коэф]])),
IF((G460="5/8"),((база!$J$6*Таблица1[[#This Row],[сумма]]*Таблица1[[#This Row],[коэф]])),
IF((G460="4/8"),((база!$J$5*Таблица1[[#This Row],[сумма]]*Таблица1[[#This Row],[коэф]])),
IF(OR(G460="3/8",G460="2/8"),((база!$J$4*Таблица1[[#This Row],[сумма]]*Таблица1[[#This Row],[коэф]])))))))))))))),
(IF((G460="5/24"),((база!$M$6*Таблица1[[#This Row],[сумма]]*Таблица1[[#This Row],[коэф]])),
IF(OR(G460="4/24",G460="3/24"),((база!$M$5*Таблица1[[#This Row],[сумма]]*Таблица1[[#This Row],[коэф]])),
IF((G460="5/16"),((база!$L$6*Таблица1[[#This Row],[сумма]]*Таблица1[[#This Row],[коэф]])),
IF(OR(G460="4/16",G460="3/16"),((база!$L$5*Таблица1[[#This Row],[сумма]]*Таблица1[[#This Row],[коэф]])),
IF(OR(G460="2/4",G460="3/4",G460="4/4"),((база!$I$5*Таблица1[[#This Row],[сумма]]*Таблица1[[#This Row],[коэф]])),
IF((G460="5/8"),((база!$J$6*Таблица1[[#This Row],[сумма]]*Таблица1[[#This Row],[коэф]])),
IF(OR(G460="4/8",G460="3/8",G460="2/8"),((база!$J$5*Таблица1[[#This Row],[сумма]]*Таблица1[[#This Row],[коэф]])))))))))))</f>
        <v>0</v>
      </c>
      <c r="AP460" s="696" t="b">
        <f>IF(AR460&lt;=3,(IF((G460="5/24"),((база!$M$6*2*Таблица1[[#This Row],[Столбец1]]*Таблица1[[#This Row],[коэф]])),
IF((G460="4/24"),((база!$M$5*2*Таблица1[[#This Row],[Столбец1]]*Таблица1[[#This Row],[коэф]])),
IF((G460="3/24"),((база!$M$4*2*Таблица1[[#This Row],[Столбец1]]*Таблица1[[#This Row],[коэф]])),
IF((G460="5/16"),((база!$L$6*2*Таблица1[[#This Row],[Столбец1]]*Таблица1[[#This Row],[коэф]])),
IF((G460="4/16"),((база!$L$5*2*Таблица1[[#This Row],[Столбец1]]*Таблица1[[#This Row],[коэф]])),
IF((G460="3/16"),((база!$L$4*2*Таблица1[[#This Row],[Столбец1]]*Таблица1[[#This Row],[коэф]])),
IF((G460="4/4"),((база!$I$5*2*Таблица1[[#This Row],[Столбец1]]*Таблица1[[#This Row],[коэф]])),
IF(OR(G460="2/4",G460="3/4"),((база!$I$4*2*Таблица1[[#This Row],[Столбец1]]*Таблица1[[#This Row],[коэф]])),
IF((G460="5/8"),((база!$J$6*2*Таблица1[[#This Row],[Столбец1]]*Таблица1[[#This Row],[коэф]])),
IF((G460="4/8"),((база!$J$5*2*Таблица1[[#This Row],[Столбец1]]*Таблица1[[#This Row],[коэф]])),
IF(OR(G460="3/8",G460="2/8"),((база!$J$4*2*Таблица1[[#This Row],[Столбец1]]*Таблица1[[#This Row],[коэф]])))))))))))))),
(IF((G460="5/24"),((база!$M$6*2*Таблица1[[#This Row],[Столбец1]]*Таблица1[[#This Row],[коэф]])),
IF(OR(G460="4/24",G460="3/24"),((база!$M$5*2*Таблица1[[#This Row],[Столбец1]]*Таблица1[[#This Row],[коэф]])),
IF((G460="5/16"),((база!$L$6*2*Таблица1[[#This Row],[Столбец1]]*Таблица1[[#This Row],[коэф]])),
IF(OR(G460="4/16",G460="3/16"),((база!$L$5*2*Таблица1[[#This Row],[Столбец1]]*Таблица1[[#This Row],[коэф]])),
IF(OR(G460="2/4",G460="3/4",G460="4/4"),((база!$I$5*2*Таблица1[[#This Row],[Столбец1]]*Таблица1[[#This Row],[коэф]])),
IF((G460="5/8"),((база!$J$6*2*Таблица1[[#This Row],[Столбец1]]*Таблица1[[#This Row],[коэф]])),
IF(OR(G460="4/8",G460="3/8",G460="2/8"),((база!$J$5*2*Таблица1[[#This Row],[Столбец1]]*Таблица1[[#This Row],[коэф]])))))))))))</f>
        <v>0</v>
      </c>
      <c r="AQ460" s="678" t="str">
        <f>IFERROR(INDEX(база!T:T, MATCH(F460,база!Q:Q,0)),"")</f>
        <v/>
      </c>
      <c r="AR460" s="193">
        <f>IFERROR(INDEX(база!D:D, MATCH(F460,база!B:B,0)),"")</f>
        <v>0</v>
      </c>
    </row>
    <row r="461" spans="1:44" ht="15">
      <c r="A461" s="59"/>
      <c r="B461" s="215"/>
      <c r="C461" s="277"/>
      <c r="D461" s="55"/>
      <c r="E461" s="196"/>
      <c r="F461" s="651"/>
      <c r="G461" s="42"/>
      <c r="H461" s="539"/>
      <c r="I461" s="539"/>
      <c r="J461" s="539"/>
      <c r="K461" s="539"/>
      <c r="L461" s="539"/>
      <c r="M461" s="539"/>
      <c r="N461" s="539"/>
      <c r="O461" s="539"/>
      <c r="P461" s="278"/>
      <c r="Q461" s="539"/>
      <c r="R461" s="539"/>
      <c r="S461" s="539"/>
      <c r="T461" s="539"/>
      <c r="U461" s="539"/>
      <c r="V461" s="539"/>
      <c r="W461" s="539"/>
      <c r="X461" s="539"/>
      <c r="Y461" s="539"/>
      <c r="Z461" s="539"/>
      <c r="AA461" s="539"/>
      <c r="AB461" s="539"/>
      <c r="AC461" s="539"/>
      <c r="AD461" s="43"/>
      <c r="AE461" s="43"/>
      <c r="AF461" s="238"/>
      <c r="AG461" s="43"/>
      <c r="AH461" s="43"/>
      <c r="AI461" s="43"/>
      <c r="AJ461" s="43"/>
      <c r="AK461" s="43"/>
      <c r="AL461" s="45"/>
      <c r="AM461" s="197">
        <f>IF(AQ461=1,SUM(H461:I461,L461:O461,R461:U461,X461:AA461,AD461:AG461,AI461:AK461),
IF(AQ461=2,SUM(H461:K461,N461:Q461,T461:W461,Z461:AC461,AF461:AI461),
IF(AQ461=3,SUM(J461:M461,P461:S461,V461:Y461,AB461:AE461,AH461:AK461),SUM(Таблица1[[#This Row],[1]:[31]])-Таблица1[[#This Row],[Столбец1]])))</f>
        <v>0</v>
      </c>
      <c r="AN461" s="269">
        <f t="array" ref="AN461">IF(AQ461=1,SUM(J461:K461,P461:Q461,V461:W461,AB461:AC461,AH461:AI461),
IF(AQ461=2,SUM(L461:M461,R461:S461,X461:Y461,AD461:AE461),
IF(AQ461=3,SUM(H461:I461,N461:O461,T461:U461,Z461:AA461,AF461:AG461),
SUM(IFERROR(WEEKDAY($H$2:$AL$2,2)&gt;5,)*H461:AL461))))</f>
        <v>0</v>
      </c>
      <c r="AO461" s="271" t="b">
        <f>IF(AR461&lt;=3,(IF((G461="5/24"),((база!$M$6*Таблица1[[#This Row],[сумма]]*Таблица1[[#This Row],[коэф]])),
IF((G461="4/24"),((база!$M$5*Таблица1[[#This Row],[сумма]]*Таблица1[[#This Row],[коэф]])),
IF((G461="3/24"),((база!$M$4*Таблица1[[#This Row],[сумма]]*Таблица1[[#This Row],[коэф]])),
IF((G461="5/16"),((база!$L$6*Таблица1[[#This Row],[сумма]]*Таблица1[[#This Row],[коэф]])),
IF((G461="4/16"),((база!$L$5*Таблица1[[#This Row],[сумма]]*Таблица1[[#This Row],[коэф]])),
IF((G461="3/16"),((база!$L$4*Таблица1[[#This Row],[сумма]]*Таблица1[[#This Row],[коэф]])),
IF((G461="4/4"),((база!$I$5*Таблица1[[#This Row],[сумма]]*Таблица1[[#This Row],[коэф]])),
IF(OR(G461="2/4",G461="3/4"),((база!$I$4*Таблица1[[#This Row],[сумма]]*Таблица1[[#This Row],[коэф]])),
IF((G461="5/8"),((база!$J$6*Таблица1[[#This Row],[сумма]]*Таблица1[[#This Row],[коэф]])),
IF((G461="4/8"),((база!$J$5*Таблица1[[#This Row],[сумма]]*Таблица1[[#This Row],[коэф]])),
IF(OR(G461="3/8",G461="2/8"),((база!$J$4*Таблица1[[#This Row],[сумма]]*Таблица1[[#This Row],[коэф]])))))))))))))),
(IF((G461="5/24"),((база!$M$6*Таблица1[[#This Row],[сумма]]*Таблица1[[#This Row],[коэф]])),
IF(OR(G461="4/24",G461="3/24"),((база!$M$5*Таблица1[[#This Row],[сумма]]*Таблица1[[#This Row],[коэф]])),
IF((G461="5/16"),((база!$L$6*Таблица1[[#This Row],[сумма]]*Таблица1[[#This Row],[коэф]])),
IF(OR(G461="4/16",G461="3/16"),((база!$L$5*Таблица1[[#This Row],[сумма]]*Таблица1[[#This Row],[коэф]])),
IF(OR(G461="2/4",G461="3/4",G461="4/4"),((база!$I$5*Таблица1[[#This Row],[сумма]]*Таблица1[[#This Row],[коэф]])),
IF((G461="5/8"),((база!$J$6*Таблица1[[#This Row],[сумма]]*Таблица1[[#This Row],[коэф]])),
IF(OR(G461="4/8",G461="3/8",G461="2/8"),((база!$J$5*Таблица1[[#This Row],[сумма]]*Таблица1[[#This Row],[коэф]])))))))))))</f>
        <v>0</v>
      </c>
      <c r="AP461" s="696" t="b">
        <f>IF(AR461&lt;=3,(IF((G461="5/24"),((база!$M$6*2*Таблица1[[#This Row],[Столбец1]]*Таблица1[[#This Row],[коэф]])),
IF((G461="4/24"),((база!$M$5*2*Таблица1[[#This Row],[Столбец1]]*Таблица1[[#This Row],[коэф]])),
IF((G461="3/24"),((база!$M$4*2*Таблица1[[#This Row],[Столбец1]]*Таблица1[[#This Row],[коэф]])),
IF((G461="5/16"),((база!$L$6*2*Таблица1[[#This Row],[Столбец1]]*Таблица1[[#This Row],[коэф]])),
IF((G461="4/16"),((база!$L$5*2*Таблица1[[#This Row],[Столбец1]]*Таблица1[[#This Row],[коэф]])),
IF((G461="3/16"),((база!$L$4*2*Таблица1[[#This Row],[Столбец1]]*Таблица1[[#This Row],[коэф]])),
IF((G461="4/4"),((база!$I$5*2*Таблица1[[#This Row],[Столбец1]]*Таблица1[[#This Row],[коэф]])),
IF(OR(G461="2/4",G461="3/4"),((база!$I$4*2*Таблица1[[#This Row],[Столбец1]]*Таблица1[[#This Row],[коэф]])),
IF((G461="5/8"),((база!$J$6*2*Таблица1[[#This Row],[Столбец1]]*Таблица1[[#This Row],[коэф]])),
IF((G461="4/8"),((база!$J$5*2*Таблица1[[#This Row],[Столбец1]]*Таблица1[[#This Row],[коэф]])),
IF(OR(G461="3/8",G461="2/8"),((база!$J$4*2*Таблица1[[#This Row],[Столбец1]]*Таблица1[[#This Row],[коэф]])))))))))))))),
(IF((G461="5/24"),((база!$M$6*2*Таблица1[[#This Row],[Столбец1]]*Таблица1[[#This Row],[коэф]])),
IF(OR(G461="4/24",G461="3/24"),((база!$M$5*2*Таблица1[[#This Row],[Столбец1]]*Таблица1[[#This Row],[коэф]])),
IF((G461="5/16"),((база!$L$6*2*Таблица1[[#This Row],[Столбец1]]*Таблица1[[#This Row],[коэф]])),
IF(OR(G461="4/16",G461="3/16"),((база!$L$5*2*Таблица1[[#This Row],[Столбец1]]*Таблица1[[#This Row],[коэф]])),
IF(OR(G461="2/4",G461="3/4",G461="4/4"),((база!$I$5*2*Таблица1[[#This Row],[Столбец1]]*Таблица1[[#This Row],[коэф]])),
IF((G461="5/8"),((база!$J$6*2*Таблица1[[#This Row],[Столбец1]]*Таблица1[[#This Row],[коэф]])),
IF(OR(G461="4/8",G461="3/8",G461="2/8"),((база!$J$5*2*Таблица1[[#This Row],[Столбец1]]*Таблица1[[#This Row],[коэф]])))))))))))</f>
        <v>0</v>
      </c>
      <c r="AQ461" s="678" t="str">
        <f>IFERROR(INDEX(база!T:T, MATCH(F461,база!Q:Q,0)),"")</f>
        <v/>
      </c>
      <c r="AR461" s="193">
        <f>IFERROR(INDEX(база!D:D, MATCH(F461,база!B:B,0)),"")</f>
        <v>0</v>
      </c>
    </row>
    <row r="462" spans="1:44" ht="15">
      <c r="A462" s="59"/>
      <c r="B462" s="215"/>
      <c r="C462" s="277"/>
      <c r="D462" s="55"/>
      <c r="E462" s="196"/>
      <c r="F462" s="651"/>
      <c r="G462" s="42"/>
      <c r="H462" s="539"/>
      <c r="I462" s="539"/>
      <c r="J462" s="539"/>
      <c r="K462" s="539"/>
      <c r="L462" s="539"/>
      <c r="M462" s="539"/>
      <c r="N462" s="539"/>
      <c r="O462" s="539"/>
      <c r="P462" s="278"/>
      <c r="Q462" s="539"/>
      <c r="R462" s="539"/>
      <c r="S462" s="539"/>
      <c r="T462" s="539"/>
      <c r="U462" s="539"/>
      <c r="V462" s="539"/>
      <c r="W462" s="539"/>
      <c r="X462" s="539"/>
      <c r="Y462" s="539"/>
      <c r="Z462" s="539"/>
      <c r="AA462" s="539"/>
      <c r="AB462" s="539"/>
      <c r="AC462" s="539"/>
      <c r="AD462" s="43"/>
      <c r="AE462" s="43"/>
      <c r="AF462" s="238"/>
      <c r="AG462" s="43"/>
      <c r="AH462" s="43"/>
      <c r="AI462" s="238"/>
      <c r="AJ462" s="238"/>
      <c r="AK462" s="238"/>
      <c r="AL462" s="238"/>
      <c r="AM462" s="197">
        <f>IF(AQ462=1,SUM(H462:I462,L462:O462,R462:U462,X462:AA462,AD462:AG462,AI462:AK462),
IF(AQ462=2,SUM(H462:K462,N462:Q462,T462:W462,Z462:AC462,AF462:AI462),
IF(AQ462=3,SUM(J462:M462,P462:S462,V462:Y462,AB462:AE462,AH462:AK462),SUM(Таблица1[[#This Row],[1]:[31]])-Таблица1[[#This Row],[Столбец1]])))</f>
        <v>0</v>
      </c>
      <c r="AN462" s="269">
        <f t="array" ref="AN462">IF(AQ462=1,SUM(J462:K462,P462:Q462,V462:W462,AB462:AC462,AH462:AI462),
IF(AQ462=2,SUM(L462:M462,R462:S462,X462:Y462,AD462:AE462),
IF(AQ462=3,SUM(H462:I462,N462:O462,T462:U462,Z462:AA462,AF462:AG462),
SUM(IFERROR(WEEKDAY($H$2:$AL$2,2)&gt;5,)*H462:AL462))))</f>
        <v>0</v>
      </c>
      <c r="AO462" s="271" t="b">
        <f>IF(AR462&lt;=3,(IF((G462="5/24"),((база!$M$6*Таблица1[[#This Row],[сумма]]*Таблица1[[#This Row],[коэф]])),
IF((G462="4/24"),((база!$M$5*Таблица1[[#This Row],[сумма]]*Таблица1[[#This Row],[коэф]])),
IF((G462="3/24"),((база!$M$4*Таблица1[[#This Row],[сумма]]*Таблица1[[#This Row],[коэф]])),
IF((G462="5/16"),((база!$L$6*Таблица1[[#This Row],[сумма]]*Таблица1[[#This Row],[коэф]])),
IF((G462="4/16"),((база!$L$5*Таблица1[[#This Row],[сумма]]*Таблица1[[#This Row],[коэф]])),
IF((G462="3/16"),((база!$L$4*Таблица1[[#This Row],[сумма]]*Таблица1[[#This Row],[коэф]])),
IF((G462="4/4"),((база!$I$5*Таблица1[[#This Row],[сумма]]*Таблица1[[#This Row],[коэф]])),
IF(OR(G462="2/4",G462="3/4"),((база!$I$4*Таблица1[[#This Row],[сумма]]*Таблица1[[#This Row],[коэф]])),
IF((G462="5/8"),((база!$J$6*Таблица1[[#This Row],[сумма]]*Таблица1[[#This Row],[коэф]])),
IF((G462="4/8"),((база!$J$5*Таблица1[[#This Row],[сумма]]*Таблица1[[#This Row],[коэф]])),
IF(OR(G462="3/8",G462="2/8"),((база!$J$4*Таблица1[[#This Row],[сумма]]*Таблица1[[#This Row],[коэф]])))))))))))))),
(IF((G462="5/24"),((база!$M$6*Таблица1[[#This Row],[сумма]]*Таблица1[[#This Row],[коэф]])),
IF(OR(G462="4/24",G462="3/24"),((база!$M$5*Таблица1[[#This Row],[сумма]]*Таблица1[[#This Row],[коэф]])),
IF((G462="5/16"),((база!$L$6*Таблица1[[#This Row],[сумма]]*Таблица1[[#This Row],[коэф]])),
IF(OR(G462="4/16",G462="3/16"),((база!$L$5*Таблица1[[#This Row],[сумма]]*Таблица1[[#This Row],[коэф]])),
IF(OR(G462="2/4",G462="3/4",G462="4/4"),((база!$I$5*Таблица1[[#This Row],[сумма]]*Таблица1[[#This Row],[коэф]])),
IF((G462="5/8"),((база!$J$6*Таблица1[[#This Row],[сумма]]*Таблица1[[#This Row],[коэф]])),
IF(OR(G462="4/8",G462="3/8",G462="2/8"),((база!$J$5*Таблица1[[#This Row],[сумма]]*Таблица1[[#This Row],[коэф]])))))))))))</f>
        <v>0</v>
      </c>
      <c r="AP462" s="696" t="b">
        <f>IF(AR462&lt;=3,(IF((G462="5/24"),((база!$M$6*2*Таблица1[[#This Row],[Столбец1]]*Таблица1[[#This Row],[коэф]])),
IF((G462="4/24"),((база!$M$5*2*Таблица1[[#This Row],[Столбец1]]*Таблица1[[#This Row],[коэф]])),
IF((G462="3/24"),((база!$M$4*2*Таблица1[[#This Row],[Столбец1]]*Таблица1[[#This Row],[коэф]])),
IF((G462="5/16"),((база!$L$6*2*Таблица1[[#This Row],[Столбец1]]*Таблица1[[#This Row],[коэф]])),
IF((G462="4/16"),((база!$L$5*2*Таблица1[[#This Row],[Столбец1]]*Таблица1[[#This Row],[коэф]])),
IF((G462="3/16"),((база!$L$4*2*Таблица1[[#This Row],[Столбец1]]*Таблица1[[#This Row],[коэф]])),
IF((G462="4/4"),((база!$I$5*2*Таблица1[[#This Row],[Столбец1]]*Таблица1[[#This Row],[коэф]])),
IF(OR(G462="2/4",G462="3/4"),((база!$I$4*2*Таблица1[[#This Row],[Столбец1]]*Таблица1[[#This Row],[коэф]])),
IF((G462="5/8"),((база!$J$6*2*Таблица1[[#This Row],[Столбец1]]*Таблица1[[#This Row],[коэф]])),
IF((G462="4/8"),((база!$J$5*2*Таблица1[[#This Row],[Столбец1]]*Таблица1[[#This Row],[коэф]])),
IF(OR(G462="3/8",G462="2/8"),((база!$J$4*2*Таблица1[[#This Row],[Столбец1]]*Таблица1[[#This Row],[коэф]])))))))))))))),
(IF((G462="5/24"),((база!$M$6*2*Таблица1[[#This Row],[Столбец1]]*Таблица1[[#This Row],[коэф]])),
IF(OR(G462="4/24",G462="3/24"),((база!$M$5*2*Таблица1[[#This Row],[Столбец1]]*Таблица1[[#This Row],[коэф]])),
IF((G462="5/16"),((база!$L$6*2*Таблица1[[#This Row],[Столбец1]]*Таблица1[[#This Row],[коэф]])),
IF(OR(G462="4/16",G462="3/16"),((база!$L$5*2*Таблица1[[#This Row],[Столбец1]]*Таблица1[[#This Row],[коэф]])),
IF(OR(G462="2/4",G462="3/4",G462="4/4"),((база!$I$5*2*Таблица1[[#This Row],[Столбец1]]*Таблица1[[#This Row],[коэф]])),
IF((G462="5/8"),((база!$J$6*2*Таблица1[[#This Row],[Столбец1]]*Таблица1[[#This Row],[коэф]])),
IF(OR(G462="4/8",G462="3/8",G462="2/8"),((база!$J$5*2*Таблица1[[#This Row],[Столбец1]]*Таблица1[[#This Row],[коэф]])))))))))))</f>
        <v>0</v>
      </c>
      <c r="AQ462" s="678" t="str">
        <f>IFERROR(INDEX(база!T:T, MATCH(F462,база!Q:Q,0)),"")</f>
        <v/>
      </c>
      <c r="AR462" s="193">
        <f>IFERROR(INDEX(база!D:D, MATCH(F462,база!B:B,0)),"")</f>
        <v>0</v>
      </c>
    </row>
    <row r="463" spans="1:44" ht="15">
      <c r="A463" s="59"/>
      <c r="B463" s="215"/>
      <c r="C463" s="277"/>
      <c r="D463" s="55"/>
      <c r="E463" s="196"/>
      <c r="F463" s="651"/>
      <c r="G463" s="42"/>
      <c r="H463" s="539"/>
      <c r="I463" s="539"/>
      <c r="J463" s="539"/>
      <c r="K463" s="539"/>
      <c r="L463" s="539"/>
      <c r="M463" s="539"/>
      <c r="N463" s="539"/>
      <c r="O463" s="539"/>
      <c r="P463" s="278"/>
      <c r="Q463" s="539"/>
      <c r="R463" s="539"/>
      <c r="S463" s="539"/>
      <c r="T463" s="539"/>
      <c r="U463" s="539"/>
      <c r="V463" s="539"/>
      <c r="W463" s="539"/>
      <c r="X463" s="539"/>
      <c r="Y463" s="539"/>
      <c r="Z463" s="539"/>
      <c r="AA463" s="539"/>
      <c r="AB463" s="539"/>
      <c r="AC463" s="539"/>
      <c r="AD463" s="43"/>
      <c r="AE463" s="43"/>
      <c r="AF463" s="238"/>
      <c r="AG463" s="43"/>
      <c r="AH463" s="43"/>
      <c r="AI463" s="43"/>
      <c r="AJ463" s="43"/>
      <c r="AK463" s="43"/>
      <c r="AL463" s="45"/>
      <c r="AM463" s="197">
        <f>IF(AQ463=1,SUM(H463:I463,L463:O463,R463:U463,X463:AA463,AD463:AG463,AI463:AK463),
IF(AQ463=2,SUM(H463:K463,N463:Q463,T463:W463,Z463:AC463,AF463:AI463),
IF(AQ463=3,SUM(J463:M463,P463:S463,V463:Y463,AB463:AE463,AH463:AK463),SUM(Таблица1[[#This Row],[1]:[31]])-Таблица1[[#This Row],[Столбец1]])))</f>
        <v>0</v>
      </c>
      <c r="AN463" s="269">
        <f t="array" ref="AN463">IF(AQ463=1,SUM(J463:K463,P463:Q463,V463:W463,AB463:AC463,AH463:AI463),
IF(AQ463=2,SUM(L463:M463,R463:S463,X463:Y463,AD463:AE463),
IF(AQ463=3,SUM(H463:I463,N463:O463,T463:U463,Z463:AA463,AF463:AG463),
SUM(IFERROR(WEEKDAY($H$2:$AL$2,2)&gt;5,)*H463:AL463))))</f>
        <v>0</v>
      </c>
      <c r="AO463" s="271" t="b">
        <f>IF(AR463&lt;=3,(IF((G463="5/24"),((база!$M$6*Таблица1[[#This Row],[сумма]]*Таблица1[[#This Row],[коэф]])),
IF((G463="4/24"),((база!$M$5*Таблица1[[#This Row],[сумма]]*Таблица1[[#This Row],[коэф]])),
IF((G463="3/24"),((база!$M$4*Таблица1[[#This Row],[сумма]]*Таблица1[[#This Row],[коэф]])),
IF((G463="5/16"),((база!$L$6*Таблица1[[#This Row],[сумма]]*Таблица1[[#This Row],[коэф]])),
IF((G463="4/16"),((база!$L$5*Таблица1[[#This Row],[сумма]]*Таблица1[[#This Row],[коэф]])),
IF((G463="3/16"),((база!$L$4*Таблица1[[#This Row],[сумма]]*Таблица1[[#This Row],[коэф]])),
IF((G463="4/4"),((база!$I$5*Таблица1[[#This Row],[сумма]]*Таблица1[[#This Row],[коэф]])),
IF(OR(G463="2/4",G463="3/4"),((база!$I$4*Таблица1[[#This Row],[сумма]]*Таблица1[[#This Row],[коэф]])),
IF((G463="5/8"),((база!$J$6*Таблица1[[#This Row],[сумма]]*Таблица1[[#This Row],[коэф]])),
IF((G463="4/8"),((база!$J$5*Таблица1[[#This Row],[сумма]]*Таблица1[[#This Row],[коэф]])),
IF(OR(G463="3/8",G463="2/8"),((база!$J$4*Таблица1[[#This Row],[сумма]]*Таблица1[[#This Row],[коэф]])))))))))))))),
(IF((G463="5/24"),((база!$M$6*Таблица1[[#This Row],[сумма]]*Таблица1[[#This Row],[коэф]])),
IF(OR(G463="4/24",G463="3/24"),((база!$M$5*Таблица1[[#This Row],[сумма]]*Таблица1[[#This Row],[коэф]])),
IF((G463="5/16"),((база!$L$6*Таблица1[[#This Row],[сумма]]*Таблица1[[#This Row],[коэф]])),
IF(OR(G463="4/16",G463="3/16"),((база!$L$5*Таблица1[[#This Row],[сумма]]*Таблица1[[#This Row],[коэф]])),
IF(OR(G463="2/4",G463="3/4",G463="4/4"),((база!$I$5*Таблица1[[#This Row],[сумма]]*Таблица1[[#This Row],[коэф]])),
IF((G463="5/8"),((база!$J$6*Таблица1[[#This Row],[сумма]]*Таблица1[[#This Row],[коэф]])),
IF(OR(G463="4/8",G463="3/8",G463="2/8"),((база!$J$5*Таблица1[[#This Row],[сумма]]*Таблица1[[#This Row],[коэф]])))))))))))</f>
        <v>0</v>
      </c>
      <c r="AP463" s="696" t="b">
        <f>IF(AR463&lt;=3,(IF((G463="5/24"),((база!$M$6*2*Таблица1[[#This Row],[Столбец1]]*Таблица1[[#This Row],[коэф]])),
IF((G463="4/24"),((база!$M$5*2*Таблица1[[#This Row],[Столбец1]]*Таблица1[[#This Row],[коэф]])),
IF((G463="3/24"),((база!$M$4*2*Таблица1[[#This Row],[Столбец1]]*Таблица1[[#This Row],[коэф]])),
IF((G463="5/16"),((база!$L$6*2*Таблица1[[#This Row],[Столбец1]]*Таблица1[[#This Row],[коэф]])),
IF((G463="4/16"),((база!$L$5*2*Таблица1[[#This Row],[Столбец1]]*Таблица1[[#This Row],[коэф]])),
IF((G463="3/16"),((база!$L$4*2*Таблица1[[#This Row],[Столбец1]]*Таблица1[[#This Row],[коэф]])),
IF((G463="4/4"),((база!$I$5*2*Таблица1[[#This Row],[Столбец1]]*Таблица1[[#This Row],[коэф]])),
IF(OR(G463="2/4",G463="3/4"),((база!$I$4*2*Таблица1[[#This Row],[Столбец1]]*Таблица1[[#This Row],[коэф]])),
IF((G463="5/8"),((база!$J$6*2*Таблица1[[#This Row],[Столбец1]]*Таблица1[[#This Row],[коэф]])),
IF((G463="4/8"),((база!$J$5*2*Таблица1[[#This Row],[Столбец1]]*Таблица1[[#This Row],[коэф]])),
IF(OR(G463="3/8",G463="2/8"),((база!$J$4*2*Таблица1[[#This Row],[Столбец1]]*Таблица1[[#This Row],[коэф]])))))))))))))),
(IF((G463="5/24"),((база!$M$6*2*Таблица1[[#This Row],[Столбец1]]*Таблица1[[#This Row],[коэф]])),
IF(OR(G463="4/24",G463="3/24"),((база!$M$5*2*Таблица1[[#This Row],[Столбец1]]*Таблица1[[#This Row],[коэф]])),
IF((G463="5/16"),((база!$L$6*2*Таблица1[[#This Row],[Столбец1]]*Таблица1[[#This Row],[коэф]])),
IF(OR(G463="4/16",G463="3/16"),((база!$L$5*2*Таблица1[[#This Row],[Столбец1]]*Таблица1[[#This Row],[коэф]])),
IF(OR(G463="2/4",G463="3/4",G463="4/4"),((база!$I$5*2*Таблица1[[#This Row],[Столбец1]]*Таблица1[[#This Row],[коэф]])),
IF((G463="5/8"),((база!$J$6*2*Таблица1[[#This Row],[Столбец1]]*Таблица1[[#This Row],[коэф]])),
IF(OR(G463="4/8",G463="3/8",G463="2/8"),((база!$J$5*2*Таблица1[[#This Row],[Столбец1]]*Таблица1[[#This Row],[коэф]])))))))))))</f>
        <v>0</v>
      </c>
      <c r="AQ463" s="678" t="str">
        <f>IFERROR(INDEX(база!T:T, MATCH(F463,база!Q:Q,0)),"")</f>
        <v/>
      </c>
      <c r="AR463" s="193">
        <f>IFERROR(INDEX(база!D:D, MATCH(F463,база!B:B,0)),"")</f>
        <v>0</v>
      </c>
    </row>
    <row r="464" spans="1:44" ht="15">
      <c r="A464" s="59"/>
      <c r="B464" s="215"/>
      <c r="C464" s="277"/>
      <c r="D464" s="55"/>
      <c r="E464" s="196"/>
      <c r="F464" s="651"/>
      <c r="G464" s="42"/>
      <c r="H464" s="539"/>
      <c r="I464" s="539"/>
      <c r="J464" s="539"/>
      <c r="K464" s="539"/>
      <c r="L464" s="539"/>
      <c r="M464" s="539"/>
      <c r="N464" s="539"/>
      <c r="O464" s="539"/>
      <c r="P464" s="278"/>
      <c r="Q464" s="539"/>
      <c r="R464" s="539"/>
      <c r="S464" s="539"/>
      <c r="T464" s="539"/>
      <c r="U464" s="539"/>
      <c r="V464" s="539"/>
      <c r="W464" s="539"/>
      <c r="X464" s="539"/>
      <c r="Y464" s="539"/>
      <c r="Z464" s="539"/>
      <c r="AA464" s="539"/>
      <c r="AB464" s="539"/>
      <c r="AC464" s="539"/>
      <c r="AD464" s="43"/>
      <c r="AE464" s="43"/>
      <c r="AF464" s="238"/>
      <c r="AG464" s="43"/>
      <c r="AH464" s="43"/>
      <c r="AI464" s="238"/>
      <c r="AJ464" s="238"/>
      <c r="AK464" s="238"/>
      <c r="AL464" s="238"/>
      <c r="AM464" s="197">
        <f>IF(AQ464=1,SUM(H464:I464,L464:O464,R464:U464,X464:AA464,AD464:AG464,AI464:AK464),
IF(AQ464=2,SUM(H464:K464,N464:Q464,T464:W464,Z464:AC464,AF464:AI464),
IF(AQ464=3,SUM(J464:M464,P464:S464,V464:Y464,AB464:AE464,AH464:AK464),SUM(Таблица1[[#This Row],[1]:[31]])-Таблица1[[#This Row],[Столбец1]])))</f>
        <v>0</v>
      </c>
      <c r="AN464" s="269">
        <f t="array" ref="AN464">IF(AQ464=1,SUM(J464:K464,P464:Q464,V464:W464,AB464:AC464,AH464:AI464),
IF(AQ464=2,SUM(L464:M464,R464:S464,X464:Y464,AD464:AE464),
IF(AQ464=3,SUM(H464:I464,N464:O464,T464:U464,Z464:AA464,AF464:AG464),
SUM(IFERROR(WEEKDAY($H$2:$AL$2,2)&gt;5,)*H464:AL464))))</f>
        <v>0</v>
      </c>
      <c r="AO464" s="271" t="b">
        <f>IF(AR464&lt;=3,(IF((G464="5/24"),((база!$M$6*Таблица1[[#This Row],[сумма]]*Таблица1[[#This Row],[коэф]])),
IF((G464="4/24"),((база!$M$5*Таблица1[[#This Row],[сумма]]*Таблица1[[#This Row],[коэф]])),
IF((G464="3/24"),((база!$M$4*Таблица1[[#This Row],[сумма]]*Таблица1[[#This Row],[коэф]])),
IF((G464="5/16"),((база!$L$6*Таблица1[[#This Row],[сумма]]*Таблица1[[#This Row],[коэф]])),
IF((G464="4/16"),((база!$L$5*Таблица1[[#This Row],[сумма]]*Таблица1[[#This Row],[коэф]])),
IF((G464="3/16"),((база!$L$4*Таблица1[[#This Row],[сумма]]*Таблица1[[#This Row],[коэф]])),
IF((G464="4/4"),((база!$I$5*Таблица1[[#This Row],[сумма]]*Таблица1[[#This Row],[коэф]])),
IF(OR(G464="2/4",G464="3/4"),((база!$I$4*Таблица1[[#This Row],[сумма]]*Таблица1[[#This Row],[коэф]])),
IF((G464="5/8"),((база!$J$6*Таблица1[[#This Row],[сумма]]*Таблица1[[#This Row],[коэф]])),
IF((G464="4/8"),((база!$J$5*Таблица1[[#This Row],[сумма]]*Таблица1[[#This Row],[коэф]])),
IF(OR(G464="3/8",G464="2/8"),((база!$J$4*Таблица1[[#This Row],[сумма]]*Таблица1[[#This Row],[коэф]])))))))))))))),
(IF((G464="5/24"),((база!$M$6*Таблица1[[#This Row],[сумма]]*Таблица1[[#This Row],[коэф]])),
IF(OR(G464="4/24",G464="3/24"),((база!$M$5*Таблица1[[#This Row],[сумма]]*Таблица1[[#This Row],[коэф]])),
IF((G464="5/16"),((база!$L$6*Таблица1[[#This Row],[сумма]]*Таблица1[[#This Row],[коэф]])),
IF(OR(G464="4/16",G464="3/16"),((база!$L$5*Таблица1[[#This Row],[сумма]]*Таблица1[[#This Row],[коэф]])),
IF(OR(G464="2/4",G464="3/4",G464="4/4"),((база!$I$5*Таблица1[[#This Row],[сумма]]*Таблица1[[#This Row],[коэф]])),
IF((G464="5/8"),((база!$J$6*Таблица1[[#This Row],[сумма]]*Таблица1[[#This Row],[коэф]])),
IF(OR(G464="4/8",G464="3/8",G464="2/8"),((база!$J$5*Таблица1[[#This Row],[сумма]]*Таблица1[[#This Row],[коэф]])))))))))))</f>
        <v>0</v>
      </c>
      <c r="AP464" s="696" t="b">
        <f>IF(AR464&lt;=3,(IF((G464="5/24"),((база!$M$6*2*Таблица1[[#This Row],[Столбец1]]*Таблица1[[#This Row],[коэф]])),
IF((G464="4/24"),((база!$M$5*2*Таблица1[[#This Row],[Столбец1]]*Таблица1[[#This Row],[коэф]])),
IF((G464="3/24"),((база!$M$4*2*Таблица1[[#This Row],[Столбец1]]*Таблица1[[#This Row],[коэф]])),
IF((G464="5/16"),((база!$L$6*2*Таблица1[[#This Row],[Столбец1]]*Таблица1[[#This Row],[коэф]])),
IF((G464="4/16"),((база!$L$5*2*Таблица1[[#This Row],[Столбец1]]*Таблица1[[#This Row],[коэф]])),
IF((G464="3/16"),((база!$L$4*2*Таблица1[[#This Row],[Столбец1]]*Таблица1[[#This Row],[коэф]])),
IF((G464="4/4"),((база!$I$5*2*Таблица1[[#This Row],[Столбец1]]*Таблица1[[#This Row],[коэф]])),
IF(OR(G464="2/4",G464="3/4"),((база!$I$4*2*Таблица1[[#This Row],[Столбец1]]*Таблица1[[#This Row],[коэф]])),
IF((G464="5/8"),((база!$J$6*2*Таблица1[[#This Row],[Столбец1]]*Таблица1[[#This Row],[коэф]])),
IF((G464="4/8"),((база!$J$5*2*Таблица1[[#This Row],[Столбец1]]*Таблица1[[#This Row],[коэф]])),
IF(OR(G464="3/8",G464="2/8"),((база!$J$4*2*Таблица1[[#This Row],[Столбец1]]*Таблица1[[#This Row],[коэф]])))))))))))))),
(IF((G464="5/24"),((база!$M$6*2*Таблица1[[#This Row],[Столбец1]]*Таблица1[[#This Row],[коэф]])),
IF(OR(G464="4/24",G464="3/24"),((база!$M$5*2*Таблица1[[#This Row],[Столбец1]]*Таблица1[[#This Row],[коэф]])),
IF((G464="5/16"),((база!$L$6*2*Таблица1[[#This Row],[Столбец1]]*Таблица1[[#This Row],[коэф]])),
IF(OR(G464="4/16",G464="3/16"),((база!$L$5*2*Таблица1[[#This Row],[Столбец1]]*Таблица1[[#This Row],[коэф]])),
IF(OR(G464="2/4",G464="3/4",G464="4/4"),((база!$I$5*2*Таблица1[[#This Row],[Столбец1]]*Таблица1[[#This Row],[коэф]])),
IF((G464="5/8"),((база!$J$6*2*Таблица1[[#This Row],[Столбец1]]*Таблица1[[#This Row],[коэф]])),
IF(OR(G464="4/8",G464="3/8",G464="2/8"),((база!$J$5*2*Таблица1[[#This Row],[Столбец1]]*Таблица1[[#This Row],[коэф]])))))))))))</f>
        <v>0</v>
      </c>
      <c r="AQ464" s="678" t="str">
        <f>IFERROR(INDEX(база!T:T, MATCH(F464,база!Q:Q,0)),"")</f>
        <v/>
      </c>
      <c r="AR464" s="193">
        <f>IFERROR(INDEX(база!D:D, MATCH(F464,база!B:B,0)),"")</f>
        <v>0</v>
      </c>
    </row>
    <row r="465" spans="1:44" ht="15">
      <c r="A465" s="59"/>
      <c r="B465" s="215"/>
      <c r="C465" s="277"/>
      <c r="D465" s="55"/>
      <c r="E465" s="196"/>
      <c r="F465" s="651"/>
      <c r="G465" s="42"/>
      <c r="H465" s="539"/>
      <c r="I465" s="539"/>
      <c r="J465" s="539"/>
      <c r="K465" s="539"/>
      <c r="L465" s="539"/>
      <c r="M465" s="539"/>
      <c r="N465" s="539"/>
      <c r="O465" s="539"/>
      <c r="P465" s="278"/>
      <c r="Q465" s="539"/>
      <c r="R465" s="539"/>
      <c r="S465" s="539"/>
      <c r="T465" s="539"/>
      <c r="U465" s="539"/>
      <c r="V465" s="539"/>
      <c r="W465" s="539"/>
      <c r="X465" s="539"/>
      <c r="Y465" s="539"/>
      <c r="Z465" s="539"/>
      <c r="AA465" s="539"/>
      <c r="AB465" s="539"/>
      <c r="AC465" s="539"/>
      <c r="AD465" s="43"/>
      <c r="AE465" s="43"/>
      <c r="AF465" s="238"/>
      <c r="AG465" s="43"/>
      <c r="AH465" s="43"/>
      <c r="AI465" s="43"/>
      <c r="AJ465" s="43"/>
      <c r="AK465" s="43"/>
      <c r="AL465" s="45"/>
      <c r="AM465" s="197">
        <f>IF(AQ465=1,SUM(H465:I465,L465:O465,R465:U465,X465:AA465,AD465:AG465,AI465:AK465),
IF(AQ465=2,SUM(H465:K465,N465:Q465,T465:W465,Z465:AC465,AF465:AI465),
IF(AQ465=3,SUM(J465:M465,P465:S465,V465:Y465,AB465:AE465,AH465:AK465),SUM(Таблица1[[#This Row],[1]:[31]])-Таблица1[[#This Row],[Столбец1]])))</f>
        <v>0</v>
      </c>
      <c r="AN465" s="269">
        <f t="array" ref="AN465">IF(AQ465=1,SUM(J465:K465,P465:Q465,V465:W465,AB465:AC465,AH465:AI465),
IF(AQ465=2,SUM(L465:M465,R465:S465,X465:Y465,AD465:AE465),
IF(AQ465=3,SUM(H465:I465,N465:O465,T465:U465,Z465:AA465,AF465:AG465),
SUM(IFERROR(WEEKDAY($H$2:$AL$2,2)&gt;5,)*H465:AL465))))</f>
        <v>0</v>
      </c>
      <c r="AO465" s="271" t="b">
        <f>IF(AR465&lt;=3,(IF((G465="5/24"),((база!$M$6*Таблица1[[#This Row],[сумма]]*Таблица1[[#This Row],[коэф]])),
IF((G465="4/24"),((база!$M$5*Таблица1[[#This Row],[сумма]]*Таблица1[[#This Row],[коэф]])),
IF((G465="3/24"),((база!$M$4*Таблица1[[#This Row],[сумма]]*Таблица1[[#This Row],[коэф]])),
IF((G465="5/16"),((база!$L$6*Таблица1[[#This Row],[сумма]]*Таблица1[[#This Row],[коэф]])),
IF((G465="4/16"),((база!$L$5*Таблица1[[#This Row],[сумма]]*Таблица1[[#This Row],[коэф]])),
IF((G465="3/16"),((база!$L$4*Таблица1[[#This Row],[сумма]]*Таблица1[[#This Row],[коэф]])),
IF((G465="4/4"),((база!$I$5*Таблица1[[#This Row],[сумма]]*Таблица1[[#This Row],[коэф]])),
IF(OR(G465="2/4",G465="3/4"),((база!$I$4*Таблица1[[#This Row],[сумма]]*Таблица1[[#This Row],[коэф]])),
IF((G465="5/8"),((база!$J$6*Таблица1[[#This Row],[сумма]]*Таблица1[[#This Row],[коэф]])),
IF((G465="4/8"),((база!$J$5*Таблица1[[#This Row],[сумма]]*Таблица1[[#This Row],[коэф]])),
IF(OR(G465="3/8",G465="2/8"),((база!$J$4*Таблица1[[#This Row],[сумма]]*Таблица1[[#This Row],[коэф]])))))))))))))),
(IF((G465="5/24"),((база!$M$6*Таблица1[[#This Row],[сумма]]*Таблица1[[#This Row],[коэф]])),
IF(OR(G465="4/24",G465="3/24"),((база!$M$5*Таблица1[[#This Row],[сумма]]*Таблица1[[#This Row],[коэф]])),
IF((G465="5/16"),((база!$L$6*Таблица1[[#This Row],[сумма]]*Таблица1[[#This Row],[коэф]])),
IF(OR(G465="4/16",G465="3/16"),((база!$L$5*Таблица1[[#This Row],[сумма]]*Таблица1[[#This Row],[коэф]])),
IF(OR(G465="2/4",G465="3/4",G465="4/4"),((база!$I$5*Таблица1[[#This Row],[сумма]]*Таблица1[[#This Row],[коэф]])),
IF((G465="5/8"),((база!$J$6*Таблица1[[#This Row],[сумма]]*Таблица1[[#This Row],[коэф]])),
IF(OR(G465="4/8",G465="3/8",G465="2/8"),((база!$J$5*Таблица1[[#This Row],[сумма]]*Таблица1[[#This Row],[коэф]])))))))))))</f>
        <v>0</v>
      </c>
      <c r="AP465" s="696" t="b">
        <f>IF(AR465&lt;=3,(IF((G465="5/24"),((база!$M$6*2*Таблица1[[#This Row],[Столбец1]]*Таблица1[[#This Row],[коэф]])),
IF((G465="4/24"),((база!$M$5*2*Таблица1[[#This Row],[Столбец1]]*Таблица1[[#This Row],[коэф]])),
IF((G465="3/24"),((база!$M$4*2*Таблица1[[#This Row],[Столбец1]]*Таблица1[[#This Row],[коэф]])),
IF((G465="5/16"),((база!$L$6*2*Таблица1[[#This Row],[Столбец1]]*Таблица1[[#This Row],[коэф]])),
IF((G465="4/16"),((база!$L$5*2*Таблица1[[#This Row],[Столбец1]]*Таблица1[[#This Row],[коэф]])),
IF((G465="3/16"),((база!$L$4*2*Таблица1[[#This Row],[Столбец1]]*Таблица1[[#This Row],[коэф]])),
IF((G465="4/4"),((база!$I$5*2*Таблица1[[#This Row],[Столбец1]]*Таблица1[[#This Row],[коэф]])),
IF(OR(G465="2/4",G465="3/4"),((база!$I$4*2*Таблица1[[#This Row],[Столбец1]]*Таблица1[[#This Row],[коэф]])),
IF((G465="5/8"),((база!$J$6*2*Таблица1[[#This Row],[Столбец1]]*Таблица1[[#This Row],[коэф]])),
IF((G465="4/8"),((база!$J$5*2*Таблица1[[#This Row],[Столбец1]]*Таблица1[[#This Row],[коэф]])),
IF(OR(G465="3/8",G465="2/8"),((база!$J$4*2*Таблица1[[#This Row],[Столбец1]]*Таблица1[[#This Row],[коэф]])))))))))))))),
(IF((G465="5/24"),((база!$M$6*2*Таблица1[[#This Row],[Столбец1]]*Таблица1[[#This Row],[коэф]])),
IF(OR(G465="4/24",G465="3/24"),((база!$M$5*2*Таблица1[[#This Row],[Столбец1]]*Таблица1[[#This Row],[коэф]])),
IF((G465="5/16"),((база!$L$6*2*Таблица1[[#This Row],[Столбец1]]*Таблица1[[#This Row],[коэф]])),
IF(OR(G465="4/16",G465="3/16"),((база!$L$5*2*Таблица1[[#This Row],[Столбец1]]*Таблица1[[#This Row],[коэф]])),
IF(OR(G465="2/4",G465="3/4",G465="4/4"),((база!$I$5*2*Таблица1[[#This Row],[Столбец1]]*Таблица1[[#This Row],[коэф]])),
IF((G465="5/8"),((база!$J$6*2*Таблица1[[#This Row],[Столбец1]]*Таблица1[[#This Row],[коэф]])),
IF(OR(G465="4/8",G465="3/8",G465="2/8"),((база!$J$5*2*Таблица1[[#This Row],[Столбец1]]*Таблица1[[#This Row],[коэф]])))))))))))</f>
        <v>0</v>
      </c>
      <c r="AQ465" s="678" t="str">
        <f>IFERROR(INDEX(база!T:T, MATCH(F465,база!Q:Q,0)),"")</f>
        <v/>
      </c>
      <c r="AR465" s="193">
        <f>IFERROR(INDEX(база!D:D, MATCH(F465,база!B:B,0)),"")</f>
        <v>0</v>
      </c>
    </row>
    <row r="466" spans="1:44" ht="15">
      <c r="A466" s="59"/>
      <c r="B466" s="215"/>
      <c r="C466" s="277"/>
      <c r="D466" s="55"/>
      <c r="E466" s="196"/>
      <c r="F466" s="651"/>
      <c r="G466" s="42"/>
      <c r="H466" s="539"/>
      <c r="I466" s="539"/>
      <c r="J466" s="539"/>
      <c r="K466" s="539"/>
      <c r="L466" s="539"/>
      <c r="M466" s="539"/>
      <c r="N466" s="539"/>
      <c r="O466" s="539"/>
      <c r="P466" s="278"/>
      <c r="Q466" s="539"/>
      <c r="R466" s="539"/>
      <c r="S466" s="539"/>
      <c r="T466" s="539"/>
      <c r="U466" s="539"/>
      <c r="V466" s="539"/>
      <c r="W466" s="539"/>
      <c r="X466" s="539"/>
      <c r="Y466" s="539"/>
      <c r="Z466" s="539"/>
      <c r="AA466" s="539"/>
      <c r="AB466" s="539"/>
      <c r="AC466" s="539"/>
      <c r="AD466" s="43"/>
      <c r="AE466" s="43"/>
      <c r="AF466" s="238"/>
      <c r="AG466" s="43"/>
      <c r="AH466" s="43"/>
      <c r="AI466" s="238"/>
      <c r="AJ466" s="238"/>
      <c r="AK466" s="238"/>
      <c r="AL466" s="238"/>
      <c r="AM466" s="197">
        <f>IF(AQ466=1,SUM(H466:I466,L466:O466,R466:U466,X466:AA466,AD466:AG466,AI466:AK466),
IF(AQ466=2,SUM(H466:K466,N466:Q466,T466:W466,Z466:AC466,AF466:AI466),
IF(AQ466=3,SUM(J466:M466,P466:S466,V466:Y466,AB466:AE466,AH466:AK466),SUM(Таблица1[[#This Row],[1]:[31]])-Таблица1[[#This Row],[Столбец1]])))</f>
        <v>0</v>
      </c>
      <c r="AN466" s="269">
        <f t="array" ref="AN466">IF(AQ466=1,SUM(J466:K466,P466:Q466,V466:W466,AB466:AC466,AH466:AI466),
IF(AQ466=2,SUM(L466:M466,R466:S466,X466:Y466,AD466:AE466),
IF(AQ466=3,SUM(H466:I466,N466:O466,T466:U466,Z466:AA466,AF466:AG466),
SUM(IFERROR(WEEKDAY($H$2:$AL$2,2)&gt;5,)*H466:AL466))))</f>
        <v>0</v>
      </c>
      <c r="AO466" s="271" t="b">
        <f>IF(AR466&lt;=3,(IF((G466="5/24"),((база!$M$6*Таблица1[[#This Row],[сумма]]*Таблица1[[#This Row],[коэф]])),
IF((G466="4/24"),((база!$M$5*Таблица1[[#This Row],[сумма]]*Таблица1[[#This Row],[коэф]])),
IF((G466="3/24"),((база!$M$4*Таблица1[[#This Row],[сумма]]*Таблица1[[#This Row],[коэф]])),
IF((G466="5/16"),((база!$L$6*Таблица1[[#This Row],[сумма]]*Таблица1[[#This Row],[коэф]])),
IF((G466="4/16"),((база!$L$5*Таблица1[[#This Row],[сумма]]*Таблица1[[#This Row],[коэф]])),
IF((G466="3/16"),((база!$L$4*Таблица1[[#This Row],[сумма]]*Таблица1[[#This Row],[коэф]])),
IF((G466="4/4"),((база!$I$5*Таблица1[[#This Row],[сумма]]*Таблица1[[#This Row],[коэф]])),
IF(OR(G466="2/4",G466="3/4"),((база!$I$4*Таблица1[[#This Row],[сумма]]*Таблица1[[#This Row],[коэф]])),
IF((G466="5/8"),((база!$J$6*Таблица1[[#This Row],[сумма]]*Таблица1[[#This Row],[коэф]])),
IF((G466="4/8"),((база!$J$5*Таблица1[[#This Row],[сумма]]*Таблица1[[#This Row],[коэф]])),
IF(OR(G466="3/8",G466="2/8"),((база!$J$4*Таблица1[[#This Row],[сумма]]*Таблица1[[#This Row],[коэф]])))))))))))))),
(IF((G466="5/24"),((база!$M$6*Таблица1[[#This Row],[сумма]]*Таблица1[[#This Row],[коэф]])),
IF(OR(G466="4/24",G466="3/24"),((база!$M$5*Таблица1[[#This Row],[сумма]]*Таблица1[[#This Row],[коэф]])),
IF((G466="5/16"),((база!$L$6*Таблица1[[#This Row],[сумма]]*Таблица1[[#This Row],[коэф]])),
IF(OR(G466="4/16",G466="3/16"),((база!$L$5*Таблица1[[#This Row],[сумма]]*Таблица1[[#This Row],[коэф]])),
IF(OR(G466="2/4",G466="3/4",G466="4/4"),((база!$I$5*Таблица1[[#This Row],[сумма]]*Таблица1[[#This Row],[коэф]])),
IF((G466="5/8"),((база!$J$6*Таблица1[[#This Row],[сумма]]*Таблица1[[#This Row],[коэф]])),
IF(OR(G466="4/8",G466="3/8",G466="2/8"),((база!$J$5*Таблица1[[#This Row],[сумма]]*Таблица1[[#This Row],[коэф]])))))))))))</f>
        <v>0</v>
      </c>
      <c r="AP466" s="696" t="b">
        <f>IF(AR466&lt;=3,(IF((G466="5/24"),((база!$M$6*2*Таблица1[[#This Row],[Столбец1]]*Таблица1[[#This Row],[коэф]])),
IF((G466="4/24"),((база!$M$5*2*Таблица1[[#This Row],[Столбец1]]*Таблица1[[#This Row],[коэф]])),
IF((G466="3/24"),((база!$M$4*2*Таблица1[[#This Row],[Столбец1]]*Таблица1[[#This Row],[коэф]])),
IF((G466="5/16"),((база!$L$6*2*Таблица1[[#This Row],[Столбец1]]*Таблица1[[#This Row],[коэф]])),
IF((G466="4/16"),((база!$L$5*2*Таблица1[[#This Row],[Столбец1]]*Таблица1[[#This Row],[коэф]])),
IF((G466="3/16"),((база!$L$4*2*Таблица1[[#This Row],[Столбец1]]*Таблица1[[#This Row],[коэф]])),
IF((G466="4/4"),((база!$I$5*2*Таблица1[[#This Row],[Столбец1]]*Таблица1[[#This Row],[коэф]])),
IF(OR(G466="2/4",G466="3/4"),((база!$I$4*2*Таблица1[[#This Row],[Столбец1]]*Таблица1[[#This Row],[коэф]])),
IF((G466="5/8"),((база!$J$6*2*Таблица1[[#This Row],[Столбец1]]*Таблица1[[#This Row],[коэф]])),
IF((G466="4/8"),((база!$J$5*2*Таблица1[[#This Row],[Столбец1]]*Таблица1[[#This Row],[коэф]])),
IF(OR(G466="3/8",G466="2/8"),((база!$J$4*2*Таблица1[[#This Row],[Столбец1]]*Таблица1[[#This Row],[коэф]])))))))))))))),
(IF((G466="5/24"),((база!$M$6*2*Таблица1[[#This Row],[Столбец1]]*Таблица1[[#This Row],[коэф]])),
IF(OR(G466="4/24",G466="3/24"),((база!$M$5*2*Таблица1[[#This Row],[Столбец1]]*Таблица1[[#This Row],[коэф]])),
IF((G466="5/16"),((база!$L$6*2*Таблица1[[#This Row],[Столбец1]]*Таблица1[[#This Row],[коэф]])),
IF(OR(G466="4/16",G466="3/16"),((база!$L$5*2*Таблица1[[#This Row],[Столбец1]]*Таблица1[[#This Row],[коэф]])),
IF(OR(G466="2/4",G466="3/4",G466="4/4"),((база!$I$5*2*Таблица1[[#This Row],[Столбец1]]*Таблица1[[#This Row],[коэф]])),
IF((G466="5/8"),((база!$J$6*2*Таблица1[[#This Row],[Столбец1]]*Таблица1[[#This Row],[коэф]])),
IF(OR(G466="4/8",G466="3/8",G466="2/8"),((база!$J$5*2*Таблица1[[#This Row],[Столбец1]]*Таблица1[[#This Row],[коэф]])))))))))))</f>
        <v>0</v>
      </c>
      <c r="AQ466" s="678" t="str">
        <f>IFERROR(INDEX(база!T:T, MATCH(F466,база!Q:Q,0)),"")</f>
        <v/>
      </c>
      <c r="AR466" s="193">
        <f>IFERROR(INDEX(база!D:D, MATCH(F466,база!B:B,0)),"")</f>
        <v>0</v>
      </c>
    </row>
    <row r="467" spans="1:44" ht="15">
      <c r="A467" s="59"/>
      <c r="B467" s="215"/>
      <c r="C467" s="277"/>
      <c r="D467" s="55"/>
      <c r="E467" s="196"/>
      <c r="F467" s="651"/>
      <c r="G467" s="42"/>
      <c r="H467" s="539"/>
      <c r="I467" s="539"/>
      <c r="J467" s="539"/>
      <c r="K467" s="539"/>
      <c r="L467" s="539"/>
      <c r="M467" s="539"/>
      <c r="N467" s="539"/>
      <c r="O467" s="539"/>
      <c r="P467" s="278"/>
      <c r="Q467" s="539"/>
      <c r="R467" s="539"/>
      <c r="S467" s="539"/>
      <c r="T467" s="539"/>
      <c r="U467" s="539"/>
      <c r="V467" s="539"/>
      <c r="W467" s="539"/>
      <c r="X467" s="539"/>
      <c r="Y467" s="539"/>
      <c r="Z467" s="539"/>
      <c r="AA467" s="539"/>
      <c r="AB467" s="539"/>
      <c r="AC467" s="539"/>
      <c r="AD467" s="43"/>
      <c r="AE467" s="43"/>
      <c r="AF467" s="238"/>
      <c r="AG467" s="43"/>
      <c r="AH467" s="43"/>
      <c r="AI467" s="43"/>
      <c r="AJ467" s="43"/>
      <c r="AK467" s="43"/>
      <c r="AL467" s="45"/>
      <c r="AM467" s="197">
        <f>IF(AQ467=1,SUM(H467:I467,L467:O467,R467:U467,X467:AA467,AD467:AG467,AI467:AK467),
IF(AQ467=2,SUM(H467:K467,N467:Q467,T467:W467,Z467:AC467,AF467:AI467),
IF(AQ467=3,SUM(J467:M467,P467:S467,V467:Y467,AB467:AE467,AH467:AK467),SUM(Таблица1[[#This Row],[1]:[31]])-Таблица1[[#This Row],[Столбец1]])))</f>
        <v>0</v>
      </c>
      <c r="AN467" s="269">
        <f t="array" ref="AN467">IF(AQ467=1,SUM(J467:K467,P467:Q467,V467:W467,AB467:AC467,AH467:AI467),
IF(AQ467=2,SUM(L467:M467,R467:S467,X467:Y467,AD467:AE467),
IF(AQ467=3,SUM(H467:I467,N467:O467,T467:U467,Z467:AA467,AF467:AG467),
SUM(IFERROR(WEEKDAY($H$2:$AL$2,2)&gt;5,)*H467:AL467))))</f>
        <v>0</v>
      </c>
      <c r="AO467" s="271" t="b">
        <f>IF(AR467&lt;=3,(IF((G467="5/24"),((база!$M$6*Таблица1[[#This Row],[сумма]]*Таблица1[[#This Row],[коэф]])),
IF((G467="4/24"),((база!$M$5*Таблица1[[#This Row],[сумма]]*Таблица1[[#This Row],[коэф]])),
IF((G467="3/24"),((база!$M$4*Таблица1[[#This Row],[сумма]]*Таблица1[[#This Row],[коэф]])),
IF((G467="5/16"),((база!$L$6*Таблица1[[#This Row],[сумма]]*Таблица1[[#This Row],[коэф]])),
IF((G467="4/16"),((база!$L$5*Таблица1[[#This Row],[сумма]]*Таблица1[[#This Row],[коэф]])),
IF((G467="3/16"),((база!$L$4*Таблица1[[#This Row],[сумма]]*Таблица1[[#This Row],[коэф]])),
IF((G467="4/4"),((база!$I$5*Таблица1[[#This Row],[сумма]]*Таблица1[[#This Row],[коэф]])),
IF(OR(G467="2/4",G467="3/4"),((база!$I$4*Таблица1[[#This Row],[сумма]]*Таблица1[[#This Row],[коэф]])),
IF((G467="5/8"),((база!$J$6*Таблица1[[#This Row],[сумма]]*Таблица1[[#This Row],[коэф]])),
IF((G467="4/8"),((база!$J$5*Таблица1[[#This Row],[сумма]]*Таблица1[[#This Row],[коэф]])),
IF(OR(G467="3/8",G467="2/8"),((база!$J$4*Таблица1[[#This Row],[сумма]]*Таблица1[[#This Row],[коэф]])))))))))))))),
(IF((G467="5/24"),((база!$M$6*Таблица1[[#This Row],[сумма]]*Таблица1[[#This Row],[коэф]])),
IF(OR(G467="4/24",G467="3/24"),((база!$M$5*Таблица1[[#This Row],[сумма]]*Таблица1[[#This Row],[коэф]])),
IF((G467="5/16"),((база!$L$6*Таблица1[[#This Row],[сумма]]*Таблица1[[#This Row],[коэф]])),
IF(OR(G467="4/16",G467="3/16"),((база!$L$5*Таблица1[[#This Row],[сумма]]*Таблица1[[#This Row],[коэф]])),
IF(OR(G467="2/4",G467="3/4",G467="4/4"),((база!$I$5*Таблица1[[#This Row],[сумма]]*Таблица1[[#This Row],[коэф]])),
IF((G467="5/8"),((база!$J$6*Таблица1[[#This Row],[сумма]]*Таблица1[[#This Row],[коэф]])),
IF(OR(G467="4/8",G467="3/8",G467="2/8"),((база!$J$5*Таблица1[[#This Row],[сумма]]*Таблица1[[#This Row],[коэф]])))))))))))</f>
        <v>0</v>
      </c>
      <c r="AP467" s="696" t="b">
        <f>IF(AR467&lt;=3,(IF((G467="5/24"),((база!$M$6*2*Таблица1[[#This Row],[Столбец1]]*Таблица1[[#This Row],[коэф]])),
IF((G467="4/24"),((база!$M$5*2*Таблица1[[#This Row],[Столбец1]]*Таблица1[[#This Row],[коэф]])),
IF((G467="3/24"),((база!$M$4*2*Таблица1[[#This Row],[Столбец1]]*Таблица1[[#This Row],[коэф]])),
IF((G467="5/16"),((база!$L$6*2*Таблица1[[#This Row],[Столбец1]]*Таблица1[[#This Row],[коэф]])),
IF((G467="4/16"),((база!$L$5*2*Таблица1[[#This Row],[Столбец1]]*Таблица1[[#This Row],[коэф]])),
IF((G467="3/16"),((база!$L$4*2*Таблица1[[#This Row],[Столбец1]]*Таблица1[[#This Row],[коэф]])),
IF((G467="4/4"),((база!$I$5*2*Таблица1[[#This Row],[Столбец1]]*Таблица1[[#This Row],[коэф]])),
IF(OR(G467="2/4",G467="3/4"),((база!$I$4*2*Таблица1[[#This Row],[Столбец1]]*Таблица1[[#This Row],[коэф]])),
IF((G467="5/8"),((база!$J$6*2*Таблица1[[#This Row],[Столбец1]]*Таблица1[[#This Row],[коэф]])),
IF((G467="4/8"),((база!$J$5*2*Таблица1[[#This Row],[Столбец1]]*Таблица1[[#This Row],[коэф]])),
IF(OR(G467="3/8",G467="2/8"),((база!$J$4*2*Таблица1[[#This Row],[Столбец1]]*Таблица1[[#This Row],[коэф]])))))))))))))),
(IF((G467="5/24"),((база!$M$6*2*Таблица1[[#This Row],[Столбец1]]*Таблица1[[#This Row],[коэф]])),
IF(OR(G467="4/24",G467="3/24"),((база!$M$5*2*Таблица1[[#This Row],[Столбец1]]*Таблица1[[#This Row],[коэф]])),
IF((G467="5/16"),((база!$L$6*2*Таблица1[[#This Row],[Столбец1]]*Таблица1[[#This Row],[коэф]])),
IF(OR(G467="4/16",G467="3/16"),((база!$L$5*2*Таблица1[[#This Row],[Столбец1]]*Таблица1[[#This Row],[коэф]])),
IF(OR(G467="2/4",G467="3/4",G467="4/4"),((база!$I$5*2*Таблица1[[#This Row],[Столбец1]]*Таблица1[[#This Row],[коэф]])),
IF((G467="5/8"),((база!$J$6*2*Таблица1[[#This Row],[Столбец1]]*Таблица1[[#This Row],[коэф]])),
IF(OR(G467="4/8",G467="3/8",G467="2/8"),((база!$J$5*2*Таблица1[[#This Row],[Столбец1]]*Таблица1[[#This Row],[коэф]])))))))))))</f>
        <v>0</v>
      </c>
      <c r="AQ467" s="678" t="str">
        <f>IFERROR(INDEX(база!T:T, MATCH(F467,база!Q:Q,0)),"")</f>
        <v/>
      </c>
      <c r="AR467" s="193">
        <f>IFERROR(INDEX(база!D:D, MATCH(F467,база!B:B,0)),"")</f>
        <v>0</v>
      </c>
    </row>
    <row r="468" spans="1:44" ht="15">
      <c r="A468" s="59"/>
      <c r="B468" s="215"/>
      <c r="C468" s="277"/>
      <c r="D468" s="55"/>
      <c r="E468" s="196"/>
      <c r="F468" s="651"/>
      <c r="G468" s="42"/>
      <c r="H468" s="539"/>
      <c r="I468" s="539"/>
      <c r="J468" s="539"/>
      <c r="K468" s="539"/>
      <c r="L468" s="539"/>
      <c r="M468" s="539"/>
      <c r="N468" s="539"/>
      <c r="O468" s="539"/>
      <c r="P468" s="278"/>
      <c r="Q468" s="539"/>
      <c r="R468" s="539"/>
      <c r="S468" s="539"/>
      <c r="T468" s="539"/>
      <c r="U468" s="539"/>
      <c r="V468" s="539"/>
      <c r="W468" s="539"/>
      <c r="X468" s="539"/>
      <c r="Y468" s="539"/>
      <c r="Z468" s="539"/>
      <c r="AA468" s="539"/>
      <c r="AB468" s="539"/>
      <c r="AC468" s="539"/>
      <c r="AD468" s="43"/>
      <c r="AE468" s="43"/>
      <c r="AF468" s="238"/>
      <c r="AG468" s="43"/>
      <c r="AH468" s="43"/>
      <c r="AI468" s="238"/>
      <c r="AJ468" s="238"/>
      <c r="AK468" s="238"/>
      <c r="AL468" s="238"/>
      <c r="AM468" s="197">
        <f>IF(AQ468=1,SUM(H468:I468,L468:O468,R468:U468,X468:AA468,AD468:AG468,AI468:AK468),
IF(AQ468=2,SUM(H468:K468,N468:Q468,T468:W468,Z468:AC468,AF468:AI468),
IF(AQ468=3,SUM(J468:M468,P468:S468,V468:Y468,AB468:AE468,AH468:AK468),SUM(Таблица1[[#This Row],[1]:[31]])-Таблица1[[#This Row],[Столбец1]])))</f>
        <v>0</v>
      </c>
      <c r="AN468" s="269">
        <f t="array" ref="AN468">IF(AQ468=1,SUM(J468:K468,P468:Q468,V468:W468,AB468:AC468,AH468:AI468),
IF(AQ468=2,SUM(L468:M468,R468:S468,X468:Y468,AD468:AE468),
IF(AQ468=3,SUM(H468:I468,N468:O468,T468:U468,Z468:AA468,AF468:AG468),
SUM(IFERROR(WEEKDAY($H$2:$AL$2,2)&gt;5,)*H468:AL468))))</f>
        <v>0</v>
      </c>
      <c r="AO468" s="271" t="b">
        <f>IF(AR468&lt;=3,(IF((G468="5/24"),((база!$M$6*Таблица1[[#This Row],[сумма]]*Таблица1[[#This Row],[коэф]])),
IF((G468="4/24"),((база!$M$5*Таблица1[[#This Row],[сумма]]*Таблица1[[#This Row],[коэф]])),
IF((G468="3/24"),((база!$M$4*Таблица1[[#This Row],[сумма]]*Таблица1[[#This Row],[коэф]])),
IF((G468="5/16"),((база!$L$6*Таблица1[[#This Row],[сумма]]*Таблица1[[#This Row],[коэф]])),
IF((G468="4/16"),((база!$L$5*Таблица1[[#This Row],[сумма]]*Таблица1[[#This Row],[коэф]])),
IF((G468="3/16"),((база!$L$4*Таблица1[[#This Row],[сумма]]*Таблица1[[#This Row],[коэф]])),
IF((G468="4/4"),((база!$I$5*Таблица1[[#This Row],[сумма]]*Таблица1[[#This Row],[коэф]])),
IF(OR(G468="2/4",G468="3/4"),((база!$I$4*Таблица1[[#This Row],[сумма]]*Таблица1[[#This Row],[коэф]])),
IF((G468="5/8"),((база!$J$6*Таблица1[[#This Row],[сумма]]*Таблица1[[#This Row],[коэф]])),
IF((G468="4/8"),((база!$J$5*Таблица1[[#This Row],[сумма]]*Таблица1[[#This Row],[коэф]])),
IF(OR(G468="3/8",G468="2/8"),((база!$J$4*Таблица1[[#This Row],[сумма]]*Таблица1[[#This Row],[коэф]])))))))))))))),
(IF((G468="5/24"),((база!$M$6*Таблица1[[#This Row],[сумма]]*Таблица1[[#This Row],[коэф]])),
IF(OR(G468="4/24",G468="3/24"),((база!$M$5*Таблица1[[#This Row],[сумма]]*Таблица1[[#This Row],[коэф]])),
IF((G468="5/16"),((база!$L$6*Таблица1[[#This Row],[сумма]]*Таблица1[[#This Row],[коэф]])),
IF(OR(G468="4/16",G468="3/16"),((база!$L$5*Таблица1[[#This Row],[сумма]]*Таблица1[[#This Row],[коэф]])),
IF(OR(G468="2/4",G468="3/4",G468="4/4"),((база!$I$5*Таблица1[[#This Row],[сумма]]*Таблица1[[#This Row],[коэф]])),
IF((G468="5/8"),((база!$J$6*Таблица1[[#This Row],[сумма]]*Таблица1[[#This Row],[коэф]])),
IF(OR(G468="4/8",G468="3/8",G468="2/8"),((база!$J$5*Таблица1[[#This Row],[сумма]]*Таблица1[[#This Row],[коэф]])))))))))))</f>
        <v>0</v>
      </c>
      <c r="AP468" s="696" t="b">
        <f>IF(AR468&lt;=3,(IF((G468="5/24"),((база!$M$6*2*Таблица1[[#This Row],[Столбец1]]*Таблица1[[#This Row],[коэф]])),
IF((G468="4/24"),((база!$M$5*2*Таблица1[[#This Row],[Столбец1]]*Таблица1[[#This Row],[коэф]])),
IF((G468="3/24"),((база!$M$4*2*Таблица1[[#This Row],[Столбец1]]*Таблица1[[#This Row],[коэф]])),
IF((G468="5/16"),((база!$L$6*2*Таблица1[[#This Row],[Столбец1]]*Таблица1[[#This Row],[коэф]])),
IF((G468="4/16"),((база!$L$5*2*Таблица1[[#This Row],[Столбец1]]*Таблица1[[#This Row],[коэф]])),
IF((G468="3/16"),((база!$L$4*2*Таблица1[[#This Row],[Столбец1]]*Таблица1[[#This Row],[коэф]])),
IF((G468="4/4"),((база!$I$5*2*Таблица1[[#This Row],[Столбец1]]*Таблица1[[#This Row],[коэф]])),
IF(OR(G468="2/4",G468="3/4"),((база!$I$4*2*Таблица1[[#This Row],[Столбец1]]*Таблица1[[#This Row],[коэф]])),
IF((G468="5/8"),((база!$J$6*2*Таблица1[[#This Row],[Столбец1]]*Таблица1[[#This Row],[коэф]])),
IF((G468="4/8"),((база!$J$5*2*Таблица1[[#This Row],[Столбец1]]*Таблица1[[#This Row],[коэф]])),
IF(OR(G468="3/8",G468="2/8"),((база!$J$4*2*Таблица1[[#This Row],[Столбец1]]*Таблица1[[#This Row],[коэф]])))))))))))))),
(IF((G468="5/24"),((база!$M$6*2*Таблица1[[#This Row],[Столбец1]]*Таблица1[[#This Row],[коэф]])),
IF(OR(G468="4/24",G468="3/24"),((база!$M$5*2*Таблица1[[#This Row],[Столбец1]]*Таблица1[[#This Row],[коэф]])),
IF((G468="5/16"),((база!$L$6*2*Таблица1[[#This Row],[Столбец1]]*Таблица1[[#This Row],[коэф]])),
IF(OR(G468="4/16",G468="3/16"),((база!$L$5*2*Таблица1[[#This Row],[Столбец1]]*Таблица1[[#This Row],[коэф]])),
IF(OR(G468="2/4",G468="3/4",G468="4/4"),((база!$I$5*2*Таблица1[[#This Row],[Столбец1]]*Таблица1[[#This Row],[коэф]])),
IF((G468="5/8"),((база!$J$6*2*Таблица1[[#This Row],[Столбец1]]*Таблица1[[#This Row],[коэф]])),
IF(OR(G468="4/8",G468="3/8",G468="2/8"),((база!$J$5*2*Таблица1[[#This Row],[Столбец1]]*Таблица1[[#This Row],[коэф]])))))))))))</f>
        <v>0</v>
      </c>
      <c r="AQ468" s="678" t="str">
        <f>IFERROR(INDEX(база!T:T, MATCH(F468,база!Q:Q,0)),"")</f>
        <v/>
      </c>
      <c r="AR468" s="193">
        <f>IFERROR(INDEX(база!D:D, MATCH(F468,база!B:B,0)),"")</f>
        <v>0</v>
      </c>
    </row>
    <row r="469" spans="1:44" ht="15">
      <c r="A469" s="59"/>
      <c r="B469" s="215"/>
      <c r="C469" s="277"/>
      <c r="D469" s="55"/>
      <c r="E469" s="196"/>
      <c r="F469" s="651"/>
      <c r="G469" s="42"/>
      <c r="H469" s="539"/>
      <c r="I469" s="539"/>
      <c r="J469" s="539"/>
      <c r="K469" s="539"/>
      <c r="L469" s="539"/>
      <c r="M469" s="539"/>
      <c r="N469" s="539"/>
      <c r="O469" s="539"/>
      <c r="P469" s="278"/>
      <c r="Q469" s="539"/>
      <c r="R469" s="539"/>
      <c r="S469" s="539"/>
      <c r="T469" s="539"/>
      <c r="U469" s="539"/>
      <c r="V469" s="539"/>
      <c r="W469" s="539"/>
      <c r="X469" s="539"/>
      <c r="Y469" s="539"/>
      <c r="Z469" s="539"/>
      <c r="AA469" s="539"/>
      <c r="AB469" s="539"/>
      <c r="AC469" s="539"/>
      <c r="AD469" s="539"/>
      <c r="AE469" s="539"/>
      <c r="AF469" s="238"/>
      <c r="AG469" s="43"/>
      <c r="AH469" s="43"/>
      <c r="AI469" s="43"/>
      <c r="AJ469" s="43"/>
      <c r="AK469" s="43"/>
      <c r="AL469" s="45"/>
      <c r="AM469" s="197">
        <f>IF(AQ469=1,SUM(H469:I469,L469:O469,R469:U469,X469:AA469,AD469:AG469,AI469:AK469),
IF(AQ469=2,SUM(H469:K469,N469:Q469,T469:W469,Z469:AC469,AF469:AI469),
IF(AQ469=3,SUM(J469:M469,P469:S469,V469:Y469,AB469:AE469,AH469:AK469),SUM(Таблица1[[#This Row],[1]:[31]])-Таблица1[[#This Row],[Столбец1]])))</f>
        <v>0</v>
      </c>
      <c r="AN469" s="269">
        <f t="array" ref="AN469">IF(AQ469=1,SUM(J469:K469,P469:Q469,V469:W469,AB469:AC469,AH469:AI469),
IF(AQ469=2,SUM(L469:M469,R469:S469,X469:Y469,AD469:AE469),
IF(AQ469=3,SUM(H469:I469,N469:O469,T469:U469,Z469:AA469,AF469:AG469),
SUM(IFERROR(WEEKDAY($H$2:$AL$2,2)&gt;5,)*H469:AL469))))</f>
        <v>0</v>
      </c>
      <c r="AO469" s="271" t="b">
        <f>IF(AR469&lt;=3,(IF((G469="5/24"),((база!$M$6*Таблица1[[#This Row],[сумма]]*Таблица1[[#This Row],[коэф]])),
IF((G469="4/24"),((база!$M$5*Таблица1[[#This Row],[сумма]]*Таблица1[[#This Row],[коэф]])),
IF((G469="3/24"),((база!$M$4*Таблица1[[#This Row],[сумма]]*Таблица1[[#This Row],[коэф]])),
IF((G469="5/16"),((база!$L$6*Таблица1[[#This Row],[сумма]]*Таблица1[[#This Row],[коэф]])),
IF((G469="4/16"),((база!$L$5*Таблица1[[#This Row],[сумма]]*Таблица1[[#This Row],[коэф]])),
IF((G469="3/16"),((база!$L$4*Таблица1[[#This Row],[сумма]]*Таблица1[[#This Row],[коэф]])),
IF((G469="4/4"),((база!$I$5*Таблица1[[#This Row],[сумма]]*Таблица1[[#This Row],[коэф]])),
IF(OR(G469="2/4",G469="3/4"),((база!$I$4*Таблица1[[#This Row],[сумма]]*Таблица1[[#This Row],[коэф]])),
IF((G469="5/8"),((база!$J$6*Таблица1[[#This Row],[сумма]]*Таблица1[[#This Row],[коэф]])),
IF((G469="4/8"),((база!$J$5*Таблица1[[#This Row],[сумма]]*Таблица1[[#This Row],[коэф]])),
IF(OR(G469="3/8",G469="2/8"),((база!$J$4*Таблица1[[#This Row],[сумма]]*Таблица1[[#This Row],[коэф]])))))))))))))),
(IF((G469="5/24"),((база!$M$6*Таблица1[[#This Row],[сумма]]*Таблица1[[#This Row],[коэф]])),
IF(OR(G469="4/24",G469="3/24"),((база!$M$5*Таблица1[[#This Row],[сумма]]*Таблица1[[#This Row],[коэф]])),
IF((G469="5/16"),((база!$L$6*Таблица1[[#This Row],[сумма]]*Таблица1[[#This Row],[коэф]])),
IF(OR(G469="4/16",G469="3/16"),((база!$L$5*Таблица1[[#This Row],[сумма]]*Таблица1[[#This Row],[коэф]])),
IF(OR(G469="2/4",G469="3/4",G469="4/4"),((база!$I$5*Таблица1[[#This Row],[сумма]]*Таблица1[[#This Row],[коэф]])),
IF((G469="5/8"),((база!$J$6*Таблица1[[#This Row],[сумма]]*Таблица1[[#This Row],[коэф]])),
IF(OR(G469="4/8",G469="3/8",G469="2/8"),((база!$J$5*Таблица1[[#This Row],[сумма]]*Таблица1[[#This Row],[коэф]])))))))))))</f>
        <v>0</v>
      </c>
      <c r="AP469" s="696" t="b">
        <f>IF(AR469&lt;=3,(IF((G469="5/24"),((база!$M$6*2*Таблица1[[#This Row],[Столбец1]]*Таблица1[[#This Row],[коэф]])),
IF((G469="4/24"),((база!$M$5*2*Таблица1[[#This Row],[Столбец1]]*Таблица1[[#This Row],[коэф]])),
IF((G469="3/24"),((база!$M$4*2*Таблица1[[#This Row],[Столбец1]]*Таблица1[[#This Row],[коэф]])),
IF((G469="5/16"),((база!$L$6*2*Таблица1[[#This Row],[Столбец1]]*Таблица1[[#This Row],[коэф]])),
IF((G469="4/16"),((база!$L$5*2*Таблица1[[#This Row],[Столбец1]]*Таблица1[[#This Row],[коэф]])),
IF((G469="3/16"),((база!$L$4*2*Таблица1[[#This Row],[Столбец1]]*Таблица1[[#This Row],[коэф]])),
IF((G469="4/4"),((база!$I$5*2*Таблица1[[#This Row],[Столбец1]]*Таблица1[[#This Row],[коэф]])),
IF(OR(G469="2/4",G469="3/4"),((база!$I$4*2*Таблица1[[#This Row],[Столбец1]]*Таблица1[[#This Row],[коэф]])),
IF((G469="5/8"),((база!$J$6*2*Таблица1[[#This Row],[Столбец1]]*Таблица1[[#This Row],[коэф]])),
IF((G469="4/8"),((база!$J$5*2*Таблица1[[#This Row],[Столбец1]]*Таблица1[[#This Row],[коэф]])),
IF(OR(G469="3/8",G469="2/8"),((база!$J$4*2*Таблица1[[#This Row],[Столбец1]]*Таблица1[[#This Row],[коэф]])))))))))))))),
(IF((G469="5/24"),((база!$M$6*2*Таблица1[[#This Row],[Столбец1]]*Таблица1[[#This Row],[коэф]])),
IF(OR(G469="4/24",G469="3/24"),((база!$M$5*2*Таблица1[[#This Row],[Столбец1]]*Таблица1[[#This Row],[коэф]])),
IF((G469="5/16"),((база!$L$6*2*Таблица1[[#This Row],[Столбец1]]*Таблица1[[#This Row],[коэф]])),
IF(OR(G469="4/16",G469="3/16"),((база!$L$5*2*Таблица1[[#This Row],[Столбец1]]*Таблица1[[#This Row],[коэф]])),
IF(OR(G469="2/4",G469="3/4",G469="4/4"),((база!$I$5*2*Таблица1[[#This Row],[Столбец1]]*Таблица1[[#This Row],[коэф]])),
IF((G469="5/8"),((база!$J$6*2*Таблица1[[#This Row],[Столбец1]]*Таблица1[[#This Row],[коэф]])),
IF(OR(G469="4/8",G469="3/8",G469="2/8"),((база!$J$5*2*Таблица1[[#This Row],[Столбец1]]*Таблица1[[#This Row],[коэф]])))))))))))</f>
        <v>0</v>
      </c>
      <c r="AQ469" s="678" t="str">
        <f>IFERROR(INDEX(база!T:T, MATCH(F469,база!Q:Q,0)),"")</f>
        <v/>
      </c>
      <c r="AR469" s="193">
        <f>IFERROR(INDEX(база!D:D, MATCH(F469,база!B:B,0)),"")</f>
        <v>0</v>
      </c>
    </row>
    <row r="470" spans="1:44" ht="15">
      <c r="A470" s="59"/>
      <c r="B470" s="215"/>
      <c r="C470" s="277"/>
      <c r="D470" s="55"/>
      <c r="E470" s="196"/>
      <c r="F470" s="651"/>
      <c r="G470" s="42"/>
      <c r="H470" s="539"/>
      <c r="I470" s="539"/>
      <c r="J470" s="539"/>
      <c r="K470" s="539"/>
      <c r="L470" s="539"/>
      <c r="M470" s="539"/>
      <c r="N470" s="539"/>
      <c r="O470" s="539"/>
      <c r="P470" s="278"/>
      <c r="Q470" s="539"/>
      <c r="R470" s="539"/>
      <c r="S470" s="539"/>
      <c r="T470" s="539"/>
      <c r="U470" s="539"/>
      <c r="V470" s="539"/>
      <c r="W470" s="539"/>
      <c r="X470" s="539"/>
      <c r="Y470" s="539"/>
      <c r="Z470" s="539"/>
      <c r="AA470" s="539"/>
      <c r="AB470" s="539"/>
      <c r="AC470" s="539"/>
      <c r="AD470" s="43"/>
      <c r="AE470" s="43"/>
      <c r="AF470" s="238"/>
      <c r="AG470" s="43"/>
      <c r="AH470" s="43"/>
      <c r="AI470" s="238"/>
      <c r="AJ470" s="238"/>
      <c r="AK470" s="238"/>
      <c r="AL470" s="238"/>
      <c r="AM470" s="197">
        <f>IF(AQ470=1,SUM(H470:I470,L470:O470,R470:U470,X470:AA470,AD470:AG470,AI470:AK470),
IF(AQ470=2,SUM(H470:K470,N470:Q470,T470:W470,Z470:AC470,AF470:AI470),
IF(AQ470=3,SUM(J470:M470,P470:S470,V470:Y470,AB470:AE470,AH470:AK470),SUM(Таблица1[[#This Row],[1]:[31]])-Таблица1[[#This Row],[Столбец1]])))</f>
        <v>0</v>
      </c>
      <c r="AN470" s="269">
        <f t="array" ref="AN470">IF(AQ470=1,SUM(J470:K470,P470:Q470,V470:W470,AB470:AC470,AH470:AI470),
IF(AQ470=2,SUM(L470:M470,R470:S470,X470:Y470,AD470:AE470),
IF(AQ470=3,SUM(H470:I470,N470:O470,T470:U470,Z470:AA470,AF470:AG470),
SUM(IFERROR(WEEKDAY($H$2:$AL$2,2)&gt;5,)*H470:AL470))))</f>
        <v>0</v>
      </c>
      <c r="AO470" s="271" t="b">
        <f>IF(AR470&lt;=3,(IF((G470="5/24"),((база!$M$6*Таблица1[[#This Row],[сумма]]*Таблица1[[#This Row],[коэф]])),
IF((G470="4/24"),((база!$M$5*Таблица1[[#This Row],[сумма]]*Таблица1[[#This Row],[коэф]])),
IF((G470="3/24"),((база!$M$4*Таблица1[[#This Row],[сумма]]*Таблица1[[#This Row],[коэф]])),
IF((G470="5/16"),((база!$L$6*Таблица1[[#This Row],[сумма]]*Таблица1[[#This Row],[коэф]])),
IF((G470="4/16"),((база!$L$5*Таблица1[[#This Row],[сумма]]*Таблица1[[#This Row],[коэф]])),
IF((G470="3/16"),((база!$L$4*Таблица1[[#This Row],[сумма]]*Таблица1[[#This Row],[коэф]])),
IF((G470="4/4"),((база!$I$5*Таблица1[[#This Row],[сумма]]*Таблица1[[#This Row],[коэф]])),
IF(OR(G470="2/4",G470="3/4"),((база!$I$4*Таблица1[[#This Row],[сумма]]*Таблица1[[#This Row],[коэф]])),
IF((G470="5/8"),((база!$J$6*Таблица1[[#This Row],[сумма]]*Таблица1[[#This Row],[коэф]])),
IF((G470="4/8"),((база!$J$5*Таблица1[[#This Row],[сумма]]*Таблица1[[#This Row],[коэф]])),
IF(OR(G470="3/8",G470="2/8"),((база!$J$4*Таблица1[[#This Row],[сумма]]*Таблица1[[#This Row],[коэф]])))))))))))))),
(IF((G470="5/24"),((база!$M$6*Таблица1[[#This Row],[сумма]]*Таблица1[[#This Row],[коэф]])),
IF(OR(G470="4/24",G470="3/24"),((база!$M$5*Таблица1[[#This Row],[сумма]]*Таблица1[[#This Row],[коэф]])),
IF((G470="5/16"),((база!$L$6*Таблица1[[#This Row],[сумма]]*Таблица1[[#This Row],[коэф]])),
IF(OR(G470="4/16",G470="3/16"),((база!$L$5*Таблица1[[#This Row],[сумма]]*Таблица1[[#This Row],[коэф]])),
IF(OR(G470="2/4",G470="3/4",G470="4/4"),((база!$I$5*Таблица1[[#This Row],[сумма]]*Таблица1[[#This Row],[коэф]])),
IF((G470="5/8"),((база!$J$6*Таблица1[[#This Row],[сумма]]*Таблица1[[#This Row],[коэф]])),
IF(OR(G470="4/8",G470="3/8",G470="2/8"),((база!$J$5*Таблица1[[#This Row],[сумма]]*Таблица1[[#This Row],[коэф]])))))))))))</f>
        <v>0</v>
      </c>
      <c r="AP470" s="696" t="b">
        <f>IF(AR470&lt;=3,(IF((G470="5/24"),((база!$M$6*2*Таблица1[[#This Row],[Столбец1]]*Таблица1[[#This Row],[коэф]])),
IF((G470="4/24"),((база!$M$5*2*Таблица1[[#This Row],[Столбец1]]*Таблица1[[#This Row],[коэф]])),
IF((G470="3/24"),((база!$M$4*2*Таблица1[[#This Row],[Столбец1]]*Таблица1[[#This Row],[коэф]])),
IF((G470="5/16"),((база!$L$6*2*Таблица1[[#This Row],[Столбец1]]*Таблица1[[#This Row],[коэф]])),
IF((G470="4/16"),((база!$L$5*2*Таблица1[[#This Row],[Столбец1]]*Таблица1[[#This Row],[коэф]])),
IF((G470="3/16"),((база!$L$4*2*Таблица1[[#This Row],[Столбец1]]*Таблица1[[#This Row],[коэф]])),
IF((G470="4/4"),((база!$I$5*2*Таблица1[[#This Row],[Столбец1]]*Таблица1[[#This Row],[коэф]])),
IF(OR(G470="2/4",G470="3/4"),((база!$I$4*2*Таблица1[[#This Row],[Столбец1]]*Таблица1[[#This Row],[коэф]])),
IF((G470="5/8"),((база!$J$6*2*Таблица1[[#This Row],[Столбец1]]*Таблица1[[#This Row],[коэф]])),
IF((G470="4/8"),((база!$J$5*2*Таблица1[[#This Row],[Столбец1]]*Таблица1[[#This Row],[коэф]])),
IF(OR(G470="3/8",G470="2/8"),((база!$J$4*2*Таблица1[[#This Row],[Столбец1]]*Таблица1[[#This Row],[коэф]])))))))))))))),
(IF((G470="5/24"),((база!$M$6*2*Таблица1[[#This Row],[Столбец1]]*Таблица1[[#This Row],[коэф]])),
IF(OR(G470="4/24",G470="3/24"),((база!$M$5*2*Таблица1[[#This Row],[Столбец1]]*Таблица1[[#This Row],[коэф]])),
IF((G470="5/16"),((база!$L$6*2*Таблица1[[#This Row],[Столбец1]]*Таблица1[[#This Row],[коэф]])),
IF(OR(G470="4/16",G470="3/16"),((база!$L$5*2*Таблица1[[#This Row],[Столбец1]]*Таблица1[[#This Row],[коэф]])),
IF(OR(G470="2/4",G470="3/4",G470="4/4"),((база!$I$5*2*Таблица1[[#This Row],[Столбец1]]*Таблица1[[#This Row],[коэф]])),
IF((G470="5/8"),((база!$J$6*2*Таблица1[[#This Row],[Столбец1]]*Таблица1[[#This Row],[коэф]])),
IF(OR(G470="4/8",G470="3/8",G470="2/8"),((база!$J$5*2*Таблица1[[#This Row],[Столбец1]]*Таблица1[[#This Row],[коэф]])))))))))))</f>
        <v>0</v>
      </c>
      <c r="AQ470" s="678" t="str">
        <f>IFERROR(INDEX(база!T:T, MATCH(F470,база!Q:Q,0)),"")</f>
        <v/>
      </c>
      <c r="AR470" s="193">
        <f>IFERROR(INDEX(база!D:D, MATCH(F470,база!B:B,0)),"")</f>
        <v>0</v>
      </c>
    </row>
    <row r="471" spans="1:44" ht="15">
      <c r="A471" s="59"/>
      <c r="B471" s="215"/>
      <c r="C471" s="277"/>
      <c r="D471" s="55"/>
      <c r="E471" s="196"/>
      <c r="F471" s="651"/>
      <c r="G471" s="42"/>
      <c r="H471" s="539"/>
      <c r="I471" s="539"/>
      <c r="J471" s="539"/>
      <c r="K471" s="539"/>
      <c r="L471" s="539"/>
      <c r="M471" s="539"/>
      <c r="N471" s="539"/>
      <c r="O471" s="539"/>
      <c r="P471" s="278"/>
      <c r="Q471" s="539"/>
      <c r="R471" s="539"/>
      <c r="S471" s="539"/>
      <c r="T471" s="539"/>
      <c r="U471" s="539"/>
      <c r="V471" s="539"/>
      <c r="W471" s="539"/>
      <c r="X471" s="539"/>
      <c r="Y471" s="539"/>
      <c r="Z471" s="539"/>
      <c r="AA471" s="539"/>
      <c r="AB471" s="539"/>
      <c r="AC471" s="539"/>
      <c r="AD471" s="43"/>
      <c r="AE471" s="43"/>
      <c r="AF471" s="238"/>
      <c r="AG471" s="43"/>
      <c r="AH471" s="43"/>
      <c r="AI471" s="43"/>
      <c r="AJ471" s="43"/>
      <c r="AK471" s="43"/>
      <c r="AL471" s="43"/>
      <c r="AM471" s="197">
        <f>IF(AQ471=1,SUM(H471:I471,L471:O471,R471:U471,X471:AA471,AD471:AG471,AI471:AK471),
IF(AQ471=2,SUM(H471:K471,N471:Q471,T471:W471,Z471:AC471,AF471:AI471),
IF(AQ471=3,SUM(J471:M471,P471:S471,V471:Y471,AB471:AE471,AH471:AK471),SUM(Таблица1[[#This Row],[1]:[31]])-Таблица1[[#This Row],[Столбец1]])))</f>
        <v>0</v>
      </c>
      <c r="AN471" s="269">
        <f t="array" ref="AN471">IF(AQ471=1,SUM(J471:K471,P471:Q471,V471:W471,AB471:AC471,AH471:AI471),
IF(AQ471=2,SUM(L471:M471,R471:S471,X471:Y471,AD471:AE471),
IF(AQ471=3,SUM(H471:I471,N471:O471,T471:U471,Z471:AA471,AF471:AG471),
SUM(IFERROR(WEEKDAY($H$2:$AL$2,2)&gt;5,)*H471:AL471))))</f>
        <v>0</v>
      </c>
      <c r="AO471" s="271" t="b">
        <f>IF(AR471&lt;=3,(IF((G471="5/24"),((база!$M$6*Таблица1[[#This Row],[сумма]]*Таблица1[[#This Row],[коэф]])),
IF((G471="4/24"),((база!$M$5*Таблица1[[#This Row],[сумма]]*Таблица1[[#This Row],[коэф]])),
IF((G471="3/24"),((база!$M$4*Таблица1[[#This Row],[сумма]]*Таблица1[[#This Row],[коэф]])),
IF((G471="5/16"),((база!$L$6*Таблица1[[#This Row],[сумма]]*Таблица1[[#This Row],[коэф]])),
IF((G471="4/16"),((база!$L$5*Таблица1[[#This Row],[сумма]]*Таблица1[[#This Row],[коэф]])),
IF((G471="3/16"),((база!$L$4*Таблица1[[#This Row],[сумма]]*Таблица1[[#This Row],[коэф]])),
IF((G471="4/4"),((база!$I$5*Таблица1[[#This Row],[сумма]]*Таблица1[[#This Row],[коэф]])),
IF(OR(G471="2/4",G471="3/4"),((база!$I$4*Таблица1[[#This Row],[сумма]]*Таблица1[[#This Row],[коэф]])),
IF((G471="5/8"),((база!$J$6*Таблица1[[#This Row],[сумма]]*Таблица1[[#This Row],[коэф]])),
IF((G471="4/8"),((база!$J$5*Таблица1[[#This Row],[сумма]]*Таблица1[[#This Row],[коэф]])),
IF(OR(G471="3/8",G471="2/8"),((база!$J$4*Таблица1[[#This Row],[сумма]]*Таблица1[[#This Row],[коэф]])))))))))))))),
(IF((G471="5/24"),((база!$M$6*Таблица1[[#This Row],[сумма]]*Таблица1[[#This Row],[коэф]])),
IF(OR(G471="4/24",G471="3/24"),((база!$M$5*Таблица1[[#This Row],[сумма]]*Таблица1[[#This Row],[коэф]])),
IF((G471="5/16"),((база!$L$6*Таблица1[[#This Row],[сумма]]*Таблица1[[#This Row],[коэф]])),
IF(OR(G471="4/16",G471="3/16"),((база!$L$5*Таблица1[[#This Row],[сумма]]*Таблица1[[#This Row],[коэф]])),
IF(OR(G471="2/4",G471="3/4",G471="4/4"),((база!$I$5*Таблица1[[#This Row],[сумма]]*Таблица1[[#This Row],[коэф]])),
IF((G471="5/8"),((база!$J$6*Таблица1[[#This Row],[сумма]]*Таблица1[[#This Row],[коэф]])),
IF(OR(G471="4/8",G471="3/8",G471="2/8"),((база!$J$5*Таблица1[[#This Row],[сумма]]*Таблица1[[#This Row],[коэф]])))))))))))</f>
        <v>0</v>
      </c>
      <c r="AP471" s="696" t="b">
        <f>IF(AR471&lt;=3,(IF((G471="5/24"),((база!$M$6*2*Таблица1[[#This Row],[Столбец1]]*Таблица1[[#This Row],[коэф]])),
IF((G471="4/24"),((база!$M$5*2*Таблица1[[#This Row],[Столбец1]]*Таблица1[[#This Row],[коэф]])),
IF((G471="3/24"),((база!$M$4*2*Таблица1[[#This Row],[Столбец1]]*Таблица1[[#This Row],[коэф]])),
IF((G471="5/16"),((база!$L$6*2*Таблица1[[#This Row],[Столбец1]]*Таблица1[[#This Row],[коэф]])),
IF((G471="4/16"),((база!$L$5*2*Таблица1[[#This Row],[Столбец1]]*Таблица1[[#This Row],[коэф]])),
IF((G471="3/16"),((база!$L$4*2*Таблица1[[#This Row],[Столбец1]]*Таблица1[[#This Row],[коэф]])),
IF((G471="4/4"),((база!$I$5*2*Таблица1[[#This Row],[Столбец1]]*Таблица1[[#This Row],[коэф]])),
IF(OR(G471="2/4",G471="3/4"),((база!$I$4*2*Таблица1[[#This Row],[Столбец1]]*Таблица1[[#This Row],[коэф]])),
IF((G471="5/8"),((база!$J$6*2*Таблица1[[#This Row],[Столбец1]]*Таблица1[[#This Row],[коэф]])),
IF((G471="4/8"),((база!$J$5*2*Таблица1[[#This Row],[Столбец1]]*Таблица1[[#This Row],[коэф]])),
IF(OR(G471="3/8",G471="2/8"),((база!$J$4*2*Таблица1[[#This Row],[Столбец1]]*Таблица1[[#This Row],[коэф]])))))))))))))),
(IF((G471="5/24"),((база!$M$6*2*Таблица1[[#This Row],[Столбец1]]*Таблица1[[#This Row],[коэф]])),
IF(OR(G471="4/24",G471="3/24"),((база!$M$5*2*Таблица1[[#This Row],[Столбец1]]*Таблица1[[#This Row],[коэф]])),
IF((G471="5/16"),((база!$L$6*2*Таблица1[[#This Row],[Столбец1]]*Таблица1[[#This Row],[коэф]])),
IF(OR(G471="4/16",G471="3/16"),((база!$L$5*2*Таблица1[[#This Row],[Столбец1]]*Таблица1[[#This Row],[коэф]])),
IF(OR(G471="2/4",G471="3/4",G471="4/4"),((база!$I$5*2*Таблица1[[#This Row],[Столбец1]]*Таблица1[[#This Row],[коэф]])),
IF((G471="5/8"),((база!$J$6*2*Таблица1[[#This Row],[Столбец1]]*Таблица1[[#This Row],[коэф]])),
IF(OR(G471="4/8",G471="3/8",G471="2/8"),((база!$J$5*2*Таблица1[[#This Row],[Столбец1]]*Таблица1[[#This Row],[коэф]])))))))))))</f>
        <v>0</v>
      </c>
      <c r="AQ471" s="678" t="str">
        <f>IFERROR(INDEX(база!T:T, MATCH(F471,база!Q:Q,0)),"")</f>
        <v/>
      </c>
      <c r="AR471" s="193">
        <f>IFERROR(INDEX(база!D:D, MATCH(F471,база!B:B,0)),"")</f>
        <v>0</v>
      </c>
    </row>
    <row r="472" spans="1:44" ht="15">
      <c r="A472" s="59"/>
      <c r="B472" s="215"/>
      <c r="C472" s="277"/>
      <c r="D472" s="55"/>
      <c r="E472" s="196"/>
      <c r="F472" s="651"/>
      <c r="G472" s="42"/>
      <c r="H472" s="539"/>
      <c r="I472" s="539"/>
      <c r="J472" s="539"/>
      <c r="K472" s="539"/>
      <c r="L472" s="539"/>
      <c r="M472" s="539"/>
      <c r="N472" s="539"/>
      <c r="O472" s="539"/>
      <c r="P472" s="278"/>
      <c r="Q472" s="539"/>
      <c r="R472" s="539"/>
      <c r="S472" s="539"/>
      <c r="T472" s="539"/>
      <c r="U472" s="539"/>
      <c r="V472" s="539"/>
      <c r="W472" s="539"/>
      <c r="X472" s="539"/>
      <c r="Y472" s="539"/>
      <c r="Z472" s="539"/>
      <c r="AA472" s="539"/>
      <c r="AB472" s="539"/>
      <c r="AC472" s="539"/>
      <c r="AD472" s="43"/>
      <c r="AE472" s="43"/>
      <c r="AF472" s="238"/>
      <c r="AG472" s="43"/>
      <c r="AH472" s="43"/>
      <c r="AI472" s="238"/>
      <c r="AJ472" s="238"/>
      <c r="AK472" s="238"/>
      <c r="AL472" s="238"/>
      <c r="AM472" s="197">
        <f>IF(AQ472=1,SUM(H472:I472,L472:O472,R472:U472,X472:AA472,AD472:AG472,AI472:AK472),
IF(AQ472=2,SUM(H472:K472,N472:Q472,T472:W472,Z472:AC472,AF472:AI472),
IF(AQ472=3,SUM(J472:M472,P472:S472,V472:Y472,AB472:AE472,AH472:AK472),SUM(Таблица1[[#This Row],[1]:[31]])-Таблица1[[#This Row],[Столбец1]])))</f>
        <v>0</v>
      </c>
      <c r="AN472" s="269">
        <f t="array" ref="AN472">IF(AQ472=1,SUM(J472:K472,P472:Q472,V472:W472,AB472:AC472,AH472:AI472),
IF(AQ472=2,SUM(L472:M472,R472:S472,X472:Y472,AD472:AE472),
IF(AQ472=3,SUM(H472:I472,N472:O472,T472:U472,Z472:AA472,AF472:AG472),
SUM(IFERROR(WEEKDAY($H$2:$AL$2,2)&gt;5,)*H472:AL472))))</f>
        <v>0</v>
      </c>
      <c r="AO472" s="271" t="b">
        <f>IF(AR472&lt;=3,(IF((G472="5/24"),((база!$M$6*Таблица1[[#This Row],[сумма]]*Таблица1[[#This Row],[коэф]])),
IF((G472="4/24"),((база!$M$5*Таблица1[[#This Row],[сумма]]*Таблица1[[#This Row],[коэф]])),
IF((G472="3/24"),((база!$M$4*Таблица1[[#This Row],[сумма]]*Таблица1[[#This Row],[коэф]])),
IF((G472="5/16"),((база!$L$6*Таблица1[[#This Row],[сумма]]*Таблица1[[#This Row],[коэф]])),
IF((G472="4/16"),((база!$L$5*Таблица1[[#This Row],[сумма]]*Таблица1[[#This Row],[коэф]])),
IF((G472="3/16"),((база!$L$4*Таблица1[[#This Row],[сумма]]*Таблица1[[#This Row],[коэф]])),
IF((G472="4/4"),((база!$I$5*Таблица1[[#This Row],[сумма]]*Таблица1[[#This Row],[коэф]])),
IF(OR(G472="2/4",G472="3/4"),((база!$I$4*Таблица1[[#This Row],[сумма]]*Таблица1[[#This Row],[коэф]])),
IF((G472="5/8"),((база!$J$6*Таблица1[[#This Row],[сумма]]*Таблица1[[#This Row],[коэф]])),
IF((G472="4/8"),((база!$J$5*Таблица1[[#This Row],[сумма]]*Таблица1[[#This Row],[коэф]])),
IF(OR(G472="3/8",G472="2/8"),((база!$J$4*Таблица1[[#This Row],[сумма]]*Таблица1[[#This Row],[коэф]])))))))))))))),
(IF((G472="5/24"),((база!$M$6*Таблица1[[#This Row],[сумма]]*Таблица1[[#This Row],[коэф]])),
IF(OR(G472="4/24",G472="3/24"),((база!$M$5*Таблица1[[#This Row],[сумма]]*Таблица1[[#This Row],[коэф]])),
IF((G472="5/16"),((база!$L$6*Таблица1[[#This Row],[сумма]]*Таблица1[[#This Row],[коэф]])),
IF(OR(G472="4/16",G472="3/16"),((база!$L$5*Таблица1[[#This Row],[сумма]]*Таблица1[[#This Row],[коэф]])),
IF(OR(G472="2/4",G472="3/4",G472="4/4"),((база!$I$5*Таблица1[[#This Row],[сумма]]*Таблица1[[#This Row],[коэф]])),
IF((G472="5/8"),((база!$J$6*Таблица1[[#This Row],[сумма]]*Таблица1[[#This Row],[коэф]])),
IF(OR(G472="4/8",G472="3/8",G472="2/8"),((база!$J$5*Таблица1[[#This Row],[сумма]]*Таблица1[[#This Row],[коэф]])))))))))))</f>
        <v>0</v>
      </c>
      <c r="AP472" s="696" t="b">
        <f>IF(AR472&lt;=3,(IF((G472="5/24"),((база!$M$6*2*Таблица1[[#This Row],[Столбец1]]*Таблица1[[#This Row],[коэф]])),
IF((G472="4/24"),((база!$M$5*2*Таблица1[[#This Row],[Столбец1]]*Таблица1[[#This Row],[коэф]])),
IF((G472="3/24"),((база!$M$4*2*Таблица1[[#This Row],[Столбец1]]*Таблица1[[#This Row],[коэф]])),
IF((G472="5/16"),((база!$L$6*2*Таблица1[[#This Row],[Столбец1]]*Таблица1[[#This Row],[коэф]])),
IF((G472="4/16"),((база!$L$5*2*Таблица1[[#This Row],[Столбец1]]*Таблица1[[#This Row],[коэф]])),
IF((G472="3/16"),((база!$L$4*2*Таблица1[[#This Row],[Столбец1]]*Таблица1[[#This Row],[коэф]])),
IF((G472="4/4"),((база!$I$5*2*Таблица1[[#This Row],[Столбец1]]*Таблица1[[#This Row],[коэф]])),
IF(OR(G472="2/4",G472="3/4"),((база!$I$4*2*Таблица1[[#This Row],[Столбец1]]*Таблица1[[#This Row],[коэф]])),
IF((G472="5/8"),((база!$J$6*2*Таблица1[[#This Row],[Столбец1]]*Таблица1[[#This Row],[коэф]])),
IF((G472="4/8"),((база!$J$5*2*Таблица1[[#This Row],[Столбец1]]*Таблица1[[#This Row],[коэф]])),
IF(OR(G472="3/8",G472="2/8"),((база!$J$4*2*Таблица1[[#This Row],[Столбец1]]*Таблица1[[#This Row],[коэф]])))))))))))))),
(IF((G472="5/24"),((база!$M$6*2*Таблица1[[#This Row],[Столбец1]]*Таблица1[[#This Row],[коэф]])),
IF(OR(G472="4/24",G472="3/24"),((база!$M$5*2*Таблица1[[#This Row],[Столбец1]]*Таблица1[[#This Row],[коэф]])),
IF((G472="5/16"),((база!$L$6*2*Таблица1[[#This Row],[Столбец1]]*Таблица1[[#This Row],[коэф]])),
IF(OR(G472="4/16",G472="3/16"),((база!$L$5*2*Таблица1[[#This Row],[Столбец1]]*Таблица1[[#This Row],[коэф]])),
IF(OR(G472="2/4",G472="3/4",G472="4/4"),((база!$I$5*2*Таблица1[[#This Row],[Столбец1]]*Таблица1[[#This Row],[коэф]])),
IF((G472="5/8"),((база!$J$6*2*Таблица1[[#This Row],[Столбец1]]*Таблица1[[#This Row],[коэф]])),
IF(OR(G472="4/8",G472="3/8",G472="2/8"),((база!$J$5*2*Таблица1[[#This Row],[Столбец1]]*Таблица1[[#This Row],[коэф]])))))))))))</f>
        <v>0</v>
      </c>
      <c r="AQ472" s="678" t="str">
        <f>IFERROR(INDEX(база!T:T, MATCH(F472,база!Q:Q,0)),"")</f>
        <v/>
      </c>
      <c r="AR472" s="193">
        <f>IFERROR(INDEX(база!D:D, MATCH(F472,база!B:B,0)),"")</f>
        <v>0</v>
      </c>
    </row>
    <row r="473" spans="1:44" ht="15">
      <c r="A473" s="59"/>
      <c r="B473" s="215"/>
      <c r="C473" s="277"/>
      <c r="D473" s="55"/>
      <c r="E473" s="196"/>
      <c r="F473" s="651"/>
      <c r="G473" s="42"/>
      <c r="H473" s="539"/>
      <c r="I473" s="539"/>
      <c r="J473" s="539"/>
      <c r="K473" s="539"/>
      <c r="L473" s="539"/>
      <c r="M473" s="539"/>
      <c r="N473" s="539"/>
      <c r="O473" s="539"/>
      <c r="P473" s="278"/>
      <c r="Q473" s="539"/>
      <c r="R473" s="539"/>
      <c r="S473" s="539"/>
      <c r="T473" s="539"/>
      <c r="U473" s="539"/>
      <c r="V473" s="539"/>
      <c r="W473" s="539"/>
      <c r="X473" s="539"/>
      <c r="Y473" s="539"/>
      <c r="Z473" s="539"/>
      <c r="AA473" s="539"/>
      <c r="AB473" s="539"/>
      <c r="AC473" s="539"/>
      <c r="AD473" s="43"/>
      <c r="AE473" s="43"/>
      <c r="AF473" s="238"/>
      <c r="AG473" s="43"/>
      <c r="AH473" s="43"/>
      <c r="AI473" s="43"/>
      <c r="AJ473" s="43"/>
      <c r="AK473" s="43"/>
      <c r="AL473" s="45"/>
      <c r="AM473" s="197">
        <f>IF(AQ473=1,SUM(H473:I473,L473:O473,R473:U473,X473:AA473,AD473:AG473,AI473:AK473),
IF(AQ473=2,SUM(H473:K473,N473:Q473,T473:W473,Z473:AC473,AF473:AI473),
IF(AQ473=3,SUM(J473:M473,P473:S473,V473:Y473,AB473:AE473,AH473:AK473),SUM(Таблица1[[#This Row],[1]:[31]])-Таблица1[[#This Row],[Столбец1]])))</f>
        <v>0</v>
      </c>
      <c r="AN473" s="269">
        <f t="array" ref="AN473">IF(AQ473=1,SUM(J473:K473,P473:Q473,V473:W473,AB473:AC473,AH473:AI473),
IF(AQ473=2,SUM(L473:M473,R473:S473,X473:Y473,AD473:AE473),
IF(AQ473=3,SUM(H473:I473,N473:O473,T473:U473,Z473:AA473,AF473:AG473),
SUM(IFERROR(WEEKDAY($H$2:$AL$2,2)&gt;5,)*H473:AL473))))</f>
        <v>0</v>
      </c>
      <c r="AO473" s="271" t="b">
        <f>IF(AR473&lt;=3,(IF((G473="5/24"),((база!$M$6*Таблица1[[#This Row],[сумма]]*Таблица1[[#This Row],[коэф]])),
IF((G473="4/24"),((база!$M$5*Таблица1[[#This Row],[сумма]]*Таблица1[[#This Row],[коэф]])),
IF((G473="3/24"),((база!$M$4*Таблица1[[#This Row],[сумма]]*Таблица1[[#This Row],[коэф]])),
IF((G473="5/16"),((база!$L$6*Таблица1[[#This Row],[сумма]]*Таблица1[[#This Row],[коэф]])),
IF((G473="4/16"),((база!$L$5*Таблица1[[#This Row],[сумма]]*Таблица1[[#This Row],[коэф]])),
IF((G473="3/16"),((база!$L$4*Таблица1[[#This Row],[сумма]]*Таблица1[[#This Row],[коэф]])),
IF((G473="4/4"),((база!$I$5*Таблица1[[#This Row],[сумма]]*Таблица1[[#This Row],[коэф]])),
IF(OR(G473="2/4",G473="3/4"),((база!$I$4*Таблица1[[#This Row],[сумма]]*Таблица1[[#This Row],[коэф]])),
IF((G473="5/8"),((база!$J$6*Таблица1[[#This Row],[сумма]]*Таблица1[[#This Row],[коэф]])),
IF((G473="4/8"),((база!$J$5*Таблица1[[#This Row],[сумма]]*Таблица1[[#This Row],[коэф]])),
IF(OR(G473="3/8",G473="2/8"),((база!$J$4*Таблица1[[#This Row],[сумма]]*Таблица1[[#This Row],[коэф]])))))))))))))),
(IF((G473="5/24"),((база!$M$6*Таблица1[[#This Row],[сумма]]*Таблица1[[#This Row],[коэф]])),
IF(OR(G473="4/24",G473="3/24"),((база!$M$5*Таблица1[[#This Row],[сумма]]*Таблица1[[#This Row],[коэф]])),
IF((G473="5/16"),((база!$L$6*Таблица1[[#This Row],[сумма]]*Таблица1[[#This Row],[коэф]])),
IF(OR(G473="4/16",G473="3/16"),((база!$L$5*Таблица1[[#This Row],[сумма]]*Таблица1[[#This Row],[коэф]])),
IF(OR(G473="2/4",G473="3/4",G473="4/4"),((база!$I$5*Таблица1[[#This Row],[сумма]]*Таблица1[[#This Row],[коэф]])),
IF((G473="5/8"),((база!$J$6*Таблица1[[#This Row],[сумма]]*Таблица1[[#This Row],[коэф]])),
IF(OR(G473="4/8",G473="3/8",G473="2/8"),((база!$J$5*Таблица1[[#This Row],[сумма]]*Таблица1[[#This Row],[коэф]])))))))))))</f>
        <v>0</v>
      </c>
      <c r="AP473" s="696" t="b">
        <f>IF(AR473&lt;=3,(IF((G473="5/24"),((база!$M$6*2*Таблица1[[#This Row],[Столбец1]]*Таблица1[[#This Row],[коэф]])),
IF((G473="4/24"),((база!$M$5*2*Таблица1[[#This Row],[Столбец1]]*Таблица1[[#This Row],[коэф]])),
IF((G473="3/24"),((база!$M$4*2*Таблица1[[#This Row],[Столбец1]]*Таблица1[[#This Row],[коэф]])),
IF((G473="5/16"),((база!$L$6*2*Таблица1[[#This Row],[Столбец1]]*Таблица1[[#This Row],[коэф]])),
IF((G473="4/16"),((база!$L$5*2*Таблица1[[#This Row],[Столбец1]]*Таблица1[[#This Row],[коэф]])),
IF((G473="3/16"),((база!$L$4*2*Таблица1[[#This Row],[Столбец1]]*Таблица1[[#This Row],[коэф]])),
IF((G473="4/4"),((база!$I$5*2*Таблица1[[#This Row],[Столбец1]]*Таблица1[[#This Row],[коэф]])),
IF(OR(G473="2/4",G473="3/4"),((база!$I$4*2*Таблица1[[#This Row],[Столбец1]]*Таблица1[[#This Row],[коэф]])),
IF((G473="5/8"),((база!$J$6*2*Таблица1[[#This Row],[Столбец1]]*Таблица1[[#This Row],[коэф]])),
IF((G473="4/8"),((база!$J$5*2*Таблица1[[#This Row],[Столбец1]]*Таблица1[[#This Row],[коэф]])),
IF(OR(G473="3/8",G473="2/8"),((база!$J$4*2*Таблица1[[#This Row],[Столбец1]]*Таблица1[[#This Row],[коэф]])))))))))))))),
(IF((G473="5/24"),((база!$M$6*2*Таблица1[[#This Row],[Столбец1]]*Таблица1[[#This Row],[коэф]])),
IF(OR(G473="4/24",G473="3/24"),((база!$M$5*2*Таблица1[[#This Row],[Столбец1]]*Таблица1[[#This Row],[коэф]])),
IF((G473="5/16"),((база!$L$6*2*Таблица1[[#This Row],[Столбец1]]*Таблица1[[#This Row],[коэф]])),
IF(OR(G473="4/16",G473="3/16"),((база!$L$5*2*Таблица1[[#This Row],[Столбец1]]*Таблица1[[#This Row],[коэф]])),
IF(OR(G473="2/4",G473="3/4",G473="4/4"),((база!$I$5*2*Таблица1[[#This Row],[Столбец1]]*Таблица1[[#This Row],[коэф]])),
IF((G473="5/8"),((база!$J$6*2*Таблица1[[#This Row],[Столбец1]]*Таблица1[[#This Row],[коэф]])),
IF(OR(G473="4/8",G473="3/8",G473="2/8"),((база!$J$5*2*Таблица1[[#This Row],[Столбец1]]*Таблица1[[#This Row],[коэф]])))))))))))</f>
        <v>0</v>
      </c>
      <c r="AQ473" s="678" t="str">
        <f>IFERROR(INDEX(база!T:T, MATCH(F473,база!Q:Q,0)),"")</f>
        <v/>
      </c>
      <c r="AR473" s="193">
        <f>IFERROR(INDEX(база!D:D, MATCH(F473,база!B:B,0)),"")</f>
        <v>0</v>
      </c>
    </row>
    <row r="474" spans="1:44" ht="15">
      <c r="A474" s="59"/>
      <c r="B474" s="215"/>
      <c r="C474" s="54"/>
      <c r="D474" s="55"/>
      <c r="E474" s="196"/>
      <c r="F474" s="651"/>
      <c r="G474" s="42"/>
      <c r="H474" s="539"/>
      <c r="I474" s="539"/>
      <c r="J474" s="539"/>
      <c r="K474" s="539"/>
      <c r="L474" s="539"/>
      <c r="M474" s="539"/>
      <c r="N474" s="539"/>
      <c r="O474" s="539"/>
      <c r="P474" s="278"/>
      <c r="Q474" s="539"/>
      <c r="R474" s="539"/>
      <c r="S474" s="539"/>
      <c r="T474" s="539"/>
      <c r="U474" s="539"/>
      <c r="V474" s="539"/>
      <c r="W474" s="539"/>
      <c r="X474" s="539"/>
      <c r="Y474" s="539"/>
      <c r="Z474" s="539"/>
      <c r="AA474" s="539"/>
      <c r="AB474" s="539"/>
      <c r="AC474" s="539"/>
      <c r="AD474" s="43"/>
      <c r="AE474" s="43"/>
      <c r="AF474" s="238"/>
      <c r="AG474" s="43"/>
      <c r="AH474" s="43"/>
      <c r="AI474" s="238"/>
      <c r="AJ474" s="238"/>
      <c r="AK474" s="238"/>
      <c r="AL474" s="238"/>
      <c r="AM474" s="197">
        <f>IF(AQ474=1,SUM(H474:I474,L474:O474,R474:U474,X474:AA474,AD474:AG474,AI474:AK474),
IF(AQ474=2,SUM(H474:K474,N474:Q474,T474:W474,Z474:AC474,AF474:AI474),
IF(AQ474=3,SUM(J474:M474,P474:S474,V474:Y474,AB474:AE474,AH474:AK474),SUM(Таблица1[[#This Row],[1]:[31]])-Таблица1[[#This Row],[Столбец1]])))</f>
        <v>0</v>
      </c>
      <c r="AN474" s="269">
        <f t="array" ref="AN474">IF(AQ474=1,SUM(J474:K474,P474:Q474,V474:W474,AB474:AC474,AH474:AI474),
IF(AQ474=2,SUM(L474:M474,R474:S474,X474:Y474,AD474:AE474),
IF(AQ474=3,SUM(H474:I474,N474:O474,T474:U474,Z474:AA474,AF474:AG474),
SUM(IFERROR(WEEKDAY($H$2:$AL$2,2)&gt;5,)*H474:AL474))))</f>
        <v>0</v>
      </c>
      <c r="AO474" s="271" t="b">
        <f>IF(AR474&lt;=3,(IF((G474="5/24"),((база!$M$6*Таблица1[[#This Row],[сумма]]*Таблица1[[#This Row],[коэф]])),
IF((G474="4/24"),((база!$M$5*Таблица1[[#This Row],[сумма]]*Таблица1[[#This Row],[коэф]])),
IF((G474="3/24"),((база!$M$4*Таблица1[[#This Row],[сумма]]*Таблица1[[#This Row],[коэф]])),
IF((G474="5/16"),((база!$L$6*Таблица1[[#This Row],[сумма]]*Таблица1[[#This Row],[коэф]])),
IF((G474="4/16"),((база!$L$5*Таблица1[[#This Row],[сумма]]*Таблица1[[#This Row],[коэф]])),
IF((G474="3/16"),((база!$L$4*Таблица1[[#This Row],[сумма]]*Таблица1[[#This Row],[коэф]])),
IF((G474="4/4"),((база!$I$5*Таблица1[[#This Row],[сумма]]*Таблица1[[#This Row],[коэф]])),
IF(OR(G474="2/4",G474="3/4"),((база!$I$4*Таблица1[[#This Row],[сумма]]*Таблица1[[#This Row],[коэф]])),
IF((G474="5/8"),((база!$J$6*Таблица1[[#This Row],[сумма]]*Таблица1[[#This Row],[коэф]])),
IF((G474="4/8"),((база!$J$5*Таблица1[[#This Row],[сумма]]*Таблица1[[#This Row],[коэф]])),
IF(OR(G474="3/8",G474="2/8"),((база!$J$4*Таблица1[[#This Row],[сумма]]*Таблица1[[#This Row],[коэф]])))))))))))))),
(IF((G474="5/24"),((база!$M$6*Таблица1[[#This Row],[сумма]]*Таблица1[[#This Row],[коэф]])),
IF(OR(G474="4/24",G474="3/24"),((база!$M$5*Таблица1[[#This Row],[сумма]]*Таблица1[[#This Row],[коэф]])),
IF((G474="5/16"),((база!$L$6*Таблица1[[#This Row],[сумма]]*Таблица1[[#This Row],[коэф]])),
IF(OR(G474="4/16",G474="3/16"),((база!$L$5*Таблица1[[#This Row],[сумма]]*Таблица1[[#This Row],[коэф]])),
IF(OR(G474="2/4",G474="3/4",G474="4/4"),((база!$I$5*Таблица1[[#This Row],[сумма]]*Таблица1[[#This Row],[коэф]])),
IF((G474="5/8"),((база!$J$6*Таблица1[[#This Row],[сумма]]*Таблица1[[#This Row],[коэф]])),
IF(OR(G474="4/8",G474="3/8",G474="2/8"),((база!$J$5*Таблица1[[#This Row],[сумма]]*Таблица1[[#This Row],[коэф]])))))))))))</f>
        <v>0</v>
      </c>
      <c r="AP474" s="696" t="b">
        <f>IF(AR474&lt;=3,(IF((G474="5/24"),((база!$M$6*2*Таблица1[[#This Row],[Столбец1]]*Таблица1[[#This Row],[коэф]])),
IF((G474="4/24"),((база!$M$5*2*Таблица1[[#This Row],[Столбец1]]*Таблица1[[#This Row],[коэф]])),
IF((G474="3/24"),((база!$M$4*2*Таблица1[[#This Row],[Столбец1]]*Таблица1[[#This Row],[коэф]])),
IF((G474="5/16"),((база!$L$6*2*Таблица1[[#This Row],[Столбец1]]*Таблица1[[#This Row],[коэф]])),
IF((G474="4/16"),((база!$L$5*2*Таблица1[[#This Row],[Столбец1]]*Таблица1[[#This Row],[коэф]])),
IF((G474="3/16"),((база!$L$4*2*Таблица1[[#This Row],[Столбец1]]*Таблица1[[#This Row],[коэф]])),
IF((G474="4/4"),((база!$I$5*2*Таблица1[[#This Row],[Столбец1]]*Таблица1[[#This Row],[коэф]])),
IF(OR(G474="2/4",G474="3/4"),((база!$I$4*2*Таблица1[[#This Row],[Столбец1]]*Таблица1[[#This Row],[коэф]])),
IF((G474="5/8"),((база!$J$6*2*Таблица1[[#This Row],[Столбец1]]*Таблица1[[#This Row],[коэф]])),
IF((G474="4/8"),((база!$J$5*2*Таблица1[[#This Row],[Столбец1]]*Таблица1[[#This Row],[коэф]])),
IF(OR(G474="3/8",G474="2/8"),((база!$J$4*2*Таблица1[[#This Row],[Столбец1]]*Таблица1[[#This Row],[коэф]])))))))))))))),
(IF((G474="5/24"),((база!$M$6*2*Таблица1[[#This Row],[Столбец1]]*Таблица1[[#This Row],[коэф]])),
IF(OR(G474="4/24",G474="3/24"),((база!$M$5*2*Таблица1[[#This Row],[Столбец1]]*Таблица1[[#This Row],[коэф]])),
IF((G474="5/16"),((база!$L$6*2*Таблица1[[#This Row],[Столбец1]]*Таблица1[[#This Row],[коэф]])),
IF(OR(G474="4/16",G474="3/16"),((база!$L$5*2*Таблица1[[#This Row],[Столбец1]]*Таблица1[[#This Row],[коэф]])),
IF(OR(G474="2/4",G474="3/4",G474="4/4"),((база!$I$5*2*Таблица1[[#This Row],[Столбец1]]*Таблица1[[#This Row],[коэф]])),
IF((G474="5/8"),((база!$J$6*2*Таблица1[[#This Row],[Столбец1]]*Таблица1[[#This Row],[коэф]])),
IF(OR(G474="4/8",G474="3/8",G474="2/8"),((база!$J$5*2*Таблица1[[#This Row],[Столбец1]]*Таблица1[[#This Row],[коэф]])))))))))))</f>
        <v>0</v>
      </c>
      <c r="AQ474" s="678" t="str">
        <f>IFERROR(INDEX(база!T:T, MATCH(F474,база!Q:Q,0)),"")</f>
        <v/>
      </c>
      <c r="AR474" s="193">
        <f>IFERROR(INDEX(база!D:D, MATCH(F474,база!B:B,0)),"")</f>
        <v>0</v>
      </c>
    </row>
    <row r="475" spans="1:44" ht="15">
      <c r="A475" s="59"/>
      <c r="B475" s="215"/>
      <c r="C475" s="54"/>
      <c r="D475" s="55"/>
      <c r="E475" s="196"/>
      <c r="F475" s="651"/>
      <c r="G475" s="42"/>
      <c r="H475" s="539"/>
      <c r="I475" s="539"/>
      <c r="J475" s="539"/>
      <c r="K475" s="539"/>
      <c r="L475" s="539"/>
      <c r="M475" s="539"/>
      <c r="N475" s="539"/>
      <c r="O475" s="539"/>
      <c r="P475" s="278"/>
      <c r="Q475" s="539"/>
      <c r="R475" s="539"/>
      <c r="S475" s="539"/>
      <c r="T475" s="539"/>
      <c r="U475" s="539"/>
      <c r="V475" s="539"/>
      <c r="W475" s="539"/>
      <c r="X475" s="539"/>
      <c r="Y475" s="539"/>
      <c r="Z475" s="539"/>
      <c r="AA475" s="539"/>
      <c r="AB475" s="539"/>
      <c r="AC475" s="539"/>
      <c r="AD475" s="43"/>
      <c r="AE475" s="43"/>
      <c r="AF475" s="238"/>
      <c r="AG475" s="43"/>
      <c r="AH475" s="43"/>
      <c r="AI475" s="43"/>
      <c r="AJ475" s="43"/>
      <c r="AK475" s="43"/>
      <c r="AL475" s="45"/>
      <c r="AM475" s="197">
        <f>IF(AQ475=1,SUM(H475:I475,L475:O475,R475:U475,X475:AA475,AD475:AG475,AI475:AK475),
IF(AQ475=2,SUM(H475:K475,N475:Q475,T475:W475,Z475:AC475,AF475:AI475),
IF(AQ475=3,SUM(J475:M475,P475:S475,V475:Y475,AB475:AE475,AH475:AK475),SUM(Таблица1[[#This Row],[1]:[31]])-Таблица1[[#This Row],[Столбец1]])))</f>
        <v>0</v>
      </c>
      <c r="AN475" s="269">
        <f t="array" ref="AN475">IF(AQ475=1,SUM(J475:K475,P475:Q475,V475:W475,AB475:AC475,AH475:AI475),
IF(AQ475=2,SUM(L475:M475,R475:S475,X475:Y475,AD475:AE475),
IF(AQ475=3,SUM(H475:I475,N475:O475,T475:U475,Z475:AA475,AF475:AG475),
SUM(IFERROR(WEEKDAY($H$2:$AL$2,2)&gt;5,)*H475:AL475))))</f>
        <v>0</v>
      </c>
      <c r="AO475" s="271" t="b">
        <f>IF(AR475&lt;=3,(IF((G475="5/24"),((база!$M$6*Таблица1[[#This Row],[сумма]]*Таблица1[[#This Row],[коэф]])),
IF((G475="4/24"),((база!$M$5*Таблица1[[#This Row],[сумма]]*Таблица1[[#This Row],[коэф]])),
IF((G475="3/24"),((база!$M$4*Таблица1[[#This Row],[сумма]]*Таблица1[[#This Row],[коэф]])),
IF((G475="5/16"),((база!$L$6*Таблица1[[#This Row],[сумма]]*Таблица1[[#This Row],[коэф]])),
IF((G475="4/16"),((база!$L$5*Таблица1[[#This Row],[сумма]]*Таблица1[[#This Row],[коэф]])),
IF((G475="3/16"),((база!$L$4*Таблица1[[#This Row],[сумма]]*Таблица1[[#This Row],[коэф]])),
IF((G475="4/4"),((база!$I$5*Таблица1[[#This Row],[сумма]]*Таблица1[[#This Row],[коэф]])),
IF(OR(G475="2/4",G475="3/4"),((база!$I$4*Таблица1[[#This Row],[сумма]]*Таблица1[[#This Row],[коэф]])),
IF((G475="5/8"),((база!$J$6*Таблица1[[#This Row],[сумма]]*Таблица1[[#This Row],[коэф]])),
IF((G475="4/8"),((база!$J$5*Таблица1[[#This Row],[сумма]]*Таблица1[[#This Row],[коэф]])),
IF(OR(G475="3/8",G475="2/8"),((база!$J$4*Таблица1[[#This Row],[сумма]]*Таблица1[[#This Row],[коэф]])))))))))))))),
(IF((G475="5/24"),((база!$M$6*Таблица1[[#This Row],[сумма]]*Таблица1[[#This Row],[коэф]])),
IF(OR(G475="4/24",G475="3/24"),((база!$M$5*Таблица1[[#This Row],[сумма]]*Таблица1[[#This Row],[коэф]])),
IF((G475="5/16"),((база!$L$6*Таблица1[[#This Row],[сумма]]*Таблица1[[#This Row],[коэф]])),
IF(OR(G475="4/16",G475="3/16"),((база!$L$5*Таблица1[[#This Row],[сумма]]*Таблица1[[#This Row],[коэф]])),
IF(OR(G475="2/4",G475="3/4",G475="4/4"),((база!$I$5*Таблица1[[#This Row],[сумма]]*Таблица1[[#This Row],[коэф]])),
IF((G475="5/8"),((база!$J$6*Таблица1[[#This Row],[сумма]]*Таблица1[[#This Row],[коэф]])),
IF(OR(G475="4/8",G475="3/8",G475="2/8"),((база!$J$5*Таблица1[[#This Row],[сумма]]*Таблица1[[#This Row],[коэф]])))))))))))</f>
        <v>0</v>
      </c>
      <c r="AP475" s="696" t="b">
        <f>IF(AR475&lt;=3,(IF((G475="5/24"),((база!$M$6*2*Таблица1[[#This Row],[Столбец1]]*Таблица1[[#This Row],[коэф]])),
IF((G475="4/24"),((база!$M$5*2*Таблица1[[#This Row],[Столбец1]]*Таблица1[[#This Row],[коэф]])),
IF((G475="3/24"),((база!$M$4*2*Таблица1[[#This Row],[Столбец1]]*Таблица1[[#This Row],[коэф]])),
IF((G475="5/16"),((база!$L$6*2*Таблица1[[#This Row],[Столбец1]]*Таблица1[[#This Row],[коэф]])),
IF((G475="4/16"),((база!$L$5*2*Таблица1[[#This Row],[Столбец1]]*Таблица1[[#This Row],[коэф]])),
IF((G475="3/16"),((база!$L$4*2*Таблица1[[#This Row],[Столбец1]]*Таблица1[[#This Row],[коэф]])),
IF((G475="4/4"),((база!$I$5*2*Таблица1[[#This Row],[Столбец1]]*Таблица1[[#This Row],[коэф]])),
IF(OR(G475="2/4",G475="3/4"),((база!$I$4*2*Таблица1[[#This Row],[Столбец1]]*Таблица1[[#This Row],[коэф]])),
IF((G475="5/8"),((база!$J$6*2*Таблица1[[#This Row],[Столбец1]]*Таблица1[[#This Row],[коэф]])),
IF((G475="4/8"),((база!$J$5*2*Таблица1[[#This Row],[Столбец1]]*Таблица1[[#This Row],[коэф]])),
IF(OR(G475="3/8",G475="2/8"),((база!$J$4*2*Таблица1[[#This Row],[Столбец1]]*Таблица1[[#This Row],[коэф]])))))))))))))),
(IF((G475="5/24"),((база!$M$6*2*Таблица1[[#This Row],[Столбец1]]*Таблица1[[#This Row],[коэф]])),
IF(OR(G475="4/24",G475="3/24"),((база!$M$5*2*Таблица1[[#This Row],[Столбец1]]*Таблица1[[#This Row],[коэф]])),
IF((G475="5/16"),((база!$L$6*2*Таблица1[[#This Row],[Столбец1]]*Таблица1[[#This Row],[коэф]])),
IF(OR(G475="4/16",G475="3/16"),((база!$L$5*2*Таблица1[[#This Row],[Столбец1]]*Таблица1[[#This Row],[коэф]])),
IF(OR(G475="2/4",G475="3/4",G475="4/4"),((база!$I$5*2*Таблица1[[#This Row],[Столбец1]]*Таблица1[[#This Row],[коэф]])),
IF((G475="5/8"),((база!$J$6*2*Таблица1[[#This Row],[Столбец1]]*Таблица1[[#This Row],[коэф]])),
IF(OR(G475="4/8",G475="3/8",G475="2/8"),((база!$J$5*2*Таблица1[[#This Row],[Столбец1]]*Таблица1[[#This Row],[коэф]])))))))))))</f>
        <v>0</v>
      </c>
      <c r="AQ475" s="678" t="str">
        <f>IFERROR(INDEX(база!T:T, MATCH(F475,база!Q:Q,0)),"")</f>
        <v/>
      </c>
      <c r="AR475" s="193">
        <f>IFERROR(INDEX(база!D:D, MATCH(F475,база!B:B,0)),"")</f>
        <v>0</v>
      </c>
    </row>
    <row r="476" spans="1:44" ht="15">
      <c r="A476" s="59"/>
      <c r="B476" s="215"/>
      <c r="C476" s="277"/>
      <c r="D476" s="55"/>
      <c r="E476" s="196"/>
      <c r="F476" s="651"/>
      <c r="G476" s="42"/>
      <c r="H476" s="539"/>
      <c r="I476" s="539"/>
      <c r="J476" s="539"/>
      <c r="K476" s="539"/>
      <c r="L476" s="539"/>
      <c r="M476" s="539"/>
      <c r="N476" s="539"/>
      <c r="O476" s="539"/>
      <c r="P476" s="278"/>
      <c r="Q476" s="539"/>
      <c r="R476" s="539"/>
      <c r="S476" s="539"/>
      <c r="T476" s="539"/>
      <c r="U476" s="539"/>
      <c r="V476" s="539"/>
      <c r="W476" s="539"/>
      <c r="X476" s="539"/>
      <c r="Y476" s="539"/>
      <c r="Z476" s="539"/>
      <c r="AA476" s="539"/>
      <c r="AB476" s="539"/>
      <c r="AC476" s="539"/>
      <c r="AD476" s="43"/>
      <c r="AE476" s="43"/>
      <c r="AF476" s="238"/>
      <c r="AG476" s="43"/>
      <c r="AH476" s="43"/>
      <c r="AI476" s="238"/>
      <c r="AJ476" s="238"/>
      <c r="AK476" s="238"/>
      <c r="AL476" s="238"/>
      <c r="AM476" s="197">
        <f>IF(AQ476=1,SUM(H476:I476,L476:O476,R476:U476,X476:AA476,AD476:AG476,AI476:AK476),
IF(AQ476=2,SUM(H476:K476,N476:Q476,T476:W476,Z476:AC476,AF476:AI476),
IF(AQ476=3,SUM(J476:M476,P476:S476,V476:Y476,AB476:AE476,AH476:AK476),SUM(Таблица1[[#This Row],[1]:[31]])-Таблица1[[#This Row],[Столбец1]])))</f>
        <v>0</v>
      </c>
      <c r="AN476" s="269">
        <f t="array" ref="AN476">IF(AQ476=1,SUM(J476:K476,P476:Q476,V476:W476,AB476:AC476,AH476:AI476),
IF(AQ476=2,SUM(L476:M476,R476:S476,X476:Y476,AD476:AE476),
IF(AQ476=3,SUM(H476:I476,N476:O476,T476:U476,Z476:AA476,AF476:AG476),
SUM(IFERROR(WEEKDAY($H$2:$AL$2,2)&gt;5,)*H476:AL476))))</f>
        <v>0</v>
      </c>
      <c r="AO476" s="271" t="b">
        <f>IF(AR476&lt;=3,(IF((G476="5/24"),((база!$M$6*Таблица1[[#This Row],[сумма]]*Таблица1[[#This Row],[коэф]])),
IF((G476="4/24"),((база!$M$5*Таблица1[[#This Row],[сумма]]*Таблица1[[#This Row],[коэф]])),
IF((G476="3/24"),((база!$M$4*Таблица1[[#This Row],[сумма]]*Таблица1[[#This Row],[коэф]])),
IF((G476="5/16"),((база!$L$6*Таблица1[[#This Row],[сумма]]*Таблица1[[#This Row],[коэф]])),
IF((G476="4/16"),((база!$L$5*Таблица1[[#This Row],[сумма]]*Таблица1[[#This Row],[коэф]])),
IF((G476="3/16"),((база!$L$4*Таблица1[[#This Row],[сумма]]*Таблица1[[#This Row],[коэф]])),
IF((G476="4/4"),((база!$I$5*Таблица1[[#This Row],[сумма]]*Таблица1[[#This Row],[коэф]])),
IF(OR(G476="2/4",G476="3/4"),((база!$I$4*Таблица1[[#This Row],[сумма]]*Таблица1[[#This Row],[коэф]])),
IF((G476="5/8"),((база!$J$6*Таблица1[[#This Row],[сумма]]*Таблица1[[#This Row],[коэф]])),
IF((G476="4/8"),((база!$J$5*Таблица1[[#This Row],[сумма]]*Таблица1[[#This Row],[коэф]])),
IF(OR(G476="3/8",G476="2/8"),((база!$J$4*Таблица1[[#This Row],[сумма]]*Таблица1[[#This Row],[коэф]])))))))))))))),
(IF((G476="5/24"),((база!$M$6*Таблица1[[#This Row],[сумма]]*Таблица1[[#This Row],[коэф]])),
IF(OR(G476="4/24",G476="3/24"),((база!$M$5*Таблица1[[#This Row],[сумма]]*Таблица1[[#This Row],[коэф]])),
IF((G476="5/16"),((база!$L$6*Таблица1[[#This Row],[сумма]]*Таблица1[[#This Row],[коэф]])),
IF(OR(G476="4/16",G476="3/16"),((база!$L$5*Таблица1[[#This Row],[сумма]]*Таблица1[[#This Row],[коэф]])),
IF(OR(G476="2/4",G476="3/4",G476="4/4"),((база!$I$5*Таблица1[[#This Row],[сумма]]*Таблица1[[#This Row],[коэф]])),
IF((G476="5/8"),((база!$J$6*Таблица1[[#This Row],[сумма]]*Таблица1[[#This Row],[коэф]])),
IF(OR(G476="4/8",G476="3/8",G476="2/8"),((база!$J$5*Таблица1[[#This Row],[сумма]]*Таблица1[[#This Row],[коэф]])))))))))))</f>
        <v>0</v>
      </c>
      <c r="AP476" s="696" t="b">
        <f>IF(AR476&lt;=3,(IF((G476="5/24"),((база!$M$6*2*Таблица1[[#This Row],[Столбец1]]*Таблица1[[#This Row],[коэф]])),
IF((G476="4/24"),((база!$M$5*2*Таблица1[[#This Row],[Столбец1]]*Таблица1[[#This Row],[коэф]])),
IF((G476="3/24"),((база!$M$4*2*Таблица1[[#This Row],[Столбец1]]*Таблица1[[#This Row],[коэф]])),
IF((G476="5/16"),((база!$L$6*2*Таблица1[[#This Row],[Столбец1]]*Таблица1[[#This Row],[коэф]])),
IF((G476="4/16"),((база!$L$5*2*Таблица1[[#This Row],[Столбец1]]*Таблица1[[#This Row],[коэф]])),
IF((G476="3/16"),((база!$L$4*2*Таблица1[[#This Row],[Столбец1]]*Таблица1[[#This Row],[коэф]])),
IF((G476="4/4"),((база!$I$5*2*Таблица1[[#This Row],[Столбец1]]*Таблица1[[#This Row],[коэф]])),
IF(OR(G476="2/4",G476="3/4"),((база!$I$4*2*Таблица1[[#This Row],[Столбец1]]*Таблица1[[#This Row],[коэф]])),
IF((G476="5/8"),((база!$J$6*2*Таблица1[[#This Row],[Столбец1]]*Таблица1[[#This Row],[коэф]])),
IF((G476="4/8"),((база!$J$5*2*Таблица1[[#This Row],[Столбец1]]*Таблица1[[#This Row],[коэф]])),
IF(OR(G476="3/8",G476="2/8"),((база!$J$4*2*Таблица1[[#This Row],[Столбец1]]*Таблица1[[#This Row],[коэф]])))))))))))))),
(IF((G476="5/24"),((база!$M$6*2*Таблица1[[#This Row],[Столбец1]]*Таблица1[[#This Row],[коэф]])),
IF(OR(G476="4/24",G476="3/24"),((база!$M$5*2*Таблица1[[#This Row],[Столбец1]]*Таблица1[[#This Row],[коэф]])),
IF((G476="5/16"),((база!$L$6*2*Таблица1[[#This Row],[Столбец1]]*Таблица1[[#This Row],[коэф]])),
IF(OR(G476="4/16",G476="3/16"),((база!$L$5*2*Таблица1[[#This Row],[Столбец1]]*Таблица1[[#This Row],[коэф]])),
IF(OR(G476="2/4",G476="3/4",G476="4/4"),((база!$I$5*2*Таблица1[[#This Row],[Столбец1]]*Таблица1[[#This Row],[коэф]])),
IF((G476="5/8"),((база!$J$6*2*Таблица1[[#This Row],[Столбец1]]*Таблица1[[#This Row],[коэф]])),
IF(OR(G476="4/8",G476="3/8",G476="2/8"),((база!$J$5*2*Таблица1[[#This Row],[Столбец1]]*Таблица1[[#This Row],[коэф]])))))))))))</f>
        <v>0</v>
      </c>
      <c r="AQ476" s="678" t="str">
        <f>IFERROR(INDEX(база!T:T, MATCH(F476,база!Q:Q,0)),"")</f>
        <v/>
      </c>
      <c r="AR476" s="193">
        <f>IFERROR(INDEX(база!D:D, MATCH(F476,база!B:B,0)),"")</f>
        <v>0</v>
      </c>
    </row>
    <row r="477" spans="1:44" ht="15">
      <c r="A477" s="59"/>
      <c r="B477" s="215"/>
      <c r="C477" s="277"/>
      <c r="D477" s="55"/>
      <c r="E477" s="196"/>
      <c r="F477" s="651"/>
      <c r="G477" s="42"/>
      <c r="H477" s="539"/>
      <c r="I477" s="539"/>
      <c r="J477" s="539"/>
      <c r="K477" s="539"/>
      <c r="L477" s="539"/>
      <c r="M477" s="539"/>
      <c r="N477" s="539"/>
      <c r="O477" s="539"/>
      <c r="P477" s="278"/>
      <c r="Q477" s="539"/>
      <c r="R477" s="539"/>
      <c r="S477" s="539"/>
      <c r="T477" s="539"/>
      <c r="U477" s="539"/>
      <c r="V477" s="539"/>
      <c r="W477" s="539"/>
      <c r="X477" s="539"/>
      <c r="Y477" s="539"/>
      <c r="Z477" s="539"/>
      <c r="AA477" s="539"/>
      <c r="AB477" s="539"/>
      <c r="AC477" s="539"/>
      <c r="AD477" s="43"/>
      <c r="AE477" s="43"/>
      <c r="AF477" s="238"/>
      <c r="AG477" s="43"/>
      <c r="AH477" s="43"/>
      <c r="AI477" s="43"/>
      <c r="AJ477" s="43"/>
      <c r="AK477" s="43"/>
      <c r="AL477" s="45"/>
      <c r="AM477" s="197">
        <f>IF(AQ477=1,SUM(H477:I477,L477:O477,R477:U477,X477:AA477,AD477:AG477,AI477:AK477),
IF(AQ477=2,SUM(H477:K477,N477:Q477,T477:W477,Z477:AC477,AF477:AI477),
IF(AQ477=3,SUM(J477:M477,P477:S477,V477:Y477,AB477:AE477,AH477:AK477),SUM(Таблица1[[#This Row],[1]:[31]])-Таблица1[[#This Row],[Столбец1]])))</f>
        <v>0</v>
      </c>
      <c r="AN477" s="269">
        <f t="array" ref="AN477">IF(AQ477=1,SUM(J477:K477,P477:Q477,V477:W477,AB477:AC477,AH477:AI477),
IF(AQ477=2,SUM(L477:M477,R477:S477,X477:Y477,AD477:AE477),
IF(AQ477=3,SUM(H477:I477,N477:O477,T477:U477,Z477:AA477,AF477:AG477),
SUM(IFERROR(WEEKDAY($H$2:$AL$2,2)&gt;5,)*H477:AL477))))</f>
        <v>0</v>
      </c>
      <c r="AO477" s="271" t="b">
        <f>IF(AR477&lt;=3,(IF((G477="5/24"),((база!$M$6*Таблица1[[#This Row],[сумма]]*Таблица1[[#This Row],[коэф]])),
IF((G477="4/24"),((база!$M$5*Таблица1[[#This Row],[сумма]]*Таблица1[[#This Row],[коэф]])),
IF((G477="3/24"),((база!$M$4*Таблица1[[#This Row],[сумма]]*Таблица1[[#This Row],[коэф]])),
IF((G477="5/16"),((база!$L$6*Таблица1[[#This Row],[сумма]]*Таблица1[[#This Row],[коэф]])),
IF((G477="4/16"),((база!$L$5*Таблица1[[#This Row],[сумма]]*Таблица1[[#This Row],[коэф]])),
IF((G477="3/16"),((база!$L$4*Таблица1[[#This Row],[сумма]]*Таблица1[[#This Row],[коэф]])),
IF((G477="4/4"),((база!$I$5*Таблица1[[#This Row],[сумма]]*Таблица1[[#This Row],[коэф]])),
IF(OR(G477="2/4",G477="3/4"),((база!$I$4*Таблица1[[#This Row],[сумма]]*Таблица1[[#This Row],[коэф]])),
IF((G477="5/8"),((база!$J$6*Таблица1[[#This Row],[сумма]]*Таблица1[[#This Row],[коэф]])),
IF((G477="4/8"),((база!$J$5*Таблица1[[#This Row],[сумма]]*Таблица1[[#This Row],[коэф]])),
IF(OR(G477="3/8",G477="2/8"),((база!$J$4*Таблица1[[#This Row],[сумма]]*Таблица1[[#This Row],[коэф]])))))))))))))),
(IF((G477="5/24"),((база!$M$6*Таблица1[[#This Row],[сумма]]*Таблица1[[#This Row],[коэф]])),
IF(OR(G477="4/24",G477="3/24"),((база!$M$5*Таблица1[[#This Row],[сумма]]*Таблица1[[#This Row],[коэф]])),
IF((G477="5/16"),((база!$L$6*Таблица1[[#This Row],[сумма]]*Таблица1[[#This Row],[коэф]])),
IF(OR(G477="4/16",G477="3/16"),((база!$L$5*Таблица1[[#This Row],[сумма]]*Таблица1[[#This Row],[коэф]])),
IF(OR(G477="2/4",G477="3/4",G477="4/4"),((база!$I$5*Таблица1[[#This Row],[сумма]]*Таблица1[[#This Row],[коэф]])),
IF((G477="5/8"),((база!$J$6*Таблица1[[#This Row],[сумма]]*Таблица1[[#This Row],[коэф]])),
IF(OR(G477="4/8",G477="3/8",G477="2/8"),((база!$J$5*Таблица1[[#This Row],[сумма]]*Таблица1[[#This Row],[коэф]])))))))))))</f>
        <v>0</v>
      </c>
      <c r="AP477" s="696" t="b">
        <f>IF(AR477&lt;=3,(IF((G477="5/24"),((база!$M$6*2*Таблица1[[#This Row],[Столбец1]]*Таблица1[[#This Row],[коэф]])),
IF((G477="4/24"),((база!$M$5*2*Таблица1[[#This Row],[Столбец1]]*Таблица1[[#This Row],[коэф]])),
IF((G477="3/24"),((база!$M$4*2*Таблица1[[#This Row],[Столбец1]]*Таблица1[[#This Row],[коэф]])),
IF((G477="5/16"),((база!$L$6*2*Таблица1[[#This Row],[Столбец1]]*Таблица1[[#This Row],[коэф]])),
IF((G477="4/16"),((база!$L$5*2*Таблица1[[#This Row],[Столбец1]]*Таблица1[[#This Row],[коэф]])),
IF((G477="3/16"),((база!$L$4*2*Таблица1[[#This Row],[Столбец1]]*Таблица1[[#This Row],[коэф]])),
IF((G477="4/4"),((база!$I$5*2*Таблица1[[#This Row],[Столбец1]]*Таблица1[[#This Row],[коэф]])),
IF(OR(G477="2/4",G477="3/4"),((база!$I$4*2*Таблица1[[#This Row],[Столбец1]]*Таблица1[[#This Row],[коэф]])),
IF((G477="5/8"),((база!$J$6*2*Таблица1[[#This Row],[Столбец1]]*Таблица1[[#This Row],[коэф]])),
IF((G477="4/8"),((база!$J$5*2*Таблица1[[#This Row],[Столбец1]]*Таблица1[[#This Row],[коэф]])),
IF(OR(G477="3/8",G477="2/8"),((база!$J$4*2*Таблица1[[#This Row],[Столбец1]]*Таблица1[[#This Row],[коэф]])))))))))))))),
(IF((G477="5/24"),((база!$M$6*2*Таблица1[[#This Row],[Столбец1]]*Таблица1[[#This Row],[коэф]])),
IF(OR(G477="4/24",G477="3/24"),((база!$M$5*2*Таблица1[[#This Row],[Столбец1]]*Таблица1[[#This Row],[коэф]])),
IF((G477="5/16"),((база!$L$6*2*Таблица1[[#This Row],[Столбец1]]*Таблица1[[#This Row],[коэф]])),
IF(OR(G477="4/16",G477="3/16"),((база!$L$5*2*Таблица1[[#This Row],[Столбец1]]*Таблица1[[#This Row],[коэф]])),
IF(OR(G477="2/4",G477="3/4",G477="4/4"),((база!$I$5*2*Таблица1[[#This Row],[Столбец1]]*Таблица1[[#This Row],[коэф]])),
IF((G477="5/8"),((база!$J$6*2*Таблица1[[#This Row],[Столбец1]]*Таблица1[[#This Row],[коэф]])),
IF(OR(G477="4/8",G477="3/8",G477="2/8"),((база!$J$5*2*Таблица1[[#This Row],[Столбец1]]*Таблица1[[#This Row],[коэф]])))))))))))</f>
        <v>0</v>
      </c>
      <c r="AQ477" s="678" t="str">
        <f>IFERROR(INDEX(база!T:T, MATCH(F477,база!Q:Q,0)),"")</f>
        <v/>
      </c>
      <c r="AR477" s="193">
        <f>IFERROR(INDEX(база!D:D, MATCH(F477,база!B:B,0)),"")</f>
        <v>0</v>
      </c>
    </row>
    <row r="478" spans="1:44" ht="15">
      <c r="A478" s="59"/>
      <c r="B478" s="215"/>
      <c r="C478" s="277"/>
      <c r="D478" s="55"/>
      <c r="E478" s="196"/>
      <c r="F478" s="651"/>
      <c r="G478" s="42"/>
      <c r="H478" s="539"/>
      <c r="I478" s="539"/>
      <c r="J478" s="539"/>
      <c r="K478" s="539"/>
      <c r="L478" s="539"/>
      <c r="M478" s="539"/>
      <c r="N478" s="539"/>
      <c r="O478" s="539"/>
      <c r="P478" s="278"/>
      <c r="Q478" s="539"/>
      <c r="R478" s="539"/>
      <c r="S478" s="539"/>
      <c r="T478" s="539"/>
      <c r="U478" s="539"/>
      <c r="V478" s="539"/>
      <c r="W478" s="539"/>
      <c r="X478" s="539"/>
      <c r="Y478" s="539"/>
      <c r="Z478" s="539"/>
      <c r="AA478" s="539"/>
      <c r="AB478" s="539"/>
      <c r="AC478" s="539"/>
      <c r="AD478" s="43"/>
      <c r="AE478" s="43"/>
      <c r="AF478" s="238"/>
      <c r="AG478" s="43"/>
      <c r="AH478" s="43"/>
      <c r="AI478" s="238"/>
      <c r="AJ478" s="238"/>
      <c r="AK478" s="238"/>
      <c r="AL478" s="238"/>
      <c r="AM478" s="197">
        <f>IF(AQ478=1,SUM(H478:I478,L478:O478,R478:U478,X478:AA478,AD478:AG478,AI478:AK478),
IF(AQ478=2,SUM(H478:K478,N478:Q478,T478:W478,Z478:AC478,AF478:AI478),
IF(AQ478=3,SUM(J478:M478,P478:S478,V478:Y478,AB478:AE478,AH478:AK478),SUM(Таблица1[[#This Row],[1]:[31]])-Таблица1[[#This Row],[Столбец1]])))</f>
        <v>0</v>
      </c>
      <c r="AN478" s="269">
        <f t="array" ref="AN478">IF(AQ478=1,SUM(J478:K478,P478:Q478,V478:W478,AB478:AC478,AH478:AI478),
IF(AQ478=2,SUM(L478:M478,R478:S478,X478:Y478,AD478:AE478),
IF(AQ478=3,SUM(H478:I478,N478:O478,T478:U478,Z478:AA478,AF478:AG478),
SUM(IFERROR(WEEKDAY($H$2:$AL$2,2)&gt;5,)*H478:AL478))))</f>
        <v>0</v>
      </c>
      <c r="AO478" s="271" t="b">
        <f>IF(AR478&lt;=3,(IF((G478="5/24"),((база!$M$6*Таблица1[[#This Row],[сумма]]*Таблица1[[#This Row],[коэф]])),
IF((G478="4/24"),((база!$M$5*Таблица1[[#This Row],[сумма]]*Таблица1[[#This Row],[коэф]])),
IF((G478="3/24"),((база!$M$4*Таблица1[[#This Row],[сумма]]*Таблица1[[#This Row],[коэф]])),
IF((G478="5/16"),((база!$L$6*Таблица1[[#This Row],[сумма]]*Таблица1[[#This Row],[коэф]])),
IF((G478="4/16"),((база!$L$5*Таблица1[[#This Row],[сумма]]*Таблица1[[#This Row],[коэф]])),
IF((G478="3/16"),((база!$L$4*Таблица1[[#This Row],[сумма]]*Таблица1[[#This Row],[коэф]])),
IF((G478="4/4"),((база!$I$5*Таблица1[[#This Row],[сумма]]*Таблица1[[#This Row],[коэф]])),
IF(OR(G478="2/4",G478="3/4"),((база!$I$4*Таблица1[[#This Row],[сумма]]*Таблица1[[#This Row],[коэф]])),
IF((G478="5/8"),((база!$J$6*Таблица1[[#This Row],[сумма]]*Таблица1[[#This Row],[коэф]])),
IF((G478="4/8"),((база!$J$5*Таблица1[[#This Row],[сумма]]*Таблица1[[#This Row],[коэф]])),
IF(OR(G478="3/8",G478="2/8"),((база!$J$4*Таблица1[[#This Row],[сумма]]*Таблица1[[#This Row],[коэф]])))))))))))))),
(IF((G478="5/24"),((база!$M$6*Таблица1[[#This Row],[сумма]]*Таблица1[[#This Row],[коэф]])),
IF(OR(G478="4/24",G478="3/24"),((база!$M$5*Таблица1[[#This Row],[сумма]]*Таблица1[[#This Row],[коэф]])),
IF((G478="5/16"),((база!$L$6*Таблица1[[#This Row],[сумма]]*Таблица1[[#This Row],[коэф]])),
IF(OR(G478="4/16",G478="3/16"),((база!$L$5*Таблица1[[#This Row],[сумма]]*Таблица1[[#This Row],[коэф]])),
IF(OR(G478="2/4",G478="3/4",G478="4/4"),((база!$I$5*Таблица1[[#This Row],[сумма]]*Таблица1[[#This Row],[коэф]])),
IF((G478="5/8"),((база!$J$6*Таблица1[[#This Row],[сумма]]*Таблица1[[#This Row],[коэф]])),
IF(OR(G478="4/8",G478="3/8",G478="2/8"),((база!$J$5*Таблица1[[#This Row],[сумма]]*Таблица1[[#This Row],[коэф]])))))))))))</f>
        <v>0</v>
      </c>
      <c r="AP478" s="696" t="b">
        <f>IF(AR478&lt;=3,(IF((G478="5/24"),((база!$M$6*2*Таблица1[[#This Row],[Столбец1]]*Таблица1[[#This Row],[коэф]])),
IF((G478="4/24"),((база!$M$5*2*Таблица1[[#This Row],[Столбец1]]*Таблица1[[#This Row],[коэф]])),
IF((G478="3/24"),((база!$M$4*2*Таблица1[[#This Row],[Столбец1]]*Таблица1[[#This Row],[коэф]])),
IF((G478="5/16"),((база!$L$6*2*Таблица1[[#This Row],[Столбец1]]*Таблица1[[#This Row],[коэф]])),
IF((G478="4/16"),((база!$L$5*2*Таблица1[[#This Row],[Столбец1]]*Таблица1[[#This Row],[коэф]])),
IF((G478="3/16"),((база!$L$4*2*Таблица1[[#This Row],[Столбец1]]*Таблица1[[#This Row],[коэф]])),
IF((G478="4/4"),((база!$I$5*2*Таблица1[[#This Row],[Столбец1]]*Таблица1[[#This Row],[коэф]])),
IF(OR(G478="2/4",G478="3/4"),((база!$I$4*2*Таблица1[[#This Row],[Столбец1]]*Таблица1[[#This Row],[коэф]])),
IF((G478="5/8"),((база!$J$6*2*Таблица1[[#This Row],[Столбец1]]*Таблица1[[#This Row],[коэф]])),
IF((G478="4/8"),((база!$J$5*2*Таблица1[[#This Row],[Столбец1]]*Таблица1[[#This Row],[коэф]])),
IF(OR(G478="3/8",G478="2/8"),((база!$J$4*2*Таблица1[[#This Row],[Столбец1]]*Таблица1[[#This Row],[коэф]])))))))))))))),
(IF((G478="5/24"),((база!$M$6*2*Таблица1[[#This Row],[Столбец1]]*Таблица1[[#This Row],[коэф]])),
IF(OR(G478="4/24",G478="3/24"),((база!$M$5*2*Таблица1[[#This Row],[Столбец1]]*Таблица1[[#This Row],[коэф]])),
IF((G478="5/16"),((база!$L$6*2*Таблица1[[#This Row],[Столбец1]]*Таблица1[[#This Row],[коэф]])),
IF(OR(G478="4/16",G478="3/16"),((база!$L$5*2*Таблица1[[#This Row],[Столбец1]]*Таблица1[[#This Row],[коэф]])),
IF(OR(G478="2/4",G478="3/4",G478="4/4"),((база!$I$5*2*Таблица1[[#This Row],[Столбец1]]*Таблица1[[#This Row],[коэф]])),
IF((G478="5/8"),((база!$J$6*2*Таблица1[[#This Row],[Столбец1]]*Таблица1[[#This Row],[коэф]])),
IF(OR(G478="4/8",G478="3/8",G478="2/8"),((база!$J$5*2*Таблица1[[#This Row],[Столбец1]]*Таблица1[[#This Row],[коэф]])))))))))))</f>
        <v>0</v>
      </c>
      <c r="AQ478" s="678" t="str">
        <f>IFERROR(INDEX(база!T:T, MATCH(F478,база!Q:Q,0)),"")</f>
        <v/>
      </c>
      <c r="AR478" s="193">
        <f>IFERROR(INDEX(база!D:D, MATCH(F478,база!B:B,0)),"")</f>
        <v>0</v>
      </c>
    </row>
    <row r="479" spans="1:44" ht="15">
      <c r="A479" s="59"/>
      <c r="B479" s="215"/>
      <c r="C479" s="277"/>
      <c r="D479" s="55"/>
      <c r="E479" s="196"/>
      <c r="F479" s="651"/>
      <c r="G479" s="42"/>
      <c r="H479" s="539"/>
      <c r="I479" s="539"/>
      <c r="J479" s="539"/>
      <c r="K479" s="539"/>
      <c r="L479" s="539"/>
      <c r="M479" s="539"/>
      <c r="N479" s="539"/>
      <c r="O479" s="539"/>
      <c r="P479" s="278"/>
      <c r="Q479" s="539"/>
      <c r="R479" s="539"/>
      <c r="S479" s="539"/>
      <c r="T479" s="539"/>
      <c r="U479" s="539"/>
      <c r="V479" s="539"/>
      <c r="W479" s="539"/>
      <c r="X479" s="539"/>
      <c r="Y479" s="539"/>
      <c r="Z479" s="539"/>
      <c r="AA479" s="539"/>
      <c r="AB479" s="539"/>
      <c r="AC479" s="539"/>
      <c r="AD479" s="43"/>
      <c r="AE479" s="43"/>
      <c r="AF479" s="238"/>
      <c r="AG479" s="43"/>
      <c r="AH479" s="43"/>
      <c r="AI479" s="43"/>
      <c r="AJ479" s="43"/>
      <c r="AK479" s="43"/>
      <c r="AL479" s="45"/>
      <c r="AM479" s="197">
        <f>IF(AQ479=1,SUM(H479:I479,L479:O479,R479:U479,X479:AA479,AD479:AG479,AI479:AK479),
IF(AQ479=2,SUM(H479:K479,N479:Q479,T479:W479,Z479:AC479,AF479:AI479),
IF(AQ479=3,SUM(J479:M479,P479:S479,V479:Y479,AB479:AE479,AH479:AK479),SUM(Таблица1[[#This Row],[1]:[31]])-Таблица1[[#This Row],[Столбец1]])))</f>
        <v>0</v>
      </c>
      <c r="AN479" s="269">
        <f t="array" ref="AN479">IF(AQ479=1,SUM(J479:K479,P479:Q479,V479:W479,AB479:AC479,AH479:AI479),
IF(AQ479=2,SUM(L479:M479,R479:S479,X479:Y479,AD479:AE479),
IF(AQ479=3,SUM(H479:I479,N479:O479,T479:U479,Z479:AA479,AF479:AG479),
SUM(IFERROR(WEEKDAY($H$2:$AL$2,2)&gt;5,)*H479:AL479))))</f>
        <v>0</v>
      </c>
      <c r="AO479" s="271" t="b">
        <f>IF(AR479&lt;=3,(IF((G479="5/24"),((база!$M$6*Таблица1[[#This Row],[сумма]]*Таблица1[[#This Row],[коэф]])),
IF((G479="4/24"),((база!$M$5*Таблица1[[#This Row],[сумма]]*Таблица1[[#This Row],[коэф]])),
IF((G479="3/24"),((база!$M$4*Таблица1[[#This Row],[сумма]]*Таблица1[[#This Row],[коэф]])),
IF((G479="5/16"),((база!$L$6*Таблица1[[#This Row],[сумма]]*Таблица1[[#This Row],[коэф]])),
IF((G479="4/16"),((база!$L$5*Таблица1[[#This Row],[сумма]]*Таблица1[[#This Row],[коэф]])),
IF((G479="3/16"),((база!$L$4*Таблица1[[#This Row],[сумма]]*Таблица1[[#This Row],[коэф]])),
IF((G479="4/4"),((база!$I$5*Таблица1[[#This Row],[сумма]]*Таблица1[[#This Row],[коэф]])),
IF(OR(G479="2/4",G479="3/4"),((база!$I$4*Таблица1[[#This Row],[сумма]]*Таблица1[[#This Row],[коэф]])),
IF((G479="5/8"),((база!$J$6*Таблица1[[#This Row],[сумма]]*Таблица1[[#This Row],[коэф]])),
IF((G479="4/8"),((база!$J$5*Таблица1[[#This Row],[сумма]]*Таблица1[[#This Row],[коэф]])),
IF(OR(G479="3/8",G479="2/8"),((база!$J$4*Таблица1[[#This Row],[сумма]]*Таблица1[[#This Row],[коэф]])))))))))))))),
(IF((G479="5/24"),((база!$M$6*Таблица1[[#This Row],[сумма]]*Таблица1[[#This Row],[коэф]])),
IF(OR(G479="4/24",G479="3/24"),((база!$M$5*Таблица1[[#This Row],[сумма]]*Таблица1[[#This Row],[коэф]])),
IF((G479="5/16"),((база!$L$6*Таблица1[[#This Row],[сумма]]*Таблица1[[#This Row],[коэф]])),
IF(OR(G479="4/16",G479="3/16"),((база!$L$5*Таблица1[[#This Row],[сумма]]*Таблица1[[#This Row],[коэф]])),
IF(OR(G479="2/4",G479="3/4",G479="4/4"),((база!$I$5*Таблица1[[#This Row],[сумма]]*Таблица1[[#This Row],[коэф]])),
IF((G479="5/8"),((база!$J$6*Таблица1[[#This Row],[сумма]]*Таблица1[[#This Row],[коэф]])),
IF(OR(G479="4/8",G479="3/8",G479="2/8"),((база!$J$5*Таблица1[[#This Row],[сумма]]*Таблица1[[#This Row],[коэф]])))))))))))</f>
        <v>0</v>
      </c>
      <c r="AP479" s="696" t="b">
        <f>IF(AR479&lt;=3,(IF((G479="5/24"),((база!$M$6*2*Таблица1[[#This Row],[Столбец1]]*Таблица1[[#This Row],[коэф]])),
IF((G479="4/24"),((база!$M$5*2*Таблица1[[#This Row],[Столбец1]]*Таблица1[[#This Row],[коэф]])),
IF((G479="3/24"),((база!$M$4*2*Таблица1[[#This Row],[Столбец1]]*Таблица1[[#This Row],[коэф]])),
IF((G479="5/16"),((база!$L$6*2*Таблица1[[#This Row],[Столбец1]]*Таблица1[[#This Row],[коэф]])),
IF((G479="4/16"),((база!$L$5*2*Таблица1[[#This Row],[Столбец1]]*Таблица1[[#This Row],[коэф]])),
IF((G479="3/16"),((база!$L$4*2*Таблица1[[#This Row],[Столбец1]]*Таблица1[[#This Row],[коэф]])),
IF((G479="4/4"),((база!$I$5*2*Таблица1[[#This Row],[Столбец1]]*Таблица1[[#This Row],[коэф]])),
IF(OR(G479="2/4",G479="3/4"),((база!$I$4*2*Таблица1[[#This Row],[Столбец1]]*Таблица1[[#This Row],[коэф]])),
IF((G479="5/8"),((база!$J$6*2*Таблица1[[#This Row],[Столбец1]]*Таблица1[[#This Row],[коэф]])),
IF((G479="4/8"),((база!$J$5*2*Таблица1[[#This Row],[Столбец1]]*Таблица1[[#This Row],[коэф]])),
IF(OR(G479="3/8",G479="2/8"),((база!$J$4*2*Таблица1[[#This Row],[Столбец1]]*Таблица1[[#This Row],[коэф]])))))))))))))),
(IF((G479="5/24"),((база!$M$6*2*Таблица1[[#This Row],[Столбец1]]*Таблица1[[#This Row],[коэф]])),
IF(OR(G479="4/24",G479="3/24"),((база!$M$5*2*Таблица1[[#This Row],[Столбец1]]*Таблица1[[#This Row],[коэф]])),
IF((G479="5/16"),((база!$L$6*2*Таблица1[[#This Row],[Столбец1]]*Таблица1[[#This Row],[коэф]])),
IF(OR(G479="4/16",G479="3/16"),((база!$L$5*2*Таблица1[[#This Row],[Столбец1]]*Таблица1[[#This Row],[коэф]])),
IF(OR(G479="2/4",G479="3/4",G479="4/4"),((база!$I$5*2*Таблица1[[#This Row],[Столбец1]]*Таблица1[[#This Row],[коэф]])),
IF((G479="5/8"),((база!$J$6*2*Таблица1[[#This Row],[Столбец1]]*Таблица1[[#This Row],[коэф]])),
IF(OR(G479="4/8",G479="3/8",G479="2/8"),((база!$J$5*2*Таблица1[[#This Row],[Столбец1]]*Таблица1[[#This Row],[коэф]])))))))))))</f>
        <v>0</v>
      </c>
      <c r="AQ479" s="678" t="str">
        <f>IFERROR(INDEX(база!T:T, MATCH(F479,база!Q:Q,0)),"")</f>
        <v/>
      </c>
      <c r="AR479" s="193">
        <f>IFERROR(INDEX(база!D:D, MATCH(F479,база!B:B,0)),"")</f>
        <v>0</v>
      </c>
    </row>
    <row r="480" spans="1:44" ht="15">
      <c r="A480" s="59"/>
      <c r="B480" s="215"/>
      <c r="C480" s="277"/>
      <c r="D480" s="55"/>
      <c r="E480" s="196"/>
      <c r="F480" s="651"/>
      <c r="G480" s="42"/>
      <c r="H480" s="539"/>
      <c r="I480" s="539"/>
      <c r="J480" s="539"/>
      <c r="K480" s="539"/>
      <c r="L480" s="539"/>
      <c r="M480" s="539"/>
      <c r="N480" s="539"/>
      <c r="O480" s="539"/>
      <c r="P480" s="278"/>
      <c r="Q480" s="539"/>
      <c r="R480" s="539"/>
      <c r="S480" s="539"/>
      <c r="T480" s="539"/>
      <c r="U480" s="539"/>
      <c r="V480" s="539"/>
      <c r="W480" s="539"/>
      <c r="X480" s="539"/>
      <c r="Y480" s="539"/>
      <c r="Z480" s="539"/>
      <c r="AA480" s="539"/>
      <c r="AB480" s="539"/>
      <c r="AC480" s="539"/>
      <c r="AD480" s="43"/>
      <c r="AE480" s="43"/>
      <c r="AF480" s="238"/>
      <c r="AG480" s="43"/>
      <c r="AH480" s="43"/>
      <c r="AI480" s="238"/>
      <c r="AJ480" s="238"/>
      <c r="AK480" s="238"/>
      <c r="AL480" s="238"/>
      <c r="AM480" s="197">
        <f>IF(AQ480=1,SUM(H480:I480,L480:O480,R480:U480,X480:AA480,AD480:AG480,AI480:AK480),
IF(AQ480=2,SUM(H480:K480,N480:Q480,T480:W480,Z480:AC480,AF480:AI480),
IF(AQ480=3,SUM(J480:M480,P480:S480,V480:Y480,AB480:AE480,AH480:AK480),SUM(Таблица1[[#This Row],[1]:[31]])-Таблица1[[#This Row],[Столбец1]])))</f>
        <v>0</v>
      </c>
      <c r="AN480" s="269">
        <f t="array" ref="AN480">IF(AQ480=1,SUM(J480:K480,P480:Q480,V480:W480,AB480:AC480,AH480:AI480),
IF(AQ480=2,SUM(L480:M480,R480:S480,X480:Y480,AD480:AE480),
IF(AQ480=3,SUM(H480:I480,N480:O480,T480:U480,Z480:AA480,AF480:AG480),
SUM(IFERROR(WEEKDAY($H$2:$AL$2,2)&gt;5,)*H480:AL480))))</f>
        <v>0</v>
      </c>
      <c r="AO480" s="271" t="b">
        <f>IF(AR480&lt;=3,(IF((G480="5/24"),((база!$M$6*Таблица1[[#This Row],[сумма]]*Таблица1[[#This Row],[коэф]])),
IF((G480="4/24"),((база!$M$5*Таблица1[[#This Row],[сумма]]*Таблица1[[#This Row],[коэф]])),
IF((G480="3/24"),((база!$M$4*Таблица1[[#This Row],[сумма]]*Таблица1[[#This Row],[коэф]])),
IF((G480="5/16"),((база!$L$6*Таблица1[[#This Row],[сумма]]*Таблица1[[#This Row],[коэф]])),
IF((G480="4/16"),((база!$L$5*Таблица1[[#This Row],[сумма]]*Таблица1[[#This Row],[коэф]])),
IF((G480="3/16"),((база!$L$4*Таблица1[[#This Row],[сумма]]*Таблица1[[#This Row],[коэф]])),
IF((G480="4/4"),((база!$I$5*Таблица1[[#This Row],[сумма]]*Таблица1[[#This Row],[коэф]])),
IF(OR(G480="2/4",G480="3/4"),((база!$I$4*Таблица1[[#This Row],[сумма]]*Таблица1[[#This Row],[коэф]])),
IF((G480="5/8"),((база!$J$6*Таблица1[[#This Row],[сумма]]*Таблица1[[#This Row],[коэф]])),
IF((G480="4/8"),((база!$J$5*Таблица1[[#This Row],[сумма]]*Таблица1[[#This Row],[коэф]])),
IF(OR(G480="3/8",G480="2/8"),((база!$J$4*Таблица1[[#This Row],[сумма]]*Таблица1[[#This Row],[коэф]])))))))))))))),
(IF((G480="5/24"),((база!$M$6*Таблица1[[#This Row],[сумма]]*Таблица1[[#This Row],[коэф]])),
IF(OR(G480="4/24",G480="3/24"),((база!$M$5*Таблица1[[#This Row],[сумма]]*Таблица1[[#This Row],[коэф]])),
IF((G480="5/16"),((база!$L$6*Таблица1[[#This Row],[сумма]]*Таблица1[[#This Row],[коэф]])),
IF(OR(G480="4/16",G480="3/16"),((база!$L$5*Таблица1[[#This Row],[сумма]]*Таблица1[[#This Row],[коэф]])),
IF(OR(G480="2/4",G480="3/4",G480="4/4"),((база!$I$5*Таблица1[[#This Row],[сумма]]*Таблица1[[#This Row],[коэф]])),
IF((G480="5/8"),((база!$J$6*Таблица1[[#This Row],[сумма]]*Таблица1[[#This Row],[коэф]])),
IF(OR(G480="4/8",G480="3/8",G480="2/8"),((база!$J$5*Таблица1[[#This Row],[сумма]]*Таблица1[[#This Row],[коэф]])))))))))))</f>
        <v>0</v>
      </c>
      <c r="AP480" s="696" t="b">
        <f>IF(AR480&lt;=3,(IF((G480="5/24"),((база!$M$6*2*Таблица1[[#This Row],[Столбец1]]*Таблица1[[#This Row],[коэф]])),
IF((G480="4/24"),((база!$M$5*2*Таблица1[[#This Row],[Столбец1]]*Таблица1[[#This Row],[коэф]])),
IF((G480="3/24"),((база!$M$4*2*Таблица1[[#This Row],[Столбец1]]*Таблица1[[#This Row],[коэф]])),
IF((G480="5/16"),((база!$L$6*2*Таблица1[[#This Row],[Столбец1]]*Таблица1[[#This Row],[коэф]])),
IF((G480="4/16"),((база!$L$5*2*Таблица1[[#This Row],[Столбец1]]*Таблица1[[#This Row],[коэф]])),
IF((G480="3/16"),((база!$L$4*2*Таблица1[[#This Row],[Столбец1]]*Таблица1[[#This Row],[коэф]])),
IF((G480="4/4"),((база!$I$5*2*Таблица1[[#This Row],[Столбец1]]*Таблица1[[#This Row],[коэф]])),
IF(OR(G480="2/4",G480="3/4"),((база!$I$4*2*Таблица1[[#This Row],[Столбец1]]*Таблица1[[#This Row],[коэф]])),
IF((G480="5/8"),((база!$J$6*2*Таблица1[[#This Row],[Столбец1]]*Таблица1[[#This Row],[коэф]])),
IF((G480="4/8"),((база!$J$5*2*Таблица1[[#This Row],[Столбец1]]*Таблица1[[#This Row],[коэф]])),
IF(OR(G480="3/8",G480="2/8"),((база!$J$4*2*Таблица1[[#This Row],[Столбец1]]*Таблица1[[#This Row],[коэф]])))))))))))))),
(IF((G480="5/24"),((база!$M$6*2*Таблица1[[#This Row],[Столбец1]]*Таблица1[[#This Row],[коэф]])),
IF(OR(G480="4/24",G480="3/24"),((база!$M$5*2*Таблица1[[#This Row],[Столбец1]]*Таблица1[[#This Row],[коэф]])),
IF((G480="5/16"),((база!$L$6*2*Таблица1[[#This Row],[Столбец1]]*Таблица1[[#This Row],[коэф]])),
IF(OR(G480="4/16",G480="3/16"),((база!$L$5*2*Таблица1[[#This Row],[Столбец1]]*Таблица1[[#This Row],[коэф]])),
IF(OR(G480="2/4",G480="3/4",G480="4/4"),((база!$I$5*2*Таблица1[[#This Row],[Столбец1]]*Таблица1[[#This Row],[коэф]])),
IF((G480="5/8"),((база!$J$6*2*Таблица1[[#This Row],[Столбец1]]*Таблица1[[#This Row],[коэф]])),
IF(OR(G480="4/8",G480="3/8",G480="2/8"),((база!$J$5*2*Таблица1[[#This Row],[Столбец1]]*Таблица1[[#This Row],[коэф]])))))))))))</f>
        <v>0</v>
      </c>
      <c r="AQ480" s="678" t="str">
        <f>IFERROR(INDEX(база!T:T, MATCH(F480,база!Q:Q,0)),"")</f>
        <v/>
      </c>
      <c r="AR480" s="193">
        <f>IFERROR(INDEX(база!D:D, MATCH(F480,база!B:B,0)),"")</f>
        <v>0</v>
      </c>
    </row>
    <row r="481" spans="1:44" ht="15">
      <c r="A481" s="59"/>
      <c r="B481" s="215"/>
      <c r="C481" s="277"/>
      <c r="D481" s="55"/>
      <c r="E481" s="196"/>
      <c r="F481" s="651"/>
      <c r="G481" s="42"/>
      <c r="H481" s="539"/>
      <c r="I481" s="539"/>
      <c r="J481" s="539"/>
      <c r="K481" s="539"/>
      <c r="L481" s="539"/>
      <c r="M481" s="539"/>
      <c r="N481" s="539"/>
      <c r="O481" s="539"/>
      <c r="P481" s="278"/>
      <c r="Q481" s="539"/>
      <c r="R481" s="539"/>
      <c r="S481" s="539"/>
      <c r="T481" s="539"/>
      <c r="U481" s="539"/>
      <c r="V481" s="539"/>
      <c r="W481" s="539"/>
      <c r="X481" s="539"/>
      <c r="Y481" s="539"/>
      <c r="Z481" s="539"/>
      <c r="AA481" s="539"/>
      <c r="AB481" s="539"/>
      <c r="AC481" s="539"/>
      <c r="AD481" s="43"/>
      <c r="AE481" s="43"/>
      <c r="AF481" s="238"/>
      <c r="AG481" s="43"/>
      <c r="AH481" s="43"/>
      <c r="AI481" s="43"/>
      <c r="AJ481" s="43"/>
      <c r="AK481" s="43"/>
      <c r="AL481" s="45"/>
      <c r="AM481" s="197">
        <f>IF(AQ481=1,SUM(H481:I481,L481:O481,R481:U481,X481:AA481,AD481:AG481,AI481:AK481),
IF(AQ481=2,SUM(H481:K481,N481:Q481,T481:W481,Z481:AC481,AF481:AI481),
IF(AQ481=3,SUM(J481:M481,P481:S481,V481:Y481,AB481:AE481,AH481:AK481),SUM(Таблица1[[#This Row],[1]:[31]])-Таблица1[[#This Row],[Столбец1]])))</f>
        <v>0</v>
      </c>
      <c r="AN481" s="269">
        <f t="array" ref="AN481">IF(AQ481=1,SUM(J481:K481,P481:Q481,V481:W481,AB481:AC481,AH481:AI481),
IF(AQ481=2,SUM(L481:M481,R481:S481,X481:Y481,AD481:AE481),
IF(AQ481=3,SUM(H481:I481,N481:O481,T481:U481,Z481:AA481,AF481:AG481),
SUM(IFERROR(WEEKDAY($H$2:$AL$2,2)&gt;5,)*H481:AL481))))</f>
        <v>0</v>
      </c>
      <c r="AO481" s="271" t="b">
        <f>IF(AR481&lt;=3,(IF((G481="5/24"),((база!$M$6*Таблица1[[#This Row],[сумма]]*Таблица1[[#This Row],[коэф]])),
IF((G481="4/24"),((база!$M$5*Таблица1[[#This Row],[сумма]]*Таблица1[[#This Row],[коэф]])),
IF((G481="3/24"),((база!$M$4*Таблица1[[#This Row],[сумма]]*Таблица1[[#This Row],[коэф]])),
IF((G481="5/16"),((база!$L$6*Таблица1[[#This Row],[сумма]]*Таблица1[[#This Row],[коэф]])),
IF((G481="4/16"),((база!$L$5*Таблица1[[#This Row],[сумма]]*Таблица1[[#This Row],[коэф]])),
IF((G481="3/16"),((база!$L$4*Таблица1[[#This Row],[сумма]]*Таблица1[[#This Row],[коэф]])),
IF((G481="4/4"),((база!$I$5*Таблица1[[#This Row],[сумма]]*Таблица1[[#This Row],[коэф]])),
IF(OR(G481="2/4",G481="3/4"),((база!$I$4*Таблица1[[#This Row],[сумма]]*Таблица1[[#This Row],[коэф]])),
IF((G481="5/8"),((база!$J$6*Таблица1[[#This Row],[сумма]]*Таблица1[[#This Row],[коэф]])),
IF((G481="4/8"),((база!$J$5*Таблица1[[#This Row],[сумма]]*Таблица1[[#This Row],[коэф]])),
IF(OR(G481="3/8",G481="2/8"),((база!$J$4*Таблица1[[#This Row],[сумма]]*Таблица1[[#This Row],[коэф]])))))))))))))),
(IF((G481="5/24"),((база!$M$6*Таблица1[[#This Row],[сумма]]*Таблица1[[#This Row],[коэф]])),
IF(OR(G481="4/24",G481="3/24"),((база!$M$5*Таблица1[[#This Row],[сумма]]*Таблица1[[#This Row],[коэф]])),
IF((G481="5/16"),((база!$L$6*Таблица1[[#This Row],[сумма]]*Таблица1[[#This Row],[коэф]])),
IF(OR(G481="4/16",G481="3/16"),((база!$L$5*Таблица1[[#This Row],[сумма]]*Таблица1[[#This Row],[коэф]])),
IF(OR(G481="2/4",G481="3/4",G481="4/4"),((база!$I$5*Таблица1[[#This Row],[сумма]]*Таблица1[[#This Row],[коэф]])),
IF((G481="5/8"),((база!$J$6*Таблица1[[#This Row],[сумма]]*Таблица1[[#This Row],[коэф]])),
IF(OR(G481="4/8",G481="3/8",G481="2/8"),((база!$J$5*Таблица1[[#This Row],[сумма]]*Таблица1[[#This Row],[коэф]])))))))))))</f>
        <v>0</v>
      </c>
      <c r="AP481" s="696" t="b">
        <f>IF(AR481&lt;=3,(IF((G481="5/24"),((база!$M$6*2*Таблица1[[#This Row],[Столбец1]]*Таблица1[[#This Row],[коэф]])),
IF((G481="4/24"),((база!$M$5*2*Таблица1[[#This Row],[Столбец1]]*Таблица1[[#This Row],[коэф]])),
IF((G481="3/24"),((база!$M$4*2*Таблица1[[#This Row],[Столбец1]]*Таблица1[[#This Row],[коэф]])),
IF((G481="5/16"),((база!$L$6*2*Таблица1[[#This Row],[Столбец1]]*Таблица1[[#This Row],[коэф]])),
IF((G481="4/16"),((база!$L$5*2*Таблица1[[#This Row],[Столбец1]]*Таблица1[[#This Row],[коэф]])),
IF((G481="3/16"),((база!$L$4*2*Таблица1[[#This Row],[Столбец1]]*Таблица1[[#This Row],[коэф]])),
IF((G481="4/4"),((база!$I$5*2*Таблица1[[#This Row],[Столбец1]]*Таблица1[[#This Row],[коэф]])),
IF(OR(G481="2/4",G481="3/4"),((база!$I$4*2*Таблица1[[#This Row],[Столбец1]]*Таблица1[[#This Row],[коэф]])),
IF((G481="5/8"),((база!$J$6*2*Таблица1[[#This Row],[Столбец1]]*Таблица1[[#This Row],[коэф]])),
IF((G481="4/8"),((база!$J$5*2*Таблица1[[#This Row],[Столбец1]]*Таблица1[[#This Row],[коэф]])),
IF(OR(G481="3/8",G481="2/8"),((база!$J$4*2*Таблица1[[#This Row],[Столбец1]]*Таблица1[[#This Row],[коэф]])))))))))))))),
(IF((G481="5/24"),((база!$M$6*2*Таблица1[[#This Row],[Столбец1]]*Таблица1[[#This Row],[коэф]])),
IF(OR(G481="4/24",G481="3/24"),((база!$M$5*2*Таблица1[[#This Row],[Столбец1]]*Таблица1[[#This Row],[коэф]])),
IF((G481="5/16"),((база!$L$6*2*Таблица1[[#This Row],[Столбец1]]*Таблица1[[#This Row],[коэф]])),
IF(OR(G481="4/16",G481="3/16"),((база!$L$5*2*Таблица1[[#This Row],[Столбец1]]*Таблица1[[#This Row],[коэф]])),
IF(OR(G481="2/4",G481="3/4",G481="4/4"),((база!$I$5*2*Таблица1[[#This Row],[Столбец1]]*Таблица1[[#This Row],[коэф]])),
IF((G481="5/8"),((база!$J$6*2*Таблица1[[#This Row],[Столбец1]]*Таблица1[[#This Row],[коэф]])),
IF(OR(G481="4/8",G481="3/8",G481="2/8"),((база!$J$5*2*Таблица1[[#This Row],[Столбец1]]*Таблица1[[#This Row],[коэф]])))))))))))</f>
        <v>0</v>
      </c>
      <c r="AQ481" s="678" t="str">
        <f>IFERROR(INDEX(база!T:T, MATCH(F481,база!Q:Q,0)),"")</f>
        <v/>
      </c>
      <c r="AR481" s="193">
        <f>IFERROR(INDEX(база!D:D, MATCH(F481,база!B:B,0)),"")</f>
        <v>0</v>
      </c>
    </row>
    <row r="482" spans="1:44" ht="15">
      <c r="A482" s="59"/>
      <c r="B482" s="215"/>
      <c r="C482" s="277"/>
      <c r="D482" s="55"/>
      <c r="E482" s="196"/>
      <c r="F482" s="651"/>
      <c r="G482" s="42"/>
      <c r="H482" s="539"/>
      <c r="I482" s="539"/>
      <c r="J482" s="539"/>
      <c r="K482" s="539"/>
      <c r="L482" s="539"/>
      <c r="M482" s="539"/>
      <c r="N482" s="539"/>
      <c r="O482" s="539"/>
      <c r="P482" s="278"/>
      <c r="Q482" s="539"/>
      <c r="R482" s="539"/>
      <c r="S482" s="539"/>
      <c r="T482" s="539"/>
      <c r="U482" s="539"/>
      <c r="V482" s="539"/>
      <c r="W482" s="539"/>
      <c r="X482" s="539"/>
      <c r="Y482" s="539"/>
      <c r="Z482" s="539"/>
      <c r="AA482" s="539"/>
      <c r="AB482" s="539"/>
      <c r="AC482" s="539"/>
      <c r="AD482" s="43"/>
      <c r="AE482" s="43"/>
      <c r="AF482" s="238"/>
      <c r="AG482" s="43"/>
      <c r="AH482" s="43"/>
      <c r="AI482" s="238"/>
      <c r="AJ482" s="238"/>
      <c r="AK482" s="238"/>
      <c r="AL482" s="238"/>
      <c r="AM482" s="197">
        <f>IF(AQ482=1,SUM(H482:I482,L482:O482,R482:U482,X482:AA482,AD482:AG482,AI482:AK482),
IF(AQ482=2,SUM(H482:K482,N482:Q482,T482:W482,Z482:AC482,AF482:AI482),
IF(AQ482=3,SUM(J482:M482,P482:S482,V482:Y482,AB482:AE482,AH482:AK482),SUM(Таблица1[[#This Row],[1]:[31]])-Таблица1[[#This Row],[Столбец1]])))</f>
        <v>0</v>
      </c>
      <c r="AN482" s="269">
        <f t="array" ref="AN482">IF(AQ482=1,SUM(J482:K482,P482:Q482,V482:W482,AB482:AC482,AH482:AI482),
IF(AQ482=2,SUM(L482:M482,R482:S482,X482:Y482,AD482:AE482),
IF(AQ482=3,SUM(H482:I482,N482:O482,T482:U482,Z482:AA482,AF482:AG482),
SUM(IFERROR(WEEKDAY($H$2:$AL$2,2)&gt;5,)*H482:AL482))))</f>
        <v>0</v>
      </c>
      <c r="AO482" s="271" t="b">
        <f>IF(AR482&lt;=3,(IF((G482="5/24"),((база!$M$6*Таблица1[[#This Row],[сумма]]*Таблица1[[#This Row],[коэф]])),
IF((G482="4/24"),((база!$M$5*Таблица1[[#This Row],[сумма]]*Таблица1[[#This Row],[коэф]])),
IF((G482="3/24"),((база!$M$4*Таблица1[[#This Row],[сумма]]*Таблица1[[#This Row],[коэф]])),
IF((G482="5/16"),((база!$L$6*Таблица1[[#This Row],[сумма]]*Таблица1[[#This Row],[коэф]])),
IF((G482="4/16"),((база!$L$5*Таблица1[[#This Row],[сумма]]*Таблица1[[#This Row],[коэф]])),
IF((G482="3/16"),((база!$L$4*Таблица1[[#This Row],[сумма]]*Таблица1[[#This Row],[коэф]])),
IF((G482="4/4"),((база!$I$5*Таблица1[[#This Row],[сумма]]*Таблица1[[#This Row],[коэф]])),
IF(OR(G482="2/4",G482="3/4"),((база!$I$4*Таблица1[[#This Row],[сумма]]*Таблица1[[#This Row],[коэф]])),
IF((G482="5/8"),((база!$J$6*Таблица1[[#This Row],[сумма]]*Таблица1[[#This Row],[коэф]])),
IF((G482="4/8"),((база!$J$5*Таблица1[[#This Row],[сумма]]*Таблица1[[#This Row],[коэф]])),
IF(OR(G482="3/8",G482="2/8"),((база!$J$4*Таблица1[[#This Row],[сумма]]*Таблица1[[#This Row],[коэф]])))))))))))))),
(IF((G482="5/24"),((база!$M$6*Таблица1[[#This Row],[сумма]]*Таблица1[[#This Row],[коэф]])),
IF(OR(G482="4/24",G482="3/24"),((база!$M$5*Таблица1[[#This Row],[сумма]]*Таблица1[[#This Row],[коэф]])),
IF((G482="5/16"),((база!$L$6*Таблица1[[#This Row],[сумма]]*Таблица1[[#This Row],[коэф]])),
IF(OR(G482="4/16",G482="3/16"),((база!$L$5*Таблица1[[#This Row],[сумма]]*Таблица1[[#This Row],[коэф]])),
IF(OR(G482="2/4",G482="3/4",G482="4/4"),((база!$I$5*Таблица1[[#This Row],[сумма]]*Таблица1[[#This Row],[коэф]])),
IF((G482="5/8"),((база!$J$6*Таблица1[[#This Row],[сумма]]*Таблица1[[#This Row],[коэф]])),
IF(OR(G482="4/8",G482="3/8",G482="2/8"),((база!$J$5*Таблица1[[#This Row],[сумма]]*Таблица1[[#This Row],[коэф]])))))))))))</f>
        <v>0</v>
      </c>
      <c r="AP482" s="696" t="b">
        <f>IF(AR482&lt;=3,(IF((G482="5/24"),((база!$M$6*2*Таблица1[[#This Row],[Столбец1]]*Таблица1[[#This Row],[коэф]])),
IF((G482="4/24"),((база!$M$5*2*Таблица1[[#This Row],[Столбец1]]*Таблица1[[#This Row],[коэф]])),
IF((G482="3/24"),((база!$M$4*2*Таблица1[[#This Row],[Столбец1]]*Таблица1[[#This Row],[коэф]])),
IF((G482="5/16"),((база!$L$6*2*Таблица1[[#This Row],[Столбец1]]*Таблица1[[#This Row],[коэф]])),
IF((G482="4/16"),((база!$L$5*2*Таблица1[[#This Row],[Столбец1]]*Таблица1[[#This Row],[коэф]])),
IF((G482="3/16"),((база!$L$4*2*Таблица1[[#This Row],[Столбец1]]*Таблица1[[#This Row],[коэф]])),
IF((G482="4/4"),((база!$I$5*2*Таблица1[[#This Row],[Столбец1]]*Таблица1[[#This Row],[коэф]])),
IF(OR(G482="2/4",G482="3/4"),((база!$I$4*2*Таблица1[[#This Row],[Столбец1]]*Таблица1[[#This Row],[коэф]])),
IF((G482="5/8"),((база!$J$6*2*Таблица1[[#This Row],[Столбец1]]*Таблица1[[#This Row],[коэф]])),
IF((G482="4/8"),((база!$J$5*2*Таблица1[[#This Row],[Столбец1]]*Таблица1[[#This Row],[коэф]])),
IF(OR(G482="3/8",G482="2/8"),((база!$J$4*2*Таблица1[[#This Row],[Столбец1]]*Таблица1[[#This Row],[коэф]])))))))))))))),
(IF((G482="5/24"),((база!$M$6*2*Таблица1[[#This Row],[Столбец1]]*Таблица1[[#This Row],[коэф]])),
IF(OR(G482="4/24",G482="3/24"),((база!$M$5*2*Таблица1[[#This Row],[Столбец1]]*Таблица1[[#This Row],[коэф]])),
IF((G482="5/16"),((база!$L$6*2*Таблица1[[#This Row],[Столбец1]]*Таблица1[[#This Row],[коэф]])),
IF(OR(G482="4/16",G482="3/16"),((база!$L$5*2*Таблица1[[#This Row],[Столбец1]]*Таблица1[[#This Row],[коэф]])),
IF(OR(G482="2/4",G482="3/4",G482="4/4"),((база!$I$5*2*Таблица1[[#This Row],[Столбец1]]*Таблица1[[#This Row],[коэф]])),
IF((G482="5/8"),((база!$J$6*2*Таблица1[[#This Row],[Столбец1]]*Таблица1[[#This Row],[коэф]])),
IF(OR(G482="4/8",G482="3/8",G482="2/8"),((база!$J$5*2*Таблица1[[#This Row],[Столбец1]]*Таблица1[[#This Row],[коэф]])))))))))))</f>
        <v>0</v>
      </c>
      <c r="AQ482" s="678" t="str">
        <f>IFERROR(INDEX(база!T:T, MATCH(F482,база!Q:Q,0)),"")</f>
        <v/>
      </c>
      <c r="AR482" s="193">
        <f>IFERROR(INDEX(база!D:D, MATCH(F482,база!B:B,0)),"")</f>
        <v>0</v>
      </c>
    </row>
    <row r="483" spans="1:44" ht="15">
      <c r="A483" s="59"/>
      <c r="B483" s="215"/>
      <c r="C483" s="277"/>
      <c r="D483" s="55"/>
      <c r="E483" s="196"/>
      <c r="F483" s="651"/>
      <c r="G483" s="42"/>
      <c r="H483" s="539"/>
      <c r="I483" s="539"/>
      <c r="J483" s="539"/>
      <c r="K483" s="539"/>
      <c r="L483" s="539"/>
      <c r="M483" s="539"/>
      <c r="N483" s="539"/>
      <c r="O483" s="539"/>
      <c r="P483" s="278"/>
      <c r="Q483" s="539"/>
      <c r="R483" s="539"/>
      <c r="S483" s="539"/>
      <c r="T483" s="539"/>
      <c r="U483" s="539"/>
      <c r="V483" s="539"/>
      <c r="W483" s="539"/>
      <c r="X483" s="539"/>
      <c r="Y483" s="539"/>
      <c r="Z483" s="539"/>
      <c r="AA483" s="539"/>
      <c r="AB483" s="539"/>
      <c r="AC483" s="539"/>
      <c r="AD483" s="539"/>
      <c r="AE483" s="539"/>
      <c r="AF483" s="539"/>
      <c r="AG483" s="43"/>
      <c r="AH483" s="43"/>
      <c r="AI483" s="43"/>
      <c r="AJ483" s="43"/>
      <c r="AK483" s="43"/>
      <c r="AL483" s="45"/>
      <c r="AM483" s="197">
        <f>IF(AQ483=1,SUM(H483:I483,L483:O483,R483:U483,X483:AA483,AD483:AG483,AI483:AK483),
IF(AQ483=2,SUM(H483:K483,N483:Q483,T483:W483,Z483:AC483,AF483:AI483),
IF(AQ483=3,SUM(J483:M483,P483:S483,V483:Y483,AB483:AE483,AH483:AK483),SUM(Таблица1[[#This Row],[1]:[31]])-Таблица1[[#This Row],[Столбец1]])))</f>
        <v>0</v>
      </c>
      <c r="AN483" s="269">
        <f t="array" ref="AN483">IF(AQ483=1,SUM(J483:K483,P483:Q483,V483:W483,AB483:AC483,AH483:AI483),
IF(AQ483=2,SUM(L483:M483,R483:S483,X483:Y483,AD483:AE483),
IF(AQ483=3,SUM(H483:I483,N483:O483,T483:U483,Z483:AA483,AF483:AG483),
SUM(IFERROR(WEEKDAY($H$2:$AL$2,2)&gt;5,)*H483:AL483))))</f>
        <v>0</v>
      </c>
      <c r="AO483" s="271" t="b">
        <f>IF(AR483&lt;=3,(IF((G483="5/24"),((база!$M$6*Таблица1[[#This Row],[сумма]]*Таблица1[[#This Row],[коэф]])),
IF((G483="4/24"),((база!$M$5*Таблица1[[#This Row],[сумма]]*Таблица1[[#This Row],[коэф]])),
IF((G483="3/24"),((база!$M$4*Таблица1[[#This Row],[сумма]]*Таблица1[[#This Row],[коэф]])),
IF((G483="5/16"),((база!$L$6*Таблица1[[#This Row],[сумма]]*Таблица1[[#This Row],[коэф]])),
IF((G483="4/16"),((база!$L$5*Таблица1[[#This Row],[сумма]]*Таблица1[[#This Row],[коэф]])),
IF((G483="3/16"),((база!$L$4*Таблица1[[#This Row],[сумма]]*Таблица1[[#This Row],[коэф]])),
IF((G483="4/4"),((база!$I$5*Таблица1[[#This Row],[сумма]]*Таблица1[[#This Row],[коэф]])),
IF(OR(G483="2/4",G483="3/4"),((база!$I$4*Таблица1[[#This Row],[сумма]]*Таблица1[[#This Row],[коэф]])),
IF((G483="5/8"),((база!$J$6*Таблица1[[#This Row],[сумма]]*Таблица1[[#This Row],[коэф]])),
IF((G483="4/8"),((база!$J$5*Таблица1[[#This Row],[сумма]]*Таблица1[[#This Row],[коэф]])),
IF(OR(G483="3/8",G483="2/8"),((база!$J$4*Таблица1[[#This Row],[сумма]]*Таблица1[[#This Row],[коэф]])))))))))))))),
(IF((G483="5/24"),((база!$M$6*Таблица1[[#This Row],[сумма]]*Таблица1[[#This Row],[коэф]])),
IF(OR(G483="4/24",G483="3/24"),((база!$M$5*Таблица1[[#This Row],[сумма]]*Таблица1[[#This Row],[коэф]])),
IF((G483="5/16"),((база!$L$6*Таблица1[[#This Row],[сумма]]*Таблица1[[#This Row],[коэф]])),
IF(OR(G483="4/16",G483="3/16"),((база!$L$5*Таблица1[[#This Row],[сумма]]*Таблица1[[#This Row],[коэф]])),
IF(OR(G483="2/4",G483="3/4",G483="4/4"),((база!$I$5*Таблица1[[#This Row],[сумма]]*Таблица1[[#This Row],[коэф]])),
IF((G483="5/8"),((база!$J$6*Таблица1[[#This Row],[сумма]]*Таблица1[[#This Row],[коэф]])),
IF(OR(G483="4/8",G483="3/8",G483="2/8"),((база!$J$5*Таблица1[[#This Row],[сумма]]*Таблица1[[#This Row],[коэф]])))))))))))</f>
        <v>0</v>
      </c>
      <c r="AP483" s="696" t="b">
        <f>IF(AR483&lt;=3,(IF((G483="5/24"),((база!$M$6*2*Таблица1[[#This Row],[Столбец1]]*Таблица1[[#This Row],[коэф]])),
IF((G483="4/24"),((база!$M$5*2*Таблица1[[#This Row],[Столбец1]]*Таблица1[[#This Row],[коэф]])),
IF((G483="3/24"),((база!$M$4*2*Таблица1[[#This Row],[Столбец1]]*Таблица1[[#This Row],[коэф]])),
IF((G483="5/16"),((база!$L$6*2*Таблица1[[#This Row],[Столбец1]]*Таблица1[[#This Row],[коэф]])),
IF((G483="4/16"),((база!$L$5*2*Таблица1[[#This Row],[Столбец1]]*Таблица1[[#This Row],[коэф]])),
IF((G483="3/16"),((база!$L$4*2*Таблица1[[#This Row],[Столбец1]]*Таблица1[[#This Row],[коэф]])),
IF((G483="4/4"),((база!$I$5*2*Таблица1[[#This Row],[Столбец1]]*Таблица1[[#This Row],[коэф]])),
IF(OR(G483="2/4",G483="3/4"),((база!$I$4*2*Таблица1[[#This Row],[Столбец1]]*Таблица1[[#This Row],[коэф]])),
IF((G483="5/8"),((база!$J$6*2*Таблица1[[#This Row],[Столбец1]]*Таблица1[[#This Row],[коэф]])),
IF((G483="4/8"),((база!$J$5*2*Таблица1[[#This Row],[Столбец1]]*Таблица1[[#This Row],[коэф]])),
IF(OR(G483="3/8",G483="2/8"),((база!$J$4*2*Таблица1[[#This Row],[Столбец1]]*Таблица1[[#This Row],[коэф]])))))))))))))),
(IF((G483="5/24"),((база!$M$6*2*Таблица1[[#This Row],[Столбец1]]*Таблица1[[#This Row],[коэф]])),
IF(OR(G483="4/24",G483="3/24"),((база!$M$5*2*Таблица1[[#This Row],[Столбец1]]*Таблица1[[#This Row],[коэф]])),
IF((G483="5/16"),((база!$L$6*2*Таблица1[[#This Row],[Столбец1]]*Таблица1[[#This Row],[коэф]])),
IF(OR(G483="4/16",G483="3/16"),((база!$L$5*2*Таблица1[[#This Row],[Столбец1]]*Таблица1[[#This Row],[коэф]])),
IF(OR(G483="2/4",G483="3/4",G483="4/4"),((база!$I$5*2*Таблица1[[#This Row],[Столбец1]]*Таблица1[[#This Row],[коэф]])),
IF((G483="5/8"),((база!$J$6*2*Таблица1[[#This Row],[Столбец1]]*Таблица1[[#This Row],[коэф]])),
IF(OR(G483="4/8",G483="3/8",G483="2/8"),((база!$J$5*2*Таблица1[[#This Row],[Столбец1]]*Таблица1[[#This Row],[коэф]])))))))))))</f>
        <v>0</v>
      </c>
      <c r="AQ483" s="678" t="str">
        <f>IFERROR(INDEX(база!T:T, MATCH(F483,база!Q:Q,0)),"")</f>
        <v/>
      </c>
      <c r="AR483" s="193">
        <f>IFERROR(INDEX(база!D:D, MATCH(F483,база!B:B,0)),"")</f>
        <v>0</v>
      </c>
    </row>
    <row r="484" spans="1:44" ht="15">
      <c r="A484" s="59"/>
      <c r="B484" s="215"/>
      <c r="C484" s="277"/>
      <c r="D484" s="55"/>
      <c r="E484" s="196"/>
      <c r="F484" s="651"/>
      <c r="G484" s="42"/>
      <c r="H484" s="539"/>
      <c r="I484" s="539"/>
      <c r="J484" s="539"/>
      <c r="K484" s="539"/>
      <c r="L484" s="539"/>
      <c r="M484" s="539"/>
      <c r="N484" s="539"/>
      <c r="O484" s="539"/>
      <c r="P484" s="278"/>
      <c r="Q484" s="539"/>
      <c r="R484" s="539"/>
      <c r="S484" s="539"/>
      <c r="T484" s="539"/>
      <c r="U484" s="539"/>
      <c r="V484" s="539"/>
      <c r="W484" s="539"/>
      <c r="X484" s="539"/>
      <c r="Y484" s="539"/>
      <c r="Z484" s="539"/>
      <c r="AA484" s="539"/>
      <c r="AB484" s="539"/>
      <c r="AC484" s="539"/>
      <c r="AD484" s="43"/>
      <c r="AE484" s="43"/>
      <c r="AF484" s="238"/>
      <c r="AG484" s="43"/>
      <c r="AH484" s="43"/>
      <c r="AI484" s="238"/>
      <c r="AJ484" s="238"/>
      <c r="AK484" s="238"/>
      <c r="AL484" s="238"/>
      <c r="AM484" s="197">
        <f>IF(AQ484=1,SUM(H484:I484,L484:O484,R484:U484,X484:AA484,AD484:AG484,AI484:AK484),
IF(AQ484=2,SUM(H484:K484,N484:Q484,T484:W484,Z484:AC484,AF484:AI484),
IF(AQ484=3,SUM(J484:M484,P484:S484,V484:Y484,AB484:AE484,AH484:AK484),SUM(Таблица1[[#This Row],[1]:[31]])-Таблица1[[#This Row],[Столбец1]])))</f>
        <v>0</v>
      </c>
      <c r="AN484" s="269">
        <f t="array" ref="AN484">IF(AQ484=1,SUM(J484:K484,P484:Q484,V484:W484,AB484:AC484,AH484:AI484),
IF(AQ484=2,SUM(L484:M484,R484:S484,X484:Y484,AD484:AE484),
IF(AQ484=3,SUM(H484:I484,N484:O484,T484:U484,Z484:AA484,AF484:AG484),
SUM(IFERROR(WEEKDAY($H$2:$AL$2,2)&gt;5,)*H484:AL484))))</f>
        <v>0</v>
      </c>
      <c r="AO484" s="271" t="b">
        <f>IF(AR484&lt;=3,(IF((G484="5/24"),((база!$M$6*Таблица1[[#This Row],[сумма]]*Таблица1[[#This Row],[коэф]])),
IF((G484="4/24"),((база!$M$5*Таблица1[[#This Row],[сумма]]*Таблица1[[#This Row],[коэф]])),
IF((G484="3/24"),((база!$M$4*Таблица1[[#This Row],[сумма]]*Таблица1[[#This Row],[коэф]])),
IF((G484="5/16"),((база!$L$6*Таблица1[[#This Row],[сумма]]*Таблица1[[#This Row],[коэф]])),
IF((G484="4/16"),((база!$L$5*Таблица1[[#This Row],[сумма]]*Таблица1[[#This Row],[коэф]])),
IF((G484="3/16"),((база!$L$4*Таблица1[[#This Row],[сумма]]*Таблица1[[#This Row],[коэф]])),
IF((G484="4/4"),((база!$I$5*Таблица1[[#This Row],[сумма]]*Таблица1[[#This Row],[коэф]])),
IF(OR(G484="2/4",G484="3/4"),((база!$I$4*Таблица1[[#This Row],[сумма]]*Таблица1[[#This Row],[коэф]])),
IF((G484="5/8"),((база!$J$6*Таблица1[[#This Row],[сумма]]*Таблица1[[#This Row],[коэф]])),
IF((G484="4/8"),((база!$J$5*Таблица1[[#This Row],[сумма]]*Таблица1[[#This Row],[коэф]])),
IF(OR(G484="3/8",G484="2/8"),((база!$J$4*Таблица1[[#This Row],[сумма]]*Таблица1[[#This Row],[коэф]])))))))))))))),
(IF((G484="5/24"),((база!$M$6*Таблица1[[#This Row],[сумма]]*Таблица1[[#This Row],[коэф]])),
IF(OR(G484="4/24",G484="3/24"),((база!$M$5*Таблица1[[#This Row],[сумма]]*Таблица1[[#This Row],[коэф]])),
IF((G484="5/16"),((база!$L$6*Таблица1[[#This Row],[сумма]]*Таблица1[[#This Row],[коэф]])),
IF(OR(G484="4/16",G484="3/16"),((база!$L$5*Таблица1[[#This Row],[сумма]]*Таблица1[[#This Row],[коэф]])),
IF(OR(G484="2/4",G484="3/4",G484="4/4"),((база!$I$5*Таблица1[[#This Row],[сумма]]*Таблица1[[#This Row],[коэф]])),
IF((G484="5/8"),((база!$J$6*Таблица1[[#This Row],[сумма]]*Таблица1[[#This Row],[коэф]])),
IF(OR(G484="4/8",G484="3/8",G484="2/8"),((база!$J$5*Таблица1[[#This Row],[сумма]]*Таблица1[[#This Row],[коэф]])))))))))))</f>
        <v>0</v>
      </c>
      <c r="AP484" s="696" t="b">
        <f>IF(AR484&lt;=3,(IF((G484="5/24"),((база!$M$6*2*Таблица1[[#This Row],[Столбец1]]*Таблица1[[#This Row],[коэф]])),
IF((G484="4/24"),((база!$M$5*2*Таблица1[[#This Row],[Столбец1]]*Таблица1[[#This Row],[коэф]])),
IF((G484="3/24"),((база!$M$4*2*Таблица1[[#This Row],[Столбец1]]*Таблица1[[#This Row],[коэф]])),
IF((G484="5/16"),((база!$L$6*2*Таблица1[[#This Row],[Столбец1]]*Таблица1[[#This Row],[коэф]])),
IF((G484="4/16"),((база!$L$5*2*Таблица1[[#This Row],[Столбец1]]*Таблица1[[#This Row],[коэф]])),
IF((G484="3/16"),((база!$L$4*2*Таблица1[[#This Row],[Столбец1]]*Таблица1[[#This Row],[коэф]])),
IF((G484="4/4"),((база!$I$5*2*Таблица1[[#This Row],[Столбец1]]*Таблица1[[#This Row],[коэф]])),
IF(OR(G484="2/4",G484="3/4"),((база!$I$4*2*Таблица1[[#This Row],[Столбец1]]*Таблица1[[#This Row],[коэф]])),
IF((G484="5/8"),((база!$J$6*2*Таблица1[[#This Row],[Столбец1]]*Таблица1[[#This Row],[коэф]])),
IF((G484="4/8"),((база!$J$5*2*Таблица1[[#This Row],[Столбец1]]*Таблица1[[#This Row],[коэф]])),
IF(OR(G484="3/8",G484="2/8"),((база!$J$4*2*Таблица1[[#This Row],[Столбец1]]*Таблица1[[#This Row],[коэф]])))))))))))))),
(IF((G484="5/24"),((база!$M$6*2*Таблица1[[#This Row],[Столбец1]]*Таблица1[[#This Row],[коэф]])),
IF(OR(G484="4/24",G484="3/24"),((база!$M$5*2*Таблица1[[#This Row],[Столбец1]]*Таблица1[[#This Row],[коэф]])),
IF((G484="5/16"),((база!$L$6*2*Таблица1[[#This Row],[Столбец1]]*Таблица1[[#This Row],[коэф]])),
IF(OR(G484="4/16",G484="3/16"),((база!$L$5*2*Таблица1[[#This Row],[Столбец1]]*Таблица1[[#This Row],[коэф]])),
IF(OR(G484="2/4",G484="3/4",G484="4/4"),((база!$I$5*2*Таблица1[[#This Row],[Столбец1]]*Таблица1[[#This Row],[коэф]])),
IF((G484="5/8"),((база!$J$6*2*Таблица1[[#This Row],[Столбец1]]*Таблица1[[#This Row],[коэф]])),
IF(OR(G484="4/8",G484="3/8",G484="2/8"),((база!$J$5*2*Таблица1[[#This Row],[Столбец1]]*Таблица1[[#This Row],[коэф]])))))))))))</f>
        <v>0</v>
      </c>
      <c r="AQ484" s="678" t="str">
        <f>IFERROR(INDEX(база!T:T, MATCH(F484,база!Q:Q,0)),"")</f>
        <v/>
      </c>
      <c r="AR484" s="193">
        <f>IFERROR(INDEX(база!D:D, MATCH(F484,база!B:B,0)),"")</f>
        <v>0</v>
      </c>
    </row>
    <row r="485" spans="1:44" ht="15">
      <c r="A485" s="59"/>
      <c r="B485" s="215"/>
      <c r="C485" s="277"/>
      <c r="D485" s="55"/>
      <c r="E485" s="196"/>
      <c r="F485" s="651"/>
      <c r="G485" s="42"/>
      <c r="H485" s="539"/>
      <c r="I485" s="539"/>
      <c r="J485" s="539"/>
      <c r="K485" s="539"/>
      <c r="L485" s="539"/>
      <c r="M485" s="539"/>
      <c r="N485" s="539"/>
      <c r="O485" s="539"/>
      <c r="P485" s="278"/>
      <c r="Q485" s="539"/>
      <c r="R485" s="539"/>
      <c r="S485" s="539"/>
      <c r="T485" s="539"/>
      <c r="U485" s="539"/>
      <c r="V485" s="539"/>
      <c r="W485" s="539"/>
      <c r="X485" s="539"/>
      <c r="Y485" s="539"/>
      <c r="Z485" s="539"/>
      <c r="AA485" s="539"/>
      <c r="AB485" s="539"/>
      <c r="AC485" s="539"/>
      <c r="AD485" s="43"/>
      <c r="AE485" s="43"/>
      <c r="AF485" s="238"/>
      <c r="AG485" s="238"/>
      <c r="AH485" s="238"/>
      <c r="AI485" s="43"/>
      <c r="AJ485" s="43"/>
      <c r="AK485" s="43"/>
      <c r="AL485" s="43"/>
      <c r="AM485" s="197">
        <f>IF(AQ485=1,SUM(H485:I485,L485:O485,R485:U485,X485:AA485,AD485:AG485,AI485:AK485),
IF(AQ485=2,SUM(H485:K485,N485:Q485,T485:W485,Z485:AC485,AF485:AI485),
IF(AQ485=3,SUM(J485:M485,P485:S485,V485:Y485,AB485:AE485,AH485:AK485),SUM(Таблица1[[#This Row],[1]:[31]])-Таблица1[[#This Row],[Столбец1]])))</f>
        <v>0</v>
      </c>
      <c r="AN485" s="269">
        <f t="array" ref="AN485">IF(AQ485=1,SUM(J485:K485,P485:Q485,V485:W485,AB485:AC485,AH485:AI485),
IF(AQ485=2,SUM(L485:M485,R485:S485,X485:Y485,AD485:AE485),
IF(AQ485=3,SUM(H485:I485,N485:O485,T485:U485,Z485:AA485,AF485:AG485),
SUM(IFERROR(WEEKDAY($H$2:$AL$2,2)&gt;5,)*H485:AL485))))</f>
        <v>0</v>
      </c>
      <c r="AO485" s="271" t="b">
        <f>IF(AR485&lt;=3,(IF((G485="5/24"),((база!$M$6*Таблица1[[#This Row],[сумма]]*Таблица1[[#This Row],[коэф]])),
IF((G485="4/24"),((база!$M$5*Таблица1[[#This Row],[сумма]]*Таблица1[[#This Row],[коэф]])),
IF((G485="3/24"),((база!$M$4*Таблица1[[#This Row],[сумма]]*Таблица1[[#This Row],[коэф]])),
IF((G485="5/16"),((база!$L$6*Таблица1[[#This Row],[сумма]]*Таблица1[[#This Row],[коэф]])),
IF((G485="4/16"),((база!$L$5*Таблица1[[#This Row],[сумма]]*Таблица1[[#This Row],[коэф]])),
IF((G485="3/16"),((база!$L$4*Таблица1[[#This Row],[сумма]]*Таблица1[[#This Row],[коэф]])),
IF((G485="4/4"),((база!$I$5*Таблица1[[#This Row],[сумма]]*Таблица1[[#This Row],[коэф]])),
IF(OR(G485="2/4",G485="3/4"),((база!$I$4*Таблица1[[#This Row],[сумма]]*Таблица1[[#This Row],[коэф]])),
IF((G485="5/8"),((база!$J$6*Таблица1[[#This Row],[сумма]]*Таблица1[[#This Row],[коэф]])),
IF((G485="4/8"),((база!$J$5*Таблица1[[#This Row],[сумма]]*Таблица1[[#This Row],[коэф]])),
IF(OR(G485="3/8",G485="2/8"),((база!$J$4*Таблица1[[#This Row],[сумма]]*Таблица1[[#This Row],[коэф]])))))))))))))),
(IF((G485="5/24"),((база!$M$6*Таблица1[[#This Row],[сумма]]*Таблица1[[#This Row],[коэф]])),
IF(OR(G485="4/24",G485="3/24"),((база!$M$5*Таблица1[[#This Row],[сумма]]*Таблица1[[#This Row],[коэф]])),
IF((G485="5/16"),((база!$L$6*Таблица1[[#This Row],[сумма]]*Таблица1[[#This Row],[коэф]])),
IF(OR(G485="4/16",G485="3/16"),((база!$L$5*Таблица1[[#This Row],[сумма]]*Таблица1[[#This Row],[коэф]])),
IF(OR(G485="2/4",G485="3/4",G485="4/4"),((база!$I$5*Таблица1[[#This Row],[сумма]]*Таблица1[[#This Row],[коэф]])),
IF((G485="5/8"),((база!$J$6*Таблица1[[#This Row],[сумма]]*Таблица1[[#This Row],[коэф]])),
IF(OR(G485="4/8",G485="3/8",G485="2/8"),((база!$J$5*Таблица1[[#This Row],[сумма]]*Таблица1[[#This Row],[коэф]])))))))))))</f>
        <v>0</v>
      </c>
      <c r="AP485" s="696" t="b">
        <f>IF(AR485&lt;=3,(IF((G485="5/24"),((база!$M$6*2*Таблица1[[#This Row],[Столбец1]]*Таблица1[[#This Row],[коэф]])),
IF((G485="4/24"),((база!$M$5*2*Таблица1[[#This Row],[Столбец1]]*Таблица1[[#This Row],[коэф]])),
IF((G485="3/24"),((база!$M$4*2*Таблица1[[#This Row],[Столбец1]]*Таблица1[[#This Row],[коэф]])),
IF((G485="5/16"),((база!$L$6*2*Таблица1[[#This Row],[Столбец1]]*Таблица1[[#This Row],[коэф]])),
IF((G485="4/16"),((база!$L$5*2*Таблица1[[#This Row],[Столбец1]]*Таблица1[[#This Row],[коэф]])),
IF((G485="3/16"),((база!$L$4*2*Таблица1[[#This Row],[Столбец1]]*Таблица1[[#This Row],[коэф]])),
IF((G485="4/4"),((база!$I$5*2*Таблица1[[#This Row],[Столбец1]]*Таблица1[[#This Row],[коэф]])),
IF(OR(G485="2/4",G485="3/4"),((база!$I$4*2*Таблица1[[#This Row],[Столбец1]]*Таблица1[[#This Row],[коэф]])),
IF((G485="5/8"),((база!$J$6*2*Таблица1[[#This Row],[Столбец1]]*Таблица1[[#This Row],[коэф]])),
IF((G485="4/8"),((база!$J$5*2*Таблица1[[#This Row],[Столбец1]]*Таблица1[[#This Row],[коэф]])),
IF(OR(G485="3/8",G485="2/8"),((база!$J$4*2*Таблица1[[#This Row],[Столбец1]]*Таблица1[[#This Row],[коэф]])))))))))))))),
(IF((G485="5/24"),((база!$M$6*2*Таблица1[[#This Row],[Столбец1]]*Таблица1[[#This Row],[коэф]])),
IF(OR(G485="4/24",G485="3/24"),((база!$M$5*2*Таблица1[[#This Row],[Столбец1]]*Таблица1[[#This Row],[коэф]])),
IF((G485="5/16"),((база!$L$6*2*Таблица1[[#This Row],[Столбец1]]*Таблица1[[#This Row],[коэф]])),
IF(OR(G485="4/16",G485="3/16"),((база!$L$5*2*Таблица1[[#This Row],[Столбец1]]*Таблица1[[#This Row],[коэф]])),
IF(OR(G485="2/4",G485="3/4",G485="4/4"),((база!$I$5*2*Таблица1[[#This Row],[Столбец1]]*Таблица1[[#This Row],[коэф]])),
IF((G485="5/8"),((база!$J$6*2*Таблица1[[#This Row],[Столбец1]]*Таблица1[[#This Row],[коэф]])),
IF(OR(G485="4/8",G485="3/8",G485="2/8"),((база!$J$5*2*Таблица1[[#This Row],[Столбец1]]*Таблица1[[#This Row],[коэф]])))))))))))</f>
        <v>0</v>
      </c>
      <c r="AQ485" s="678" t="str">
        <f>IFERROR(INDEX(база!T:T, MATCH(F485,база!Q:Q,0)),"")</f>
        <v/>
      </c>
      <c r="AR485" s="193">
        <f>IFERROR(INDEX(база!D:D, MATCH(F485,база!B:B,0)),"")</f>
        <v>0</v>
      </c>
    </row>
    <row r="486" spans="1:44" ht="15">
      <c r="A486" s="59"/>
      <c r="B486" s="215"/>
      <c r="C486" s="277"/>
      <c r="D486" s="55"/>
      <c r="E486" s="196"/>
      <c r="F486" s="651"/>
      <c r="G486" s="42"/>
      <c r="H486" s="539"/>
      <c r="I486" s="539"/>
      <c r="J486" s="539"/>
      <c r="K486" s="539"/>
      <c r="L486" s="539"/>
      <c r="M486" s="539"/>
      <c r="N486" s="539"/>
      <c r="O486" s="539"/>
      <c r="P486" s="278"/>
      <c r="Q486" s="539"/>
      <c r="R486" s="539"/>
      <c r="S486" s="539"/>
      <c r="T486" s="539"/>
      <c r="U486" s="539"/>
      <c r="V486" s="539"/>
      <c r="W486" s="539"/>
      <c r="X486" s="539"/>
      <c r="Y486" s="539"/>
      <c r="Z486" s="539"/>
      <c r="AA486" s="539"/>
      <c r="AB486" s="539"/>
      <c r="AC486" s="539"/>
      <c r="AD486" s="43"/>
      <c r="AE486" s="43"/>
      <c r="AF486" s="238"/>
      <c r="AG486" s="43"/>
      <c r="AH486" s="43"/>
      <c r="AI486" s="238"/>
      <c r="AJ486" s="238"/>
      <c r="AK486" s="238"/>
      <c r="AL486" s="238"/>
      <c r="AM486" s="197">
        <f>IF(AQ486=1,SUM(H486:I486,L486:O486,R486:U486,X486:AA486,AD486:AG486,AI486:AK486),
IF(AQ486=2,SUM(H486:K486,N486:Q486,T486:W486,Z486:AC486,AF486:AI486),
IF(AQ486=3,SUM(J486:M486,P486:S486,V486:Y486,AB486:AE486,AH486:AK486),SUM(Таблица1[[#This Row],[1]:[31]])-Таблица1[[#This Row],[Столбец1]])))</f>
        <v>0</v>
      </c>
      <c r="AN486" s="269">
        <f t="array" ref="AN486">IF(AQ486=1,SUM(J486:K486,P486:Q486,V486:W486,AB486:AC486,AH486:AI486),
IF(AQ486=2,SUM(L486:M486,R486:S486,X486:Y486,AD486:AE486),
IF(AQ486=3,SUM(H486:I486,N486:O486,T486:U486,Z486:AA486,AF486:AG486),
SUM(IFERROR(WEEKDAY($H$2:$AL$2,2)&gt;5,)*H486:AL486))))</f>
        <v>0</v>
      </c>
      <c r="AO486" s="271" t="b">
        <f>IF(AR486&lt;=3,(IF((G486="5/24"),((база!$M$6*Таблица1[[#This Row],[сумма]]*Таблица1[[#This Row],[коэф]])),
IF((G486="4/24"),((база!$M$5*Таблица1[[#This Row],[сумма]]*Таблица1[[#This Row],[коэф]])),
IF((G486="3/24"),((база!$M$4*Таблица1[[#This Row],[сумма]]*Таблица1[[#This Row],[коэф]])),
IF((G486="5/16"),((база!$L$6*Таблица1[[#This Row],[сумма]]*Таблица1[[#This Row],[коэф]])),
IF((G486="4/16"),((база!$L$5*Таблица1[[#This Row],[сумма]]*Таблица1[[#This Row],[коэф]])),
IF((G486="3/16"),((база!$L$4*Таблица1[[#This Row],[сумма]]*Таблица1[[#This Row],[коэф]])),
IF((G486="4/4"),((база!$I$5*Таблица1[[#This Row],[сумма]]*Таблица1[[#This Row],[коэф]])),
IF(OR(G486="2/4",G486="3/4"),((база!$I$4*Таблица1[[#This Row],[сумма]]*Таблица1[[#This Row],[коэф]])),
IF((G486="5/8"),((база!$J$6*Таблица1[[#This Row],[сумма]]*Таблица1[[#This Row],[коэф]])),
IF((G486="4/8"),((база!$J$5*Таблица1[[#This Row],[сумма]]*Таблица1[[#This Row],[коэф]])),
IF(OR(G486="3/8",G486="2/8"),((база!$J$4*Таблица1[[#This Row],[сумма]]*Таблица1[[#This Row],[коэф]])))))))))))))),
(IF((G486="5/24"),((база!$M$6*Таблица1[[#This Row],[сумма]]*Таблица1[[#This Row],[коэф]])),
IF(OR(G486="4/24",G486="3/24"),((база!$M$5*Таблица1[[#This Row],[сумма]]*Таблица1[[#This Row],[коэф]])),
IF((G486="5/16"),((база!$L$6*Таблица1[[#This Row],[сумма]]*Таблица1[[#This Row],[коэф]])),
IF(OR(G486="4/16",G486="3/16"),((база!$L$5*Таблица1[[#This Row],[сумма]]*Таблица1[[#This Row],[коэф]])),
IF(OR(G486="2/4",G486="3/4",G486="4/4"),((база!$I$5*Таблица1[[#This Row],[сумма]]*Таблица1[[#This Row],[коэф]])),
IF((G486="5/8"),((база!$J$6*Таблица1[[#This Row],[сумма]]*Таблица1[[#This Row],[коэф]])),
IF(OR(G486="4/8",G486="3/8",G486="2/8"),((база!$J$5*Таблица1[[#This Row],[сумма]]*Таблица1[[#This Row],[коэф]])))))))))))</f>
        <v>0</v>
      </c>
      <c r="AP486" s="696" t="b">
        <f>IF(AR486&lt;=3,(IF((G486="5/24"),((база!$M$6*2*Таблица1[[#This Row],[Столбец1]]*Таблица1[[#This Row],[коэф]])),
IF((G486="4/24"),((база!$M$5*2*Таблица1[[#This Row],[Столбец1]]*Таблица1[[#This Row],[коэф]])),
IF((G486="3/24"),((база!$M$4*2*Таблица1[[#This Row],[Столбец1]]*Таблица1[[#This Row],[коэф]])),
IF((G486="5/16"),((база!$L$6*2*Таблица1[[#This Row],[Столбец1]]*Таблица1[[#This Row],[коэф]])),
IF((G486="4/16"),((база!$L$5*2*Таблица1[[#This Row],[Столбец1]]*Таблица1[[#This Row],[коэф]])),
IF((G486="3/16"),((база!$L$4*2*Таблица1[[#This Row],[Столбец1]]*Таблица1[[#This Row],[коэф]])),
IF((G486="4/4"),((база!$I$5*2*Таблица1[[#This Row],[Столбец1]]*Таблица1[[#This Row],[коэф]])),
IF(OR(G486="2/4",G486="3/4"),((база!$I$4*2*Таблица1[[#This Row],[Столбец1]]*Таблица1[[#This Row],[коэф]])),
IF((G486="5/8"),((база!$J$6*2*Таблица1[[#This Row],[Столбец1]]*Таблица1[[#This Row],[коэф]])),
IF((G486="4/8"),((база!$J$5*2*Таблица1[[#This Row],[Столбец1]]*Таблица1[[#This Row],[коэф]])),
IF(OR(G486="3/8",G486="2/8"),((база!$J$4*2*Таблица1[[#This Row],[Столбец1]]*Таблица1[[#This Row],[коэф]])))))))))))))),
(IF((G486="5/24"),((база!$M$6*2*Таблица1[[#This Row],[Столбец1]]*Таблица1[[#This Row],[коэф]])),
IF(OR(G486="4/24",G486="3/24"),((база!$M$5*2*Таблица1[[#This Row],[Столбец1]]*Таблица1[[#This Row],[коэф]])),
IF((G486="5/16"),((база!$L$6*2*Таблица1[[#This Row],[Столбец1]]*Таблица1[[#This Row],[коэф]])),
IF(OR(G486="4/16",G486="3/16"),((база!$L$5*2*Таблица1[[#This Row],[Столбец1]]*Таблица1[[#This Row],[коэф]])),
IF(OR(G486="2/4",G486="3/4",G486="4/4"),((база!$I$5*2*Таблица1[[#This Row],[Столбец1]]*Таблица1[[#This Row],[коэф]])),
IF((G486="5/8"),((база!$J$6*2*Таблица1[[#This Row],[Столбец1]]*Таблица1[[#This Row],[коэф]])),
IF(OR(G486="4/8",G486="3/8",G486="2/8"),((база!$J$5*2*Таблица1[[#This Row],[Столбец1]]*Таблица1[[#This Row],[коэф]])))))))))))</f>
        <v>0</v>
      </c>
      <c r="AQ486" s="678" t="str">
        <f>IFERROR(INDEX(база!T:T, MATCH(F486,база!Q:Q,0)),"")</f>
        <v/>
      </c>
      <c r="AR486" s="193">
        <f>IFERROR(INDEX(база!D:D, MATCH(F486,база!B:B,0)),"")</f>
        <v>0</v>
      </c>
    </row>
    <row r="487" spans="1:44" ht="15">
      <c r="A487" s="59"/>
      <c r="B487" s="215"/>
      <c r="C487" s="277"/>
      <c r="D487" s="55"/>
      <c r="E487" s="196"/>
      <c r="F487" s="651"/>
      <c r="G487" s="42"/>
      <c r="H487" s="539"/>
      <c r="I487" s="539"/>
      <c r="J487" s="539"/>
      <c r="K487" s="539"/>
      <c r="L487" s="539"/>
      <c r="M487" s="539"/>
      <c r="N487" s="539"/>
      <c r="O487" s="539"/>
      <c r="P487" s="278"/>
      <c r="Q487" s="539"/>
      <c r="R487" s="539"/>
      <c r="S487" s="539"/>
      <c r="T487" s="539"/>
      <c r="U487" s="539"/>
      <c r="V487" s="539"/>
      <c r="W487" s="539"/>
      <c r="X487" s="539"/>
      <c r="Y487" s="539"/>
      <c r="Z487" s="539"/>
      <c r="AA487" s="539"/>
      <c r="AB487" s="539"/>
      <c r="AC487" s="539"/>
      <c r="AD487" s="539"/>
      <c r="AE487" s="43"/>
      <c r="AF487" s="238"/>
      <c r="AG487" s="43"/>
      <c r="AH487" s="43"/>
      <c r="AI487" s="43"/>
      <c r="AJ487" s="43"/>
      <c r="AK487" s="43"/>
      <c r="AL487" s="45"/>
      <c r="AM487" s="197">
        <f>IF(AQ487=1,SUM(H487:I487,L487:O487,R487:U487,X487:AA487,AD487:AG487,AI487:AK487),
IF(AQ487=2,SUM(H487:K487,N487:Q487,T487:W487,Z487:AC487,AF487:AI487),
IF(AQ487=3,SUM(J487:M487,P487:S487,V487:Y487,AB487:AE487,AH487:AK487),SUM(Таблица1[[#This Row],[1]:[31]])-Таблица1[[#This Row],[Столбец1]])))</f>
        <v>0</v>
      </c>
      <c r="AN487" s="269">
        <f t="array" ref="AN487">IF(AQ487=1,SUM(J487:K487,P487:Q487,V487:W487,AB487:AC487,AH487:AI487),
IF(AQ487=2,SUM(L487:M487,R487:S487,X487:Y487,AD487:AE487),
IF(AQ487=3,SUM(H487:I487,N487:O487,T487:U487,Z487:AA487,AF487:AG487),
SUM(IFERROR(WEEKDAY($H$2:$AL$2,2)&gt;5,)*H487:AL487))))</f>
        <v>0</v>
      </c>
      <c r="AO487" s="271" t="b">
        <f>IF(AR487&lt;=3,(IF((G487="5/24"),((база!$M$6*Таблица1[[#This Row],[сумма]]*Таблица1[[#This Row],[коэф]])),
IF((G487="4/24"),((база!$M$5*Таблица1[[#This Row],[сумма]]*Таблица1[[#This Row],[коэф]])),
IF((G487="3/24"),((база!$M$4*Таблица1[[#This Row],[сумма]]*Таблица1[[#This Row],[коэф]])),
IF((G487="5/16"),((база!$L$6*Таблица1[[#This Row],[сумма]]*Таблица1[[#This Row],[коэф]])),
IF((G487="4/16"),((база!$L$5*Таблица1[[#This Row],[сумма]]*Таблица1[[#This Row],[коэф]])),
IF((G487="3/16"),((база!$L$4*Таблица1[[#This Row],[сумма]]*Таблица1[[#This Row],[коэф]])),
IF((G487="4/4"),((база!$I$5*Таблица1[[#This Row],[сумма]]*Таблица1[[#This Row],[коэф]])),
IF(OR(G487="2/4",G487="3/4"),((база!$I$4*Таблица1[[#This Row],[сумма]]*Таблица1[[#This Row],[коэф]])),
IF((G487="5/8"),((база!$J$6*Таблица1[[#This Row],[сумма]]*Таблица1[[#This Row],[коэф]])),
IF((G487="4/8"),((база!$J$5*Таблица1[[#This Row],[сумма]]*Таблица1[[#This Row],[коэф]])),
IF(OR(G487="3/8",G487="2/8"),((база!$J$4*Таблица1[[#This Row],[сумма]]*Таблица1[[#This Row],[коэф]])))))))))))))),
(IF((G487="5/24"),((база!$M$6*Таблица1[[#This Row],[сумма]]*Таблица1[[#This Row],[коэф]])),
IF(OR(G487="4/24",G487="3/24"),((база!$M$5*Таблица1[[#This Row],[сумма]]*Таблица1[[#This Row],[коэф]])),
IF((G487="5/16"),((база!$L$6*Таблица1[[#This Row],[сумма]]*Таблица1[[#This Row],[коэф]])),
IF(OR(G487="4/16",G487="3/16"),((база!$L$5*Таблица1[[#This Row],[сумма]]*Таблица1[[#This Row],[коэф]])),
IF(OR(G487="2/4",G487="3/4",G487="4/4"),((база!$I$5*Таблица1[[#This Row],[сумма]]*Таблица1[[#This Row],[коэф]])),
IF((G487="5/8"),((база!$J$6*Таблица1[[#This Row],[сумма]]*Таблица1[[#This Row],[коэф]])),
IF(OR(G487="4/8",G487="3/8",G487="2/8"),((база!$J$5*Таблица1[[#This Row],[сумма]]*Таблица1[[#This Row],[коэф]])))))))))))</f>
        <v>0</v>
      </c>
      <c r="AP487" s="696" t="b">
        <f>IF(AR487&lt;=3,(IF((G487="5/24"),((база!$M$6*2*Таблица1[[#This Row],[Столбец1]]*Таблица1[[#This Row],[коэф]])),
IF((G487="4/24"),((база!$M$5*2*Таблица1[[#This Row],[Столбец1]]*Таблица1[[#This Row],[коэф]])),
IF((G487="3/24"),((база!$M$4*2*Таблица1[[#This Row],[Столбец1]]*Таблица1[[#This Row],[коэф]])),
IF((G487="5/16"),((база!$L$6*2*Таблица1[[#This Row],[Столбец1]]*Таблица1[[#This Row],[коэф]])),
IF((G487="4/16"),((база!$L$5*2*Таблица1[[#This Row],[Столбец1]]*Таблица1[[#This Row],[коэф]])),
IF((G487="3/16"),((база!$L$4*2*Таблица1[[#This Row],[Столбец1]]*Таблица1[[#This Row],[коэф]])),
IF((G487="4/4"),((база!$I$5*2*Таблица1[[#This Row],[Столбец1]]*Таблица1[[#This Row],[коэф]])),
IF(OR(G487="2/4",G487="3/4"),((база!$I$4*2*Таблица1[[#This Row],[Столбец1]]*Таблица1[[#This Row],[коэф]])),
IF((G487="5/8"),((база!$J$6*2*Таблица1[[#This Row],[Столбец1]]*Таблица1[[#This Row],[коэф]])),
IF((G487="4/8"),((база!$J$5*2*Таблица1[[#This Row],[Столбец1]]*Таблица1[[#This Row],[коэф]])),
IF(OR(G487="3/8",G487="2/8"),((база!$J$4*2*Таблица1[[#This Row],[Столбец1]]*Таблица1[[#This Row],[коэф]])))))))))))))),
(IF((G487="5/24"),((база!$M$6*2*Таблица1[[#This Row],[Столбец1]]*Таблица1[[#This Row],[коэф]])),
IF(OR(G487="4/24",G487="3/24"),((база!$M$5*2*Таблица1[[#This Row],[Столбец1]]*Таблица1[[#This Row],[коэф]])),
IF((G487="5/16"),((база!$L$6*2*Таблица1[[#This Row],[Столбец1]]*Таблица1[[#This Row],[коэф]])),
IF(OR(G487="4/16",G487="3/16"),((база!$L$5*2*Таблица1[[#This Row],[Столбец1]]*Таблица1[[#This Row],[коэф]])),
IF(OR(G487="2/4",G487="3/4",G487="4/4"),((база!$I$5*2*Таблица1[[#This Row],[Столбец1]]*Таблица1[[#This Row],[коэф]])),
IF((G487="5/8"),((база!$J$6*2*Таблица1[[#This Row],[Столбец1]]*Таблица1[[#This Row],[коэф]])),
IF(OR(G487="4/8",G487="3/8",G487="2/8"),((база!$J$5*2*Таблица1[[#This Row],[Столбец1]]*Таблица1[[#This Row],[коэф]])))))))))))</f>
        <v>0</v>
      </c>
      <c r="AQ487" s="678" t="str">
        <f>IFERROR(INDEX(база!T:T, MATCH(F487,база!Q:Q,0)),"")</f>
        <v/>
      </c>
      <c r="AR487" s="193">
        <f>IFERROR(INDEX(база!D:D, MATCH(F487,база!B:B,0)),"")</f>
        <v>0</v>
      </c>
    </row>
    <row r="488" spans="1:44" ht="15">
      <c r="A488" s="59"/>
      <c r="B488" s="215"/>
      <c r="C488" s="277"/>
      <c r="D488" s="55"/>
      <c r="E488" s="196"/>
      <c r="F488" s="651"/>
      <c r="G488" s="42"/>
      <c r="H488" s="539"/>
      <c r="I488" s="539"/>
      <c r="J488" s="539"/>
      <c r="K488" s="539"/>
      <c r="L488" s="539"/>
      <c r="M488" s="539"/>
      <c r="N488" s="539"/>
      <c r="O488" s="539"/>
      <c r="P488" s="278"/>
      <c r="Q488" s="539"/>
      <c r="R488" s="539"/>
      <c r="S488" s="539"/>
      <c r="T488" s="539"/>
      <c r="U488" s="539"/>
      <c r="V488" s="539"/>
      <c r="W488" s="539"/>
      <c r="X488" s="539"/>
      <c r="Y488" s="539"/>
      <c r="Z488" s="539"/>
      <c r="AA488" s="539"/>
      <c r="AB488" s="539"/>
      <c r="AC488" s="539"/>
      <c r="AD488" s="43"/>
      <c r="AE488" s="43"/>
      <c r="AF488" s="238"/>
      <c r="AG488" s="43"/>
      <c r="AH488" s="43"/>
      <c r="AI488" s="238"/>
      <c r="AJ488" s="238"/>
      <c r="AK488" s="238"/>
      <c r="AL488" s="238"/>
      <c r="AM488" s="197">
        <f>IF(AQ488=1,SUM(H488:I488,L488:O488,R488:U488,X488:AA488,AD488:AG488,AI488:AK488),
IF(AQ488=2,SUM(H488:K488,N488:Q488,T488:W488,Z488:AC488,AF488:AI488),
IF(AQ488=3,SUM(J488:M488,P488:S488,V488:Y488,AB488:AE488,AH488:AK488),SUM(Таблица1[[#This Row],[1]:[31]])-Таблица1[[#This Row],[Столбец1]])))</f>
        <v>0</v>
      </c>
      <c r="AN488" s="269">
        <f t="array" ref="AN488">IF(AQ488=1,SUM(J488:K488,P488:Q488,V488:W488,AB488:AC488,AH488:AI488),
IF(AQ488=2,SUM(L488:M488,R488:S488,X488:Y488,AD488:AE488),
IF(AQ488=3,SUM(H488:I488,N488:O488,T488:U488,Z488:AA488,AF488:AG488),
SUM(IFERROR(WEEKDAY($H$2:$AL$2,2)&gt;5,)*H488:AL488))))</f>
        <v>0</v>
      </c>
      <c r="AO488" s="271" t="b">
        <f>IF(AR488&lt;=3,(IF((G488="5/24"),((база!$M$6*Таблица1[[#This Row],[сумма]]*Таблица1[[#This Row],[коэф]])),
IF((G488="4/24"),((база!$M$5*Таблица1[[#This Row],[сумма]]*Таблица1[[#This Row],[коэф]])),
IF((G488="3/24"),((база!$M$4*Таблица1[[#This Row],[сумма]]*Таблица1[[#This Row],[коэф]])),
IF((G488="5/16"),((база!$L$6*Таблица1[[#This Row],[сумма]]*Таблица1[[#This Row],[коэф]])),
IF((G488="4/16"),((база!$L$5*Таблица1[[#This Row],[сумма]]*Таблица1[[#This Row],[коэф]])),
IF((G488="3/16"),((база!$L$4*Таблица1[[#This Row],[сумма]]*Таблица1[[#This Row],[коэф]])),
IF((G488="4/4"),((база!$I$5*Таблица1[[#This Row],[сумма]]*Таблица1[[#This Row],[коэф]])),
IF(OR(G488="2/4",G488="3/4"),((база!$I$4*Таблица1[[#This Row],[сумма]]*Таблица1[[#This Row],[коэф]])),
IF((G488="5/8"),((база!$J$6*Таблица1[[#This Row],[сумма]]*Таблица1[[#This Row],[коэф]])),
IF((G488="4/8"),((база!$J$5*Таблица1[[#This Row],[сумма]]*Таблица1[[#This Row],[коэф]])),
IF(OR(G488="3/8",G488="2/8"),((база!$J$4*Таблица1[[#This Row],[сумма]]*Таблица1[[#This Row],[коэф]])))))))))))))),
(IF((G488="5/24"),((база!$M$6*Таблица1[[#This Row],[сумма]]*Таблица1[[#This Row],[коэф]])),
IF(OR(G488="4/24",G488="3/24"),((база!$M$5*Таблица1[[#This Row],[сумма]]*Таблица1[[#This Row],[коэф]])),
IF((G488="5/16"),((база!$L$6*Таблица1[[#This Row],[сумма]]*Таблица1[[#This Row],[коэф]])),
IF(OR(G488="4/16",G488="3/16"),((база!$L$5*Таблица1[[#This Row],[сумма]]*Таблица1[[#This Row],[коэф]])),
IF(OR(G488="2/4",G488="3/4",G488="4/4"),((база!$I$5*Таблица1[[#This Row],[сумма]]*Таблица1[[#This Row],[коэф]])),
IF((G488="5/8"),((база!$J$6*Таблица1[[#This Row],[сумма]]*Таблица1[[#This Row],[коэф]])),
IF(OR(G488="4/8",G488="3/8",G488="2/8"),((база!$J$5*Таблица1[[#This Row],[сумма]]*Таблица1[[#This Row],[коэф]])))))))))))</f>
        <v>0</v>
      </c>
      <c r="AP488" s="696" t="b">
        <f>IF(AR488&lt;=3,(IF((G488="5/24"),((база!$M$6*2*Таблица1[[#This Row],[Столбец1]]*Таблица1[[#This Row],[коэф]])),
IF((G488="4/24"),((база!$M$5*2*Таблица1[[#This Row],[Столбец1]]*Таблица1[[#This Row],[коэф]])),
IF((G488="3/24"),((база!$M$4*2*Таблица1[[#This Row],[Столбец1]]*Таблица1[[#This Row],[коэф]])),
IF((G488="5/16"),((база!$L$6*2*Таблица1[[#This Row],[Столбец1]]*Таблица1[[#This Row],[коэф]])),
IF((G488="4/16"),((база!$L$5*2*Таблица1[[#This Row],[Столбец1]]*Таблица1[[#This Row],[коэф]])),
IF((G488="3/16"),((база!$L$4*2*Таблица1[[#This Row],[Столбец1]]*Таблица1[[#This Row],[коэф]])),
IF((G488="4/4"),((база!$I$5*2*Таблица1[[#This Row],[Столбец1]]*Таблица1[[#This Row],[коэф]])),
IF(OR(G488="2/4",G488="3/4"),((база!$I$4*2*Таблица1[[#This Row],[Столбец1]]*Таблица1[[#This Row],[коэф]])),
IF((G488="5/8"),((база!$J$6*2*Таблица1[[#This Row],[Столбец1]]*Таблица1[[#This Row],[коэф]])),
IF((G488="4/8"),((база!$J$5*2*Таблица1[[#This Row],[Столбец1]]*Таблица1[[#This Row],[коэф]])),
IF(OR(G488="3/8",G488="2/8"),((база!$J$4*2*Таблица1[[#This Row],[Столбец1]]*Таблица1[[#This Row],[коэф]])))))))))))))),
(IF((G488="5/24"),((база!$M$6*2*Таблица1[[#This Row],[Столбец1]]*Таблица1[[#This Row],[коэф]])),
IF(OR(G488="4/24",G488="3/24"),((база!$M$5*2*Таблица1[[#This Row],[Столбец1]]*Таблица1[[#This Row],[коэф]])),
IF((G488="5/16"),((база!$L$6*2*Таблица1[[#This Row],[Столбец1]]*Таблица1[[#This Row],[коэф]])),
IF(OR(G488="4/16",G488="3/16"),((база!$L$5*2*Таблица1[[#This Row],[Столбец1]]*Таблица1[[#This Row],[коэф]])),
IF(OR(G488="2/4",G488="3/4",G488="4/4"),((база!$I$5*2*Таблица1[[#This Row],[Столбец1]]*Таблица1[[#This Row],[коэф]])),
IF((G488="5/8"),((база!$J$6*2*Таблица1[[#This Row],[Столбец1]]*Таблица1[[#This Row],[коэф]])),
IF(OR(G488="4/8",G488="3/8",G488="2/8"),((база!$J$5*2*Таблица1[[#This Row],[Столбец1]]*Таблица1[[#This Row],[коэф]])))))))))))</f>
        <v>0</v>
      </c>
      <c r="AQ488" s="678" t="str">
        <f>IFERROR(INDEX(база!T:T, MATCH(F488,база!Q:Q,0)),"")</f>
        <v/>
      </c>
      <c r="AR488" s="193">
        <f>IFERROR(INDEX(база!D:D, MATCH(F488,база!B:B,0)),"")</f>
        <v>0</v>
      </c>
    </row>
    <row r="489" spans="1:44" ht="15">
      <c r="A489" s="59"/>
      <c r="B489" s="215"/>
      <c r="C489" s="277"/>
      <c r="D489" s="55"/>
      <c r="E489" s="196"/>
      <c r="F489" s="651"/>
      <c r="G489" s="42"/>
      <c r="H489" s="539"/>
      <c r="I489" s="539"/>
      <c r="J489" s="539"/>
      <c r="K489" s="539"/>
      <c r="L489" s="539"/>
      <c r="M489" s="539"/>
      <c r="N489" s="539"/>
      <c r="O489" s="539"/>
      <c r="P489" s="278"/>
      <c r="Q489" s="539"/>
      <c r="R489" s="539"/>
      <c r="S489" s="539"/>
      <c r="T489" s="539"/>
      <c r="U489" s="539"/>
      <c r="V489" s="539"/>
      <c r="W489" s="539"/>
      <c r="X489" s="539"/>
      <c r="Y489" s="539"/>
      <c r="Z489" s="539"/>
      <c r="AA489" s="539"/>
      <c r="AB489" s="539"/>
      <c r="AC489" s="539"/>
      <c r="AD489" s="43"/>
      <c r="AE489" s="43"/>
      <c r="AF489" s="238"/>
      <c r="AG489" s="43"/>
      <c r="AH489" s="43"/>
      <c r="AI489" s="43"/>
      <c r="AJ489" s="43"/>
      <c r="AK489" s="43"/>
      <c r="AL489" s="45"/>
      <c r="AM489" s="197">
        <f>IF(AQ489=1,SUM(H489:I489,L489:O489,R489:U489,X489:AA489,AD489:AG489,AI489:AK489),
IF(AQ489=2,SUM(H489:K489,N489:Q489,T489:W489,Z489:AC489,AF489:AI489),
IF(AQ489=3,SUM(J489:M489,P489:S489,V489:Y489,AB489:AE489,AH489:AK489),SUM(Таблица1[[#This Row],[1]:[31]])-Таблица1[[#This Row],[Столбец1]])))</f>
        <v>0</v>
      </c>
      <c r="AN489" s="269">
        <f t="array" ref="AN489">IF(AQ489=1,SUM(J489:K489,P489:Q489,V489:W489,AB489:AC489,AH489:AI489),
IF(AQ489=2,SUM(L489:M489,R489:S489,X489:Y489,AD489:AE489),
IF(AQ489=3,SUM(H489:I489,N489:O489,T489:U489,Z489:AA489,AF489:AG489),
SUM(IFERROR(WEEKDAY($H$2:$AL$2,2)&gt;5,)*H489:AL489))))</f>
        <v>0</v>
      </c>
      <c r="AO489" s="271" t="b">
        <f>IF(AR489&lt;=3,(IF((G489="5/24"),((база!$M$6*Таблица1[[#This Row],[сумма]]*Таблица1[[#This Row],[коэф]])),
IF((G489="4/24"),((база!$M$5*Таблица1[[#This Row],[сумма]]*Таблица1[[#This Row],[коэф]])),
IF((G489="3/24"),((база!$M$4*Таблица1[[#This Row],[сумма]]*Таблица1[[#This Row],[коэф]])),
IF((G489="5/16"),((база!$L$6*Таблица1[[#This Row],[сумма]]*Таблица1[[#This Row],[коэф]])),
IF((G489="4/16"),((база!$L$5*Таблица1[[#This Row],[сумма]]*Таблица1[[#This Row],[коэф]])),
IF((G489="3/16"),((база!$L$4*Таблица1[[#This Row],[сумма]]*Таблица1[[#This Row],[коэф]])),
IF((G489="4/4"),((база!$I$5*Таблица1[[#This Row],[сумма]]*Таблица1[[#This Row],[коэф]])),
IF(OR(G489="2/4",G489="3/4"),((база!$I$4*Таблица1[[#This Row],[сумма]]*Таблица1[[#This Row],[коэф]])),
IF((G489="5/8"),((база!$J$6*Таблица1[[#This Row],[сумма]]*Таблица1[[#This Row],[коэф]])),
IF((G489="4/8"),((база!$J$5*Таблица1[[#This Row],[сумма]]*Таблица1[[#This Row],[коэф]])),
IF(OR(G489="3/8",G489="2/8"),((база!$J$4*Таблица1[[#This Row],[сумма]]*Таблица1[[#This Row],[коэф]])))))))))))))),
(IF((G489="5/24"),((база!$M$6*Таблица1[[#This Row],[сумма]]*Таблица1[[#This Row],[коэф]])),
IF(OR(G489="4/24",G489="3/24"),((база!$M$5*Таблица1[[#This Row],[сумма]]*Таблица1[[#This Row],[коэф]])),
IF((G489="5/16"),((база!$L$6*Таблица1[[#This Row],[сумма]]*Таблица1[[#This Row],[коэф]])),
IF(OR(G489="4/16",G489="3/16"),((база!$L$5*Таблица1[[#This Row],[сумма]]*Таблица1[[#This Row],[коэф]])),
IF(OR(G489="2/4",G489="3/4",G489="4/4"),((база!$I$5*Таблица1[[#This Row],[сумма]]*Таблица1[[#This Row],[коэф]])),
IF((G489="5/8"),((база!$J$6*Таблица1[[#This Row],[сумма]]*Таблица1[[#This Row],[коэф]])),
IF(OR(G489="4/8",G489="3/8",G489="2/8"),((база!$J$5*Таблица1[[#This Row],[сумма]]*Таблица1[[#This Row],[коэф]])))))))))))</f>
        <v>0</v>
      </c>
      <c r="AP489" s="696" t="b">
        <f>IF(AR489&lt;=3,(IF((G489="5/24"),((база!$M$6*2*Таблица1[[#This Row],[Столбец1]]*Таблица1[[#This Row],[коэф]])),
IF((G489="4/24"),((база!$M$5*2*Таблица1[[#This Row],[Столбец1]]*Таблица1[[#This Row],[коэф]])),
IF((G489="3/24"),((база!$M$4*2*Таблица1[[#This Row],[Столбец1]]*Таблица1[[#This Row],[коэф]])),
IF((G489="5/16"),((база!$L$6*2*Таблица1[[#This Row],[Столбец1]]*Таблица1[[#This Row],[коэф]])),
IF((G489="4/16"),((база!$L$5*2*Таблица1[[#This Row],[Столбец1]]*Таблица1[[#This Row],[коэф]])),
IF((G489="3/16"),((база!$L$4*2*Таблица1[[#This Row],[Столбец1]]*Таблица1[[#This Row],[коэф]])),
IF((G489="4/4"),((база!$I$5*2*Таблица1[[#This Row],[Столбец1]]*Таблица1[[#This Row],[коэф]])),
IF(OR(G489="2/4",G489="3/4"),((база!$I$4*2*Таблица1[[#This Row],[Столбец1]]*Таблица1[[#This Row],[коэф]])),
IF((G489="5/8"),((база!$J$6*2*Таблица1[[#This Row],[Столбец1]]*Таблица1[[#This Row],[коэф]])),
IF((G489="4/8"),((база!$J$5*2*Таблица1[[#This Row],[Столбец1]]*Таблица1[[#This Row],[коэф]])),
IF(OR(G489="3/8",G489="2/8"),((база!$J$4*2*Таблица1[[#This Row],[Столбец1]]*Таблица1[[#This Row],[коэф]])))))))))))))),
(IF((G489="5/24"),((база!$M$6*2*Таблица1[[#This Row],[Столбец1]]*Таблица1[[#This Row],[коэф]])),
IF(OR(G489="4/24",G489="3/24"),((база!$M$5*2*Таблица1[[#This Row],[Столбец1]]*Таблица1[[#This Row],[коэф]])),
IF((G489="5/16"),((база!$L$6*2*Таблица1[[#This Row],[Столбец1]]*Таблица1[[#This Row],[коэф]])),
IF(OR(G489="4/16",G489="3/16"),((база!$L$5*2*Таблица1[[#This Row],[Столбец1]]*Таблица1[[#This Row],[коэф]])),
IF(OR(G489="2/4",G489="3/4",G489="4/4"),((база!$I$5*2*Таблица1[[#This Row],[Столбец1]]*Таблица1[[#This Row],[коэф]])),
IF((G489="5/8"),((база!$J$6*2*Таблица1[[#This Row],[Столбец1]]*Таблица1[[#This Row],[коэф]])),
IF(OR(G489="4/8",G489="3/8",G489="2/8"),((база!$J$5*2*Таблица1[[#This Row],[Столбец1]]*Таблица1[[#This Row],[коэф]])))))))))))</f>
        <v>0</v>
      </c>
      <c r="AQ489" s="678" t="str">
        <f>IFERROR(INDEX(база!T:T, MATCH(F489,база!Q:Q,0)),"")</f>
        <v/>
      </c>
      <c r="AR489" s="193">
        <f>IFERROR(INDEX(база!D:D, MATCH(F489,база!B:B,0)),"")</f>
        <v>0</v>
      </c>
    </row>
    <row r="490" spans="1:44" ht="15">
      <c r="A490" s="59"/>
      <c r="B490" s="215"/>
      <c r="C490" s="277"/>
      <c r="D490" s="55"/>
      <c r="E490" s="196"/>
      <c r="F490" s="651"/>
      <c r="G490" s="42"/>
      <c r="H490" s="539"/>
      <c r="I490" s="539"/>
      <c r="J490" s="539"/>
      <c r="K490" s="539"/>
      <c r="L490" s="539"/>
      <c r="M490" s="539"/>
      <c r="N490" s="539"/>
      <c r="O490" s="539"/>
      <c r="P490" s="278"/>
      <c r="Q490" s="539"/>
      <c r="R490" s="539"/>
      <c r="S490" s="539"/>
      <c r="T490" s="539"/>
      <c r="U490" s="539"/>
      <c r="V490" s="539"/>
      <c r="W490" s="539"/>
      <c r="X490" s="539"/>
      <c r="Y490" s="539"/>
      <c r="Z490" s="539"/>
      <c r="AA490" s="539"/>
      <c r="AB490" s="539"/>
      <c r="AC490" s="539"/>
      <c r="AD490" s="43"/>
      <c r="AE490" s="43"/>
      <c r="AF490" s="43"/>
      <c r="AG490" s="43"/>
      <c r="AH490" s="43"/>
      <c r="AI490" s="238"/>
      <c r="AJ490" s="238"/>
      <c r="AK490" s="238"/>
      <c r="AL490" s="238"/>
      <c r="AM490" s="197">
        <f>IF(AQ490=1,SUM(H490:I490,L490:O490,R490:U490,X490:AA490,AD490:AG490,AI490:AK490),
IF(AQ490=2,SUM(H490:K490,N490:Q490,T490:W490,Z490:AC490,AF490:AI490),
IF(AQ490=3,SUM(J490:M490,P490:S490,V490:Y490,AB490:AE490,AH490:AK490),SUM(Таблица1[[#This Row],[1]:[31]])-Таблица1[[#This Row],[Столбец1]])))</f>
        <v>0</v>
      </c>
      <c r="AN490" s="269">
        <f t="array" ref="AN490">IF(AQ490=1,SUM(J490:K490,P490:Q490,V490:W490,AB490:AC490,AH490:AI490),
IF(AQ490=2,SUM(L490:M490,R490:S490,X490:Y490,AD490:AE490),
IF(AQ490=3,SUM(H490:I490,N490:O490,T490:U490,Z490:AA490,AF490:AG490),
SUM(IFERROR(WEEKDAY($H$2:$AL$2,2)&gt;5,)*H490:AL490))))</f>
        <v>0</v>
      </c>
      <c r="AO490" s="271" t="b">
        <f>IF(AR490&lt;=3,(IF((G490="5/24"),((база!$M$6*Таблица1[[#This Row],[сумма]]*Таблица1[[#This Row],[коэф]])),
IF((G490="4/24"),((база!$M$5*Таблица1[[#This Row],[сумма]]*Таблица1[[#This Row],[коэф]])),
IF((G490="3/24"),((база!$M$4*Таблица1[[#This Row],[сумма]]*Таблица1[[#This Row],[коэф]])),
IF((G490="5/16"),((база!$L$6*Таблица1[[#This Row],[сумма]]*Таблица1[[#This Row],[коэф]])),
IF((G490="4/16"),((база!$L$5*Таблица1[[#This Row],[сумма]]*Таблица1[[#This Row],[коэф]])),
IF((G490="3/16"),((база!$L$4*Таблица1[[#This Row],[сумма]]*Таблица1[[#This Row],[коэф]])),
IF((G490="4/4"),((база!$I$5*Таблица1[[#This Row],[сумма]]*Таблица1[[#This Row],[коэф]])),
IF(OR(G490="2/4",G490="3/4"),((база!$I$4*Таблица1[[#This Row],[сумма]]*Таблица1[[#This Row],[коэф]])),
IF((G490="5/8"),((база!$J$6*Таблица1[[#This Row],[сумма]]*Таблица1[[#This Row],[коэф]])),
IF((G490="4/8"),((база!$J$5*Таблица1[[#This Row],[сумма]]*Таблица1[[#This Row],[коэф]])),
IF(OR(G490="3/8",G490="2/8"),((база!$J$4*Таблица1[[#This Row],[сумма]]*Таблица1[[#This Row],[коэф]])))))))))))))),
(IF((G490="5/24"),((база!$M$6*Таблица1[[#This Row],[сумма]]*Таблица1[[#This Row],[коэф]])),
IF(OR(G490="4/24",G490="3/24"),((база!$M$5*Таблица1[[#This Row],[сумма]]*Таблица1[[#This Row],[коэф]])),
IF((G490="5/16"),((база!$L$6*Таблица1[[#This Row],[сумма]]*Таблица1[[#This Row],[коэф]])),
IF(OR(G490="4/16",G490="3/16"),((база!$L$5*Таблица1[[#This Row],[сумма]]*Таблица1[[#This Row],[коэф]])),
IF(OR(G490="2/4",G490="3/4",G490="4/4"),((база!$I$5*Таблица1[[#This Row],[сумма]]*Таблица1[[#This Row],[коэф]])),
IF((G490="5/8"),((база!$J$6*Таблица1[[#This Row],[сумма]]*Таблица1[[#This Row],[коэф]])),
IF(OR(G490="4/8",G490="3/8",G490="2/8"),((база!$J$5*Таблица1[[#This Row],[сумма]]*Таблица1[[#This Row],[коэф]])))))))))))</f>
        <v>0</v>
      </c>
      <c r="AP490" s="696" t="b">
        <f>IF(AR490&lt;=3,(IF((G490="5/24"),((база!$M$6*2*Таблица1[[#This Row],[Столбец1]]*Таблица1[[#This Row],[коэф]])),
IF((G490="4/24"),((база!$M$5*2*Таблица1[[#This Row],[Столбец1]]*Таблица1[[#This Row],[коэф]])),
IF((G490="3/24"),((база!$M$4*2*Таблица1[[#This Row],[Столбец1]]*Таблица1[[#This Row],[коэф]])),
IF((G490="5/16"),((база!$L$6*2*Таблица1[[#This Row],[Столбец1]]*Таблица1[[#This Row],[коэф]])),
IF((G490="4/16"),((база!$L$5*2*Таблица1[[#This Row],[Столбец1]]*Таблица1[[#This Row],[коэф]])),
IF((G490="3/16"),((база!$L$4*2*Таблица1[[#This Row],[Столбец1]]*Таблица1[[#This Row],[коэф]])),
IF((G490="4/4"),((база!$I$5*2*Таблица1[[#This Row],[Столбец1]]*Таблица1[[#This Row],[коэф]])),
IF(OR(G490="2/4",G490="3/4"),((база!$I$4*2*Таблица1[[#This Row],[Столбец1]]*Таблица1[[#This Row],[коэф]])),
IF((G490="5/8"),((база!$J$6*2*Таблица1[[#This Row],[Столбец1]]*Таблица1[[#This Row],[коэф]])),
IF((G490="4/8"),((база!$J$5*2*Таблица1[[#This Row],[Столбец1]]*Таблица1[[#This Row],[коэф]])),
IF(OR(G490="3/8",G490="2/8"),((база!$J$4*2*Таблица1[[#This Row],[Столбец1]]*Таблица1[[#This Row],[коэф]])))))))))))))),
(IF((G490="5/24"),((база!$M$6*2*Таблица1[[#This Row],[Столбец1]]*Таблица1[[#This Row],[коэф]])),
IF(OR(G490="4/24",G490="3/24"),((база!$M$5*2*Таблица1[[#This Row],[Столбец1]]*Таблица1[[#This Row],[коэф]])),
IF((G490="5/16"),((база!$L$6*2*Таблица1[[#This Row],[Столбец1]]*Таблица1[[#This Row],[коэф]])),
IF(OR(G490="4/16",G490="3/16"),((база!$L$5*2*Таблица1[[#This Row],[Столбец1]]*Таблица1[[#This Row],[коэф]])),
IF(OR(G490="2/4",G490="3/4",G490="4/4"),((база!$I$5*2*Таблица1[[#This Row],[Столбец1]]*Таблица1[[#This Row],[коэф]])),
IF((G490="5/8"),((база!$J$6*2*Таблица1[[#This Row],[Столбец1]]*Таблица1[[#This Row],[коэф]])),
IF(OR(G490="4/8",G490="3/8",G490="2/8"),((база!$J$5*2*Таблица1[[#This Row],[Столбец1]]*Таблица1[[#This Row],[коэф]])))))))))))</f>
        <v>0</v>
      </c>
      <c r="AQ490" s="678" t="str">
        <f>IFERROR(INDEX(база!T:T, MATCH(F490,база!Q:Q,0)),"")</f>
        <v/>
      </c>
      <c r="AR490" s="193">
        <f>IFERROR(INDEX(база!D:D, MATCH(F490,база!B:B,0)),"")</f>
        <v>0</v>
      </c>
    </row>
    <row r="491" spans="1:44" ht="15">
      <c r="A491" s="59"/>
      <c r="B491" s="215"/>
      <c r="C491" s="277"/>
      <c r="D491" s="55"/>
      <c r="E491" s="196"/>
      <c r="F491" s="651"/>
      <c r="G491" s="42"/>
      <c r="H491" s="539"/>
      <c r="I491" s="539"/>
      <c r="J491" s="539"/>
      <c r="K491" s="539"/>
      <c r="L491" s="539"/>
      <c r="M491" s="539"/>
      <c r="N491" s="539"/>
      <c r="O491" s="539"/>
      <c r="P491" s="278"/>
      <c r="Q491" s="539"/>
      <c r="R491" s="539"/>
      <c r="S491" s="539"/>
      <c r="T491" s="539"/>
      <c r="U491" s="539"/>
      <c r="V491" s="539"/>
      <c r="W491" s="539"/>
      <c r="X491" s="539"/>
      <c r="Y491" s="539"/>
      <c r="Z491" s="539"/>
      <c r="AA491" s="539"/>
      <c r="AB491" s="539"/>
      <c r="AC491" s="539"/>
      <c r="AD491" s="43"/>
      <c r="AE491" s="43"/>
      <c r="AF491" s="238"/>
      <c r="AG491" s="43"/>
      <c r="AH491" s="43"/>
      <c r="AI491" s="43"/>
      <c r="AJ491" s="43"/>
      <c r="AK491" s="43"/>
      <c r="AL491" s="43"/>
      <c r="AM491" s="197">
        <f>IF(AQ491=1,SUM(H491:I491,L491:O491,R491:U491,X491:AA491,AD491:AG491,AI491:AK491),
IF(AQ491=2,SUM(H491:K491,N491:Q491,T491:W491,Z491:AC491,AF491:AI491),
IF(AQ491=3,SUM(J491:M491,P491:S491,V491:Y491,AB491:AE491,AH491:AK491),SUM(Таблица1[[#This Row],[1]:[31]])-Таблица1[[#This Row],[Столбец1]])))</f>
        <v>0</v>
      </c>
      <c r="AN491" s="269">
        <f t="array" ref="AN491">IF(AQ491=1,SUM(J491:K491,P491:Q491,V491:W491,AB491:AC491,AH491:AI491),
IF(AQ491=2,SUM(L491:M491,R491:S491,X491:Y491,AD491:AE491),
IF(AQ491=3,SUM(H491:I491,N491:O491,T491:U491,Z491:AA491,AF491:AG491),
SUM(IFERROR(WEEKDAY($H$2:$AL$2,2)&gt;5,)*H491:AL491))))</f>
        <v>0</v>
      </c>
      <c r="AO491" s="271" t="b">
        <f>IF(AR491&lt;=3,(IF((G491="5/24"),((база!$M$6*Таблица1[[#This Row],[сумма]]*Таблица1[[#This Row],[коэф]])),
IF((G491="4/24"),((база!$M$5*Таблица1[[#This Row],[сумма]]*Таблица1[[#This Row],[коэф]])),
IF((G491="3/24"),((база!$M$4*Таблица1[[#This Row],[сумма]]*Таблица1[[#This Row],[коэф]])),
IF((G491="5/16"),((база!$L$6*Таблица1[[#This Row],[сумма]]*Таблица1[[#This Row],[коэф]])),
IF((G491="4/16"),((база!$L$5*Таблица1[[#This Row],[сумма]]*Таблица1[[#This Row],[коэф]])),
IF((G491="3/16"),((база!$L$4*Таблица1[[#This Row],[сумма]]*Таблица1[[#This Row],[коэф]])),
IF((G491="4/4"),((база!$I$5*Таблица1[[#This Row],[сумма]]*Таблица1[[#This Row],[коэф]])),
IF(OR(G491="2/4",G491="3/4"),((база!$I$4*Таблица1[[#This Row],[сумма]]*Таблица1[[#This Row],[коэф]])),
IF((G491="5/8"),((база!$J$6*Таблица1[[#This Row],[сумма]]*Таблица1[[#This Row],[коэф]])),
IF((G491="4/8"),((база!$J$5*Таблица1[[#This Row],[сумма]]*Таблица1[[#This Row],[коэф]])),
IF(OR(G491="3/8",G491="2/8"),((база!$J$4*Таблица1[[#This Row],[сумма]]*Таблица1[[#This Row],[коэф]])))))))))))))),
(IF((G491="5/24"),((база!$M$6*Таблица1[[#This Row],[сумма]]*Таблица1[[#This Row],[коэф]])),
IF(OR(G491="4/24",G491="3/24"),((база!$M$5*Таблица1[[#This Row],[сумма]]*Таблица1[[#This Row],[коэф]])),
IF((G491="5/16"),((база!$L$6*Таблица1[[#This Row],[сумма]]*Таблица1[[#This Row],[коэф]])),
IF(OR(G491="4/16",G491="3/16"),((база!$L$5*Таблица1[[#This Row],[сумма]]*Таблица1[[#This Row],[коэф]])),
IF(OR(G491="2/4",G491="3/4",G491="4/4"),((база!$I$5*Таблица1[[#This Row],[сумма]]*Таблица1[[#This Row],[коэф]])),
IF((G491="5/8"),((база!$J$6*Таблица1[[#This Row],[сумма]]*Таблица1[[#This Row],[коэф]])),
IF(OR(G491="4/8",G491="3/8",G491="2/8"),((база!$J$5*Таблица1[[#This Row],[сумма]]*Таблица1[[#This Row],[коэф]])))))))))))</f>
        <v>0</v>
      </c>
      <c r="AP491" s="696" t="b">
        <f>IF(AR491&lt;=3,(IF((G491="5/24"),((база!$M$6*2*Таблица1[[#This Row],[Столбец1]]*Таблица1[[#This Row],[коэф]])),
IF((G491="4/24"),((база!$M$5*2*Таблица1[[#This Row],[Столбец1]]*Таблица1[[#This Row],[коэф]])),
IF((G491="3/24"),((база!$M$4*2*Таблица1[[#This Row],[Столбец1]]*Таблица1[[#This Row],[коэф]])),
IF((G491="5/16"),((база!$L$6*2*Таблица1[[#This Row],[Столбец1]]*Таблица1[[#This Row],[коэф]])),
IF((G491="4/16"),((база!$L$5*2*Таблица1[[#This Row],[Столбец1]]*Таблица1[[#This Row],[коэф]])),
IF((G491="3/16"),((база!$L$4*2*Таблица1[[#This Row],[Столбец1]]*Таблица1[[#This Row],[коэф]])),
IF((G491="4/4"),((база!$I$5*2*Таблица1[[#This Row],[Столбец1]]*Таблица1[[#This Row],[коэф]])),
IF(OR(G491="2/4",G491="3/4"),((база!$I$4*2*Таблица1[[#This Row],[Столбец1]]*Таблица1[[#This Row],[коэф]])),
IF((G491="5/8"),((база!$J$6*2*Таблица1[[#This Row],[Столбец1]]*Таблица1[[#This Row],[коэф]])),
IF((G491="4/8"),((база!$J$5*2*Таблица1[[#This Row],[Столбец1]]*Таблица1[[#This Row],[коэф]])),
IF(OR(G491="3/8",G491="2/8"),((база!$J$4*2*Таблица1[[#This Row],[Столбец1]]*Таблица1[[#This Row],[коэф]])))))))))))))),
(IF((G491="5/24"),((база!$M$6*2*Таблица1[[#This Row],[Столбец1]]*Таблица1[[#This Row],[коэф]])),
IF(OR(G491="4/24",G491="3/24"),((база!$M$5*2*Таблица1[[#This Row],[Столбец1]]*Таблица1[[#This Row],[коэф]])),
IF((G491="5/16"),((база!$L$6*2*Таблица1[[#This Row],[Столбец1]]*Таблица1[[#This Row],[коэф]])),
IF(OR(G491="4/16",G491="3/16"),((база!$L$5*2*Таблица1[[#This Row],[Столбец1]]*Таблица1[[#This Row],[коэф]])),
IF(OR(G491="2/4",G491="3/4",G491="4/4"),((база!$I$5*2*Таблица1[[#This Row],[Столбец1]]*Таблица1[[#This Row],[коэф]])),
IF((G491="5/8"),((база!$J$6*2*Таблица1[[#This Row],[Столбец1]]*Таблица1[[#This Row],[коэф]])),
IF(OR(G491="4/8",G491="3/8",G491="2/8"),((база!$J$5*2*Таблица1[[#This Row],[Столбец1]]*Таблица1[[#This Row],[коэф]])))))))))))</f>
        <v>0</v>
      </c>
      <c r="AQ491" s="678" t="str">
        <f>IFERROR(INDEX(база!T:T, MATCH(F491,база!Q:Q,0)),"")</f>
        <v/>
      </c>
      <c r="AR491" s="193">
        <f>IFERROR(INDEX(база!D:D, MATCH(F491,база!B:B,0)),"")</f>
        <v>0</v>
      </c>
    </row>
    <row r="492" spans="1:44" ht="15">
      <c r="A492" s="59"/>
      <c r="B492" s="215"/>
      <c r="C492" s="277"/>
      <c r="D492" s="55"/>
      <c r="E492" s="196"/>
      <c r="F492" s="651"/>
      <c r="G492" s="42"/>
      <c r="H492" s="539"/>
      <c r="I492" s="539"/>
      <c r="J492" s="539"/>
      <c r="K492" s="539"/>
      <c r="L492" s="539"/>
      <c r="M492" s="539"/>
      <c r="N492" s="539"/>
      <c r="O492" s="539"/>
      <c r="P492" s="278"/>
      <c r="Q492" s="539"/>
      <c r="R492" s="539"/>
      <c r="S492" s="539"/>
      <c r="T492" s="539"/>
      <c r="U492" s="539"/>
      <c r="V492" s="539"/>
      <c r="W492" s="539"/>
      <c r="X492" s="539"/>
      <c r="Y492" s="539"/>
      <c r="Z492" s="539"/>
      <c r="AA492" s="539"/>
      <c r="AB492" s="539"/>
      <c r="AC492" s="539"/>
      <c r="AD492" s="43"/>
      <c r="AE492" s="43"/>
      <c r="AF492" s="238"/>
      <c r="AG492" s="43"/>
      <c r="AH492" s="43"/>
      <c r="AI492" s="238"/>
      <c r="AJ492" s="238"/>
      <c r="AK492" s="238"/>
      <c r="AL492" s="238"/>
      <c r="AM492" s="197">
        <f>IF(AQ492=1,SUM(H492:I492,L492:O492,R492:U492,X492:AA492,AD492:AG492,AI492:AK492),
IF(AQ492=2,SUM(H492:K492,N492:Q492,T492:W492,Z492:AC492,AF492:AI492),
IF(AQ492=3,SUM(J492:M492,P492:S492,V492:Y492,AB492:AE492,AH492:AK492),SUM(Таблица1[[#This Row],[1]:[31]])-Таблица1[[#This Row],[Столбец1]])))</f>
        <v>0</v>
      </c>
      <c r="AN492" s="269">
        <f t="array" ref="AN492">IF(AQ492=1,SUM(J492:K492,P492:Q492,V492:W492,AB492:AC492,AH492:AI492),
IF(AQ492=2,SUM(L492:M492,R492:S492,X492:Y492,AD492:AE492),
IF(AQ492=3,SUM(H492:I492,N492:O492,T492:U492,Z492:AA492,AF492:AG492),
SUM(IFERROR(WEEKDAY($H$2:$AL$2,2)&gt;5,)*H492:AL492))))</f>
        <v>0</v>
      </c>
      <c r="AO492" s="271" t="b">
        <f>IF(AR492&lt;=3,(IF((G492="5/24"),((база!$M$6*Таблица1[[#This Row],[сумма]]*Таблица1[[#This Row],[коэф]])),
IF((G492="4/24"),((база!$M$5*Таблица1[[#This Row],[сумма]]*Таблица1[[#This Row],[коэф]])),
IF((G492="3/24"),((база!$M$4*Таблица1[[#This Row],[сумма]]*Таблица1[[#This Row],[коэф]])),
IF((G492="5/16"),((база!$L$6*Таблица1[[#This Row],[сумма]]*Таблица1[[#This Row],[коэф]])),
IF((G492="4/16"),((база!$L$5*Таблица1[[#This Row],[сумма]]*Таблица1[[#This Row],[коэф]])),
IF((G492="3/16"),((база!$L$4*Таблица1[[#This Row],[сумма]]*Таблица1[[#This Row],[коэф]])),
IF((G492="4/4"),((база!$I$5*Таблица1[[#This Row],[сумма]]*Таблица1[[#This Row],[коэф]])),
IF(OR(G492="2/4",G492="3/4"),((база!$I$4*Таблица1[[#This Row],[сумма]]*Таблица1[[#This Row],[коэф]])),
IF((G492="5/8"),((база!$J$6*Таблица1[[#This Row],[сумма]]*Таблица1[[#This Row],[коэф]])),
IF((G492="4/8"),((база!$J$5*Таблица1[[#This Row],[сумма]]*Таблица1[[#This Row],[коэф]])),
IF(OR(G492="3/8",G492="2/8"),((база!$J$4*Таблица1[[#This Row],[сумма]]*Таблица1[[#This Row],[коэф]])))))))))))))),
(IF((G492="5/24"),((база!$M$6*Таблица1[[#This Row],[сумма]]*Таблица1[[#This Row],[коэф]])),
IF(OR(G492="4/24",G492="3/24"),((база!$M$5*Таблица1[[#This Row],[сумма]]*Таблица1[[#This Row],[коэф]])),
IF((G492="5/16"),((база!$L$6*Таблица1[[#This Row],[сумма]]*Таблица1[[#This Row],[коэф]])),
IF(OR(G492="4/16",G492="3/16"),((база!$L$5*Таблица1[[#This Row],[сумма]]*Таблица1[[#This Row],[коэф]])),
IF(OR(G492="2/4",G492="3/4",G492="4/4"),((база!$I$5*Таблица1[[#This Row],[сумма]]*Таблица1[[#This Row],[коэф]])),
IF((G492="5/8"),((база!$J$6*Таблица1[[#This Row],[сумма]]*Таблица1[[#This Row],[коэф]])),
IF(OR(G492="4/8",G492="3/8",G492="2/8"),((база!$J$5*Таблица1[[#This Row],[сумма]]*Таблица1[[#This Row],[коэф]])))))))))))</f>
        <v>0</v>
      </c>
      <c r="AP492" s="696" t="b">
        <f>IF(AR492&lt;=3,(IF((G492="5/24"),((база!$M$6*2*Таблица1[[#This Row],[Столбец1]]*Таблица1[[#This Row],[коэф]])),
IF((G492="4/24"),((база!$M$5*2*Таблица1[[#This Row],[Столбец1]]*Таблица1[[#This Row],[коэф]])),
IF((G492="3/24"),((база!$M$4*2*Таблица1[[#This Row],[Столбец1]]*Таблица1[[#This Row],[коэф]])),
IF((G492="5/16"),((база!$L$6*2*Таблица1[[#This Row],[Столбец1]]*Таблица1[[#This Row],[коэф]])),
IF((G492="4/16"),((база!$L$5*2*Таблица1[[#This Row],[Столбец1]]*Таблица1[[#This Row],[коэф]])),
IF((G492="3/16"),((база!$L$4*2*Таблица1[[#This Row],[Столбец1]]*Таблица1[[#This Row],[коэф]])),
IF((G492="4/4"),((база!$I$5*2*Таблица1[[#This Row],[Столбец1]]*Таблица1[[#This Row],[коэф]])),
IF(OR(G492="2/4",G492="3/4"),((база!$I$4*2*Таблица1[[#This Row],[Столбец1]]*Таблица1[[#This Row],[коэф]])),
IF((G492="5/8"),((база!$J$6*2*Таблица1[[#This Row],[Столбец1]]*Таблица1[[#This Row],[коэф]])),
IF((G492="4/8"),((база!$J$5*2*Таблица1[[#This Row],[Столбец1]]*Таблица1[[#This Row],[коэф]])),
IF(OR(G492="3/8",G492="2/8"),((база!$J$4*2*Таблица1[[#This Row],[Столбец1]]*Таблица1[[#This Row],[коэф]])))))))))))))),
(IF((G492="5/24"),((база!$M$6*2*Таблица1[[#This Row],[Столбец1]]*Таблица1[[#This Row],[коэф]])),
IF(OR(G492="4/24",G492="3/24"),((база!$M$5*2*Таблица1[[#This Row],[Столбец1]]*Таблица1[[#This Row],[коэф]])),
IF((G492="5/16"),((база!$L$6*2*Таблица1[[#This Row],[Столбец1]]*Таблица1[[#This Row],[коэф]])),
IF(OR(G492="4/16",G492="3/16"),((база!$L$5*2*Таблица1[[#This Row],[Столбец1]]*Таблица1[[#This Row],[коэф]])),
IF(OR(G492="2/4",G492="3/4",G492="4/4"),((база!$I$5*2*Таблица1[[#This Row],[Столбец1]]*Таблица1[[#This Row],[коэф]])),
IF((G492="5/8"),((база!$J$6*2*Таблица1[[#This Row],[Столбец1]]*Таблица1[[#This Row],[коэф]])),
IF(OR(G492="4/8",G492="3/8",G492="2/8"),((база!$J$5*2*Таблица1[[#This Row],[Столбец1]]*Таблица1[[#This Row],[коэф]])))))))))))</f>
        <v>0</v>
      </c>
      <c r="AQ492" s="678" t="str">
        <f>IFERROR(INDEX(база!T:T, MATCH(F492,база!Q:Q,0)),"")</f>
        <v/>
      </c>
      <c r="AR492" s="193">
        <f>IFERROR(INDEX(база!D:D, MATCH(F492,база!B:B,0)),"")</f>
        <v>0</v>
      </c>
    </row>
    <row r="493" spans="1:44" ht="15">
      <c r="A493" s="59"/>
      <c r="B493" s="215"/>
      <c r="C493" s="277"/>
      <c r="D493" s="55"/>
      <c r="E493" s="196"/>
      <c r="F493" s="651"/>
      <c r="G493" s="42"/>
      <c r="H493" s="539"/>
      <c r="I493" s="539"/>
      <c r="J493" s="539"/>
      <c r="K493" s="539"/>
      <c r="L493" s="539"/>
      <c r="M493" s="539"/>
      <c r="N493" s="539"/>
      <c r="O493" s="539"/>
      <c r="P493" s="278"/>
      <c r="Q493" s="539"/>
      <c r="R493" s="539"/>
      <c r="S493" s="539"/>
      <c r="T493" s="539"/>
      <c r="U493" s="539"/>
      <c r="V493" s="539"/>
      <c r="W493" s="539"/>
      <c r="X493" s="539"/>
      <c r="Y493" s="539"/>
      <c r="Z493" s="539"/>
      <c r="AA493" s="539"/>
      <c r="AB493" s="539"/>
      <c r="AC493" s="539"/>
      <c r="AD493" s="43"/>
      <c r="AE493" s="43"/>
      <c r="AF493" s="238"/>
      <c r="AG493" s="43"/>
      <c r="AH493" s="43"/>
      <c r="AI493" s="43"/>
      <c r="AJ493" s="43"/>
      <c r="AK493" s="43"/>
      <c r="AL493" s="45"/>
      <c r="AM493" s="197">
        <f>IF(AQ493=1,SUM(H493:I493,L493:O493,R493:U493,X493:AA493,AD493:AG493,AI493:AK493),
IF(AQ493=2,SUM(H493:K493,N493:Q493,T493:W493,Z493:AC493,AF493:AI493),
IF(AQ493=3,SUM(J493:M493,P493:S493,V493:Y493,AB493:AE493,AH493:AK493),SUM(Таблица1[[#This Row],[1]:[31]])-Таблица1[[#This Row],[Столбец1]])))</f>
        <v>0</v>
      </c>
      <c r="AN493" s="269">
        <f t="array" ref="AN493">IF(AQ493=1,SUM(J493:K493,P493:Q493,V493:W493,AB493:AC493,AH493:AI493),
IF(AQ493=2,SUM(L493:M493,R493:S493,X493:Y493,AD493:AE493),
IF(AQ493=3,SUM(H493:I493,N493:O493,T493:U493,Z493:AA493,AF493:AG493),
SUM(IFERROR(WEEKDAY($H$2:$AL$2,2)&gt;5,)*H493:AL493))))</f>
        <v>0</v>
      </c>
      <c r="AO493" s="271" t="b">
        <f>IF(AR493&lt;=3,(IF((G493="5/24"),((база!$M$6*Таблица1[[#This Row],[сумма]]*Таблица1[[#This Row],[коэф]])),
IF((G493="4/24"),((база!$M$5*Таблица1[[#This Row],[сумма]]*Таблица1[[#This Row],[коэф]])),
IF((G493="3/24"),((база!$M$4*Таблица1[[#This Row],[сумма]]*Таблица1[[#This Row],[коэф]])),
IF((G493="5/16"),((база!$L$6*Таблица1[[#This Row],[сумма]]*Таблица1[[#This Row],[коэф]])),
IF((G493="4/16"),((база!$L$5*Таблица1[[#This Row],[сумма]]*Таблица1[[#This Row],[коэф]])),
IF((G493="3/16"),((база!$L$4*Таблица1[[#This Row],[сумма]]*Таблица1[[#This Row],[коэф]])),
IF((G493="4/4"),((база!$I$5*Таблица1[[#This Row],[сумма]]*Таблица1[[#This Row],[коэф]])),
IF(OR(G493="2/4",G493="3/4"),((база!$I$4*Таблица1[[#This Row],[сумма]]*Таблица1[[#This Row],[коэф]])),
IF((G493="5/8"),((база!$J$6*Таблица1[[#This Row],[сумма]]*Таблица1[[#This Row],[коэф]])),
IF((G493="4/8"),((база!$J$5*Таблица1[[#This Row],[сумма]]*Таблица1[[#This Row],[коэф]])),
IF(OR(G493="3/8",G493="2/8"),((база!$J$4*Таблица1[[#This Row],[сумма]]*Таблица1[[#This Row],[коэф]])))))))))))))),
(IF((G493="5/24"),((база!$M$6*Таблица1[[#This Row],[сумма]]*Таблица1[[#This Row],[коэф]])),
IF(OR(G493="4/24",G493="3/24"),((база!$M$5*Таблица1[[#This Row],[сумма]]*Таблица1[[#This Row],[коэф]])),
IF((G493="5/16"),((база!$L$6*Таблица1[[#This Row],[сумма]]*Таблица1[[#This Row],[коэф]])),
IF(OR(G493="4/16",G493="3/16"),((база!$L$5*Таблица1[[#This Row],[сумма]]*Таблица1[[#This Row],[коэф]])),
IF(OR(G493="2/4",G493="3/4",G493="4/4"),((база!$I$5*Таблица1[[#This Row],[сумма]]*Таблица1[[#This Row],[коэф]])),
IF((G493="5/8"),((база!$J$6*Таблица1[[#This Row],[сумма]]*Таблица1[[#This Row],[коэф]])),
IF(OR(G493="4/8",G493="3/8",G493="2/8"),((база!$J$5*Таблица1[[#This Row],[сумма]]*Таблица1[[#This Row],[коэф]])))))))))))</f>
        <v>0</v>
      </c>
      <c r="AP493" s="696" t="b">
        <f>IF(AR493&lt;=3,(IF((G493="5/24"),((база!$M$6*2*Таблица1[[#This Row],[Столбец1]]*Таблица1[[#This Row],[коэф]])),
IF((G493="4/24"),((база!$M$5*2*Таблица1[[#This Row],[Столбец1]]*Таблица1[[#This Row],[коэф]])),
IF((G493="3/24"),((база!$M$4*2*Таблица1[[#This Row],[Столбец1]]*Таблица1[[#This Row],[коэф]])),
IF((G493="5/16"),((база!$L$6*2*Таблица1[[#This Row],[Столбец1]]*Таблица1[[#This Row],[коэф]])),
IF((G493="4/16"),((база!$L$5*2*Таблица1[[#This Row],[Столбец1]]*Таблица1[[#This Row],[коэф]])),
IF((G493="3/16"),((база!$L$4*2*Таблица1[[#This Row],[Столбец1]]*Таблица1[[#This Row],[коэф]])),
IF((G493="4/4"),((база!$I$5*2*Таблица1[[#This Row],[Столбец1]]*Таблица1[[#This Row],[коэф]])),
IF(OR(G493="2/4",G493="3/4"),((база!$I$4*2*Таблица1[[#This Row],[Столбец1]]*Таблица1[[#This Row],[коэф]])),
IF((G493="5/8"),((база!$J$6*2*Таблица1[[#This Row],[Столбец1]]*Таблица1[[#This Row],[коэф]])),
IF((G493="4/8"),((база!$J$5*2*Таблица1[[#This Row],[Столбец1]]*Таблица1[[#This Row],[коэф]])),
IF(OR(G493="3/8",G493="2/8"),((база!$J$4*2*Таблица1[[#This Row],[Столбец1]]*Таблица1[[#This Row],[коэф]])))))))))))))),
(IF((G493="5/24"),((база!$M$6*2*Таблица1[[#This Row],[Столбец1]]*Таблица1[[#This Row],[коэф]])),
IF(OR(G493="4/24",G493="3/24"),((база!$M$5*2*Таблица1[[#This Row],[Столбец1]]*Таблица1[[#This Row],[коэф]])),
IF((G493="5/16"),((база!$L$6*2*Таблица1[[#This Row],[Столбец1]]*Таблица1[[#This Row],[коэф]])),
IF(OR(G493="4/16",G493="3/16"),((база!$L$5*2*Таблица1[[#This Row],[Столбец1]]*Таблица1[[#This Row],[коэф]])),
IF(OR(G493="2/4",G493="3/4",G493="4/4"),((база!$I$5*2*Таблица1[[#This Row],[Столбец1]]*Таблица1[[#This Row],[коэф]])),
IF((G493="5/8"),((база!$J$6*2*Таблица1[[#This Row],[Столбец1]]*Таблица1[[#This Row],[коэф]])),
IF(OR(G493="4/8",G493="3/8",G493="2/8"),((база!$J$5*2*Таблица1[[#This Row],[Столбец1]]*Таблица1[[#This Row],[коэф]])))))))))))</f>
        <v>0</v>
      </c>
      <c r="AQ493" s="678" t="str">
        <f>IFERROR(INDEX(база!T:T, MATCH(F493,база!Q:Q,0)),"")</f>
        <v/>
      </c>
      <c r="AR493" s="193">
        <f>IFERROR(INDEX(база!D:D, MATCH(F493,база!B:B,0)),"")</f>
        <v>0</v>
      </c>
    </row>
    <row r="494" spans="1:44" ht="15">
      <c r="A494" s="59"/>
      <c r="B494" s="215"/>
      <c r="C494" s="277"/>
      <c r="D494" s="55"/>
      <c r="E494" s="196"/>
      <c r="F494" s="651"/>
      <c r="G494" s="42"/>
      <c r="H494" s="539"/>
      <c r="I494" s="539"/>
      <c r="J494" s="539"/>
      <c r="K494" s="539"/>
      <c r="L494" s="539"/>
      <c r="M494" s="539"/>
      <c r="N494" s="539"/>
      <c r="O494" s="539"/>
      <c r="P494" s="278"/>
      <c r="Q494" s="539"/>
      <c r="R494" s="539"/>
      <c r="S494" s="539"/>
      <c r="T494" s="539"/>
      <c r="U494" s="539"/>
      <c r="V494" s="539"/>
      <c r="W494" s="539"/>
      <c r="X494" s="539"/>
      <c r="Y494" s="539"/>
      <c r="Z494" s="539"/>
      <c r="AA494" s="539"/>
      <c r="AB494" s="539"/>
      <c r="AC494" s="539"/>
      <c r="AD494" s="43"/>
      <c r="AE494" s="43"/>
      <c r="AF494" s="238"/>
      <c r="AG494" s="43"/>
      <c r="AH494" s="43"/>
      <c r="AI494" s="238"/>
      <c r="AJ494" s="238"/>
      <c r="AK494" s="238"/>
      <c r="AL494" s="238"/>
      <c r="AM494" s="197">
        <f>IF(AQ494=1,SUM(H494:I494,L494:O494,R494:U494,X494:AA494,AD494:AG494,AI494:AK494),
IF(AQ494=2,SUM(H494:K494,N494:Q494,T494:W494,Z494:AC494,AF494:AI494),
IF(AQ494=3,SUM(J494:M494,P494:S494,V494:Y494,AB494:AE494,AH494:AK494),SUM(Таблица1[[#This Row],[1]:[31]])-Таблица1[[#This Row],[Столбец1]])))</f>
        <v>0</v>
      </c>
      <c r="AN494" s="269">
        <f t="array" ref="AN494">IF(AQ494=1,SUM(J494:K494,P494:Q494,V494:W494,AB494:AC494,AH494:AI494),
IF(AQ494=2,SUM(L494:M494,R494:S494,X494:Y494,AD494:AE494),
IF(AQ494=3,SUM(H494:I494,N494:O494,T494:U494,Z494:AA494,AF494:AG494),
SUM(IFERROR(WEEKDAY($H$2:$AL$2,2)&gt;5,)*H494:AL494))))</f>
        <v>0</v>
      </c>
      <c r="AO494" s="271" t="b">
        <f>IF(AR494&lt;=3,(IF((G494="5/24"),((база!$M$6*Таблица1[[#This Row],[сумма]]*Таблица1[[#This Row],[коэф]])),
IF((G494="4/24"),((база!$M$5*Таблица1[[#This Row],[сумма]]*Таблица1[[#This Row],[коэф]])),
IF((G494="3/24"),((база!$M$4*Таблица1[[#This Row],[сумма]]*Таблица1[[#This Row],[коэф]])),
IF((G494="5/16"),((база!$L$6*Таблица1[[#This Row],[сумма]]*Таблица1[[#This Row],[коэф]])),
IF((G494="4/16"),((база!$L$5*Таблица1[[#This Row],[сумма]]*Таблица1[[#This Row],[коэф]])),
IF((G494="3/16"),((база!$L$4*Таблица1[[#This Row],[сумма]]*Таблица1[[#This Row],[коэф]])),
IF((G494="4/4"),((база!$I$5*Таблица1[[#This Row],[сумма]]*Таблица1[[#This Row],[коэф]])),
IF(OR(G494="2/4",G494="3/4"),((база!$I$4*Таблица1[[#This Row],[сумма]]*Таблица1[[#This Row],[коэф]])),
IF((G494="5/8"),((база!$J$6*Таблица1[[#This Row],[сумма]]*Таблица1[[#This Row],[коэф]])),
IF((G494="4/8"),((база!$J$5*Таблица1[[#This Row],[сумма]]*Таблица1[[#This Row],[коэф]])),
IF(OR(G494="3/8",G494="2/8"),((база!$J$4*Таблица1[[#This Row],[сумма]]*Таблица1[[#This Row],[коэф]])))))))))))))),
(IF((G494="5/24"),((база!$M$6*Таблица1[[#This Row],[сумма]]*Таблица1[[#This Row],[коэф]])),
IF(OR(G494="4/24",G494="3/24"),((база!$M$5*Таблица1[[#This Row],[сумма]]*Таблица1[[#This Row],[коэф]])),
IF((G494="5/16"),((база!$L$6*Таблица1[[#This Row],[сумма]]*Таблица1[[#This Row],[коэф]])),
IF(OR(G494="4/16",G494="3/16"),((база!$L$5*Таблица1[[#This Row],[сумма]]*Таблица1[[#This Row],[коэф]])),
IF(OR(G494="2/4",G494="3/4",G494="4/4"),((база!$I$5*Таблица1[[#This Row],[сумма]]*Таблица1[[#This Row],[коэф]])),
IF((G494="5/8"),((база!$J$6*Таблица1[[#This Row],[сумма]]*Таблица1[[#This Row],[коэф]])),
IF(OR(G494="4/8",G494="3/8",G494="2/8"),((база!$J$5*Таблица1[[#This Row],[сумма]]*Таблица1[[#This Row],[коэф]])))))))))))</f>
        <v>0</v>
      </c>
      <c r="AP494" s="696" t="b">
        <f>IF(AR494&lt;=3,(IF((G494="5/24"),((база!$M$6*2*Таблица1[[#This Row],[Столбец1]]*Таблица1[[#This Row],[коэф]])),
IF((G494="4/24"),((база!$M$5*2*Таблица1[[#This Row],[Столбец1]]*Таблица1[[#This Row],[коэф]])),
IF((G494="3/24"),((база!$M$4*2*Таблица1[[#This Row],[Столбец1]]*Таблица1[[#This Row],[коэф]])),
IF((G494="5/16"),((база!$L$6*2*Таблица1[[#This Row],[Столбец1]]*Таблица1[[#This Row],[коэф]])),
IF((G494="4/16"),((база!$L$5*2*Таблица1[[#This Row],[Столбец1]]*Таблица1[[#This Row],[коэф]])),
IF((G494="3/16"),((база!$L$4*2*Таблица1[[#This Row],[Столбец1]]*Таблица1[[#This Row],[коэф]])),
IF((G494="4/4"),((база!$I$5*2*Таблица1[[#This Row],[Столбец1]]*Таблица1[[#This Row],[коэф]])),
IF(OR(G494="2/4",G494="3/4"),((база!$I$4*2*Таблица1[[#This Row],[Столбец1]]*Таблица1[[#This Row],[коэф]])),
IF((G494="5/8"),((база!$J$6*2*Таблица1[[#This Row],[Столбец1]]*Таблица1[[#This Row],[коэф]])),
IF((G494="4/8"),((база!$J$5*2*Таблица1[[#This Row],[Столбец1]]*Таблица1[[#This Row],[коэф]])),
IF(OR(G494="3/8",G494="2/8"),((база!$J$4*2*Таблица1[[#This Row],[Столбец1]]*Таблица1[[#This Row],[коэф]])))))))))))))),
(IF((G494="5/24"),((база!$M$6*2*Таблица1[[#This Row],[Столбец1]]*Таблица1[[#This Row],[коэф]])),
IF(OR(G494="4/24",G494="3/24"),((база!$M$5*2*Таблица1[[#This Row],[Столбец1]]*Таблица1[[#This Row],[коэф]])),
IF((G494="5/16"),((база!$L$6*2*Таблица1[[#This Row],[Столбец1]]*Таблица1[[#This Row],[коэф]])),
IF(OR(G494="4/16",G494="3/16"),((база!$L$5*2*Таблица1[[#This Row],[Столбец1]]*Таблица1[[#This Row],[коэф]])),
IF(OR(G494="2/4",G494="3/4",G494="4/4"),((база!$I$5*2*Таблица1[[#This Row],[Столбец1]]*Таблица1[[#This Row],[коэф]])),
IF((G494="5/8"),((база!$J$6*2*Таблица1[[#This Row],[Столбец1]]*Таблица1[[#This Row],[коэф]])),
IF(OR(G494="4/8",G494="3/8",G494="2/8"),((база!$J$5*2*Таблица1[[#This Row],[Столбец1]]*Таблица1[[#This Row],[коэф]])))))))))))</f>
        <v>0</v>
      </c>
      <c r="AQ494" s="678" t="str">
        <f>IFERROR(INDEX(база!T:T, MATCH(F494,база!Q:Q,0)),"")</f>
        <v/>
      </c>
      <c r="AR494" s="193">
        <f>IFERROR(INDEX(база!D:D, MATCH(F494,база!B:B,0)),"")</f>
        <v>0</v>
      </c>
    </row>
    <row r="495" spans="1:44" ht="15">
      <c r="A495" s="59"/>
      <c r="B495" s="215"/>
      <c r="C495" s="277"/>
      <c r="D495" s="55"/>
      <c r="E495" s="196"/>
      <c r="F495" s="651"/>
      <c r="G495" s="42"/>
      <c r="H495" s="539"/>
      <c r="I495" s="539"/>
      <c r="J495" s="539"/>
      <c r="K495" s="539"/>
      <c r="L495" s="539"/>
      <c r="M495" s="539"/>
      <c r="N495" s="539"/>
      <c r="O495" s="539"/>
      <c r="P495" s="278"/>
      <c r="Q495" s="539"/>
      <c r="R495" s="539"/>
      <c r="S495" s="539"/>
      <c r="T495" s="539"/>
      <c r="U495" s="539"/>
      <c r="V495" s="539"/>
      <c r="W495" s="539"/>
      <c r="X495" s="539"/>
      <c r="Y495" s="539"/>
      <c r="Z495" s="539"/>
      <c r="AA495" s="539"/>
      <c r="AB495" s="539"/>
      <c r="AC495" s="539"/>
      <c r="AD495" s="43"/>
      <c r="AE495" s="43"/>
      <c r="AF495" s="238"/>
      <c r="AG495" s="43"/>
      <c r="AH495" s="43"/>
      <c r="AI495" s="43"/>
      <c r="AJ495" s="43"/>
      <c r="AK495" s="43"/>
      <c r="AL495" s="45"/>
      <c r="AM495" s="197">
        <f>IF(AQ495=1,SUM(H495:I495,L495:O495,R495:U495,X495:AA495,AD495:AG495,AI495:AK495),
IF(AQ495=2,SUM(H495:K495,N495:Q495,T495:W495,Z495:AC495,AF495:AI495),
IF(AQ495=3,SUM(J495:M495,P495:S495,V495:Y495,AB495:AE495,AH495:AK495),SUM(Таблица1[[#This Row],[1]:[31]])-Таблица1[[#This Row],[Столбец1]])))</f>
        <v>0</v>
      </c>
      <c r="AN495" s="269">
        <f t="array" ref="AN495">IF(AQ495=1,SUM(J495:K495,P495:Q495,V495:W495,AB495:AC495,AH495:AI495),
IF(AQ495=2,SUM(L495:M495,R495:S495,X495:Y495,AD495:AE495),
IF(AQ495=3,SUM(H495:I495,N495:O495,T495:U495,Z495:AA495,AF495:AG495),
SUM(IFERROR(WEEKDAY($H$2:$AL$2,2)&gt;5,)*H495:AL495))))</f>
        <v>0</v>
      </c>
      <c r="AO495" s="271" t="b">
        <f>IF(AR495&lt;=3,(IF((G495="5/24"),((база!$M$6*Таблица1[[#This Row],[сумма]]*Таблица1[[#This Row],[коэф]])),
IF((G495="4/24"),((база!$M$5*Таблица1[[#This Row],[сумма]]*Таблица1[[#This Row],[коэф]])),
IF((G495="3/24"),((база!$M$4*Таблица1[[#This Row],[сумма]]*Таблица1[[#This Row],[коэф]])),
IF((G495="5/16"),((база!$L$6*Таблица1[[#This Row],[сумма]]*Таблица1[[#This Row],[коэф]])),
IF((G495="4/16"),((база!$L$5*Таблица1[[#This Row],[сумма]]*Таблица1[[#This Row],[коэф]])),
IF((G495="3/16"),((база!$L$4*Таблица1[[#This Row],[сумма]]*Таблица1[[#This Row],[коэф]])),
IF((G495="4/4"),((база!$I$5*Таблица1[[#This Row],[сумма]]*Таблица1[[#This Row],[коэф]])),
IF(OR(G495="2/4",G495="3/4"),((база!$I$4*Таблица1[[#This Row],[сумма]]*Таблица1[[#This Row],[коэф]])),
IF((G495="5/8"),((база!$J$6*Таблица1[[#This Row],[сумма]]*Таблица1[[#This Row],[коэф]])),
IF((G495="4/8"),((база!$J$5*Таблица1[[#This Row],[сумма]]*Таблица1[[#This Row],[коэф]])),
IF(OR(G495="3/8",G495="2/8"),((база!$J$4*Таблица1[[#This Row],[сумма]]*Таблица1[[#This Row],[коэф]])))))))))))))),
(IF((G495="5/24"),((база!$M$6*Таблица1[[#This Row],[сумма]]*Таблица1[[#This Row],[коэф]])),
IF(OR(G495="4/24",G495="3/24"),((база!$M$5*Таблица1[[#This Row],[сумма]]*Таблица1[[#This Row],[коэф]])),
IF((G495="5/16"),((база!$L$6*Таблица1[[#This Row],[сумма]]*Таблица1[[#This Row],[коэф]])),
IF(OR(G495="4/16",G495="3/16"),((база!$L$5*Таблица1[[#This Row],[сумма]]*Таблица1[[#This Row],[коэф]])),
IF(OR(G495="2/4",G495="3/4",G495="4/4"),((база!$I$5*Таблица1[[#This Row],[сумма]]*Таблица1[[#This Row],[коэф]])),
IF((G495="5/8"),((база!$J$6*Таблица1[[#This Row],[сумма]]*Таблица1[[#This Row],[коэф]])),
IF(OR(G495="4/8",G495="3/8",G495="2/8"),((база!$J$5*Таблица1[[#This Row],[сумма]]*Таблица1[[#This Row],[коэф]])))))))))))</f>
        <v>0</v>
      </c>
      <c r="AP495" s="696" t="b">
        <f>IF(AR495&lt;=3,(IF((G495="5/24"),((база!$M$6*2*Таблица1[[#This Row],[Столбец1]]*Таблица1[[#This Row],[коэф]])),
IF((G495="4/24"),((база!$M$5*2*Таблица1[[#This Row],[Столбец1]]*Таблица1[[#This Row],[коэф]])),
IF((G495="3/24"),((база!$M$4*2*Таблица1[[#This Row],[Столбец1]]*Таблица1[[#This Row],[коэф]])),
IF((G495="5/16"),((база!$L$6*2*Таблица1[[#This Row],[Столбец1]]*Таблица1[[#This Row],[коэф]])),
IF((G495="4/16"),((база!$L$5*2*Таблица1[[#This Row],[Столбец1]]*Таблица1[[#This Row],[коэф]])),
IF((G495="3/16"),((база!$L$4*2*Таблица1[[#This Row],[Столбец1]]*Таблица1[[#This Row],[коэф]])),
IF((G495="4/4"),((база!$I$5*2*Таблица1[[#This Row],[Столбец1]]*Таблица1[[#This Row],[коэф]])),
IF(OR(G495="2/4",G495="3/4"),((база!$I$4*2*Таблица1[[#This Row],[Столбец1]]*Таблица1[[#This Row],[коэф]])),
IF((G495="5/8"),((база!$J$6*2*Таблица1[[#This Row],[Столбец1]]*Таблица1[[#This Row],[коэф]])),
IF((G495="4/8"),((база!$J$5*2*Таблица1[[#This Row],[Столбец1]]*Таблица1[[#This Row],[коэф]])),
IF(OR(G495="3/8",G495="2/8"),((база!$J$4*2*Таблица1[[#This Row],[Столбец1]]*Таблица1[[#This Row],[коэф]])))))))))))))),
(IF((G495="5/24"),((база!$M$6*2*Таблица1[[#This Row],[Столбец1]]*Таблица1[[#This Row],[коэф]])),
IF(OR(G495="4/24",G495="3/24"),((база!$M$5*2*Таблица1[[#This Row],[Столбец1]]*Таблица1[[#This Row],[коэф]])),
IF((G495="5/16"),((база!$L$6*2*Таблица1[[#This Row],[Столбец1]]*Таблица1[[#This Row],[коэф]])),
IF(OR(G495="4/16",G495="3/16"),((база!$L$5*2*Таблица1[[#This Row],[Столбец1]]*Таблица1[[#This Row],[коэф]])),
IF(OR(G495="2/4",G495="3/4",G495="4/4"),((база!$I$5*2*Таблица1[[#This Row],[Столбец1]]*Таблица1[[#This Row],[коэф]])),
IF((G495="5/8"),((база!$J$6*2*Таблица1[[#This Row],[Столбец1]]*Таблица1[[#This Row],[коэф]])),
IF(OR(G495="4/8",G495="3/8",G495="2/8"),((база!$J$5*2*Таблица1[[#This Row],[Столбец1]]*Таблица1[[#This Row],[коэф]])))))))))))</f>
        <v>0</v>
      </c>
      <c r="AQ495" s="678" t="str">
        <f>IFERROR(INDEX(база!T:T, MATCH(F495,база!Q:Q,0)),"")</f>
        <v/>
      </c>
      <c r="AR495" s="193">
        <f>IFERROR(INDEX(база!D:D, MATCH(F495,база!B:B,0)),"")</f>
        <v>0</v>
      </c>
    </row>
    <row r="496" spans="1:44" ht="15">
      <c r="A496" s="59"/>
      <c r="B496" s="215"/>
      <c r="C496" s="277"/>
      <c r="D496" s="55"/>
      <c r="E496" s="196"/>
      <c r="F496" s="651"/>
      <c r="G496" s="42"/>
      <c r="H496" s="539"/>
      <c r="I496" s="539"/>
      <c r="J496" s="539"/>
      <c r="K496" s="539"/>
      <c r="L496" s="539"/>
      <c r="M496" s="539"/>
      <c r="N496" s="539"/>
      <c r="O496" s="539"/>
      <c r="P496" s="278"/>
      <c r="Q496" s="539"/>
      <c r="R496" s="539"/>
      <c r="S496" s="539"/>
      <c r="T496" s="539"/>
      <c r="U496" s="539"/>
      <c r="V496" s="539"/>
      <c r="W496" s="539"/>
      <c r="X496" s="539"/>
      <c r="Y496" s="539"/>
      <c r="Z496" s="539"/>
      <c r="AA496" s="539"/>
      <c r="AB496" s="539"/>
      <c r="AC496" s="539"/>
      <c r="AD496" s="43"/>
      <c r="AE496" s="43"/>
      <c r="AF496" s="238"/>
      <c r="AG496" s="43"/>
      <c r="AH496" s="43"/>
      <c r="AI496" s="238"/>
      <c r="AJ496" s="238"/>
      <c r="AK496" s="238"/>
      <c r="AL496" s="238"/>
      <c r="AM496" s="197">
        <f>IF(AQ496=1,SUM(H496:I496,L496:O496,R496:U496,X496:AA496,AD496:AG496,AI496:AK496),
IF(AQ496=2,SUM(H496:K496,N496:Q496,T496:W496,Z496:AC496,AF496:AI496),
IF(AQ496=3,SUM(J496:M496,P496:S496,V496:Y496,AB496:AE496,AH496:AK496),SUM(Таблица1[[#This Row],[1]:[31]])-Таблица1[[#This Row],[Столбец1]])))</f>
        <v>0</v>
      </c>
      <c r="AN496" s="269">
        <f t="array" ref="AN496">IF(AQ496=1,SUM(J496:K496,P496:Q496,V496:W496,AB496:AC496,AH496:AI496),
IF(AQ496=2,SUM(L496:M496,R496:S496,X496:Y496,AD496:AE496),
IF(AQ496=3,SUM(H496:I496,N496:O496,T496:U496,Z496:AA496,AF496:AG496),
SUM(IFERROR(WEEKDAY($H$2:$AL$2,2)&gt;5,)*H496:AL496))))</f>
        <v>0</v>
      </c>
      <c r="AO496" s="271" t="b">
        <f>IF(AR496&lt;=3,(IF((G496="5/24"),((база!$M$6*Таблица1[[#This Row],[сумма]]*Таблица1[[#This Row],[коэф]])),
IF((G496="4/24"),((база!$M$5*Таблица1[[#This Row],[сумма]]*Таблица1[[#This Row],[коэф]])),
IF((G496="3/24"),((база!$M$4*Таблица1[[#This Row],[сумма]]*Таблица1[[#This Row],[коэф]])),
IF((G496="5/16"),((база!$L$6*Таблица1[[#This Row],[сумма]]*Таблица1[[#This Row],[коэф]])),
IF((G496="4/16"),((база!$L$5*Таблица1[[#This Row],[сумма]]*Таблица1[[#This Row],[коэф]])),
IF((G496="3/16"),((база!$L$4*Таблица1[[#This Row],[сумма]]*Таблица1[[#This Row],[коэф]])),
IF((G496="4/4"),((база!$I$5*Таблица1[[#This Row],[сумма]]*Таблица1[[#This Row],[коэф]])),
IF(OR(G496="2/4",G496="3/4"),((база!$I$4*Таблица1[[#This Row],[сумма]]*Таблица1[[#This Row],[коэф]])),
IF((G496="5/8"),((база!$J$6*Таблица1[[#This Row],[сумма]]*Таблица1[[#This Row],[коэф]])),
IF((G496="4/8"),((база!$J$5*Таблица1[[#This Row],[сумма]]*Таблица1[[#This Row],[коэф]])),
IF(OR(G496="3/8",G496="2/8"),((база!$J$4*Таблица1[[#This Row],[сумма]]*Таблица1[[#This Row],[коэф]])))))))))))))),
(IF((G496="5/24"),((база!$M$6*Таблица1[[#This Row],[сумма]]*Таблица1[[#This Row],[коэф]])),
IF(OR(G496="4/24",G496="3/24"),((база!$M$5*Таблица1[[#This Row],[сумма]]*Таблица1[[#This Row],[коэф]])),
IF((G496="5/16"),((база!$L$6*Таблица1[[#This Row],[сумма]]*Таблица1[[#This Row],[коэф]])),
IF(OR(G496="4/16",G496="3/16"),((база!$L$5*Таблица1[[#This Row],[сумма]]*Таблица1[[#This Row],[коэф]])),
IF(OR(G496="2/4",G496="3/4",G496="4/4"),((база!$I$5*Таблица1[[#This Row],[сумма]]*Таблица1[[#This Row],[коэф]])),
IF((G496="5/8"),((база!$J$6*Таблица1[[#This Row],[сумма]]*Таблица1[[#This Row],[коэф]])),
IF(OR(G496="4/8",G496="3/8",G496="2/8"),((база!$J$5*Таблица1[[#This Row],[сумма]]*Таблица1[[#This Row],[коэф]])))))))))))</f>
        <v>0</v>
      </c>
      <c r="AP496" s="696" t="b">
        <f>IF(AR496&lt;=3,(IF((G496="5/24"),((база!$M$6*2*Таблица1[[#This Row],[Столбец1]]*Таблица1[[#This Row],[коэф]])),
IF((G496="4/24"),((база!$M$5*2*Таблица1[[#This Row],[Столбец1]]*Таблица1[[#This Row],[коэф]])),
IF((G496="3/24"),((база!$M$4*2*Таблица1[[#This Row],[Столбец1]]*Таблица1[[#This Row],[коэф]])),
IF((G496="5/16"),((база!$L$6*2*Таблица1[[#This Row],[Столбец1]]*Таблица1[[#This Row],[коэф]])),
IF((G496="4/16"),((база!$L$5*2*Таблица1[[#This Row],[Столбец1]]*Таблица1[[#This Row],[коэф]])),
IF((G496="3/16"),((база!$L$4*2*Таблица1[[#This Row],[Столбец1]]*Таблица1[[#This Row],[коэф]])),
IF((G496="4/4"),((база!$I$5*2*Таблица1[[#This Row],[Столбец1]]*Таблица1[[#This Row],[коэф]])),
IF(OR(G496="2/4",G496="3/4"),((база!$I$4*2*Таблица1[[#This Row],[Столбец1]]*Таблица1[[#This Row],[коэф]])),
IF((G496="5/8"),((база!$J$6*2*Таблица1[[#This Row],[Столбец1]]*Таблица1[[#This Row],[коэф]])),
IF((G496="4/8"),((база!$J$5*2*Таблица1[[#This Row],[Столбец1]]*Таблица1[[#This Row],[коэф]])),
IF(OR(G496="3/8",G496="2/8"),((база!$J$4*2*Таблица1[[#This Row],[Столбец1]]*Таблица1[[#This Row],[коэф]])))))))))))))),
(IF((G496="5/24"),((база!$M$6*2*Таблица1[[#This Row],[Столбец1]]*Таблица1[[#This Row],[коэф]])),
IF(OR(G496="4/24",G496="3/24"),((база!$M$5*2*Таблица1[[#This Row],[Столбец1]]*Таблица1[[#This Row],[коэф]])),
IF((G496="5/16"),((база!$L$6*2*Таблица1[[#This Row],[Столбец1]]*Таблица1[[#This Row],[коэф]])),
IF(OR(G496="4/16",G496="3/16"),((база!$L$5*2*Таблица1[[#This Row],[Столбец1]]*Таблица1[[#This Row],[коэф]])),
IF(OR(G496="2/4",G496="3/4",G496="4/4"),((база!$I$5*2*Таблица1[[#This Row],[Столбец1]]*Таблица1[[#This Row],[коэф]])),
IF((G496="5/8"),((база!$J$6*2*Таблица1[[#This Row],[Столбец1]]*Таблица1[[#This Row],[коэф]])),
IF(OR(G496="4/8",G496="3/8",G496="2/8"),((база!$J$5*2*Таблица1[[#This Row],[Столбец1]]*Таблица1[[#This Row],[коэф]])))))))))))</f>
        <v>0</v>
      </c>
      <c r="AQ496" s="678" t="str">
        <f>IFERROR(INDEX(база!T:T, MATCH(F496,база!Q:Q,0)),"")</f>
        <v/>
      </c>
      <c r="AR496" s="193">
        <f>IFERROR(INDEX(база!D:D, MATCH(F496,база!B:B,0)),"")</f>
        <v>0</v>
      </c>
    </row>
    <row r="497" spans="1:44" ht="15">
      <c r="A497" s="59"/>
      <c r="B497" s="215"/>
      <c r="C497" s="277"/>
      <c r="D497" s="55"/>
      <c r="E497" s="196"/>
      <c r="F497" s="651"/>
      <c r="G497" s="42"/>
      <c r="H497" s="539"/>
      <c r="I497" s="539"/>
      <c r="J497" s="539"/>
      <c r="K497" s="539"/>
      <c r="L497" s="539"/>
      <c r="M497" s="539"/>
      <c r="N497" s="539"/>
      <c r="O497" s="539"/>
      <c r="P497" s="278"/>
      <c r="Q497" s="539"/>
      <c r="R497" s="539"/>
      <c r="S497" s="539"/>
      <c r="T497" s="539"/>
      <c r="U497" s="539"/>
      <c r="V497" s="539"/>
      <c r="W497" s="539"/>
      <c r="X497" s="539"/>
      <c r="Y497" s="539"/>
      <c r="Z497" s="539"/>
      <c r="AA497" s="539"/>
      <c r="AB497" s="539"/>
      <c r="AC497" s="539"/>
      <c r="AD497" s="43"/>
      <c r="AE497" s="43"/>
      <c r="AF497" s="238"/>
      <c r="AG497" s="43"/>
      <c r="AH497" s="43"/>
      <c r="AI497" s="43"/>
      <c r="AJ497" s="43"/>
      <c r="AK497" s="43"/>
      <c r="AL497" s="45"/>
      <c r="AM497" s="197">
        <f>IF(AQ497=1,SUM(H497:I497,L497:O497,R497:U497,X497:AA497,AD497:AG497,AI497:AK497),
IF(AQ497=2,SUM(H497:K497,N497:Q497,T497:W497,Z497:AC497,AF497:AI497),
IF(AQ497=3,SUM(J497:M497,P497:S497,V497:Y497,AB497:AE497,AH497:AK497),SUM(Таблица1[[#This Row],[1]:[31]])-Таблица1[[#This Row],[Столбец1]])))</f>
        <v>0</v>
      </c>
      <c r="AN497" s="269">
        <f t="array" ref="AN497">IF(AQ497=1,SUM(J497:K497,P497:Q497,V497:W497,AB497:AC497,AH497:AI497),
IF(AQ497=2,SUM(L497:M497,R497:S497,X497:Y497,AD497:AE497),
IF(AQ497=3,SUM(H497:I497,N497:O497,T497:U497,Z497:AA497,AF497:AG497),
SUM(IFERROR(WEEKDAY($H$2:$AL$2,2)&gt;5,)*H497:AL497))))</f>
        <v>0</v>
      </c>
      <c r="AO497" s="271" t="b">
        <f>IF(AR497&lt;=3,(IF((G497="5/24"),((база!$M$6*Таблица1[[#This Row],[сумма]]*Таблица1[[#This Row],[коэф]])),
IF((G497="4/24"),((база!$M$5*Таблица1[[#This Row],[сумма]]*Таблица1[[#This Row],[коэф]])),
IF((G497="3/24"),((база!$M$4*Таблица1[[#This Row],[сумма]]*Таблица1[[#This Row],[коэф]])),
IF((G497="5/16"),((база!$L$6*Таблица1[[#This Row],[сумма]]*Таблица1[[#This Row],[коэф]])),
IF((G497="4/16"),((база!$L$5*Таблица1[[#This Row],[сумма]]*Таблица1[[#This Row],[коэф]])),
IF((G497="3/16"),((база!$L$4*Таблица1[[#This Row],[сумма]]*Таблица1[[#This Row],[коэф]])),
IF((G497="4/4"),((база!$I$5*Таблица1[[#This Row],[сумма]]*Таблица1[[#This Row],[коэф]])),
IF(OR(G497="2/4",G497="3/4"),((база!$I$4*Таблица1[[#This Row],[сумма]]*Таблица1[[#This Row],[коэф]])),
IF((G497="5/8"),((база!$J$6*Таблица1[[#This Row],[сумма]]*Таблица1[[#This Row],[коэф]])),
IF((G497="4/8"),((база!$J$5*Таблица1[[#This Row],[сумма]]*Таблица1[[#This Row],[коэф]])),
IF(OR(G497="3/8",G497="2/8"),((база!$J$4*Таблица1[[#This Row],[сумма]]*Таблица1[[#This Row],[коэф]])))))))))))))),
(IF((G497="5/24"),((база!$M$6*Таблица1[[#This Row],[сумма]]*Таблица1[[#This Row],[коэф]])),
IF(OR(G497="4/24",G497="3/24"),((база!$M$5*Таблица1[[#This Row],[сумма]]*Таблица1[[#This Row],[коэф]])),
IF((G497="5/16"),((база!$L$6*Таблица1[[#This Row],[сумма]]*Таблица1[[#This Row],[коэф]])),
IF(OR(G497="4/16",G497="3/16"),((база!$L$5*Таблица1[[#This Row],[сумма]]*Таблица1[[#This Row],[коэф]])),
IF(OR(G497="2/4",G497="3/4",G497="4/4"),((база!$I$5*Таблица1[[#This Row],[сумма]]*Таблица1[[#This Row],[коэф]])),
IF((G497="5/8"),((база!$J$6*Таблица1[[#This Row],[сумма]]*Таблица1[[#This Row],[коэф]])),
IF(OR(G497="4/8",G497="3/8",G497="2/8"),((база!$J$5*Таблица1[[#This Row],[сумма]]*Таблица1[[#This Row],[коэф]])))))))))))</f>
        <v>0</v>
      </c>
      <c r="AP497" s="696" t="b">
        <f>IF(AR497&lt;=3,(IF((G497="5/24"),((база!$M$6*2*Таблица1[[#This Row],[Столбец1]]*Таблица1[[#This Row],[коэф]])),
IF((G497="4/24"),((база!$M$5*2*Таблица1[[#This Row],[Столбец1]]*Таблица1[[#This Row],[коэф]])),
IF((G497="3/24"),((база!$M$4*2*Таблица1[[#This Row],[Столбец1]]*Таблица1[[#This Row],[коэф]])),
IF((G497="5/16"),((база!$L$6*2*Таблица1[[#This Row],[Столбец1]]*Таблица1[[#This Row],[коэф]])),
IF((G497="4/16"),((база!$L$5*2*Таблица1[[#This Row],[Столбец1]]*Таблица1[[#This Row],[коэф]])),
IF((G497="3/16"),((база!$L$4*2*Таблица1[[#This Row],[Столбец1]]*Таблица1[[#This Row],[коэф]])),
IF((G497="4/4"),((база!$I$5*2*Таблица1[[#This Row],[Столбец1]]*Таблица1[[#This Row],[коэф]])),
IF(OR(G497="2/4",G497="3/4"),((база!$I$4*2*Таблица1[[#This Row],[Столбец1]]*Таблица1[[#This Row],[коэф]])),
IF((G497="5/8"),((база!$J$6*2*Таблица1[[#This Row],[Столбец1]]*Таблица1[[#This Row],[коэф]])),
IF((G497="4/8"),((база!$J$5*2*Таблица1[[#This Row],[Столбец1]]*Таблица1[[#This Row],[коэф]])),
IF(OR(G497="3/8",G497="2/8"),((база!$J$4*2*Таблица1[[#This Row],[Столбец1]]*Таблица1[[#This Row],[коэф]])))))))))))))),
(IF((G497="5/24"),((база!$M$6*2*Таблица1[[#This Row],[Столбец1]]*Таблица1[[#This Row],[коэф]])),
IF(OR(G497="4/24",G497="3/24"),((база!$M$5*2*Таблица1[[#This Row],[Столбец1]]*Таблица1[[#This Row],[коэф]])),
IF((G497="5/16"),((база!$L$6*2*Таблица1[[#This Row],[Столбец1]]*Таблица1[[#This Row],[коэф]])),
IF(OR(G497="4/16",G497="3/16"),((база!$L$5*2*Таблица1[[#This Row],[Столбец1]]*Таблица1[[#This Row],[коэф]])),
IF(OR(G497="2/4",G497="3/4",G497="4/4"),((база!$I$5*2*Таблица1[[#This Row],[Столбец1]]*Таблица1[[#This Row],[коэф]])),
IF((G497="5/8"),((база!$J$6*2*Таблица1[[#This Row],[Столбец1]]*Таблица1[[#This Row],[коэф]])),
IF(OR(G497="4/8",G497="3/8",G497="2/8"),((база!$J$5*2*Таблица1[[#This Row],[Столбец1]]*Таблица1[[#This Row],[коэф]])))))))))))</f>
        <v>0</v>
      </c>
      <c r="AQ497" s="678" t="str">
        <f>IFERROR(INDEX(база!T:T, MATCH(F497,база!Q:Q,0)),"")</f>
        <v/>
      </c>
      <c r="AR497" s="193">
        <f>IFERROR(INDEX(база!D:D, MATCH(F497,база!B:B,0)),"")</f>
        <v>0</v>
      </c>
    </row>
    <row r="498" spans="1:44" ht="15">
      <c r="A498" s="59"/>
      <c r="B498" s="215"/>
      <c r="C498" s="277"/>
      <c r="D498" s="55"/>
      <c r="E498" s="196"/>
      <c r="F498" s="651"/>
      <c r="G498" s="42"/>
      <c r="H498" s="539"/>
      <c r="I498" s="539"/>
      <c r="J498" s="539"/>
      <c r="K498" s="539"/>
      <c r="L498" s="539"/>
      <c r="M498" s="539"/>
      <c r="N498" s="539"/>
      <c r="O498" s="539"/>
      <c r="P498" s="278"/>
      <c r="Q498" s="539"/>
      <c r="R498" s="539"/>
      <c r="S498" s="539"/>
      <c r="T498" s="539"/>
      <c r="U498" s="539"/>
      <c r="V498" s="539"/>
      <c r="W498" s="539"/>
      <c r="X498" s="539"/>
      <c r="Y498" s="539"/>
      <c r="Z498" s="539"/>
      <c r="AA498" s="539"/>
      <c r="AB498" s="539"/>
      <c r="AC498" s="539"/>
      <c r="AD498" s="43"/>
      <c r="AE498" s="43"/>
      <c r="AF498" s="238"/>
      <c r="AG498" s="43"/>
      <c r="AH498" s="43"/>
      <c r="AI498" s="238"/>
      <c r="AJ498" s="238"/>
      <c r="AK498" s="238"/>
      <c r="AL498" s="238"/>
      <c r="AM498" s="197">
        <f>IF(AQ498=1,SUM(H498:I498,L498:O498,R498:U498,X498:AA498,AD498:AG498,AI498:AK498),
IF(AQ498=2,SUM(H498:K498,N498:Q498,T498:W498,Z498:AC498,AF498:AI498),
IF(AQ498=3,SUM(J498:M498,P498:S498,V498:Y498,AB498:AE498,AH498:AK498),SUM(Таблица1[[#This Row],[1]:[31]])-Таблица1[[#This Row],[Столбец1]])))</f>
        <v>0</v>
      </c>
      <c r="AN498" s="269">
        <f t="array" ref="AN498">IF(AQ498=1,SUM(J498:K498,P498:Q498,V498:W498,AB498:AC498,AH498:AI498),
IF(AQ498=2,SUM(L498:M498,R498:S498,X498:Y498,AD498:AE498),
IF(AQ498=3,SUM(H498:I498,N498:O498,T498:U498,Z498:AA498,AF498:AG498),
SUM(IFERROR(WEEKDAY($H$2:$AL$2,2)&gt;5,)*H498:AL498))))</f>
        <v>0</v>
      </c>
      <c r="AO498" s="271" t="b">
        <f>IF(AR498&lt;=3,(IF((G498="5/24"),((база!$M$6*Таблица1[[#This Row],[сумма]]*Таблица1[[#This Row],[коэф]])),
IF((G498="4/24"),((база!$M$5*Таблица1[[#This Row],[сумма]]*Таблица1[[#This Row],[коэф]])),
IF((G498="3/24"),((база!$M$4*Таблица1[[#This Row],[сумма]]*Таблица1[[#This Row],[коэф]])),
IF((G498="5/16"),((база!$L$6*Таблица1[[#This Row],[сумма]]*Таблица1[[#This Row],[коэф]])),
IF((G498="4/16"),((база!$L$5*Таблица1[[#This Row],[сумма]]*Таблица1[[#This Row],[коэф]])),
IF((G498="3/16"),((база!$L$4*Таблица1[[#This Row],[сумма]]*Таблица1[[#This Row],[коэф]])),
IF((G498="4/4"),((база!$I$5*Таблица1[[#This Row],[сумма]]*Таблица1[[#This Row],[коэф]])),
IF(OR(G498="2/4",G498="3/4"),((база!$I$4*Таблица1[[#This Row],[сумма]]*Таблица1[[#This Row],[коэф]])),
IF((G498="5/8"),((база!$J$6*Таблица1[[#This Row],[сумма]]*Таблица1[[#This Row],[коэф]])),
IF((G498="4/8"),((база!$J$5*Таблица1[[#This Row],[сумма]]*Таблица1[[#This Row],[коэф]])),
IF(OR(G498="3/8",G498="2/8"),((база!$J$4*Таблица1[[#This Row],[сумма]]*Таблица1[[#This Row],[коэф]])))))))))))))),
(IF((G498="5/24"),((база!$M$6*Таблица1[[#This Row],[сумма]]*Таблица1[[#This Row],[коэф]])),
IF(OR(G498="4/24",G498="3/24"),((база!$M$5*Таблица1[[#This Row],[сумма]]*Таблица1[[#This Row],[коэф]])),
IF((G498="5/16"),((база!$L$6*Таблица1[[#This Row],[сумма]]*Таблица1[[#This Row],[коэф]])),
IF(OR(G498="4/16",G498="3/16"),((база!$L$5*Таблица1[[#This Row],[сумма]]*Таблица1[[#This Row],[коэф]])),
IF(OR(G498="2/4",G498="3/4",G498="4/4"),((база!$I$5*Таблица1[[#This Row],[сумма]]*Таблица1[[#This Row],[коэф]])),
IF((G498="5/8"),((база!$J$6*Таблица1[[#This Row],[сумма]]*Таблица1[[#This Row],[коэф]])),
IF(OR(G498="4/8",G498="3/8",G498="2/8"),((база!$J$5*Таблица1[[#This Row],[сумма]]*Таблица1[[#This Row],[коэф]])))))))))))</f>
        <v>0</v>
      </c>
      <c r="AP498" s="696" t="b">
        <f>IF(AR498&lt;=3,(IF((G498="5/24"),((база!$M$6*2*Таблица1[[#This Row],[Столбец1]]*Таблица1[[#This Row],[коэф]])),
IF((G498="4/24"),((база!$M$5*2*Таблица1[[#This Row],[Столбец1]]*Таблица1[[#This Row],[коэф]])),
IF((G498="3/24"),((база!$M$4*2*Таблица1[[#This Row],[Столбец1]]*Таблица1[[#This Row],[коэф]])),
IF((G498="5/16"),((база!$L$6*2*Таблица1[[#This Row],[Столбец1]]*Таблица1[[#This Row],[коэф]])),
IF((G498="4/16"),((база!$L$5*2*Таблица1[[#This Row],[Столбец1]]*Таблица1[[#This Row],[коэф]])),
IF((G498="3/16"),((база!$L$4*2*Таблица1[[#This Row],[Столбец1]]*Таблица1[[#This Row],[коэф]])),
IF((G498="4/4"),((база!$I$5*2*Таблица1[[#This Row],[Столбец1]]*Таблица1[[#This Row],[коэф]])),
IF(OR(G498="2/4",G498="3/4"),((база!$I$4*2*Таблица1[[#This Row],[Столбец1]]*Таблица1[[#This Row],[коэф]])),
IF((G498="5/8"),((база!$J$6*2*Таблица1[[#This Row],[Столбец1]]*Таблица1[[#This Row],[коэф]])),
IF((G498="4/8"),((база!$J$5*2*Таблица1[[#This Row],[Столбец1]]*Таблица1[[#This Row],[коэф]])),
IF(OR(G498="3/8",G498="2/8"),((база!$J$4*2*Таблица1[[#This Row],[Столбец1]]*Таблица1[[#This Row],[коэф]])))))))))))))),
(IF((G498="5/24"),((база!$M$6*2*Таблица1[[#This Row],[Столбец1]]*Таблица1[[#This Row],[коэф]])),
IF(OR(G498="4/24",G498="3/24"),((база!$M$5*2*Таблица1[[#This Row],[Столбец1]]*Таблица1[[#This Row],[коэф]])),
IF((G498="5/16"),((база!$L$6*2*Таблица1[[#This Row],[Столбец1]]*Таблица1[[#This Row],[коэф]])),
IF(OR(G498="4/16",G498="3/16"),((база!$L$5*2*Таблица1[[#This Row],[Столбец1]]*Таблица1[[#This Row],[коэф]])),
IF(OR(G498="2/4",G498="3/4",G498="4/4"),((база!$I$5*2*Таблица1[[#This Row],[Столбец1]]*Таблица1[[#This Row],[коэф]])),
IF((G498="5/8"),((база!$J$6*2*Таблица1[[#This Row],[Столбец1]]*Таблица1[[#This Row],[коэф]])),
IF(OR(G498="4/8",G498="3/8",G498="2/8"),((база!$J$5*2*Таблица1[[#This Row],[Столбец1]]*Таблица1[[#This Row],[коэф]])))))))))))</f>
        <v>0</v>
      </c>
      <c r="AQ498" s="678" t="str">
        <f>IFERROR(INDEX(база!T:T, MATCH(F498,база!Q:Q,0)),"")</f>
        <v/>
      </c>
      <c r="AR498" s="193">
        <f>IFERROR(INDEX(база!D:D, MATCH(F498,база!B:B,0)),"")</f>
        <v>0</v>
      </c>
    </row>
    <row r="499" spans="1:44" ht="15">
      <c r="A499" s="59"/>
      <c r="B499" s="215"/>
      <c r="C499" s="277"/>
      <c r="D499" s="55"/>
      <c r="E499" s="196"/>
      <c r="F499" s="651"/>
      <c r="G499" s="42"/>
      <c r="H499" s="539"/>
      <c r="I499" s="539"/>
      <c r="J499" s="539"/>
      <c r="K499" s="539"/>
      <c r="L499" s="539"/>
      <c r="M499" s="539"/>
      <c r="N499" s="539"/>
      <c r="O499" s="539"/>
      <c r="P499" s="278"/>
      <c r="Q499" s="539"/>
      <c r="R499" s="539"/>
      <c r="S499" s="539"/>
      <c r="T499" s="539"/>
      <c r="U499" s="539"/>
      <c r="V499" s="539"/>
      <c r="W499" s="539"/>
      <c r="X499" s="539"/>
      <c r="Y499" s="539"/>
      <c r="Z499" s="539"/>
      <c r="AA499" s="539"/>
      <c r="AB499" s="539"/>
      <c r="AC499" s="539"/>
      <c r="AD499" s="43"/>
      <c r="AE499" s="43"/>
      <c r="AF499" s="238"/>
      <c r="AG499" s="43"/>
      <c r="AH499" s="43"/>
      <c r="AI499" s="43"/>
      <c r="AJ499" s="43"/>
      <c r="AK499" s="43"/>
      <c r="AL499" s="45"/>
      <c r="AM499" s="197">
        <f>IF(AQ499=1,SUM(H499:I499,L499:O499,R499:U499,X499:AA499,AD499:AG499,AI499:AK499),
IF(AQ499=2,SUM(H499:K499,N499:Q499,T499:W499,Z499:AC499,AF499:AI499),
IF(AQ499=3,SUM(J499:M499,P499:S499,V499:Y499,AB499:AE499,AH499:AK499),SUM(Таблица1[[#This Row],[1]:[31]])-Таблица1[[#This Row],[Столбец1]])))</f>
        <v>0</v>
      </c>
      <c r="AN499" s="269">
        <f t="array" ref="AN499">IF(AQ499=1,SUM(J499:K499,P499:Q499,V499:W499,AB499:AC499,AH499:AI499),
IF(AQ499=2,SUM(L499:M499,R499:S499,X499:Y499,AD499:AE499),
IF(AQ499=3,SUM(H499:I499,N499:O499,T499:U499,Z499:AA499,AF499:AG499),
SUM(IFERROR(WEEKDAY($H$2:$AL$2,2)&gt;5,)*H499:AL499))))</f>
        <v>0</v>
      </c>
      <c r="AO499" s="271" t="b">
        <f>IF(AR499&lt;=3,(IF((G499="5/24"),((база!$M$6*Таблица1[[#This Row],[сумма]]*Таблица1[[#This Row],[коэф]])),
IF((G499="4/24"),((база!$M$5*Таблица1[[#This Row],[сумма]]*Таблица1[[#This Row],[коэф]])),
IF((G499="3/24"),((база!$M$4*Таблица1[[#This Row],[сумма]]*Таблица1[[#This Row],[коэф]])),
IF((G499="5/16"),((база!$L$6*Таблица1[[#This Row],[сумма]]*Таблица1[[#This Row],[коэф]])),
IF((G499="4/16"),((база!$L$5*Таблица1[[#This Row],[сумма]]*Таблица1[[#This Row],[коэф]])),
IF((G499="3/16"),((база!$L$4*Таблица1[[#This Row],[сумма]]*Таблица1[[#This Row],[коэф]])),
IF((G499="4/4"),((база!$I$5*Таблица1[[#This Row],[сумма]]*Таблица1[[#This Row],[коэф]])),
IF(OR(G499="2/4",G499="3/4"),((база!$I$4*Таблица1[[#This Row],[сумма]]*Таблица1[[#This Row],[коэф]])),
IF((G499="5/8"),((база!$J$6*Таблица1[[#This Row],[сумма]]*Таблица1[[#This Row],[коэф]])),
IF((G499="4/8"),((база!$J$5*Таблица1[[#This Row],[сумма]]*Таблица1[[#This Row],[коэф]])),
IF(OR(G499="3/8",G499="2/8"),((база!$J$4*Таблица1[[#This Row],[сумма]]*Таблица1[[#This Row],[коэф]])))))))))))))),
(IF((G499="5/24"),((база!$M$6*Таблица1[[#This Row],[сумма]]*Таблица1[[#This Row],[коэф]])),
IF(OR(G499="4/24",G499="3/24"),((база!$M$5*Таблица1[[#This Row],[сумма]]*Таблица1[[#This Row],[коэф]])),
IF((G499="5/16"),((база!$L$6*Таблица1[[#This Row],[сумма]]*Таблица1[[#This Row],[коэф]])),
IF(OR(G499="4/16",G499="3/16"),((база!$L$5*Таблица1[[#This Row],[сумма]]*Таблица1[[#This Row],[коэф]])),
IF(OR(G499="2/4",G499="3/4",G499="4/4"),((база!$I$5*Таблица1[[#This Row],[сумма]]*Таблица1[[#This Row],[коэф]])),
IF((G499="5/8"),((база!$J$6*Таблица1[[#This Row],[сумма]]*Таблица1[[#This Row],[коэф]])),
IF(OR(G499="4/8",G499="3/8",G499="2/8"),((база!$J$5*Таблица1[[#This Row],[сумма]]*Таблица1[[#This Row],[коэф]])))))))))))</f>
        <v>0</v>
      </c>
      <c r="AP499" s="696" t="b">
        <f>IF(AR499&lt;=3,(IF((G499="5/24"),((база!$M$6*2*Таблица1[[#This Row],[Столбец1]]*Таблица1[[#This Row],[коэф]])),
IF((G499="4/24"),((база!$M$5*2*Таблица1[[#This Row],[Столбец1]]*Таблица1[[#This Row],[коэф]])),
IF((G499="3/24"),((база!$M$4*2*Таблица1[[#This Row],[Столбец1]]*Таблица1[[#This Row],[коэф]])),
IF((G499="5/16"),((база!$L$6*2*Таблица1[[#This Row],[Столбец1]]*Таблица1[[#This Row],[коэф]])),
IF((G499="4/16"),((база!$L$5*2*Таблица1[[#This Row],[Столбец1]]*Таблица1[[#This Row],[коэф]])),
IF((G499="3/16"),((база!$L$4*2*Таблица1[[#This Row],[Столбец1]]*Таблица1[[#This Row],[коэф]])),
IF((G499="4/4"),((база!$I$5*2*Таблица1[[#This Row],[Столбец1]]*Таблица1[[#This Row],[коэф]])),
IF(OR(G499="2/4",G499="3/4"),((база!$I$4*2*Таблица1[[#This Row],[Столбец1]]*Таблица1[[#This Row],[коэф]])),
IF((G499="5/8"),((база!$J$6*2*Таблица1[[#This Row],[Столбец1]]*Таблица1[[#This Row],[коэф]])),
IF((G499="4/8"),((база!$J$5*2*Таблица1[[#This Row],[Столбец1]]*Таблица1[[#This Row],[коэф]])),
IF(OR(G499="3/8",G499="2/8"),((база!$J$4*2*Таблица1[[#This Row],[Столбец1]]*Таблица1[[#This Row],[коэф]])))))))))))))),
(IF((G499="5/24"),((база!$M$6*2*Таблица1[[#This Row],[Столбец1]]*Таблица1[[#This Row],[коэф]])),
IF(OR(G499="4/24",G499="3/24"),((база!$M$5*2*Таблица1[[#This Row],[Столбец1]]*Таблица1[[#This Row],[коэф]])),
IF((G499="5/16"),((база!$L$6*2*Таблица1[[#This Row],[Столбец1]]*Таблица1[[#This Row],[коэф]])),
IF(OR(G499="4/16",G499="3/16"),((база!$L$5*2*Таблица1[[#This Row],[Столбец1]]*Таблица1[[#This Row],[коэф]])),
IF(OR(G499="2/4",G499="3/4",G499="4/4"),((база!$I$5*2*Таблица1[[#This Row],[Столбец1]]*Таблица1[[#This Row],[коэф]])),
IF((G499="5/8"),((база!$J$6*2*Таблица1[[#This Row],[Столбец1]]*Таблица1[[#This Row],[коэф]])),
IF(OR(G499="4/8",G499="3/8",G499="2/8"),((база!$J$5*2*Таблица1[[#This Row],[Столбец1]]*Таблица1[[#This Row],[коэф]])))))))))))</f>
        <v>0</v>
      </c>
      <c r="AQ499" s="678" t="str">
        <f>IFERROR(INDEX(база!T:T, MATCH(F499,база!Q:Q,0)),"")</f>
        <v/>
      </c>
      <c r="AR499" s="193">
        <f>IFERROR(INDEX(база!D:D, MATCH(F499,база!B:B,0)),"")</f>
        <v>0</v>
      </c>
    </row>
    <row r="500" spans="1:44" ht="15">
      <c r="A500" s="59"/>
      <c r="B500" s="215"/>
      <c r="C500" s="277"/>
      <c r="D500" s="55"/>
      <c r="E500" s="196"/>
      <c r="F500" s="651"/>
      <c r="G500" s="42"/>
      <c r="H500" s="539"/>
      <c r="I500" s="539"/>
      <c r="J500" s="539"/>
      <c r="K500" s="539"/>
      <c r="L500" s="539"/>
      <c r="M500" s="539"/>
      <c r="N500" s="539"/>
      <c r="O500" s="539"/>
      <c r="P500" s="278"/>
      <c r="Q500" s="539"/>
      <c r="R500" s="539"/>
      <c r="S500" s="539"/>
      <c r="T500" s="539"/>
      <c r="U500" s="539"/>
      <c r="V500" s="539"/>
      <c r="W500" s="539"/>
      <c r="X500" s="539"/>
      <c r="Y500" s="539"/>
      <c r="Z500" s="539"/>
      <c r="AA500" s="539"/>
      <c r="AB500" s="539"/>
      <c r="AC500" s="539"/>
      <c r="AD500" s="43"/>
      <c r="AE500" s="43"/>
      <c r="AF500" s="238"/>
      <c r="AG500" s="43"/>
      <c r="AH500" s="43"/>
      <c r="AI500" s="238"/>
      <c r="AJ500" s="238"/>
      <c r="AK500" s="238"/>
      <c r="AL500" s="238"/>
      <c r="AM500" s="197">
        <f>IF(AQ500=1,SUM(H500:I500,L500:O500,R500:U500,X500:AA500,AD500:AG500,AI500:AK500),
IF(AQ500=2,SUM(H500:K500,N500:Q500,T500:W500,Z500:AC500,AF500:AI500),
IF(AQ500=3,SUM(J500:M500,P500:S500,V500:Y500,AB500:AE500,AH500:AK500),SUM(Таблица1[[#This Row],[1]:[31]])-Таблица1[[#This Row],[Столбец1]])))</f>
        <v>0</v>
      </c>
      <c r="AN500" s="269">
        <f t="array" ref="AN500">IF(AQ500=1,SUM(J500:K500,P500:Q500,V500:W500,AB500:AC500,AH500:AI500),
IF(AQ500=2,SUM(L500:M500,R500:S500,X500:Y500,AD500:AE500),
IF(AQ500=3,SUM(H500:I500,N500:O500,T500:U500,Z500:AA500,AF500:AG500),
SUM(IFERROR(WEEKDAY($H$2:$AL$2,2)&gt;5,)*H500:AL500))))</f>
        <v>0</v>
      </c>
      <c r="AO500" s="271" t="b">
        <f>IF(AR500&lt;=3,(IF((G500="5/24"),((база!$M$6*Таблица1[[#This Row],[сумма]]*Таблица1[[#This Row],[коэф]])),
IF((G500="4/24"),((база!$M$5*Таблица1[[#This Row],[сумма]]*Таблица1[[#This Row],[коэф]])),
IF((G500="3/24"),((база!$M$4*Таблица1[[#This Row],[сумма]]*Таблица1[[#This Row],[коэф]])),
IF((G500="5/16"),((база!$L$6*Таблица1[[#This Row],[сумма]]*Таблица1[[#This Row],[коэф]])),
IF((G500="4/16"),((база!$L$5*Таблица1[[#This Row],[сумма]]*Таблица1[[#This Row],[коэф]])),
IF((G500="3/16"),((база!$L$4*Таблица1[[#This Row],[сумма]]*Таблица1[[#This Row],[коэф]])),
IF((G500="4/4"),((база!$I$5*Таблица1[[#This Row],[сумма]]*Таблица1[[#This Row],[коэф]])),
IF(OR(G500="2/4",G500="3/4"),((база!$I$4*Таблица1[[#This Row],[сумма]]*Таблица1[[#This Row],[коэф]])),
IF((G500="5/8"),((база!$J$6*Таблица1[[#This Row],[сумма]]*Таблица1[[#This Row],[коэф]])),
IF((G500="4/8"),((база!$J$5*Таблица1[[#This Row],[сумма]]*Таблица1[[#This Row],[коэф]])),
IF(OR(G500="3/8",G500="2/8"),((база!$J$4*Таблица1[[#This Row],[сумма]]*Таблица1[[#This Row],[коэф]])))))))))))))),
(IF((G500="5/24"),((база!$M$6*Таблица1[[#This Row],[сумма]]*Таблица1[[#This Row],[коэф]])),
IF(OR(G500="4/24",G500="3/24"),((база!$M$5*Таблица1[[#This Row],[сумма]]*Таблица1[[#This Row],[коэф]])),
IF((G500="5/16"),((база!$L$6*Таблица1[[#This Row],[сумма]]*Таблица1[[#This Row],[коэф]])),
IF(OR(G500="4/16",G500="3/16"),((база!$L$5*Таблица1[[#This Row],[сумма]]*Таблица1[[#This Row],[коэф]])),
IF(OR(G500="2/4",G500="3/4",G500="4/4"),((база!$I$5*Таблица1[[#This Row],[сумма]]*Таблица1[[#This Row],[коэф]])),
IF((G500="5/8"),((база!$J$6*Таблица1[[#This Row],[сумма]]*Таблица1[[#This Row],[коэф]])),
IF(OR(G500="4/8",G500="3/8",G500="2/8"),((база!$J$5*Таблица1[[#This Row],[сумма]]*Таблица1[[#This Row],[коэф]])))))))))))</f>
        <v>0</v>
      </c>
      <c r="AP500" s="696" t="b">
        <f>IF(AR500&lt;=3,(IF((G500="5/24"),((база!$M$6*2*Таблица1[[#This Row],[Столбец1]]*Таблица1[[#This Row],[коэф]])),
IF((G500="4/24"),((база!$M$5*2*Таблица1[[#This Row],[Столбец1]]*Таблица1[[#This Row],[коэф]])),
IF((G500="3/24"),((база!$M$4*2*Таблица1[[#This Row],[Столбец1]]*Таблица1[[#This Row],[коэф]])),
IF((G500="5/16"),((база!$L$6*2*Таблица1[[#This Row],[Столбец1]]*Таблица1[[#This Row],[коэф]])),
IF((G500="4/16"),((база!$L$5*2*Таблица1[[#This Row],[Столбец1]]*Таблица1[[#This Row],[коэф]])),
IF((G500="3/16"),((база!$L$4*2*Таблица1[[#This Row],[Столбец1]]*Таблица1[[#This Row],[коэф]])),
IF((G500="4/4"),((база!$I$5*2*Таблица1[[#This Row],[Столбец1]]*Таблица1[[#This Row],[коэф]])),
IF(OR(G500="2/4",G500="3/4"),((база!$I$4*2*Таблица1[[#This Row],[Столбец1]]*Таблица1[[#This Row],[коэф]])),
IF((G500="5/8"),((база!$J$6*2*Таблица1[[#This Row],[Столбец1]]*Таблица1[[#This Row],[коэф]])),
IF((G500="4/8"),((база!$J$5*2*Таблица1[[#This Row],[Столбец1]]*Таблица1[[#This Row],[коэф]])),
IF(OR(G500="3/8",G500="2/8"),((база!$J$4*2*Таблица1[[#This Row],[Столбец1]]*Таблица1[[#This Row],[коэф]])))))))))))))),
(IF((G500="5/24"),((база!$M$6*2*Таблица1[[#This Row],[Столбец1]]*Таблица1[[#This Row],[коэф]])),
IF(OR(G500="4/24",G500="3/24"),((база!$M$5*2*Таблица1[[#This Row],[Столбец1]]*Таблица1[[#This Row],[коэф]])),
IF((G500="5/16"),((база!$L$6*2*Таблица1[[#This Row],[Столбец1]]*Таблица1[[#This Row],[коэф]])),
IF(OR(G500="4/16",G500="3/16"),((база!$L$5*2*Таблица1[[#This Row],[Столбец1]]*Таблица1[[#This Row],[коэф]])),
IF(OR(G500="2/4",G500="3/4",G500="4/4"),((база!$I$5*2*Таблица1[[#This Row],[Столбец1]]*Таблица1[[#This Row],[коэф]])),
IF((G500="5/8"),((база!$J$6*2*Таблица1[[#This Row],[Столбец1]]*Таблица1[[#This Row],[коэф]])),
IF(OR(G500="4/8",G500="3/8",G500="2/8"),((база!$J$5*2*Таблица1[[#This Row],[Столбец1]]*Таблица1[[#This Row],[коэф]])))))))))))</f>
        <v>0</v>
      </c>
      <c r="AQ500" s="678" t="str">
        <f>IFERROR(INDEX(база!T:T, MATCH(F500,база!Q:Q,0)),"")</f>
        <v/>
      </c>
      <c r="AR500" s="193">
        <f>IFERROR(INDEX(база!D:D, MATCH(F500,база!B:B,0)),"")</f>
        <v>0</v>
      </c>
    </row>
    <row r="501" spans="1:44" ht="15">
      <c r="A501" s="59"/>
      <c r="B501" s="215"/>
      <c r="C501" s="277"/>
      <c r="D501" s="55"/>
      <c r="E501" s="196"/>
      <c r="F501" s="651"/>
      <c r="G501" s="42"/>
      <c r="H501" s="539"/>
      <c r="I501" s="539"/>
      <c r="J501" s="539"/>
      <c r="K501" s="539"/>
      <c r="L501" s="539"/>
      <c r="M501" s="539"/>
      <c r="N501" s="539"/>
      <c r="O501" s="539"/>
      <c r="P501" s="278"/>
      <c r="Q501" s="539"/>
      <c r="R501" s="539"/>
      <c r="S501" s="539"/>
      <c r="T501" s="539"/>
      <c r="U501" s="539"/>
      <c r="V501" s="539"/>
      <c r="W501" s="539"/>
      <c r="X501" s="539"/>
      <c r="Y501" s="539"/>
      <c r="Z501" s="539"/>
      <c r="AA501" s="539"/>
      <c r="AB501" s="539"/>
      <c r="AC501" s="539"/>
      <c r="AD501" s="43"/>
      <c r="AE501" s="43"/>
      <c r="AF501" s="238"/>
      <c r="AG501" s="43"/>
      <c r="AH501" s="43"/>
      <c r="AI501" s="43"/>
      <c r="AJ501" s="43"/>
      <c r="AK501" s="43"/>
      <c r="AL501" s="45"/>
      <c r="AM501" s="197">
        <f>IF(AQ501=1,SUM(H501:I501,L501:O501,R501:U501,X501:AA501,AD501:AG501,AI501:AK501),
IF(AQ501=2,SUM(H501:K501,N501:Q501,T501:W501,Z501:AC501,AF501:AI501),
IF(AQ501=3,SUM(J501:M501,P501:S501,V501:Y501,AB501:AE501,AH501:AK501),SUM(Таблица1[[#This Row],[1]:[31]])-Таблица1[[#This Row],[Столбец1]])))</f>
        <v>0</v>
      </c>
      <c r="AN501" s="269">
        <f t="array" ref="AN501">IF(AQ501=1,SUM(J501:K501,P501:Q501,V501:W501,AB501:AC501,AH501:AI501),
IF(AQ501=2,SUM(L501:M501,R501:S501,X501:Y501,AD501:AE501),
IF(AQ501=3,SUM(H501:I501,N501:O501,T501:U501,Z501:AA501,AF501:AG501),
SUM(IFERROR(WEEKDAY($H$2:$AL$2,2)&gt;5,)*H501:AL501))))</f>
        <v>0</v>
      </c>
      <c r="AO501" s="271" t="b">
        <f>IF(AR501&lt;=3,(IF((G501="5/24"),((база!$M$6*Таблица1[[#This Row],[сумма]]*Таблица1[[#This Row],[коэф]])),
IF((G501="4/24"),((база!$M$5*Таблица1[[#This Row],[сумма]]*Таблица1[[#This Row],[коэф]])),
IF((G501="3/24"),((база!$M$4*Таблица1[[#This Row],[сумма]]*Таблица1[[#This Row],[коэф]])),
IF((G501="5/16"),((база!$L$6*Таблица1[[#This Row],[сумма]]*Таблица1[[#This Row],[коэф]])),
IF((G501="4/16"),((база!$L$5*Таблица1[[#This Row],[сумма]]*Таблица1[[#This Row],[коэф]])),
IF((G501="3/16"),((база!$L$4*Таблица1[[#This Row],[сумма]]*Таблица1[[#This Row],[коэф]])),
IF((G501="4/4"),((база!$I$5*Таблица1[[#This Row],[сумма]]*Таблица1[[#This Row],[коэф]])),
IF(OR(G501="2/4",G501="3/4"),((база!$I$4*Таблица1[[#This Row],[сумма]]*Таблица1[[#This Row],[коэф]])),
IF((G501="5/8"),((база!$J$6*Таблица1[[#This Row],[сумма]]*Таблица1[[#This Row],[коэф]])),
IF((G501="4/8"),((база!$J$5*Таблица1[[#This Row],[сумма]]*Таблица1[[#This Row],[коэф]])),
IF(OR(G501="3/8",G501="2/8"),((база!$J$4*Таблица1[[#This Row],[сумма]]*Таблица1[[#This Row],[коэф]])))))))))))))),
(IF((G501="5/24"),((база!$M$6*Таблица1[[#This Row],[сумма]]*Таблица1[[#This Row],[коэф]])),
IF(OR(G501="4/24",G501="3/24"),((база!$M$5*Таблица1[[#This Row],[сумма]]*Таблица1[[#This Row],[коэф]])),
IF((G501="5/16"),((база!$L$6*Таблица1[[#This Row],[сумма]]*Таблица1[[#This Row],[коэф]])),
IF(OR(G501="4/16",G501="3/16"),((база!$L$5*Таблица1[[#This Row],[сумма]]*Таблица1[[#This Row],[коэф]])),
IF(OR(G501="2/4",G501="3/4",G501="4/4"),((база!$I$5*Таблица1[[#This Row],[сумма]]*Таблица1[[#This Row],[коэф]])),
IF((G501="5/8"),((база!$J$6*Таблица1[[#This Row],[сумма]]*Таблица1[[#This Row],[коэф]])),
IF(OR(G501="4/8",G501="3/8",G501="2/8"),((база!$J$5*Таблица1[[#This Row],[сумма]]*Таблица1[[#This Row],[коэф]])))))))))))</f>
        <v>0</v>
      </c>
      <c r="AP501" s="696" t="b">
        <f>IF(AR501&lt;=3,(IF((G501="5/24"),((база!$M$6*2*Таблица1[[#This Row],[Столбец1]]*Таблица1[[#This Row],[коэф]])),
IF((G501="4/24"),((база!$M$5*2*Таблица1[[#This Row],[Столбец1]]*Таблица1[[#This Row],[коэф]])),
IF((G501="3/24"),((база!$M$4*2*Таблица1[[#This Row],[Столбец1]]*Таблица1[[#This Row],[коэф]])),
IF((G501="5/16"),((база!$L$6*2*Таблица1[[#This Row],[Столбец1]]*Таблица1[[#This Row],[коэф]])),
IF((G501="4/16"),((база!$L$5*2*Таблица1[[#This Row],[Столбец1]]*Таблица1[[#This Row],[коэф]])),
IF((G501="3/16"),((база!$L$4*2*Таблица1[[#This Row],[Столбец1]]*Таблица1[[#This Row],[коэф]])),
IF((G501="4/4"),((база!$I$5*2*Таблица1[[#This Row],[Столбец1]]*Таблица1[[#This Row],[коэф]])),
IF(OR(G501="2/4",G501="3/4"),((база!$I$4*2*Таблица1[[#This Row],[Столбец1]]*Таблица1[[#This Row],[коэф]])),
IF((G501="5/8"),((база!$J$6*2*Таблица1[[#This Row],[Столбец1]]*Таблица1[[#This Row],[коэф]])),
IF((G501="4/8"),((база!$J$5*2*Таблица1[[#This Row],[Столбец1]]*Таблица1[[#This Row],[коэф]])),
IF(OR(G501="3/8",G501="2/8"),((база!$J$4*2*Таблица1[[#This Row],[Столбец1]]*Таблица1[[#This Row],[коэф]])))))))))))))),
(IF((G501="5/24"),((база!$M$6*2*Таблица1[[#This Row],[Столбец1]]*Таблица1[[#This Row],[коэф]])),
IF(OR(G501="4/24",G501="3/24"),((база!$M$5*2*Таблица1[[#This Row],[Столбец1]]*Таблица1[[#This Row],[коэф]])),
IF((G501="5/16"),((база!$L$6*2*Таблица1[[#This Row],[Столбец1]]*Таблица1[[#This Row],[коэф]])),
IF(OR(G501="4/16",G501="3/16"),((база!$L$5*2*Таблица1[[#This Row],[Столбец1]]*Таблица1[[#This Row],[коэф]])),
IF(OR(G501="2/4",G501="3/4",G501="4/4"),((база!$I$5*2*Таблица1[[#This Row],[Столбец1]]*Таблица1[[#This Row],[коэф]])),
IF((G501="5/8"),((база!$J$6*2*Таблица1[[#This Row],[Столбец1]]*Таблица1[[#This Row],[коэф]])),
IF(OR(G501="4/8",G501="3/8",G501="2/8"),((база!$J$5*2*Таблица1[[#This Row],[Столбец1]]*Таблица1[[#This Row],[коэф]])))))))))))</f>
        <v>0</v>
      </c>
      <c r="AQ501" s="678" t="str">
        <f>IFERROR(INDEX(база!T:T, MATCH(F501,база!Q:Q,0)),"")</f>
        <v/>
      </c>
      <c r="AR501" s="193">
        <f>IFERROR(INDEX(база!D:D, MATCH(F501,база!B:B,0)),"")</f>
        <v>0</v>
      </c>
    </row>
    <row r="502" spans="1:44" ht="15">
      <c r="A502" s="59"/>
      <c r="B502" s="215"/>
      <c r="C502" s="277"/>
      <c r="D502" s="55"/>
      <c r="E502" s="196"/>
      <c r="F502" s="651"/>
      <c r="G502" s="42"/>
      <c r="H502" s="539"/>
      <c r="I502" s="539"/>
      <c r="J502" s="539"/>
      <c r="K502" s="539"/>
      <c r="L502" s="539"/>
      <c r="M502" s="539"/>
      <c r="N502" s="539"/>
      <c r="O502" s="539"/>
      <c r="P502" s="278"/>
      <c r="Q502" s="539"/>
      <c r="R502" s="539"/>
      <c r="S502" s="539"/>
      <c r="T502" s="539"/>
      <c r="U502" s="539"/>
      <c r="V502" s="539"/>
      <c r="W502" s="539"/>
      <c r="X502" s="539"/>
      <c r="Y502" s="539"/>
      <c r="Z502" s="539"/>
      <c r="AA502" s="539"/>
      <c r="AB502" s="539"/>
      <c r="AC502" s="539"/>
      <c r="AD502" s="43"/>
      <c r="AE502" s="43"/>
      <c r="AF502" s="238"/>
      <c r="AG502" s="43"/>
      <c r="AH502" s="43"/>
      <c r="AI502" s="238"/>
      <c r="AJ502" s="238"/>
      <c r="AK502" s="238"/>
      <c r="AL502" s="238"/>
      <c r="AM502" s="197">
        <f>IF(AQ502=1,SUM(H502:I502,L502:O502,R502:U502,X502:AA502,AD502:AG502,AI502:AK502),
IF(AQ502=2,SUM(H502:K502,N502:Q502,T502:W502,Z502:AC502,AF502:AI502),
IF(AQ502=3,SUM(J502:M502,P502:S502,V502:Y502,AB502:AE502,AH502:AK502),SUM(Таблица1[[#This Row],[1]:[31]])-Таблица1[[#This Row],[Столбец1]])))</f>
        <v>0</v>
      </c>
      <c r="AN502" s="269">
        <f t="array" ref="AN502">IF(AQ502=1,SUM(J502:K502,P502:Q502,V502:W502,AB502:AC502,AH502:AI502),
IF(AQ502=2,SUM(L502:M502,R502:S502,X502:Y502,AD502:AE502),
IF(AQ502=3,SUM(H502:I502,N502:O502,T502:U502,Z502:AA502,AF502:AG502),
SUM(IFERROR(WEEKDAY($H$2:$AL$2,2)&gt;5,)*H502:AL502))))</f>
        <v>0</v>
      </c>
      <c r="AO502" s="271" t="b">
        <f>IF(AR502&lt;=3,(IF((G502="5/24"),((база!$M$6*Таблица1[[#This Row],[сумма]]*Таблица1[[#This Row],[коэф]])),
IF((G502="4/24"),((база!$M$5*Таблица1[[#This Row],[сумма]]*Таблица1[[#This Row],[коэф]])),
IF((G502="3/24"),((база!$M$4*Таблица1[[#This Row],[сумма]]*Таблица1[[#This Row],[коэф]])),
IF((G502="5/16"),((база!$L$6*Таблица1[[#This Row],[сумма]]*Таблица1[[#This Row],[коэф]])),
IF((G502="4/16"),((база!$L$5*Таблица1[[#This Row],[сумма]]*Таблица1[[#This Row],[коэф]])),
IF((G502="3/16"),((база!$L$4*Таблица1[[#This Row],[сумма]]*Таблица1[[#This Row],[коэф]])),
IF((G502="4/4"),((база!$I$5*Таблица1[[#This Row],[сумма]]*Таблица1[[#This Row],[коэф]])),
IF(OR(G502="2/4",G502="3/4"),((база!$I$4*Таблица1[[#This Row],[сумма]]*Таблица1[[#This Row],[коэф]])),
IF((G502="5/8"),((база!$J$6*Таблица1[[#This Row],[сумма]]*Таблица1[[#This Row],[коэф]])),
IF((G502="4/8"),((база!$J$5*Таблица1[[#This Row],[сумма]]*Таблица1[[#This Row],[коэф]])),
IF(OR(G502="3/8",G502="2/8"),((база!$J$4*Таблица1[[#This Row],[сумма]]*Таблица1[[#This Row],[коэф]])))))))))))))),
(IF((G502="5/24"),((база!$M$6*Таблица1[[#This Row],[сумма]]*Таблица1[[#This Row],[коэф]])),
IF(OR(G502="4/24",G502="3/24"),((база!$M$5*Таблица1[[#This Row],[сумма]]*Таблица1[[#This Row],[коэф]])),
IF((G502="5/16"),((база!$L$6*Таблица1[[#This Row],[сумма]]*Таблица1[[#This Row],[коэф]])),
IF(OR(G502="4/16",G502="3/16"),((база!$L$5*Таблица1[[#This Row],[сумма]]*Таблица1[[#This Row],[коэф]])),
IF(OR(G502="2/4",G502="3/4",G502="4/4"),((база!$I$5*Таблица1[[#This Row],[сумма]]*Таблица1[[#This Row],[коэф]])),
IF((G502="5/8"),((база!$J$6*Таблица1[[#This Row],[сумма]]*Таблица1[[#This Row],[коэф]])),
IF(OR(G502="4/8",G502="3/8",G502="2/8"),((база!$J$5*Таблица1[[#This Row],[сумма]]*Таблица1[[#This Row],[коэф]])))))))))))</f>
        <v>0</v>
      </c>
      <c r="AP502" s="696" t="b">
        <f>IF(AR502&lt;=3,(IF((G502="5/24"),((база!$M$6*2*Таблица1[[#This Row],[Столбец1]]*Таблица1[[#This Row],[коэф]])),
IF((G502="4/24"),((база!$M$5*2*Таблица1[[#This Row],[Столбец1]]*Таблица1[[#This Row],[коэф]])),
IF((G502="3/24"),((база!$M$4*2*Таблица1[[#This Row],[Столбец1]]*Таблица1[[#This Row],[коэф]])),
IF((G502="5/16"),((база!$L$6*2*Таблица1[[#This Row],[Столбец1]]*Таблица1[[#This Row],[коэф]])),
IF((G502="4/16"),((база!$L$5*2*Таблица1[[#This Row],[Столбец1]]*Таблица1[[#This Row],[коэф]])),
IF((G502="3/16"),((база!$L$4*2*Таблица1[[#This Row],[Столбец1]]*Таблица1[[#This Row],[коэф]])),
IF((G502="4/4"),((база!$I$5*2*Таблица1[[#This Row],[Столбец1]]*Таблица1[[#This Row],[коэф]])),
IF(OR(G502="2/4",G502="3/4"),((база!$I$4*2*Таблица1[[#This Row],[Столбец1]]*Таблица1[[#This Row],[коэф]])),
IF((G502="5/8"),((база!$J$6*2*Таблица1[[#This Row],[Столбец1]]*Таблица1[[#This Row],[коэф]])),
IF((G502="4/8"),((база!$J$5*2*Таблица1[[#This Row],[Столбец1]]*Таблица1[[#This Row],[коэф]])),
IF(OR(G502="3/8",G502="2/8"),((база!$J$4*2*Таблица1[[#This Row],[Столбец1]]*Таблица1[[#This Row],[коэф]])))))))))))))),
(IF((G502="5/24"),((база!$M$6*2*Таблица1[[#This Row],[Столбец1]]*Таблица1[[#This Row],[коэф]])),
IF(OR(G502="4/24",G502="3/24"),((база!$M$5*2*Таблица1[[#This Row],[Столбец1]]*Таблица1[[#This Row],[коэф]])),
IF((G502="5/16"),((база!$L$6*2*Таблица1[[#This Row],[Столбец1]]*Таблица1[[#This Row],[коэф]])),
IF(OR(G502="4/16",G502="3/16"),((база!$L$5*2*Таблица1[[#This Row],[Столбец1]]*Таблица1[[#This Row],[коэф]])),
IF(OR(G502="2/4",G502="3/4",G502="4/4"),((база!$I$5*2*Таблица1[[#This Row],[Столбец1]]*Таблица1[[#This Row],[коэф]])),
IF((G502="5/8"),((база!$J$6*2*Таблица1[[#This Row],[Столбец1]]*Таблица1[[#This Row],[коэф]])),
IF(OR(G502="4/8",G502="3/8",G502="2/8"),((база!$J$5*2*Таблица1[[#This Row],[Столбец1]]*Таблица1[[#This Row],[коэф]])))))))))))</f>
        <v>0</v>
      </c>
      <c r="AQ502" s="678" t="str">
        <f>IFERROR(INDEX(база!T:T, MATCH(F502,база!Q:Q,0)),"")</f>
        <v/>
      </c>
      <c r="AR502" s="193">
        <f>IFERROR(INDEX(база!D:D, MATCH(F502,база!B:B,0)),"")</f>
        <v>0</v>
      </c>
    </row>
    <row r="503" spans="1:44" ht="15">
      <c r="A503" s="59"/>
      <c r="B503" s="215"/>
      <c r="C503" s="277"/>
      <c r="D503" s="55"/>
      <c r="E503" s="196"/>
      <c r="F503" s="651"/>
      <c r="G503" s="42"/>
      <c r="H503" s="539"/>
      <c r="I503" s="539"/>
      <c r="J503" s="539"/>
      <c r="K503" s="539"/>
      <c r="L503" s="539"/>
      <c r="M503" s="539"/>
      <c r="N503" s="539"/>
      <c r="O503" s="539"/>
      <c r="P503" s="278"/>
      <c r="Q503" s="539"/>
      <c r="R503" s="539"/>
      <c r="S503" s="539"/>
      <c r="T503" s="539"/>
      <c r="U503" s="539"/>
      <c r="V503" s="539"/>
      <c r="W503" s="539"/>
      <c r="X503" s="539"/>
      <c r="Y503" s="539"/>
      <c r="Z503" s="539"/>
      <c r="AA503" s="539"/>
      <c r="AB503" s="539"/>
      <c r="AC503" s="539"/>
      <c r="AD503" s="43"/>
      <c r="AE503" s="43"/>
      <c r="AF503" s="238"/>
      <c r="AG503" s="43"/>
      <c r="AH503" s="43"/>
      <c r="AI503" s="43"/>
      <c r="AJ503" s="43"/>
      <c r="AK503" s="43"/>
      <c r="AL503" s="45"/>
      <c r="AM503" s="197">
        <f>IF(AQ503=1,SUM(H503:I503,L503:O503,R503:U503,X503:AA503,AD503:AG503,AI503:AK503),
IF(AQ503=2,SUM(H503:K503,N503:Q503,T503:W503,Z503:AC503,AF503:AI503),
IF(AQ503=3,SUM(J503:M503,P503:S503,V503:Y503,AB503:AE503,AH503:AK503),SUM(Таблица1[[#This Row],[1]:[31]])-Таблица1[[#This Row],[Столбец1]])))</f>
        <v>0</v>
      </c>
      <c r="AN503" s="269">
        <f t="array" ref="AN503">IF(AQ503=1,SUM(J503:K503,P503:Q503,V503:W503,AB503:AC503,AH503:AI503),
IF(AQ503=2,SUM(L503:M503,R503:S503,X503:Y503,AD503:AE503),
IF(AQ503=3,SUM(H503:I503,N503:O503,T503:U503,Z503:AA503,AF503:AG503),
SUM(IFERROR(WEEKDAY($H$2:$AL$2,2)&gt;5,)*H503:AL503))))</f>
        <v>0</v>
      </c>
      <c r="AO503" s="271" t="b">
        <f>IF(AR503&lt;=3,(IF((G503="5/24"),((база!$M$6*Таблица1[[#This Row],[сумма]]*Таблица1[[#This Row],[коэф]])),
IF((G503="4/24"),((база!$M$5*Таблица1[[#This Row],[сумма]]*Таблица1[[#This Row],[коэф]])),
IF((G503="3/24"),((база!$M$4*Таблица1[[#This Row],[сумма]]*Таблица1[[#This Row],[коэф]])),
IF((G503="5/16"),((база!$L$6*Таблица1[[#This Row],[сумма]]*Таблица1[[#This Row],[коэф]])),
IF((G503="4/16"),((база!$L$5*Таблица1[[#This Row],[сумма]]*Таблица1[[#This Row],[коэф]])),
IF((G503="3/16"),((база!$L$4*Таблица1[[#This Row],[сумма]]*Таблица1[[#This Row],[коэф]])),
IF((G503="4/4"),((база!$I$5*Таблица1[[#This Row],[сумма]]*Таблица1[[#This Row],[коэф]])),
IF(OR(G503="2/4",G503="3/4"),((база!$I$4*Таблица1[[#This Row],[сумма]]*Таблица1[[#This Row],[коэф]])),
IF((G503="5/8"),((база!$J$6*Таблица1[[#This Row],[сумма]]*Таблица1[[#This Row],[коэф]])),
IF((G503="4/8"),((база!$J$5*Таблица1[[#This Row],[сумма]]*Таблица1[[#This Row],[коэф]])),
IF(OR(G503="3/8",G503="2/8"),((база!$J$4*Таблица1[[#This Row],[сумма]]*Таблица1[[#This Row],[коэф]])))))))))))))),
(IF((G503="5/24"),((база!$M$6*Таблица1[[#This Row],[сумма]]*Таблица1[[#This Row],[коэф]])),
IF(OR(G503="4/24",G503="3/24"),((база!$M$5*Таблица1[[#This Row],[сумма]]*Таблица1[[#This Row],[коэф]])),
IF((G503="5/16"),((база!$L$6*Таблица1[[#This Row],[сумма]]*Таблица1[[#This Row],[коэф]])),
IF(OR(G503="4/16",G503="3/16"),((база!$L$5*Таблица1[[#This Row],[сумма]]*Таблица1[[#This Row],[коэф]])),
IF(OR(G503="2/4",G503="3/4",G503="4/4"),((база!$I$5*Таблица1[[#This Row],[сумма]]*Таблица1[[#This Row],[коэф]])),
IF((G503="5/8"),((база!$J$6*Таблица1[[#This Row],[сумма]]*Таблица1[[#This Row],[коэф]])),
IF(OR(G503="4/8",G503="3/8",G503="2/8"),((база!$J$5*Таблица1[[#This Row],[сумма]]*Таблица1[[#This Row],[коэф]])))))))))))</f>
        <v>0</v>
      </c>
      <c r="AP503" s="696" t="b">
        <f>IF(AR503&lt;=3,(IF((G503="5/24"),((база!$M$6*2*Таблица1[[#This Row],[Столбец1]]*Таблица1[[#This Row],[коэф]])),
IF((G503="4/24"),((база!$M$5*2*Таблица1[[#This Row],[Столбец1]]*Таблица1[[#This Row],[коэф]])),
IF((G503="3/24"),((база!$M$4*2*Таблица1[[#This Row],[Столбец1]]*Таблица1[[#This Row],[коэф]])),
IF((G503="5/16"),((база!$L$6*2*Таблица1[[#This Row],[Столбец1]]*Таблица1[[#This Row],[коэф]])),
IF((G503="4/16"),((база!$L$5*2*Таблица1[[#This Row],[Столбец1]]*Таблица1[[#This Row],[коэф]])),
IF((G503="3/16"),((база!$L$4*2*Таблица1[[#This Row],[Столбец1]]*Таблица1[[#This Row],[коэф]])),
IF((G503="4/4"),((база!$I$5*2*Таблица1[[#This Row],[Столбец1]]*Таблица1[[#This Row],[коэф]])),
IF(OR(G503="2/4",G503="3/4"),((база!$I$4*2*Таблица1[[#This Row],[Столбец1]]*Таблица1[[#This Row],[коэф]])),
IF((G503="5/8"),((база!$J$6*2*Таблица1[[#This Row],[Столбец1]]*Таблица1[[#This Row],[коэф]])),
IF((G503="4/8"),((база!$J$5*2*Таблица1[[#This Row],[Столбец1]]*Таблица1[[#This Row],[коэф]])),
IF(OR(G503="3/8",G503="2/8"),((база!$J$4*2*Таблица1[[#This Row],[Столбец1]]*Таблица1[[#This Row],[коэф]])))))))))))))),
(IF((G503="5/24"),((база!$M$6*2*Таблица1[[#This Row],[Столбец1]]*Таблица1[[#This Row],[коэф]])),
IF(OR(G503="4/24",G503="3/24"),((база!$M$5*2*Таблица1[[#This Row],[Столбец1]]*Таблица1[[#This Row],[коэф]])),
IF((G503="5/16"),((база!$L$6*2*Таблица1[[#This Row],[Столбец1]]*Таблица1[[#This Row],[коэф]])),
IF(OR(G503="4/16",G503="3/16"),((база!$L$5*2*Таблица1[[#This Row],[Столбец1]]*Таблица1[[#This Row],[коэф]])),
IF(OR(G503="2/4",G503="3/4",G503="4/4"),((база!$I$5*2*Таблица1[[#This Row],[Столбец1]]*Таблица1[[#This Row],[коэф]])),
IF((G503="5/8"),((база!$J$6*2*Таблица1[[#This Row],[Столбец1]]*Таблица1[[#This Row],[коэф]])),
IF(OR(G503="4/8",G503="3/8",G503="2/8"),((база!$J$5*2*Таблица1[[#This Row],[Столбец1]]*Таблица1[[#This Row],[коэф]])))))))))))</f>
        <v>0</v>
      </c>
      <c r="AQ503" s="678" t="str">
        <f>IFERROR(INDEX(база!T:T, MATCH(F503,база!Q:Q,0)),"")</f>
        <v/>
      </c>
      <c r="AR503" s="193">
        <f>IFERROR(INDEX(база!D:D, MATCH(F503,база!B:B,0)),"")</f>
        <v>0</v>
      </c>
    </row>
    <row r="504" spans="1:44" ht="15">
      <c r="A504" s="59"/>
      <c r="B504" s="215"/>
      <c r="C504" s="277"/>
      <c r="D504" s="55"/>
      <c r="E504" s="196"/>
      <c r="F504" s="651"/>
      <c r="G504" s="42"/>
      <c r="H504" s="539"/>
      <c r="I504" s="539"/>
      <c r="J504" s="539"/>
      <c r="K504" s="539"/>
      <c r="L504" s="539"/>
      <c r="M504" s="539"/>
      <c r="N504" s="539"/>
      <c r="O504" s="539"/>
      <c r="P504" s="278"/>
      <c r="Q504" s="539"/>
      <c r="R504" s="539"/>
      <c r="S504" s="539"/>
      <c r="T504" s="539"/>
      <c r="U504" s="539"/>
      <c r="V504" s="539"/>
      <c r="W504" s="539"/>
      <c r="X504" s="539"/>
      <c r="Y504" s="539"/>
      <c r="Z504" s="539"/>
      <c r="AA504" s="539"/>
      <c r="AB504" s="539"/>
      <c r="AC504" s="539"/>
      <c r="AD504" s="43"/>
      <c r="AE504" s="43"/>
      <c r="AF504" s="238"/>
      <c r="AG504" s="43"/>
      <c r="AH504" s="43"/>
      <c r="AI504" s="238"/>
      <c r="AJ504" s="238"/>
      <c r="AK504" s="238"/>
      <c r="AL504" s="238"/>
      <c r="AM504" s="197">
        <f>IF(AQ504=1,SUM(H504:I504,L504:O504,R504:U504,X504:AA504,AD504:AG504,AI504:AK504),
IF(AQ504=2,SUM(H504:K504,N504:Q504,T504:W504,Z504:AC504,AF504:AI504),
IF(AQ504=3,SUM(J504:M504,P504:S504,V504:Y504,AB504:AE504,AH504:AK504),SUM(Таблица1[[#This Row],[1]:[31]])-Таблица1[[#This Row],[Столбец1]])))</f>
        <v>0</v>
      </c>
      <c r="AN504" s="269">
        <f t="array" ref="AN504">IF(AQ504=1,SUM(J504:K504,P504:Q504,V504:W504,AB504:AC504,AH504:AI504),
IF(AQ504=2,SUM(L504:M504,R504:S504,X504:Y504,AD504:AE504),
IF(AQ504=3,SUM(H504:I504,N504:O504,T504:U504,Z504:AA504,AF504:AG504),
SUM(IFERROR(WEEKDAY($H$2:$AL$2,2)&gt;5,)*H504:AL504))))</f>
        <v>0</v>
      </c>
      <c r="AO504" s="271" t="b">
        <f>IF(AR504&lt;=3,(IF((G504="5/24"),((база!$M$6*Таблица1[[#This Row],[сумма]]*Таблица1[[#This Row],[коэф]])),
IF((G504="4/24"),((база!$M$5*Таблица1[[#This Row],[сумма]]*Таблица1[[#This Row],[коэф]])),
IF((G504="3/24"),((база!$M$4*Таблица1[[#This Row],[сумма]]*Таблица1[[#This Row],[коэф]])),
IF((G504="5/16"),((база!$L$6*Таблица1[[#This Row],[сумма]]*Таблица1[[#This Row],[коэф]])),
IF((G504="4/16"),((база!$L$5*Таблица1[[#This Row],[сумма]]*Таблица1[[#This Row],[коэф]])),
IF((G504="3/16"),((база!$L$4*Таблица1[[#This Row],[сумма]]*Таблица1[[#This Row],[коэф]])),
IF((G504="4/4"),((база!$I$5*Таблица1[[#This Row],[сумма]]*Таблица1[[#This Row],[коэф]])),
IF(OR(G504="2/4",G504="3/4"),((база!$I$4*Таблица1[[#This Row],[сумма]]*Таблица1[[#This Row],[коэф]])),
IF((G504="5/8"),((база!$J$6*Таблица1[[#This Row],[сумма]]*Таблица1[[#This Row],[коэф]])),
IF((G504="4/8"),((база!$J$5*Таблица1[[#This Row],[сумма]]*Таблица1[[#This Row],[коэф]])),
IF(OR(G504="3/8",G504="2/8"),((база!$J$4*Таблица1[[#This Row],[сумма]]*Таблица1[[#This Row],[коэф]])))))))))))))),
(IF((G504="5/24"),((база!$M$6*Таблица1[[#This Row],[сумма]]*Таблица1[[#This Row],[коэф]])),
IF(OR(G504="4/24",G504="3/24"),((база!$M$5*Таблица1[[#This Row],[сумма]]*Таблица1[[#This Row],[коэф]])),
IF((G504="5/16"),((база!$L$6*Таблица1[[#This Row],[сумма]]*Таблица1[[#This Row],[коэф]])),
IF(OR(G504="4/16",G504="3/16"),((база!$L$5*Таблица1[[#This Row],[сумма]]*Таблица1[[#This Row],[коэф]])),
IF(OR(G504="2/4",G504="3/4",G504="4/4"),((база!$I$5*Таблица1[[#This Row],[сумма]]*Таблица1[[#This Row],[коэф]])),
IF((G504="5/8"),((база!$J$6*Таблица1[[#This Row],[сумма]]*Таблица1[[#This Row],[коэф]])),
IF(OR(G504="4/8",G504="3/8",G504="2/8"),((база!$J$5*Таблица1[[#This Row],[сумма]]*Таблица1[[#This Row],[коэф]])))))))))))</f>
        <v>0</v>
      </c>
      <c r="AP504" s="696" t="b">
        <f>IF(AR504&lt;=3,(IF((G504="5/24"),((база!$M$6*2*Таблица1[[#This Row],[Столбец1]]*Таблица1[[#This Row],[коэф]])),
IF((G504="4/24"),((база!$M$5*2*Таблица1[[#This Row],[Столбец1]]*Таблица1[[#This Row],[коэф]])),
IF((G504="3/24"),((база!$M$4*2*Таблица1[[#This Row],[Столбец1]]*Таблица1[[#This Row],[коэф]])),
IF((G504="5/16"),((база!$L$6*2*Таблица1[[#This Row],[Столбец1]]*Таблица1[[#This Row],[коэф]])),
IF((G504="4/16"),((база!$L$5*2*Таблица1[[#This Row],[Столбец1]]*Таблица1[[#This Row],[коэф]])),
IF((G504="3/16"),((база!$L$4*2*Таблица1[[#This Row],[Столбец1]]*Таблица1[[#This Row],[коэф]])),
IF((G504="4/4"),((база!$I$5*2*Таблица1[[#This Row],[Столбец1]]*Таблица1[[#This Row],[коэф]])),
IF(OR(G504="2/4",G504="3/4"),((база!$I$4*2*Таблица1[[#This Row],[Столбец1]]*Таблица1[[#This Row],[коэф]])),
IF((G504="5/8"),((база!$J$6*2*Таблица1[[#This Row],[Столбец1]]*Таблица1[[#This Row],[коэф]])),
IF((G504="4/8"),((база!$J$5*2*Таблица1[[#This Row],[Столбец1]]*Таблица1[[#This Row],[коэф]])),
IF(OR(G504="3/8",G504="2/8"),((база!$J$4*2*Таблица1[[#This Row],[Столбец1]]*Таблица1[[#This Row],[коэф]])))))))))))))),
(IF((G504="5/24"),((база!$M$6*2*Таблица1[[#This Row],[Столбец1]]*Таблица1[[#This Row],[коэф]])),
IF(OR(G504="4/24",G504="3/24"),((база!$M$5*2*Таблица1[[#This Row],[Столбец1]]*Таблица1[[#This Row],[коэф]])),
IF((G504="5/16"),((база!$L$6*2*Таблица1[[#This Row],[Столбец1]]*Таблица1[[#This Row],[коэф]])),
IF(OR(G504="4/16",G504="3/16"),((база!$L$5*2*Таблица1[[#This Row],[Столбец1]]*Таблица1[[#This Row],[коэф]])),
IF(OR(G504="2/4",G504="3/4",G504="4/4"),((база!$I$5*2*Таблица1[[#This Row],[Столбец1]]*Таблица1[[#This Row],[коэф]])),
IF((G504="5/8"),((база!$J$6*2*Таблица1[[#This Row],[Столбец1]]*Таблица1[[#This Row],[коэф]])),
IF(OR(G504="4/8",G504="3/8",G504="2/8"),((база!$J$5*2*Таблица1[[#This Row],[Столбец1]]*Таблица1[[#This Row],[коэф]])))))))))))</f>
        <v>0</v>
      </c>
      <c r="AQ504" s="678" t="str">
        <f>IFERROR(INDEX(база!T:T, MATCH(F504,база!Q:Q,0)),"")</f>
        <v/>
      </c>
      <c r="AR504" s="193">
        <f>IFERROR(INDEX(база!D:D, MATCH(F504,база!B:B,0)),"")</f>
        <v>0</v>
      </c>
    </row>
    <row r="505" spans="1:44" ht="15">
      <c r="A505" s="59"/>
      <c r="B505" s="215"/>
      <c r="C505" s="277"/>
      <c r="D505" s="55"/>
      <c r="E505" s="196"/>
      <c r="F505" s="651"/>
      <c r="G505" s="42"/>
      <c r="H505" s="539"/>
      <c r="I505" s="539"/>
      <c r="J505" s="539"/>
      <c r="K505" s="539"/>
      <c r="L505" s="539"/>
      <c r="M505" s="539"/>
      <c r="N505" s="539"/>
      <c r="O505" s="539"/>
      <c r="P505" s="278"/>
      <c r="Q505" s="539"/>
      <c r="R505" s="539"/>
      <c r="S505" s="539"/>
      <c r="T505" s="539"/>
      <c r="U505" s="539"/>
      <c r="V505" s="539"/>
      <c r="W505" s="539"/>
      <c r="X505" s="539"/>
      <c r="Y505" s="539"/>
      <c r="Z505" s="539"/>
      <c r="AA505" s="539"/>
      <c r="AB505" s="539"/>
      <c r="AC505" s="539"/>
      <c r="AD505" s="43"/>
      <c r="AE505" s="43"/>
      <c r="AF505" s="238"/>
      <c r="AG505" s="43"/>
      <c r="AH505" s="43"/>
      <c r="AI505" s="43"/>
      <c r="AJ505" s="43"/>
      <c r="AK505" s="43"/>
      <c r="AL505" s="45"/>
      <c r="AM505" s="197">
        <f>IF(AQ505=1,SUM(H505:I505,L505:O505,R505:U505,X505:AA505,AD505:AG505,AI505:AK505),
IF(AQ505=2,SUM(H505:K505,N505:Q505,T505:W505,Z505:AC505,AF505:AI505),
IF(AQ505=3,SUM(J505:M505,P505:S505,V505:Y505,AB505:AE505,AH505:AK505),SUM(Таблица1[[#This Row],[1]:[31]])-Таблица1[[#This Row],[Столбец1]])))</f>
        <v>0</v>
      </c>
      <c r="AN505" s="269">
        <f t="array" ref="AN505">IF(AQ505=1,SUM(J505:K505,P505:Q505,V505:W505,AB505:AC505,AH505:AI505),
IF(AQ505=2,SUM(L505:M505,R505:S505,X505:Y505,AD505:AE505),
IF(AQ505=3,SUM(H505:I505,N505:O505,T505:U505,Z505:AA505,AF505:AG505),
SUM(IFERROR(WEEKDAY($H$2:$AL$2,2)&gt;5,)*H505:AL505))))</f>
        <v>0</v>
      </c>
      <c r="AO505" s="271" t="b">
        <f>IF(AR505&lt;=3,(IF((G505="5/24"),((база!$M$6*Таблица1[[#This Row],[сумма]]*Таблица1[[#This Row],[коэф]])),
IF((G505="4/24"),((база!$M$5*Таблица1[[#This Row],[сумма]]*Таблица1[[#This Row],[коэф]])),
IF((G505="3/24"),((база!$M$4*Таблица1[[#This Row],[сумма]]*Таблица1[[#This Row],[коэф]])),
IF((G505="5/16"),((база!$L$6*Таблица1[[#This Row],[сумма]]*Таблица1[[#This Row],[коэф]])),
IF((G505="4/16"),((база!$L$5*Таблица1[[#This Row],[сумма]]*Таблица1[[#This Row],[коэф]])),
IF((G505="3/16"),((база!$L$4*Таблица1[[#This Row],[сумма]]*Таблица1[[#This Row],[коэф]])),
IF((G505="4/4"),((база!$I$5*Таблица1[[#This Row],[сумма]]*Таблица1[[#This Row],[коэф]])),
IF(OR(G505="2/4",G505="3/4"),((база!$I$4*Таблица1[[#This Row],[сумма]]*Таблица1[[#This Row],[коэф]])),
IF((G505="5/8"),((база!$J$6*Таблица1[[#This Row],[сумма]]*Таблица1[[#This Row],[коэф]])),
IF((G505="4/8"),((база!$J$5*Таблица1[[#This Row],[сумма]]*Таблица1[[#This Row],[коэф]])),
IF(OR(G505="3/8",G505="2/8"),((база!$J$4*Таблица1[[#This Row],[сумма]]*Таблица1[[#This Row],[коэф]])))))))))))))),
(IF((G505="5/24"),((база!$M$6*Таблица1[[#This Row],[сумма]]*Таблица1[[#This Row],[коэф]])),
IF(OR(G505="4/24",G505="3/24"),((база!$M$5*Таблица1[[#This Row],[сумма]]*Таблица1[[#This Row],[коэф]])),
IF((G505="5/16"),((база!$L$6*Таблица1[[#This Row],[сумма]]*Таблица1[[#This Row],[коэф]])),
IF(OR(G505="4/16",G505="3/16"),((база!$L$5*Таблица1[[#This Row],[сумма]]*Таблица1[[#This Row],[коэф]])),
IF(OR(G505="2/4",G505="3/4",G505="4/4"),((база!$I$5*Таблица1[[#This Row],[сумма]]*Таблица1[[#This Row],[коэф]])),
IF((G505="5/8"),((база!$J$6*Таблица1[[#This Row],[сумма]]*Таблица1[[#This Row],[коэф]])),
IF(OR(G505="4/8",G505="3/8",G505="2/8"),((база!$J$5*Таблица1[[#This Row],[сумма]]*Таблица1[[#This Row],[коэф]])))))))))))</f>
        <v>0</v>
      </c>
      <c r="AP505" s="696" t="b">
        <f>IF(AR505&lt;=3,(IF((G505="5/24"),((база!$M$6*2*Таблица1[[#This Row],[Столбец1]]*Таблица1[[#This Row],[коэф]])),
IF((G505="4/24"),((база!$M$5*2*Таблица1[[#This Row],[Столбец1]]*Таблица1[[#This Row],[коэф]])),
IF((G505="3/24"),((база!$M$4*2*Таблица1[[#This Row],[Столбец1]]*Таблица1[[#This Row],[коэф]])),
IF((G505="5/16"),((база!$L$6*2*Таблица1[[#This Row],[Столбец1]]*Таблица1[[#This Row],[коэф]])),
IF((G505="4/16"),((база!$L$5*2*Таблица1[[#This Row],[Столбец1]]*Таблица1[[#This Row],[коэф]])),
IF((G505="3/16"),((база!$L$4*2*Таблица1[[#This Row],[Столбец1]]*Таблица1[[#This Row],[коэф]])),
IF((G505="4/4"),((база!$I$5*2*Таблица1[[#This Row],[Столбец1]]*Таблица1[[#This Row],[коэф]])),
IF(OR(G505="2/4",G505="3/4"),((база!$I$4*2*Таблица1[[#This Row],[Столбец1]]*Таблица1[[#This Row],[коэф]])),
IF((G505="5/8"),((база!$J$6*2*Таблица1[[#This Row],[Столбец1]]*Таблица1[[#This Row],[коэф]])),
IF((G505="4/8"),((база!$J$5*2*Таблица1[[#This Row],[Столбец1]]*Таблица1[[#This Row],[коэф]])),
IF(OR(G505="3/8",G505="2/8"),((база!$J$4*2*Таблица1[[#This Row],[Столбец1]]*Таблица1[[#This Row],[коэф]])))))))))))))),
(IF((G505="5/24"),((база!$M$6*2*Таблица1[[#This Row],[Столбец1]]*Таблица1[[#This Row],[коэф]])),
IF(OR(G505="4/24",G505="3/24"),((база!$M$5*2*Таблица1[[#This Row],[Столбец1]]*Таблица1[[#This Row],[коэф]])),
IF((G505="5/16"),((база!$L$6*2*Таблица1[[#This Row],[Столбец1]]*Таблица1[[#This Row],[коэф]])),
IF(OR(G505="4/16",G505="3/16"),((база!$L$5*2*Таблица1[[#This Row],[Столбец1]]*Таблица1[[#This Row],[коэф]])),
IF(OR(G505="2/4",G505="3/4",G505="4/4"),((база!$I$5*2*Таблица1[[#This Row],[Столбец1]]*Таблица1[[#This Row],[коэф]])),
IF((G505="5/8"),((база!$J$6*2*Таблица1[[#This Row],[Столбец1]]*Таблица1[[#This Row],[коэф]])),
IF(OR(G505="4/8",G505="3/8",G505="2/8"),((база!$J$5*2*Таблица1[[#This Row],[Столбец1]]*Таблица1[[#This Row],[коэф]])))))))))))</f>
        <v>0</v>
      </c>
      <c r="AQ505" s="678" t="str">
        <f>IFERROR(INDEX(база!T:T, MATCH(F505,база!Q:Q,0)),"")</f>
        <v/>
      </c>
      <c r="AR505" s="193">
        <f>IFERROR(INDEX(база!D:D, MATCH(F505,база!B:B,0)),"")</f>
        <v>0</v>
      </c>
    </row>
    <row r="506" spans="1:44" ht="15">
      <c r="A506" s="59"/>
      <c r="B506" s="215"/>
      <c r="C506" s="277"/>
      <c r="D506" s="55"/>
      <c r="E506" s="196"/>
      <c r="F506" s="651"/>
      <c r="G506" s="42"/>
      <c r="H506" s="539"/>
      <c r="I506" s="539"/>
      <c r="J506" s="539"/>
      <c r="K506" s="539"/>
      <c r="L506" s="539"/>
      <c r="M506" s="539"/>
      <c r="N506" s="539"/>
      <c r="O506" s="539"/>
      <c r="P506" s="278"/>
      <c r="Q506" s="539"/>
      <c r="R506" s="539"/>
      <c r="S506" s="539"/>
      <c r="T506" s="539"/>
      <c r="U506" s="539"/>
      <c r="V506" s="539"/>
      <c r="W506" s="539"/>
      <c r="X506" s="539"/>
      <c r="Y506" s="539"/>
      <c r="Z506" s="539"/>
      <c r="AA506" s="539"/>
      <c r="AB506" s="539"/>
      <c r="AC506" s="539"/>
      <c r="AD506" s="43"/>
      <c r="AE506" s="43"/>
      <c r="AF506" s="238"/>
      <c r="AG506" s="43"/>
      <c r="AH506" s="43"/>
      <c r="AI506" s="238"/>
      <c r="AJ506" s="238"/>
      <c r="AK506" s="238"/>
      <c r="AL506" s="238"/>
      <c r="AM506" s="197">
        <f>IF(AQ506=1,SUM(H506:I506,L506:O506,R506:U506,X506:AA506,AD506:AG506,AI506:AK506),
IF(AQ506=2,SUM(H506:K506,N506:Q506,T506:W506,Z506:AC506,AF506:AI506),
IF(AQ506=3,SUM(J506:M506,P506:S506,V506:Y506,AB506:AE506,AH506:AK506),SUM(Таблица1[[#This Row],[1]:[31]])-Таблица1[[#This Row],[Столбец1]])))</f>
        <v>0</v>
      </c>
      <c r="AN506" s="269">
        <f t="array" ref="AN506">IF(AQ506=1,SUM(J506:K506,P506:Q506,V506:W506,AB506:AC506,AH506:AI506),
IF(AQ506=2,SUM(L506:M506,R506:S506,X506:Y506,AD506:AE506),
IF(AQ506=3,SUM(H506:I506,N506:O506,T506:U506,Z506:AA506,AF506:AG506),
SUM(IFERROR(WEEKDAY($H$2:$AL$2,2)&gt;5,)*H506:AL506))))</f>
        <v>0</v>
      </c>
      <c r="AO506" s="271" t="b">
        <f>IF(AR506&lt;=3,(IF((G506="5/24"),((база!$M$6*Таблица1[[#This Row],[сумма]]*Таблица1[[#This Row],[коэф]])),
IF((G506="4/24"),((база!$M$5*Таблица1[[#This Row],[сумма]]*Таблица1[[#This Row],[коэф]])),
IF((G506="3/24"),((база!$M$4*Таблица1[[#This Row],[сумма]]*Таблица1[[#This Row],[коэф]])),
IF((G506="5/16"),((база!$L$6*Таблица1[[#This Row],[сумма]]*Таблица1[[#This Row],[коэф]])),
IF((G506="4/16"),((база!$L$5*Таблица1[[#This Row],[сумма]]*Таблица1[[#This Row],[коэф]])),
IF((G506="3/16"),((база!$L$4*Таблица1[[#This Row],[сумма]]*Таблица1[[#This Row],[коэф]])),
IF((G506="4/4"),((база!$I$5*Таблица1[[#This Row],[сумма]]*Таблица1[[#This Row],[коэф]])),
IF(OR(G506="2/4",G506="3/4"),((база!$I$4*Таблица1[[#This Row],[сумма]]*Таблица1[[#This Row],[коэф]])),
IF((G506="5/8"),((база!$J$6*Таблица1[[#This Row],[сумма]]*Таблица1[[#This Row],[коэф]])),
IF((G506="4/8"),((база!$J$5*Таблица1[[#This Row],[сумма]]*Таблица1[[#This Row],[коэф]])),
IF(OR(G506="3/8",G506="2/8"),((база!$J$4*Таблица1[[#This Row],[сумма]]*Таблица1[[#This Row],[коэф]])))))))))))))),
(IF((G506="5/24"),((база!$M$6*Таблица1[[#This Row],[сумма]]*Таблица1[[#This Row],[коэф]])),
IF(OR(G506="4/24",G506="3/24"),((база!$M$5*Таблица1[[#This Row],[сумма]]*Таблица1[[#This Row],[коэф]])),
IF((G506="5/16"),((база!$L$6*Таблица1[[#This Row],[сумма]]*Таблица1[[#This Row],[коэф]])),
IF(OR(G506="4/16",G506="3/16"),((база!$L$5*Таблица1[[#This Row],[сумма]]*Таблица1[[#This Row],[коэф]])),
IF(OR(G506="2/4",G506="3/4",G506="4/4"),((база!$I$5*Таблица1[[#This Row],[сумма]]*Таблица1[[#This Row],[коэф]])),
IF((G506="5/8"),((база!$J$6*Таблица1[[#This Row],[сумма]]*Таблица1[[#This Row],[коэф]])),
IF(OR(G506="4/8",G506="3/8",G506="2/8"),((база!$J$5*Таблица1[[#This Row],[сумма]]*Таблица1[[#This Row],[коэф]])))))))))))</f>
        <v>0</v>
      </c>
      <c r="AP506" s="696" t="b">
        <f>IF(AR506&lt;=3,(IF((G506="5/24"),((база!$M$6*2*Таблица1[[#This Row],[Столбец1]]*Таблица1[[#This Row],[коэф]])),
IF((G506="4/24"),((база!$M$5*2*Таблица1[[#This Row],[Столбец1]]*Таблица1[[#This Row],[коэф]])),
IF((G506="3/24"),((база!$M$4*2*Таблица1[[#This Row],[Столбец1]]*Таблица1[[#This Row],[коэф]])),
IF((G506="5/16"),((база!$L$6*2*Таблица1[[#This Row],[Столбец1]]*Таблица1[[#This Row],[коэф]])),
IF((G506="4/16"),((база!$L$5*2*Таблица1[[#This Row],[Столбец1]]*Таблица1[[#This Row],[коэф]])),
IF((G506="3/16"),((база!$L$4*2*Таблица1[[#This Row],[Столбец1]]*Таблица1[[#This Row],[коэф]])),
IF((G506="4/4"),((база!$I$5*2*Таблица1[[#This Row],[Столбец1]]*Таблица1[[#This Row],[коэф]])),
IF(OR(G506="2/4",G506="3/4"),((база!$I$4*2*Таблица1[[#This Row],[Столбец1]]*Таблица1[[#This Row],[коэф]])),
IF((G506="5/8"),((база!$J$6*2*Таблица1[[#This Row],[Столбец1]]*Таблица1[[#This Row],[коэф]])),
IF((G506="4/8"),((база!$J$5*2*Таблица1[[#This Row],[Столбец1]]*Таблица1[[#This Row],[коэф]])),
IF(OR(G506="3/8",G506="2/8"),((база!$J$4*2*Таблица1[[#This Row],[Столбец1]]*Таблица1[[#This Row],[коэф]])))))))))))))),
(IF((G506="5/24"),((база!$M$6*2*Таблица1[[#This Row],[Столбец1]]*Таблица1[[#This Row],[коэф]])),
IF(OR(G506="4/24",G506="3/24"),((база!$M$5*2*Таблица1[[#This Row],[Столбец1]]*Таблица1[[#This Row],[коэф]])),
IF((G506="5/16"),((база!$L$6*2*Таблица1[[#This Row],[Столбец1]]*Таблица1[[#This Row],[коэф]])),
IF(OR(G506="4/16",G506="3/16"),((база!$L$5*2*Таблица1[[#This Row],[Столбец1]]*Таблица1[[#This Row],[коэф]])),
IF(OR(G506="2/4",G506="3/4",G506="4/4"),((база!$I$5*2*Таблица1[[#This Row],[Столбец1]]*Таблица1[[#This Row],[коэф]])),
IF((G506="5/8"),((база!$J$6*2*Таблица1[[#This Row],[Столбец1]]*Таблица1[[#This Row],[коэф]])),
IF(OR(G506="4/8",G506="3/8",G506="2/8"),((база!$J$5*2*Таблица1[[#This Row],[Столбец1]]*Таблица1[[#This Row],[коэф]])))))))))))</f>
        <v>0</v>
      </c>
      <c r="AQ506" s="678" t="str">
        <f>IFERROR(INDEX(база!T:T, MATCH(F506,база!Q:Q,0)),"")</f>
        <v/>
      </c>
      <c r="AR506" s="193">
        <f>IFERROR(INDEX(база!D:D, MATCH(F506,база!B:B,0)),"")</f>
        <v>0</v>
      </c>
    </row>
    <row r="507" spans="1:44" ht="15">
      <c r="A507" s="59"/>
      <c r="B507" s="215"/>
      <c r="C507" s="277"/>
      <c r="D507" s="55"/>
      <c r="E507" s="196"/>
      <c r="F507" s="651"/>
      <c r="G507" s="42"/>
      <c r="H507" s="539"/>
      <c r="I507" s="539"/>
      <c r="J507" s="539"/>
      <c r="K507" s="539"/>
      <c r="L507" s="539"/>
      <c r="M507" s="539"/>
      <c r="N507" s="539"/>
      <c r="O507" s="539"/>
      <c r="P507" s="278"/>
      <c r="Q507" s="539"/>
      <c r="R507" s="539"/>
      <c r="S507" s="539"/>
      <c r="T507" s="539"/>
      <c r="U507" s="539"/>
      <c r="V507" s="539"/>
      <c r="W507" s="539"/>
      <c r="X507" s="539"/>
      <c r="Y507" s="539"/>
      <c r="Z507" s="539"/>
      <c r="AA507" s="539"/>
      <c r="AB507" s="539"/>
      <c r="AC507" s="539"/>
      <c r="AD507" s="43"/>
      <c r="AE507" s="43"/>
      <c r="AF507" s="238"/>
      <c r="AG507" s="43"/>
      <c r="AH507" s="43"/>
      <c r="AI507" s="43"/>
      <c r="AJ507" s="43"/>
      <c r="AK507" s="43"/>
      <c r="AL507" s="45"/>
      <c r="AM507" s="197">
        <f>IF(AQ507=1,SUM(H507:I507,L507:O507,R507:U507,X507:AA507,AD507:AG507,AI507:AK507),
IF(AQ507=2,SUM(H507:K507,N507:Q507,T507:W507,Z507:AC507,AF507:AI507),
IF(AQ507=3,SUM(J507:M507,P507:S507,V507:Y507,AB507:AE507,AH507:AK507),SUM(Таблица1[[#This Row],[1]:[31]])-Таблица1[[#This Row],[Столбец1]])))</f>
        <v>0</v>
      </c>
      <c r="AN507" s="269">
        <f t="array" ref="AN507">IF(AQ507=1,SUM(J507:K507,P507:Q507,V507:W507,AB507:AC507,AH507:AI507),
IF(AQ507=2,SUM(L507:M507,R507:S507,X507:Y507,AD507:AE507),
IF(AQ507=3,SUM(H507:I507,N507:O507,T507:U507,Z507:AA507,AF507:AG507),
SUM(IFERROR(WEEKDAY($H$2:$AL$2,2)&gt;5,)*H507:AL507))))</f>
        <v>0</v>
      </c>
      <c r="AO507" s="271" t="b">
        <f>IF(AR507&lt;=3,(IF((G507="5/24"),((база!$M$6*Таблица1[[#This Row],[сумма]]*Таблица1[[#This Row],[коэф]])),
IF((G507="4/24"),((база!$M$5*Таблица1[[#This Row],[сумма]]*Таблица1[[#This Row],[коэф]])),
IF((G507="3/24"),((база!$M$4*Таблица1[[#This Row],[сумма]]*Таблица1[[#This Row],[коэф]])),
IF((G507="5/16"),((база!$L$6*Таблица1[[#This Row],[сумма]]*Таблица1[[#This Row],[коэф]])),
IF((G507="4/16"),((база!$L$5*Таблица1[[#This Row],[сумма]]*Таблица1[[#This Row],[коэф]])),
IF((G507="3/16"),((база!$L$4*Таблица1[[#This Row],[сумма]]*Таблица1[[#This Row],[коэф]])),
IF((G507="4/4"),((база!$I$5*Таблица1[[#This Row],[сумма]]*Таблица1[[#This Row],[коэф]])),
IF(OR(G507="2/4",G507="3/4"),((база!$I$4*Таблица1[[#This Row],[сумма]]*Таблица1[[#This Row],[коэф]])),
IF((G507="5/8"),((база!$J$6*Таблица1[[#This Row],[сумма]]*Таблица1[[#This Row],[коэф]])),
IF((G507="4/8"),((база!$J$5*Таблица1[[#This Row],[сумма]]*Таблица1[[#This Row],[коэф]])),
IF(OR(G507="3/8",G507="2/8"),((база!$J$4*Таблица1[[#This Row],[сумма]]*Таблица1[[#This Row],[коэф]])))))))))))))),
(IF((G507="5/24"),((база!$M$6*Таблица1[[#This Row],[сумма]]*Таблица1[[#This Row],[коэф]])),
IF(OR(G507="4/24",G507="3/24"),((база!$M$5*Таблица1[[#This Row],[сумма]]*Таблица1[[#This Row],[коэф]])),
IF((G507="5/16"),((база!$L$6*Таблица1[[#This Row],[сумма]]*Таблица1[[#This Row],[коэф]])),
IF(OR(G507="4/16",G507="3/16"),((база!$L$5*Таблица1[[#This Row],[сумма]]*Таблица1[[#This Row],[коэф]])),
IF(OR(G507="2/4",G507="3/4",G507="4/4"),((база!$I$5*Таблица1[[#This Row],[сумма]]*Таблица1[[#This Row],[коэф]])),
IF((G507="5/8"),((база!$J$6*Таблица1[[#This Row],[сумма]]*Таблица1[[#This Row],[коэф]])),
IF(OR(G507="4/8",G507="3/8",G507="2/8"),((база!$J$5*Таблица1[[#This Row],[сумма]]*Таблица1[[#This Row],[коэф]])))))))))))</f>
        <v>0</v>
      </c>
      <c r="AP507" s="696" t="b">
        <f>IF(AR507&lt;=3,(IF((G507="5/24"),((база!$M$6*2*Таблица1[[#This Row],[Столбец1]]*Таблица1[[#This Row],[коэф]])),
IF((G507="4/24"),((база!$M$5*2*Таблица1[[#This Row],[Столбец1]]*Таблица1[[#This Row],[коэф]])),
IF((G507="3/24"),((база!$M$4*2*Таблица1[[#This Row],[Столбец1]]*Таблица1[[#This Row],[коэф]])),
IF((G507="5/16"),((база!$L$6*2*Таблица1[[#This Row],[Столбец1]]*Таблица1[[#This Row],[коэф]])),
IF((G507="4/16"),((база!$L$5*2*Таблица1[[#This Row],[Столбец1]]*Таблица1[[#This Row],[коэф]])),
IF((G507="3/16"),((база!$L$4*2*Таблица1[[#This Row],[Столбец1]]*Таблица1[[#This Row],[коэф]])),
IF((G507="4/4"),((база!$I$5*2*Таблица1[[#This Row],[Столбец1]]*Таблица1[[#This Row],[коэф]])),
IF(OR(G507="2/4",G507="3/4"),((база!$I$4*2*Таблица1[[#This Row],[Столбец1]]*Таблица1[[#This Row],[коэф]])),
IF((G507="5/8"),((база!$J$6*2*Таблица1[[#This Row],[Столбец1]]*Таблица1[[#This Row],[коэф]])),
IF((G507="4/8"),((база!$J$5*2*Таблица1[[#This Row],[Столбец1]]*Таблица1[[#This Row],[коэф]])),
IF(OR(G507="3/8",G507="2/8"),((база!$J$4*2*Таблица1[[#This Row],[Столбец1]]*Таблица1[[#This Row],[коэф]])))))))))))))),
(IF((G507="5/24"),((база!$M$6*2*Таблица1[[#This Row],[Столбец1]]*Таблица1[[#This Row],[коэф]])),
IF(OR(G507="4/24",G507="3/24"),((база!$M$5*2*Таблица1[[#This Row],[Столбец1]]*Таблица1[[#This Row],[коэф]])),
IF((G507="5/16"),((база!$L$6*2*Таблица1[[#This Row],[Столбец1]]*Таблица1[[#This Row],[коэф]])),
IF(OR(G507="4/16",G507="3/16"),((база!$L$5*2*Таблица1[[#This Row],[Столбец1]]*Таблица1[[#This Row],[коэф]])),
IF(OR(G507="2/4",G507="3/4",G507="4/4"),((база!$I$5*2*Таблица1[[#This Row],[Столбец1]]*Таблица1[[#This Row],[коэф]])),
IF((G507="5/8"),((база!$J$6*2*Таблица1[[#This Row],[Столбец1]]*Таблица1[[#This Row],[коэф]])),
IF(OR(G507="4/8",G507="3/8",G507="2/8"),((база!$J$5*2*Таблица1[[#This Row],[Столбец1]]*Таблица1[[#This Row],[коэф]])))))))))))</f>
        <v>0</v>
      </c>
      <c r="AQ507" s="678" t="str">
        <f>IFERROR(INDEX(база!T:T, MATCH(F507,база!Q:Q,0)),"")</f>
        <v/>
      </c>
      <c r="AR507" s="193">
        <f>IFERROR(INDEX(база!D:D, MATCH(F507,база!B:B,0)),"")</f>
        <v>0</v>
      </c>
    </row>
    <row r="508" spans="1:44" ht="15">
      <c r="A508" s="59"/>
      <c r="B508" s="215"/>
      <c r="C508" s="54"/>
      <c r="D508" s="55"/>
      <c r="E508" s="196"/>
      <c r="F508" s="651"/>
      <c r="G508" s="42"/>
      <c r="H508" s="539"/>
      <c r="I508" s="539"/>
      <c r="J508" s="539"/>
      <c r="K508" s="539"/>
      <c r="L508" s="539"/>
      <c r="M508" s="539"/>
      <c r="N508" s="539"/>
      <c r="O508" s="539"/>
      <c r="P508" s="278"/>
      <c r="Q508" s="539"/>
      <c r="R508" s="539"/>
      <c r="S508" s="539"/>
      <c r="T508" s="539"/>
      <c r="U508" s="539"/>
      <c r="V508" s="539"/>
      <c r="W508" s="539"/>
      <c r="X508" s="539"/>
      <c r="Y508" s="539"/>
      <c r="Z508" s="539"/>
      <c r="AA508" s="539"/>
      <c r="AB508" s="539"/>
      <c r="AC508" s="539"/>
      <c r="AD508" s="43"/>
      <c r="AE508" s="43"/>
      <c r="AF508" s="238"/>
      <c r="AG508" s="43"/>
      <c r="AH508" s="43"/>
      <c r="AI508" s="238"/>
      <c r="AJ508" s="238"/>
      <c r="AK508" s="238"/>
      <c r="AL508" s="238"/>
      <c r="AM508" s="197">
        <f>IF(AQ508=1,SUM(H508:I508,L508:O508,R508:U508,X508:AA508,AD508:AG508,AI508:AK508),
IF(AQ508=2,SUM(H508:K508,N508:Q508,T508:W508,Z508:AC508,AF508:AI508),
IF(AQ508=3,SUM(J508:M508,P508:S508,V508:Y508,AB508:AE508,AH508:AK508),SUM(Таблица1[[#This Row],[1]:[31]])-Таблица1[[#This Row],[Столбец1]])))</f>
        <v>0</v>
      </c>
      <c r="AN508" s="269">
        <f t="array" ref="AN508">IF(AQ508=1,SUM(J508:K508,P508:Q508,V508:W508,AB508:AC508,AH508:AI508),
IF(AQ508=2,SUM(L508:M508,R508:S508,X508:Y508,AD508:AE508),
IF(AQ508=3,SUM(H508:I508,N508:O508,T508:U508,Z508:AA508,AF508:AG508),
SUM(IFERROR(WEEKDAY($H$2:$AL$2,2)&gt;5,)*H508:AL508))))</f>
        <v>0</v>
      </c>
      <c r="AO508" s="271" t="b">
        <f>IF(AR508&lt;=3,(IF((G508="5/24"),((база!$M$6*Таблица1[[#This Row],[сумма]]*Таблица1[[#This Row],[коэф]])),
IF((G508="4/24"),((база!$M$5*Таблица1[[#This Row],[сумма]]*Таблица1[[#This Row],[коэф]])),
IF((G508="3/24"),((база!$M$4*Таблица1[[#This Row],[сумма]]*Таблица1[[#This Row],[коэф]])),
IF((G508="5/16"),((база!$L$6*Таблица1[[#This Row],[сумма]]*Таблица1[[#This Row],[коэф]])),
IF((G508="4/16"),((база!$L$5*Таблица1[[#This Row],[сумма]]*Таблица1[[#This Row],[коэф]])),
IF((G508="3/16"),((база!$L$4*Таблица1[[#This Row],[сумма]]*Таблица1[[#This Row],[коэф]])),
IF((G508="4/4"),((база!$I$5*Таблица1[[#This Row],[сумма]]*Таблица1[[#This Row],[коэф]])),
IF(OR(G508="2/4",G508="3/4"),((база!$I$4*Таблица1[[#This Row],[сумма]]*Таблица1[[#This Row],[коэф]])),
IF((G508="5/8"),((база!$J$6*Таблица1[[#This Row],[сумма]]*Таблица1[[#This Row],[коэф]])),
IF((G508="4/8"),((база!$J$5*Таблица1[[#This Row],[сумма]]*Таблица1[[#This Row],[коэф]])),
IF(OR(G508="3/8",G508="2/8"),((база!$J$4*Таблица1[[#This Row],[сумма]]*Таблица1[[#This Row],[коэф]])))))))))))))),
(IF((G508="5/24"),((база!$M$6*Таблица1[[#This Row],[сумма]]*Таблица1[[#This Row],[коэф]])),
IF(OR(G508="4/24",G508="3/24"),((база!$M$5*Таблица1[[#This Row],[сумма]]*Таблица1[[#This Row],[коэф]])),
IF((G508="5/16"),((база!$L$6*Таблица1[[#This Row],[сумма]]*Таблица1[[#This Row],[коэф]])),
IF(OR(G508="4/16",G508="3/16"),((база!$L$5*Таблица1[[#This Row],[сумма]]*Таблица1[[#This Row],[коэф]])),
IF(OR(G508="2/4",G508="3/4",G508="4/4"),((база!$I$5*Таблица1[[#This Row],[сумма]]*Таблица1[[#This Row],[коэф]])),
IF((G508="5/8"),((база!$J$6*Таблица1[[#This Row],[сумма]]*Таблица1[[#This Row],[коэф]])),
IF(OR(G508="4/8",G508="3/8",G508="2/8"),((база!$J$5*Таблица1[[#This Row],[сумма]]*Таблица1[[#This Row],[коэф]])))))))))))</f>
        <v>0</v>
      </c>
      <c r="AP508" s="696" t="b">
        <f>IF(AR508&lt;=3,(IF((G508="5/24"),((база!$M$6*2*Таблица1[[#This Row],[Столбец1]]*Таблица1[[#This Row],[коэф]])),
IF((G508="4/24"),((база!$M$5*2*Таблица1[[#This Row],[Столбец1]]*Таблица1[[#This Row],[коэф]])),
IF((G508="3/24"),((база!$M$4*2*Таблица1[[#This Row],[Столбец1]]*Таблица1[[#This Row],[коэф]])),
IF((G508="5/16"),((база!$L$6*2*Таблица1[[#This Row],[Столбец1]]*Таблица1[[#This Row],[коэф]])),
IF((G508="4/16"),((база!$L$5*2*Таблица1[[#This Row],[Столбец1]]*Таблица1[[#This Row],[коэф]])),
IF((G508="3/16"),((база!$L$4*2*Таблица1[[#This Row],[Столбец1]]*Таблица1[[#This Row],[коэф]])),
IF((G508="4/4"),((база!$I$5*2*Таблица1[[#This Row],[Столбец1]]*Таблица1[[#This Row],[коэф]])),
IF(OR(G508="2/4",G508="3/4"),((база!$I$4*2*Таблица1[[#This Row],[Столбец1]]*Таблица1[[#This Row],[коэф]])),
IF((G508="5/8"),((база!$J$6*2*Таблица1[[#This Row],[Столбец1]]*Таблица1[[#This Row],[коэф]])),
IF((G508="4/8"),((база!$J$5*2*Таблица1[[#This Row],[Столбец1]]*Таблица1[[#This Row],[коэф]])),
IF(OR(G508="3/8",G508="2/8"),((база!$J$4*2*Таблица1[[#This Row],[Столбец1]]*Таблица1[[#This Row],[коэф]])))))))))))))),
(IF((G508="5/24"),((база!$M$6*2*Таблица1[[#This Row],[Столбец1]]*Таблица1[[#This Row],[коэф]])),
IF(OR(G508="4/24",G508="3/24"),((база!$M$5*2*Таблица1[[#This Row],[Столбец1]]*Таблица1[[#This Row],[коэф]])),
IF((G508="5/16"),((база!$L$6*2*Таблица1[[#This Row],[Столбец1]]*Таблица1[[#This Row],[коэф]])),
IF(OR(G508="4/16",G508="3/16"),((база!$L$5*2*Таблица1[[#This Row],[Столбец1]]*Таблица1[[#This Row],[коэф]])),
IF(OR(G508="2/4",G508="3/4",G508="4/4"),((база!$I$5*2*Таблица1[[#This Row],[Столбец1]]*Таблица1[[#This Row],[коэф]])),
IF((G508="5/8"),((база!$J$6*2*Таблица1[[#This Row],[Столбец1]]*Таблица1[[#This Row],[коэф]])),
IF(OR(G508="4/8",G508="3/8",G508="2/8"),((база!$J$5*2*Таблица1[[#This Row],[Столбец1]]*Таблица1[[#This Row],[коэф]])))))))))))</f>
        <v>0</v>
      </c>
      <c r="AQ508" s="678" t="str">
        <f>IFERROR(INDEX(база!T:T, MATCH(F508,база!Q:Q,0)),"")</f>
        <v/>
      </c>
      <c r="AR508" s="193">
        <f>IFERROR(INDEX(база!D:D, MATCH(F508,база!B:B,0)),"")</f>
        <v>0</v>
      </c>
    </row>
    <row r="509" spans="1:44" ht="15">
      <c r="A509" s="59"/>
      <c r="B509" s="215"/>
      <c r="C509" s="277"/>
      <c r="D509" s="55"/>
      <c r="E509" s="196"/>
      <c r="F509" s="651"/>
      <c r="G509" s="42"/>
      <c r="H509" s="539"/>
      <c r="I509" s="539"/>
      <c r="J509" s="539"/>
      <c r="K509" s="539"/>
      <c r="L509" s="539"/>
      <c r="M509" s="539"/>
      <c r="N509" s="539"/>
      <c r="O509" s="539"/>
      <c r="P509" s="278"/>
      <c r="Q509" s="539"/>
      <c r="R509" s="539"/>
      <c r="S509" s="539"/>
      <c r="T509" s="539"/>
      <c r="U509" s="539"/>
      <c r="V509" s="539"/>
      <c r="W509" s="539"/>
      <c r="X509" s="539"/>
      <c r="Y509" s="539"/>
      <c r="Z509" s="539"/>
      <c r="AA509" s="539"/>
      <c r="AB509" s="539"/>
      <c r="AC509" s="539"/>
      <c r="AD509" s="43"/>
      <c r="AE509" s="43"/>
      <c r="AF509" s="238"/>
      <c r="AG509" s="43"/>
      <c r="AH509" s="43"/>
      <c r="AI509" s="43"/>
      <c r="AJ509" s="43"/>
      <c r="AK509" s="43"/>
      <c r="AL509" s="45"/>
      <c r="AM509" s="197">
        <f>IF(AQ509=1,SUM(H509:I509,L509:O509,R509:U509,X509:AA509,AD509:AG509,AI509:AK509),
IF(AQ509=2,SUM(H509:K509,N509:Q509,T509:W509,Z509:AC509,AF509:AI509),
IF(AQ509=3,SUM(J509:M509,P509:S509,V509:Y509,AB509:AE509,AH509:AK509),SUM(Таблица1[[#This Row],[1]:[31]])-Таблица1[[#This Row],[Столбец1]])))</f>
        <v>0</v>
      </c>
      <c r="AN509" s="269">
        <f t="array" ref="AN509">IF(AQ509=1,SUM(J509:K509,P509:Q509,V509:W509,AB509:AC509,AH509:AI509),
IF(AQ509=2,SUM(L509:M509,R509:S509,X509:Y509,AD509:AE509),
IF(AQ509=3,SUM(H509:I509,N509:O509,T509:U509,Z509:AA509,AF509:AG509),
SUM(IFERROR(WEEKDAY($H$2:$AL$2,2)&gt;5,)*H509:AL509))))</f>
        <v>0</v>
      </c>
      <c r="AO509" s="271" t="b">
        <f>IF(AR509&lt;=3,(IF((G509="5/24"),((база!$M$6*Таблица1[[#This Row],[сумма]]*Таблица1[[#This Row],[коэф]])),
IF((G509="4/24"),((база!$M$5*Таблица1[[#This Row],[сумма]]*Таблица1[[#This Row],[коэф]])),
IF((G509="3/24"),((база!$M$4*Таблица1[[#This Row],[сумма]]*Таблица1[[#This Row],[коэф]])),
IF((G509="5/16"),((база!$L$6*Таблица1[[#This Row],[сумма]]*Таблица1[[#This Row],[коэф]])),
IF((G509="4/16"),((база!$L$5*Таблица1[[#This Row],[сумма]]*Таблица1[[#This Row],[коэф]])),
IF((G509="3/16"),((база!$L$4*Таблица1[[#This Row],[сумма]]*Таблица1[[#This Row],[коэф]])),
IF((G509="4/4"),((база!$I$5*Таблица1[[#This Row],[сумма]]*Таблица1[[#This Row],[коэф]])),
IF(OR(G509="2/4",G509="3/4"),((база!$I$4*Таблица1[[#This Row],[сумма]]*Таблица1[[#This Row],[коэф]])),
IF((G509="5/8"),((база!$J$6*Таблица1[[#This Row],[сумма]]*Таблица1[[#This Row],[коэф]])),
IF((G509="4/8"),((база!$J$5*Таблица1[[#This Row],[сумма]]*Таблица1[[#This Row],[коэф]])),
IF(OR(G509="3/8",G509="2/8"),((база!$J$4*Таблица1[[#This Row],[сумма]]*Таблица1[[#This Row],[коэф]])))))))))))))),
(IF((G509="5/24"),((база!$M$6*Таблица1[[#This Row],[сумма]]*Таблица1[[#This Row],[коэф]])),
IF(OR(G509="4/24",G509="3/24"),((база!$M$5*Таблица1[[#This Row],[сумма]]*Таблица1[[#This Row],[коэф]])),
IF((G509="5/16"),((база!$L$6*Таблица1[[#This Row],[сумма]]*Таблица1[[#This Row],[коэф]])),
IF(OR(G509="4/16",G509="3/16"),((база!$L$5*Таблица1[[#This Row],[сумма]]*Таблица1[[#This Row],[коэф]])),
IF(OR(G509="2/4",G509="3/4",G509="4/4"),((база!$I$5*Таблица1[[#This Row],[сумма]]*Таблица1[[#This Row],[коэф]])),
IF((G509="5/8"),((база!$J$6*Таблица1[[#This Row],[сумма]]*Таблица1[[#This Row],[коэф]])),
IF(OR(G509="4/8",G509="3/8",G509="2/8"),((база!$J$5*Таблица1[[#This Row],[сумма]]*Таблица1[[#This Row],[коэф]])))))))))))</f>
        <v>0</v>
      </c>
      <c r="AP509" s="696" t="b">
        <f>IF(AR509&lt;=3,(IF((G509="5/24"),((база!$M$6*2*Таблица1[[#This Row],[Столбец1]]*Таблица1[[#This Row],[коэф]])),
IF((G509="4/24"),((база!$M$5*2*Таблица1[[#This Row],[Столбец1]]*Таблица1[[#This Row],[коэф]])),
IF((G509="3/24"),((база!$M$4*2*Таблица1[[#This Row],[Столбец1]]*Таблица1[[#This Row],[коэф]])),
IF((G509="5/16"),((база!$L$6*2*Таблица1[[#This Row],[Столбец1]]*Таблица1[[#This Row],[коэф]])),
IF((G509="4/16"),((база!$L$5*2*Таблица1[[#This Row],[Столбец1]]*Таблица1[[#This Row],[коэф]])),
IF((G509="3/16"),((база!$L$4*2*Таблица1[[#This Row],[Столбец1]]*Таблица1[[#This Row],[коэф]])),
IF((G509="4/4"),((база!$I$5*2*Таблица1[[#This Row],[Столбец1]]*Таблица1[[#This Row],[коэф]])),
IF(OR(G509="2/4",G509="3/4"),((база!$I$4*2*Таблица1[[#This Row],[Столбец1]]*Таблица1[[#This Row],[коэф]])),
IF((G509="5/8"),((база!$J$6*2*Таблица1[[#This Row],[Столбец1]]*Таблица1[[#This Row],[коэф]])),
IF((G509="4/8"),((база!$J$5*2*Таблица1[[#This Row],[Столбец1]]*Таблица1[[#This Row],[коэф]])),
IF(OR(G509="3/8",G509="2/8"),((база!$J$4*2*Таблица1[[#This Row],[Столбец1]]*Таблица1[[#This Row],[коэф]])))))))))))))),
(IF((G509="5/24"),((база!$M$6*2*Таблица1[[#This Row],[Столбец1]]*Таблица1[[#This Row],[коэф]])),
IF(OR(G509="4/24",G509="3/24"),((база!$M$5*2*Таблица1[[#This Row],[Столбец1]]*Таблица1[[#This Row],[коэф]])),
IF((G509="5/16"),((база!$L$6*2*Таблица1[[#This Row],[Столбец1]]*Таблица1[[#This Row],[коэф]])),
IF(OR(G509="4/16",G509="3/16"),((база!$L$5*2*Таблица1[[#This Row],[Столбец1]]*Таблица1[[#This Row],[коэф]])),
IF(OR(G509="2/4",G509="3/4",G509="4/4"),((база!$I$5*2*Таблица1[[#This Row],[Столбец1]]*Таблица1[[#This Row],[коэф]])),
IF((G509="5/8"),((база!$J$6*2*Таблица1[[#This Row],[Столбец1]]*Таблица1[[#This Row],[коэф]])),
IF(OR(G509="4/8",G509="3/8",G509="2/8"),((база!$J$5*2*Таблица1[[#This Row],[Столбец1]]*Таблица1[[#This Row],[коэф]])))))))))))</f>
        <v>0</v>
      </c>
      <c r="AQ509" s="678" t="str">
        <f>IFERROR(INDEX(база!T:T, MATCH(F509,база!Q:Q,0)),"")</f>
        <v/>
      </c>
      <c r="AR509" s="193">
        <f>IFERROR(INDEX(база!D:D, MATCH(F509,база!B:B,0)),"")</f>
        <v>0</v>
      </c>
    </row>
    <row r="510" spans="1:44" ht="15">
      <c r="A510" s="59"/>
      <c r="B510" s="215"/>
      <c r="C510" s="277"/>
      <c r="D510" s="55"/>
      <c r="E510" s="196"/>
      <c r="F510" s="651"/>
      <c r="G510" s="42"/>
      <c r="H510" s="539"/>
      <c r="I510" s="539"/>
      <c r="J510" s="539"/>
      <c r="K510" s="539"/>
      <c r="L510" s="539"/>
      <c r="M510" s="539"/>
      <c r="N510" s="539"/>
      <c r="O510" s="539"/>
      <c r="P510" s="278"/>
      <c r="Q510" s="539"/>
      <c r="R510" s="539"/>
      <c r="S510" s="539"/>
      <c r="T510" s="539"/>
      <c r="U510" s="539"/>
      <c r="V510" s="539"/>
      <c r="W510" s="539"/>
      <c r="X510" s="539"/>
      <c r="Y510" s="539"/>
      <c r="Z510" s="539"/>
      <c r="AA510" s="539"/>
      <c r="AB510" s="539"/>
      <c r="AC510" s="539"/>
      <c r="AD510" s="43"/>
      <c r="AE510" s="43"/>
      <c r="AF510" s="238"/>
      <c r="AG510" s="43"/>
      <c r="AH510" s="43"/>
      <c r="AI510" s="238"/>
      <c r="AJ510" s="238"/>
      <c r="AK510" s="238"/>
      <c r="AL510" s="238"/>
      <c r="AM510" s="197">
        <f>IF(AQ510=1,SUM(H510:I510,L510:O510,R510:U510,X510:AA510,AD510:AG510,AI510:AK510),
IF(AQ510=2,SUM(H510:K510,N510:Q510,T510:W510,Z510:AC510,AF510:AI510),
IF(AQ510=3,SUM(J510:M510,P510:S510,V510:Y510,AB510:AE510,AH510:AK510),SUM(Таблица1[[#This Row],[1]:[31]])-Таблица1[[#This Row],[Столбец1]])))</f>
        <v>0</v>
      </c>
      <c r="AN510" s="269">
        <f t="array" ref="AN510">IF(AQ510=1,SUM(J510:K510,P510:Q510,V510:W510,AB510:AC510,AH510:AI510),
IF(AQ510=2,SUM(L510:M510,R510:S510,X510:Y510,AD510:AE510),
IF(AQ510=3,SUM(H510:I510,N510:O510,T510:U510,Z510:AA510,AF510:AG510),
SUM(IFERROR(WEEKDAY($H$2:$AL$2,2)&gt;5,)*H510:AL510))))</f>
        <v>0</v>
      </c>
      <c r="AO510" s="271" t="b">
        <f>IF(AR510&lt;=3,(IF((G510="5/24"),((база!$M$6*Таблица1[[#This Row],[сумма]]*Таблица1[[#This Row],[коэф]])),
IF((G510="4/24"),((база!$M$5*Таблица1[[#This Row],[сумма]]*Таблица1[[#This Row],[коэф]])),
IF((G510="3/24"),((база!$M$4*Таблица1[[#This Row],[сумма]]*Таблица1[[#This Row],[коэф]])),
IF((G510="5/16"),((база!$L$6*Таблица1[[#This Row],[сумма]]*Таблица1[[#This Row],[коэф]])),
IF((G510="4/16"),((база!$L$5*Таблица1[[#This Row],[сумма]]*Таблица1[[#This Row],[коэф]])),
IF((G510="3/16"),((база!$L$4*Таблица1[[#This Row],[сумма]]*Таблица1[[#This Row],[коэф]])),
IF((G510="4/4"),((база!$I$5*Таблица1[[#This Row],[сумма]]*Таблица1[[#This Row],[коэф]])),
IF(OR(G510="2/4",G510="3/4"),((база!$I$4*Таблица1[[#This Row],[сумма]]*Таблица1[[#This Row],[коэф]])),
IF((G510="5/8"),((база!$J$6*Таблица1[[#This Row],[сумма]]*Таблица1[[#This Row],[коэф]])),
IF((G510="4/8"),((база!$J$5*Таблица1[[#This Row],[сумма]]*Таблица1[[#This Row],[коэф]])),
IF(OR(G510="3/8",G510="2/8"),((база!$J$4*Таблица1[[#This Row],[сумма]]*Таблица1[[#This Row],[коэф]])))))))))))))),
(IF((G510="5/24"),((база!$M$6*Таблица1[[#This Row],[сумма]]*Таблица1[[#This Row],[коэф]])),
IF(OR(G510="4/24",G510="3/24"),((база!$M$5*Таблица1[[#This Row],[сумма]]*Таблица1[[#This Row],[коэф]])),
IF((G510="5/16"),((база!$L$6*Таблица1[[#This Row],[сумма]]*Таблица1[[#This Row],[коэф]])),
IF(OR(G510="4/16",G510="3/16"),((база!$L$5*Таблица1[[#This Row],[сумма]]*Таблица1[[#This Row],[коэф]])),
IF(OR(G510="2/4",G510="3/4",G510="4/4"),((база!$I$5*Таблица1[[#This Row],[сумма]]*Таблица1[[#This Row],[коэф]])),
IF((G510="5/8"),((база!$J$6*Таблица1[[#This Row],[сумма]]*Таблица1[[#This Row],[коэф]])),
IF(OR(G510="4/8",G510="3/8",G510="2/8"),((база!$J$5*Таблица1[[#This Row],[сумма]]*Таблица1[[#This Row],[коэф]])))))))))))</f>
        <v>0</v>
      </c>
      <c r="AP510" s="696" t="b">
        <f>IF(AR510&lt;=3,(IF((G510="5/24"),((база!$M$6*2*Таблица1[[#This Row],[Столбец1]]*Таблица1[[#This Row],[коэф]])),
IF((G510="4/24"),((база!$M$5*2*Таблица1[[#This Row],[Столбец1]]*Таблица1[[#This Row],[коэф]])),
IF((G510="3/24"),((база!$M$4*2*Таблица1[[#This Row],[Столбец1]]*Таблица1[[#This Row],[коэф]])),
IF((G510="5/16"),((база!$L$6*2*Таблица1[[#This Row],[Столбец1]]*Таблица1[[#This Row],[коэф]])),
IF((G510="4/16"),((база!$L$5*2*Таблица1[[#This Row],[Столбец1]]*Таблица1[[#This Row],[коэф]])),
IF((G510="3/16"),((база!$L$4*2*Таблица1[[#This Row],[Столбец1]]*Таблица1[[#This Row],[коэф]])),
IF((G510="4/4"),((база!$I$5*2*Таблица1[[#This Row],[Столбец1]]*Таблица1[[#This Row],[коэф]])),
IF(OR(G510="2/4",G510="3/4"),((база!$I$4*2*Таблица1[[#This Row],[Столбец1]]*Таблица1[[#This Row],[коэф]])),
IF((G510="5/8"),((база!$J$6*2*Таблица1[[#This Row],[Столбец1]]*Таблица1[[#This Row],[коэф]])),
IF((G510="4/8"),((база!$J$5*2*Таблица1[[#This Row],[Столбец1]]*Таблица1[[#This Row],[коэф]])),
IF(OR(G510="3/8",G510="2/8"),((база!$J$4*2*Таблица1[[#This Row],[Столбец1]]*Таблица1[[#This Row],[коэф]])))))))))))))),
(IF((G510="5/24"),((база!$M$6*2*Таблица1[[#This Row],[Столбец1]]*Таблица1[[#This Row],[коэф]])),
IF(OR(G510="4/24",G510="3/24"),((база!$M$5*2*Таблица1[[#This Row],[Столбец1]]*Таблица1[[#This Row],[коэф]])),
IF((G510="5/16"),((база!$L$6*2*Таблица1[[#This Row],[Столбец1]]*Таблица1[[#This Row],[коэф]])),
IF(OR(G510="4/16",G510="3/16"),((база!$L$5*2*Таблица1[[#This Row],[Столбец1]]*Таблица1[[#This Row],[коэф]])),
IF(OR(G510="2/4",G510="3/4",G510="4/4"),((база!$I$5*2*Таблица1[[#This Row],[Столбец1]]*Таблица1[[#This Row],[коэф]])),
IF((G510="5/8"),((база!$J$6*2*Таблица1[[#This Row],[Столбец1]]*Таблица1[[#This Row],[коэф]])),
IF(OR(G510="4/8",G510="3/8",G510="2/8"),((база!$J$5*2*Таблица1[[#This Row],[Столбец1]]*Таблица1[[#This Row],[коэф]])))))))))))</f>
        <v>0</v>
      </c>
      <c r="AQ510" s="678" t="str">
        <f>IFERROR(INDEX(база!T:T, MATCH(F510,база!Q:Q,0)),"")</f>
        <v/>
      </c>
      <c r="AR510" s="193">
        <f>IFERROR(INDEX(база!D:D, MATCH(F510,база!B:B,0)),"")</f>
        <v>0</v>
      </c>
    </row>
    <row r="511" spans="1:44" ht="15">
      <c r="A511" s="59"/>
      <c r="B511" s="215"/>
      <c r="C511" s="277"/>
      <c r="D511" s="55"/>
      <c r="E511" s="196"/>
      <c r="F511" s="651"/>
      <c r="G511" s="42"/>
      <c r="H511" s="539"/>
      <c r="I511" s="539"/>
      <c r="J511" s="539"/>
      <c r="K511" s="539"/>
      <c r="L511" s="539"/>
      <c r="M511" s="539"/>
      <c r="N511" s="539"/>
      <c r="O511" s="539"/>
      <c r="P511" s="278"/>
      <c r="Q511" s="539"/>
      <c r="R511" s="539"/>
      <c r="S511" s="539"/>
      <c r="T511" s="539"/>
      <c r="U511" s="539"/>
      <c r="V511" s="539"/>
      <c r="W511" s="539"/>
      <c r="X511" s="539"/>
      <c r="Y511" s="539"/>
      <c r="Z511" s="539"/>
      <c r="AA511" s="539"/>
      <c r="AB511" s="539"/>
      <c r="AC511" s="539"/>
      <c r="AD511" s="43"/>
      <c r="AE511" s="43"/>
      <c r="AF511" s="238"/>
      <c r="AG511" s="43"/>
      <c r="AH511" s="43"/>
      <c r="AI511" s="43"/>
      <c r="AJ511" s="43"/>
      <c r="AK511" s="43"/>
      <c r="AL511" s="45"/>
      <c r="AM511" s="197">
        <f>IF(AQ511=1,SUM(H511:I511,L511:O511,R511:U511,X511:AA511,AD511:AG511,AI511:AK511),
IF(AQ511=2,SUM(H511:K511,N511:Q511,T511:W511,Z511:AC511,AF511:AI511),
IF(AQ511=3,SUM(J511:M511,P511:S511,V511:Y511,AB511:AE511,AH511:AK511),SUM(Таблица1[[#This Row],[1]:[31]])-Таблица1[[#This Row],[Столбец1]])))</f>
        <v>0</v>
      </c>
      <c r="AN511" s="269">
        <f t="array" ref="AN511">IF(AQ511=1,SUM(J511:K511,P511:Q511,V511:W511,AB511:AC511,AH511:AI511),
IF(AQ511=2,SUM(L511:M511,R511:S511,X511:Y511,AD511:AE511),
IF(AQ511=3,SUM(H511:I511,N511:O511,T511:U511,Z511:AA511,AF511:AG511),
SUM(IFERROR(WEEKDAY($H$2:$AL$2,2)&gt;5,)*H511:AL511))))</f>
        <v>0</v>
      </c>
      <c r="AO511" s="271" t="b">
        <f>IF(AR511&lt;=3,(IF((G511="5/24"),((база!$M$6*Таблица1[[#This Row],[сумма]]*Таблица1[[#This Row],[коэф]])),
IF((G511="4/24"),((база!$M$5*Таблица1[[#This Row],[сумма]]*Таблица1[[#This Row],[коэф]])),
IF((G511="3/24"),((база!$M$4*Таблица1[[#This Row],[сумма]]*Таблица1[[#This Row],[коэф]])),
IF((G511="5/16"),((база!$L$6*Таблица1[[#This Row],[сумма]]*Таблица1[[#This Row],[коэф]])),
IF((G511="4/16"),((база!$L$5*Таблица1[[#This Row],[сумма]]*Таблица1[[#This Row],[коэф]])),
IF((G511="3/16"),((база!$L$4*Таблица1[[#This Row],[сумма]]*Таблица1[[#This Row],[коэф]])),
IF((G511="4/4"),((база!$I$5*Таблица1[[#This Row],[сумма]]*Таблица1[[#This Row],[коэф]])),
IF(OR(G511="2/4",G511="3/4"),((база!$I$4*Таблица1[[#This Row],[сумма]]*Таблица1[[#This Row],[коэф]])),
IF((G511="5/8"),((база!$J$6*Таблица1[[#This Row],[сумма]]*Таблица1[[#This Row],[коэф]])),
IF((G511="4/8"),((база!$J$5*Таблица1[[#This Row],[сумма]]*Таблица1[[#This Row],[коэф]])),
IF(OR(G511="3/8",G511="2/8"),((база!$J$4*Таблица1[[#This Row],[сумма]]*Таблица1[[#This Row],[коэф]])))))))))))))),
(IF((G511="5/24"),((база!$M$6*Таблица1[[#This Row],[сумма]]*Таблица1[[#This Row],[коэф]])),
IF(OR(G511="4/24",G511="3/24"),((база!$M$5*Таблица1[[#This Row],[сумма]]*Таблица1[[#This Row],[коэф]])),
IF((G511="5/16"),((база!$L$6*Таблица1[[#This Row],[сумма]]*Таблица1[[#This Row],[коэф]])),
IF(OR(G511="4/16",G511="3/16"),((база!$L$5*Таблица1[[#This Row],[сумма]]*Таблица1[[#This Row],[коэф]])),
IF(OR(G511="2/4",G511="3/4",G511="4/4"),((база!$I$5*Таблица1[[#This Row],[сумма]]*Таблица1[[#This Row],[коэф]])),
IF((G511="5/8"),((база!$J$6*Таблица1[[#This Row],[сумма]]*Таблица1[[#This Row],[коэф]])),
IF(OR(G511="4/8",G511="3/8",G511="2/8"),((база!$J$5*Таблица1[[#This Row],[сумма]]*Таблица1[[#This Row],[коэф]])))))))))))</f>
        <v>0</v>
      </c>
      <c r="AP511" s="696" t="b">
        <f>IF(AR511&lt;=3,(IF((G511="5/24"),((база!$M$6*2*Таблица1[[#This Row],[Столбец1]]*Таблица1[[#This Row],[коэф]])),
IF((G511="4/24"),((база!$M$5*2*Таблица1[[#This Row],[Столбец1]]*Таблица1[[#This Row],[коэф]])),
IF((G511="3/24"),((база!$M$4*2*Таблица1[[#This Row],[Столбец1]]*Таблица1[[#This Row],[коэф]])),
IF((G511="5/16"),((база!$L$6*2*Таблица1[[#This Row],[Столбец1]]*Таблица1[[#This Row],[коэф]])),
IF((G511="4/16"),((база!$L$5*2*Таблица1[[#This Row],[Столбец1]]*Таблица1[[#This Row],[коэф]])),
IF((G511="3/16"),((база!$L$4*2*Таблица1[[#This Row],[Столбец1]]*Таблица1[[#This Row],[коэф]])),
IF((G511="4/4"),((база!$I$5*2*Таблица1[[#This Row],[Столбец1]]*Таблица1[[#This Row],[коэф]])),
IF(OR(G511="2/4",G511="3/4"),((база!$I$4*2*Таблица1[[#This Row],[Столбец1]]*Таблица1[[#This Row],[коэф]])),
IF((G511="5/8"),((база!$J$6*2*Таблица1[[#This Row],[Столбец1]]*Таблица1[[#This Row],[коэф]])),
IF((G511="4/8"),((база!$J$5*2*Таблица1[[#This Row],[Столбец1]]*Таблица1[[#This Row],[коэф]])),
IF(OR(G511="3/8",G511="2/8"),((база!$J$4*2*Таблица1[[#This Row],[Столбец1]]*Таблица1[[#This Row],[коэф]])))))))))))))),
(IF((G511="5/24"),((база!$M$6*2*Таблица1[[#This Row],[Столбец1]]*Таблица1[[#This Row],[коэф]])),
IF(OR(G511="4/24",G511="3/24"),((база!$M$5*2*Таблица1[[#This Row],[Столбец1]]*Таблица1[[#This Row],[коэф]])),
IF((G511="5/16"),((база!$L$6*2*Таблица1[[#This Row],[Столбец1]]*Таблица1[[#This Row],[коэф]])),
IF(OR(G511="4/16",G511="3/16"),((база!$L$5*2*Таблица1[[#This Row],[Столбец1]]*Таблица1[[#This Row],[коэф]])),
IF(OR(G511="2/4",G511="3/4",G511="4/4"),((база!$I$5*2*Таблица1[[#This Row],[Столбец1]]*Таблица1[[#This Row],[коэф]])),
IF((G511="5/8"),((база!$J$6*2*Таблица1[[#This Row],[Столбец1]]*Таблица1[[#This Row],[коэф]])),
IF(OR(G511="4/8",G511="3/8",G511="2/8"),((база!$J$5*2*Таблица1[[#This Row],[Столбец1]]*Таблица1[[#This Row],[коэф]])))))))))))</f>
        <v>0</v>
      </c>
      <c r="AQ511" s="678" t="str">
        <f>IFERROR(INDEX(база!T:T, MATCH(F511,база!Q:Q,0)),"")</f>
        <v/>
      </c>
      <c r="AR511" s="193">
        <f>IFERROR(INDEX(база!D:D, MATCH(F511,база!B:B,0)),"")</f>
        <v>0</v>
      </c>
    </row>
    <row r="512" spans="1:44" ht="15">
      <c r="A512" s="59"/>
      <c r="B512" s="215"/>
      <c r="C512" s="277"/>
      <c r="D512" s="55"/>
      <c r="E512" s="196"/>
      <c r="F512" s="651"/>
      <c r="G512" s="42"/>
      <c r="H512" s="539"/>
      <c r="I512" s="539"/>
      <c r="J512" s="539"/>
      <c r="K512" s="539"/>
      <c r="L512" s="539"/>
      <c r="M512" s="539"/>
      <c r="N512" s="539"/>
      <c r="O512" s="539"/>
      <c r="P512" s="278"/>
      <c r="Q512" s="539"/>
      <c r="R512" s="539"/>
      <c r="S512" s="539"/>
      <c r="T512" s="539"/>
      <c r="U512" s="539"/>
      <c r="V512" s="539"/>
      <c r="W512" s="539"/>
      <c r="X512" s="539"/>
      <c r="Y512" s="539"/>
      <c r="Z512" s="539"/>
      <c r="AA512" s="539"/>
      <c r="AB512" s="539"/>
      <c r="AC512" s="539"/>
      <c r="AD512" s="43"/>
      <c r="AE512" s="43"/>
      <c r="AF512" s="238"/>
      <c r="AG512" s="43"/>
      <c r="AH512" s="43"/>
      <c r="AI512" s="238"/>
      <c r="AJ512" s="238"/>
      <c r="AK512" s="238"/>
      <c r="AL512" s="238"/>
      <c r="AM512" s="197">
        <f>IF(AQ512=1,SUM(H512:I512,L512:O512,R512:U512,X512:AA512,AD512:AG512,AI512:AK512),
IF(AQ512=2,SUM(H512:K512,N512:Q512,T512:W512,Z512:AC512,AF512:AI512),
IF(AQ512=3,SUM(J512:M512,P512:S512,V512:Y512,AB512:AE512,AH512:AK512),SUM(Таблица1[[#This Row],[1]:[31]])-Таблица1[[#This Row],[Столбец1]])))</f>
        <v>0</v>
      </c>
      <c r="AN512" s="269">
        <f t="array" ref="AN512">IF(AQ512=1,SUM(J512:K512,P512:Q512,V512:W512,AB512:AC512,AH512:AI512),
IF(AQ512=2,SUM(L512:M512,R512:S512,X512:Y512,AD512:AE512),
IF(AQ512=3,SUM(H512:I512,N512:O512,T512:U512,Z512:AA512,AF512:AG512),
SUM(IFERROR(WEEKDAY($H$2:$AL$2,2)&gt;5,)*H512:AL512))))</f>
        <v>0</v>
      </c>
      <c r="AO512" s="271" t="b">
        <f>IF(AR512&lt;=3,(IF((G512="5/24"),((база!$M$6*Таблица1[[#This Row],[сумма]]*Таблица1[[#This Row],[коэф]])),
IF((G512="4/24"),((база!$M$5*Таблица1[[#This Row],[сумма]]*Таблица1[[#This Row],[коэф]])),
IF((G512="3/24"),((база!$M$4*Таблица1[[#This Row],[сумма]]*Таблица1[[#This Row],[коэф]])),
IF((G512="5/16"),((база!$L$6*Таблица1[[#This Row],[сумма]]*Таблица1[[#This Row],[коэф]])),
IF((G512="4/16"),((база!$L$5*Таблица1[[#This Row],[сумма]]*Таблица1[[#This Row],[коэф]])),
IF((G512="3/16"),((база!$L$4*Таблица1[[#This Row],[сумма]]*Таблица1[[#This Row],[коэф]])),
IF((G512="4/4"),((база!$I$5*Таблица1[[#This Row],[сумма]]*Таблица1[[#This Row],[коэф]])),
IF(OR(G512="2/4",G512="3/4"),((база!$I$4*Таблица1[[#This Row],[сумма]]*Таблица1[[#This Row],[коэф]])),
IF((G512="5/8"),((база!$J$6*Таблица1[[#This Row],[сумма]]*Таблица1[[#This Row],[коэф]])),
IF((G512="4/8"),((база!$J$5*Таблица1[[#This Row],[сумма]]*Таблица1[[#This Row],[коэф]])),
IF(OR(G512="3/8",G512="2/8"),((база!$J$4*Таблица1[[#This Row],[сумма]]*Таблица1[[#This Row],[коэф]])))))))))))))),
(IF((G512="5/24"),((база!$M$6*Таблица1[[#This Row],[сумма]]*Таблица1[[#This Row],[коэф]])),
IF(OR(G512="4/24",G512="3/24"),((база!$M$5*Таблица1[[#This Row],[сумма]]*Таблица1[[#This Row],[коэф]])),
IF((G512="5/16"),((база!$L$6*Таблица1[[#This Row],[сумма]]*Таблица1[[#This Row],[коэф]])),
IF(OR(G512="4/16",G512="3/16"),((база!$L$5*Таблица1[[#This Row],[сумма]]*Таблица1[[#This Row],[коэф]])),
IF(OR(G512="2/4",G512="3/4",G512="4/4"),((база!$I$5*Таблица1[[#This Row],[сумма]]*Таблица1[[#This Row],[коэф]])),
IF((G512="5/8"),((база!$J$6*Таблица1[[#This Row],[сумма]]*Таблица1[[#This Row],[коэф]])),
IF(OR(G512="4/8",G512="3/8",G512="2/8"),((база!$J$5*Таблица1[[#This Row],[сумма]]*Таблица1[[#This Row],[коэф]])))))))))))</f>
        <v>0</v>
      </c>
      <c r="AP512" s="696" t="b">
        <f>IF(AR512&lt;=3,(IF((G512="5/24"),((база!$M$6*2*Таблица1[[#This Row],[Столбец1]]*Таблица1[[#This Row],[коэф]])),
IF((G512="4/24"),((база!$M$5*2*Таблица1[[#This Row],[Столбец1]]*Таблица1[[#This Row],[коэф]])),
IF((G512="3/24"),((база!$M$4*2*Таблица1[[#This Row],[Столбец1]]*Таблица1[[#This Row],[коэф]])),
IF((G512="5/16"),((база!$L$6*2*Таблица1[[#This Row],[Столбец1]]*Таблица1[[#This Row],[коэф]])),
IF((G512="4/16"),((база!$L$5*2*Таблица1[[#This Row],[Столбец1]]*Таблица1[[#This Row],[коэф]])),
IF((G512="3/16"),((база!$L$4*2*Таблица1[[#This Row],[Столбец1]]*Таблица1[[#This Row],[коэф]])),
IF((G512="4/4"),((база!$I$5*2*Таблица1[[#This Row],[Столбец1]]*Таблица1[[#This Row],[коэф]])),
IF(OR(G512="2/4",G512="3/4"),((база!$I$4*2*Таблица1[[#This Row],[Столбец1]]*Таблица1[[#This Row],[коэф]])),
IF((G512="5/8"),((база!$J$6*2*Таблица1[[#This Row],[Столбец1]]*Таблица1[[#This Row],[коэф]])),
IF((G512="4/8"),((база!$J$5*2*Таблица1[[#This Row],[Столбец1]]*Таблица1[[#This Row],[коэф]])),
IF(OR(G512="3/8",G512="2/8"),((база!$J$4*2*Таблица1[[#This Row],[Столбец1]]*Таблица1[[#This Row],[коэф]])))))))))))))),
(IF((G512="5/24"),((база!$M$6*2*Таблица1[[#This Row],[Столбец1]]*Таблица1[[#This Row],[коэф]])),
IF(OR(G512="4/24",G512="3/24"),((база!$M$5*2*Таблица1[[#This Row],[Столбец1]]*Таблица1[[#This Row],[коэф]])),
IF((G512="5/16"),((база!$L$6*2*Таблица1[[#This Row],[Столбец1]]*Таблица1[[#This Row],[коэф]])),
IF(OR(G512="4/16",G512="3/16"),((база!$L$5*2*Таблица1[[#This Row],[Столбец1]]*Таблица1[[#This Row],[коэф]])),
IF(OR(G512="2/4",G512="3/4",G512="4/4"),((база!$I$5*2*Таблица1[[#This Row],[Столбец1]]*Таблица1[[#This Row],[коэф]])),
IF((G512="5/8"),((база!$J$6*2*Таблица1[[#This Row],[Столбец1]]*Таблица1[[#This Row],[коэф]])),
IF(OR(G512="4/8",G512="3/8",G512="2/8"),((база!$J$5*2*Таблица1[[#This Row],[Столбец1]]*Таблица1[[#This Row],[коэф]])))))))))))</f>
        <v>0</v>
      </c>
      <c r="AQ512" s="678" t="str">
        <f>IFERROR(INDEX(база!T:T, MATCH(F512,база!Q:Q,0)),"")</f>
        <v/>
      </c>
      <c r="AR512" s="193">
        <f>IFERROR(INDEX(база!D:D, MATCH(F512,база!B:B,0)),"")</f>
        <v>0</v>
      </c>
    </row>
    <row r="513" spans="1:44" ht="15">
      <c r="A513" s="59"/>
      <c r="B513" s="215"/>
      <c r="C513" s="277"/>
      <c r="D513" s="55"/>
      <c r="E513" s="196"/>
      <c r="F513" s="651"/>
      <c r="G513" s="42"/>
      <c r="H513" s="539"/>
      <c r="I513" s="539"/>
      <c r="J513" s="539"/>
      <c r="K513" s="539"/>
      <c r="L513" s="539"/>
      <c r="M513" s="539"/>
      <c r="N513" s="539"/>
      <c r="O513" s="539"/>
      <c r="P513" s="278"/>
      <c r="Q513" s="539"/>
      <c r="R513" s="539"/>
      <c r="S513" s="539"/>
      <c r="T513" s="539"/>
      <c r="U513" s="539"/>
      <c r="V513" s="539"/>
      <c r="W513" s="539"/>
      <c r="X513" s="539"/>
      <c r="Y513" s="539"/>
      <c r="Z513" s="539"/>
      <c r="AA513" s="539"/>
      <c r="AB513" s="539"/>
      <c r="AC513" s="539"/>
      <c r="AD513" s="43"/>
      <c r="AE513" s="43"/>
      <c r="AF513" s="238"/>
      <c r="AG513" s="43"/>
      <c r="AH513" s="43"/>
      <c r="AI513" s="43"/>
      <c r="AJ513" s="43"/>
      <c r="AK513" s="43"/>
      <c r="AL513" s="45"/>
      <c r="AM513" s="197">
        <f>IF(AQ513=1,SUM(H513:I513,L513:O513,R513:U513,X513:AA513,AD513:AG513,AI513:AK513),
IF(AQ513=2,SUM(H513:K513,N513:Q513,T513:W513,Z513:AC513,AF513:AI513),
IF(AQ513=3,SUM(J513:M513,P513:S513,V513:Y513,AB513:AE513,AH513:AK513),SUM(Таблица1[[#This Row],[1]:[31]])-Таблица1[[#This Row],[Столбец1]])))</f>
        <v>0</v>
      </c>
      <c r="AN513" s="269">
        <f t="array" ref="AN513">IF(AQ513=1,SUM(J513:K513,P513:Q513,V513:W513,AB513:AC513,AH513:AI513),
IF(AQ513=2,SUM(L513:M513,R513:S513,X513:Y513,AD513:AE513),
IF(AQ513=3,SUM(H513:I513,N513:O513,T513:U513,Z513:AA513,AF513:AG513),
SUM(IFERROR(WEEKDAY($H$2:$AL$2,2)&gt;5,)*H513:AL513))))</f>
        <v>0</v>
      </c>
      <c r="AO513" s="271" t="b">
        <f>IF(AR513&lt;=3,(IF((G513="5/24"),((база!$M$6*Таблица1[[#This Row],[сумма]]*Таблица1[[#This Row],[коэф]])),
IF((G513="4/24"),((база!$M$5*Таблица1[[#This Row],[сумма]]*Таблица1[[#This Row],[коэф]])),
IF((G513="3/24"),((база!$M$4*Таблица1[[#This Row],[сумма]]*Таблица1[[#This Row],[коэф]])),
IF((G513="5/16"),((база!$L$6*Таблица1[[#This Row],[сумма]]*Таблица1[[#This Row],[коэф]])),
IF((G513="4/16"),((база!$L$5*Таблица1[[#This Row],[сумма]]*Таблица1[[#This Row],[коэф]])),
IF((G513="3/16"),((база!$L$4*Таблица1[[#This Row],[сумма]]*Таблица1[[#This Row],[коэф]])),
IF((G513="4/4"),((база!$I$5*Таблица1[[#This Row],[сумма]]*Таблица1[[#This Row],[коэф]])),
IF(OR(G513="2/4",G513="3/4"),((база!$I$4*Таблица1[[#This Row],[сумма]]*Таблица1[[#This Row],[коэф]])),
IF((G513="5/8"),((база!$J$6*Таблица1[[#This Row],[сумма]]*Таблица1[[#This Row],[коэф]])),
IF((G513="4/8"),((база!$J$5*Таблица1[[#This Row],[сумма]]*Таблица1[[#This Row],[коэф]])),
IF(OR(G513="3/8",G513="2/8"),((база!$J$4*Таблица1[[#This Row],[сумма]]*Таблица1[[#This Row],[коэф]])))))))))))))),
(IF((G513="5/24"),((база!$M$6*Таблица1[[#This Row],[сумма]]*Таблица1[[#This Row],[коэф]])),
IF(OR(G513="4/24",G513="3/24"),((база!$M$5*Таблица1[[#This Row],[сумма]]*Таблица1[[#This Row],[коэф]])),
IF((G513="5/16"),((база!$L$6*Таблица1[[#This Row],[сумма]]*Таблица1[[#This Row],[коэф]])),
IF(OR(G513="4/16",G513="3/16"),((база!$L$5*Таблица1[[#This Row],[сумма]]*Таблица1[[#This Row],[коэф]])),
IF(OR(G513="2/4",G513="3/4",G513="4/4"),((база!$I$5*Таблица1[[#This Row],[сумма]]*Таблица1[[#This Row],[коэф]])),
IF((G513="5/8"),((база!$J$6*Таблица1[[#This Row],[сумма]]*Таблица1[[#This Row],[коэф]])),
IF(OR(G513="4/8",G513="3/8",G513="2/8"),((база!$J$5*Таблица1[[#This Row],[сумма]]*Таблица1[[#This Row],[коэф]])))))))))))</f>
        <v>0</v>
      </c>
      <c r="AP513" s="696" t="b">
        <f>IF(AR513&lt;=3,(IF((G513="5/24"),((база!$M$6*2*Таблица1[[#This Row],[Столбец1]]*Таблица1[[#This Row],[коэф]])),
IF((G513="4/24"),((база!$M$5*2*Таблица1[[#This Row],[Столбец1]]*Таблица1[[#This Row],[коэф]])),
IF((G513="3/24"),((база!$M$4*2*Таблица1[[#This Row],[Столбец1]]*Таблица1[[#This Row],[коэф]])),
IF((G513="5/16"),((база!$L$6*2*Таблица1[[#This Row],[Столбец1]]*Таблица1[[#This Row],[коэф]])),
IF((G513="4/16"),((база!$L$5*2*Таблица1[[#This Row],[Столбец1]]*Таблица1[[#This Row],[коэф]])),
IF((G513="3/16"),((база!$L$4*2*Таблица1[[#This Row],[Столбец1]]*Таблица1[[#This Row],[коэф]])),
IF((G513="4/4"),((база!$I$5*2*Таблица1[[#This Row],[Столбец1]]*Таблица1[[#This Row],[коэф]])),
IF(OR(G513="2/4",G513="3/4"),((база!$I$4*2*Таблица1[[#This Row],[Столбец1]]*Таблица1[[#This Row],[коэф]])),
IF((G513="5/8"),((база!$J$6*2*Таблица1[[#This Row],[Столбец1]]*Таблица1[[#This Row],[коэф]])),
IF((G513="4/8"),((база!$J$5*2*Таблица1[[#This Row],[Столбец1]]*Таблица1[[#This Row],[коэф]])),
IF(OR(G513="3/8",G513="2/8"),((база!$J$4*2*Таблица1[[#This Row],[Столбец1]]*Таблица1[[#This Row],[коэф]])))))))))))))),
(IF((G513="5/24"),((база!$M$6*2*Таблица1[[#This Row],[Столбец1]]*Таблица1[[#This Row],[коэф]])),
IF(OR(G513="4/24",G513="3/24"),((база!$M$5*2*Таблица1[[#This Row],[Столбец1]]*Таблица1[[#This Row],[коэф]])),
IF((G513="5/16"),((база!$L$6*2*Таблица1[[#This Row],[Столбец1]]*Таблица1[[#This Row],[коэф]])),
IF(OR(G513="4/16",G513="3/16"),((база!$L$5*2*Таблица1[[#This Row],[Столбец1]]*Таблица1[[#This Row],[коэф]])),
IF(OR(G513="2/4",G513="3/4",G513="4/4"),((база!$I$5*2*Таблица1[[#This Row],[Столбец1]]*Таблица1[[#This Row],[коэф]])),
IF((G513="5/8"),((база!$J$6*2*Таблица1[[#This Row],[Столбец1]]*Таблица1[[#This Row],[коэф]])),
IF(OR(G513="4/8",G513="3/8",G513="2/8"),((база!$J$5*2*Таблица1[[#This Row],[Столбец1]]*Таблица1[[#This Row],[коэф]])))))))))))</f>
        <v>0</v>
      </c>
      <c r="AQ513" s="678" t="str">
        <f>IFERROR(INDEX(база!T:T, MATCH(F513,база!Q:Q,0)),"")</f>
        <v/>
      </c>
      <c r="AR513" s="193">
        <f>IFERROR(INDEX(база!D:D, MATCH(F513,база!B:B,0)),"")</f>
        <v>0</v>
      </c>
    </row>
    <row r="514" spans="1:44" ht="15">
      <c r="A514" s="59"/>
      <c r="B514" s="215"/>
      <c r="C514" s="277"/>
      <c r="D514" s="55"/>
      <c r="E514" s="196"/>
      <c r="F514" s="651"/>
      <c r="G514" s="42"/>
      <c r="H514" s="539"/>
      <c r="I514" s="539"/>
      <c r="J514" s="539"/>
      <c r="K514" s="539"/>
      <c r="L514" s="539"/>
      <c r="M514" s="539"/>
      <c r="N514" s="539"/>
      <c r="O514" s="539"/>
      <c r="P514" s="278"/>
      <c r="Q514" s="539"/>
      <c r="R514" s="539"/>
      <c r="S514" s="539"/>
      <c r="T514" s="539"/>
      <c r="U514" s="539"/>
      <c r="V514" s="539"/>
      <c r="W514" s="539"/>
      <c r="X514" s="539"/>
      <c r="Y514" s="539"/>
      <c r="Z514" s="539"/>
      <c r="AA514" s="539"/>
      <c r="AB514" s="539"/>
      <c r="AC514" s="539"/>
      <c r="AD514" s="43"/>
      <c r="AE514" s="43"/>
      <c r="AF514" s="238"/>
      <c r="AG514" s="43"/>
      <c r="AH514" s="43"/>
      <c r="AI514" s="238"/>
      <c r="AJ514" s="238"/>
      <c r="AK514" s="238"/>
      <c r="AL514" s="238"/>
      <c r="AM514" s="197">
        <f>IF(AQ514=1,SUM(H514:I514,L514:O514,R514:U514,X514:AA514,AD514:AG514,AI514:AK514),
IF(AQ514=2,SUM(H514:K514,N514:Q514,T514:W514,Z514:AC514,AF514:AI514),
IF(AQ514=3,SUM(J514:M514,P514:S514,V514:Y514,AB514:AE514,AH514:AK514),SUM(Таблица1[[#This Row],[1]:[31]])-Таблица1[[#This Row],[Столбец1]])))</f>
        <v>0</v>
      </c>
      <c r="AN514" s="269">
        <f t="array" ref="AN514">IF(AQ514=1,SUM(J514:K514,P514:Q514,V514:W514,AB514:AC514,AH514:AI514),
IF(AQ514=2,SUM(L514:M514,R514:S514,X514:Y514,AD514:AE514),
IF(AQ514=3,SUM(H514:I514,N514:O514,T514:U514,Z514:AA514,AF514:AG514),
SUM(IFERROR(WEEKDAY($H$2:$AL$2,2)&gt;5,)*H514:AL514))))</f>
        <v>0</v>
      </c>
      <c r="AO514" s="271" t="b">
        <f>IF(AR514&lt;=3,(IF((G514="5/24"),((база!$M$6*Таблица1[[#This Row],[сумма]]*Таблица1[[#This Row],[коэф]])),
IF((G514="4/24"),((база!$M$5*Таблица1[[#This Row],[сумма]]*Таблица1[[#This Row],[коэф]])),
IF((G514="3/24"),((база!$M$4*Таблица1[[#This Row],[сумма]]*Таблица1[[#This Row],[коэф]])),
IF((G514="5/16"),((база!$L$6*Таблица1[[#This Row],[сумма]]*Таблица1[[#This Row],[коэф]])),
IF((G514="4/16"),((база!$L$5*Таблица1[[#This Row],[сумма]]*Таблица1[[#This Row],[коэф]])),
IF((G514="3/16"),((база!$L$4*Таблица1[[#This Row],[сумма]]*Таблица1[[#This Row],[коэф]])),
IF((G514="4/4"),((база!$I$5*Таблица1[[#This Row],[сумма]]*Таблица1[[#This Row],[коэф]])),
IF(OR(G514="2/4",G514="3/4"),((база!$I$4*Таблица1[[#This Row],[сумма]]*Таблица1[[#This Row],[коэф]])),
IF((G514="5/8"),((база!$J$6*Таблица1[[#This Row],[сумма]]*Таблица1[[#This Row],[коэф]])),
IF((G514="4/8"),((база!$J$5*Таблица1[[#This Row],[сумма]]*Таблица1[[#This Row],[коэф]])),
IF(OR(G514="3/8",G514="2/8"),((база!$J$4*Таблица1[[#This Row],[сумма]]*Таблица1[[#This Row],[коэф]])))))))))))))),
(IF((G514="5/24"),((база!$M$6*Таблица1[[#This Row],[сумма]]*Таблица1[[#This Row],[коэф]])),
IF(OR(G514="4/24",G514="3/24"),((база!$M$5*Таблица1[[#This Row],[сумма]]*Таблица1[[#This Row],[коэф]])),
IF((G514="5/16"),((база!$L$6*Таблица1[[#This Row],[сумма]]*Таблица1[[#This Row],[коэф]])),
IF(OR(G514="4/16",G514="3/16"),((база!$L$5*Таблица1[[#This Row],[сумма]]*Таблица1[[#This Row],[коэф]])),
IF(OR(G514="2/4",G514="3/4",G514="4/4"),((база!$I$5*Таблица1[[#This Row],[сумма]]*Таблица1[[#This Row],[коэф]])),
IF((G514="5/8"),((база!$J$6*Таблица1[[#This Row],[сумма]]*Таблица1[[#This Row],[коэф]])),
IF(OR(G514="4/8",G514="3/8",G514="2/8"),((база!$J$5*Таблица1[[#This Row],[сумма]]*Таблица1[[#This Row],[коэф]])))))))))))</f>
        <v>0</v>
      </c>
      <c r="AP514" s="696" t="b">
        <f>IF(AR514&lt;=3,(IF((G514="5/24"),((база!$M$6*2*Таблица1[[#This Row],[Столбец1]]*Таблица1[[#This Row],[коэф]])),
IF((G514="4/24"),((база!$M$5*2*Таблица1[[#This Row],[Столбец1]]*Таблица1[[#This Row],[коэф]])),
IF((G514="3/24"),((база!$M$4*2*Таблица1[[#This Row],[Столбец1]]*Таблица1[[#This Row],[коэф]])),
IF((G514="5/16"),((база!$L$6*2*Таблица1[[#This Row],[Столбец1]]*Таблица1[[#This Row],[коэф]])),
IF((G514="4/16"),((база!$L$5*2*Таблица1[[#This Row],[Столбец1]]*Таблица1[[#This Row],[коэф]])),
IF((G514="3/16"),((база!$L$4*2*Таблица1[[#This Row],[Столбец1]]*Таблица1[[#This Row],[коэф]])),
IF((G514="4/4"),((база!$I$5*2*Таблица1[[#This Row],[Столбец1]]*Таблица1[[#This Row],[коэф]])),
IF(OR(G514="2/4",G514="3/4"),((база!$I$4*2*Таблица1[[#This Row],[Столбец1]]*Таблица1[[#This Row],[коэф]])),
IF((G514="5/8"),((база!$J$6*2*Таблица1[[#This Row],[Столбец1]]*Таблица1[[#This Row],[коэф]])),
IF((G514="4/8"),((база!$J$5*2*Таблица1[[#This Row],[Столбец1]]*Таблица1[[#This Row],[коэф]])),
IF(OR(G514="3/8",G514="2/8"),((база!$J$4*2*Таблица1[[#This Row],[Столбец1]]*Таблица1[[#This Row],[коэф]])))))))))))))),
(IF((G514="5/24"),((база!$M$6*2*Таблица1[[#This Row],[Столбец1]]*Таблица1[[#This Row],[коэф]])),
IF(OR(G514="4/24",G514="3/24"),((база!$M$5*2*Таблица1[[#This Row],[Столбец1]]*Таблица1[[#This Row],[коэф]])),
IF((G514="5/16"),((база!$L$6*2*Таблица1[[#This Row],[Столбец1]]*Таблица1[[#This Row],[коэф]])),
IF(OR(G514="4/16",G514="3/16"),((база!$L$5*2*Таблица1[[#This Row],[Столбец1]]*Таблица1[[#This Row],[коэф]])),
IF(OR(G514="2/4",G514="3/4",G514="4/4"),((база!$I$5*2*Таблица1[[#This Row],[Столбец1]]*Таблица1[[#This Row],[коэф]])),
IF((G514="5/8"),((база!$J$6*2*Таблица1[[#This Row],[Столбец1]]*Таблица1[[#This Row],[коэф]])),
IF(OR(G514="4/8",G514="3/8",G514="2/8"),((база!$J$5*2*Таблица1[[#This Row],[Столбец1]]*Таблица1[[#This Row],[коэф]])))))))))))</f>
        <v>0</v>
      </c>
      <c r="AQ514" s="678" t="str">
        <f>IFERROR(INDEX(база!T:T, MATCH(F514,база!Q:Q,0)),"")</f>
        <v/>
      </c>
      <c r="AR514" s="193">
        <f>IFERROR(INDEX(база!D:D, MATCH(F514,база!B:B,0)),"")</f>
        <v>0</v>
      </c>
    </row>
    <row r="515" spans="1:44" ht="15">
      <c r="A515" s="59"/>
      <c r="B515" s="215"/>
      <c r="C515" s="277"/>
      <c r="D515" s="55"/>
      <c r="E515" s="196"/>
      <c r="F515" s="703"/>
      <c r="G515" s="42"/>
      <c r="H515" s="539"/>
      <c r="I515" s="539"/>
      <c r="J515" s="539"/>
      <c r="K515" s="539"/>
      <c r="L515" s="539"/>
      <c r="M515" s="539"/>
      <c r="N515" s="539"/>
      <c r="O515" s="539"/>
      <c r="P515" s="539"/>
      <c r="Q515" s="539"/>
      <c r="R515" s="539"/>
      <c r="S515" s="539"/>
      <c r="T515" s="539"/>
      <c r="U515" s="539"/>
      <c r="V515" s="539"/>
      <c r="W515" s="539"/>
      <c r="X515" s="539"/>
      <c r="Y515" s="539"/>
      <c r="Z515" s="539"/>
      <c r="AA515" s="539"/>
      <c r="AB515" s="539"/>
      <c r="AC515" s="539"/>
      <c r="AD515" s="539"/>
      <c r="AE515" s="539"/>
      <c r="AF515" s="539"/>
      <c r="AG515" s="539"/>
      <c r="AH515" s="43"/>
      <c r="AI515" s="43"/>
      <c r="AJ515" s="43"/>
      <c r="AK515" s="43"/>
      <c r="AL515" s="238"/>
      <c r="AM515" s="197">
        <f>IF(AQ515=1,SUM(H515:I515,L515:O515,R515:U515,X515:AA515,AD515:AG515,AI515:AK515),
IF(AQ515=2,SUM(H515:K515,N515:Q515,T515:W515,Z515:AC515,AF515:AI515),
IF(AQ515=3,SUM(J515:M515,P515:S515,V515:Y515,AB515:AE515,AH515:AK515),SUM(Таблица1[[#This Row],[1]:[31]])-Таблица1[[#This Row],[Столбец1]])))</f>
        <v>0</v>
      </c>
      <c r="AN515" s="269">
        <f t="array" ref="AN515">IF(AQ515=1,SUM(J515:K515,P515:Q515,V515:W515,AB515:AC515,AH515:AI515),
IF(AQ515=2,SUM(L515:M515,R515:S515,X515:Y515,AD515:AE515),
IF(AQ515=3,SUM(H515:I515,N515:O515,T515:U515,Z515:AA515,AF515:AG515),
SUM(IFERROR(WEEKDAY($H$2:$AL$2,2)&gt;5,)*H515:AL515))))</f>
        <v>0</v>
      </c>
      <c r="AO515" s="271" t="b">
        <f>IF(AR515&lt;=3,(IF((G515="5/24"),((база!$M$6*Таблица1[[#This Row],[сумма]]*Таблица1[[#This Row],[коэф]])),
IF((G515="4/24"),((база!$M$5*Таблица1[[#This Row],[сумма]]*Таблица1[[#This Row],[коэф]])),
IF((G515="3/24"),((база!$M$4*Таблица1[[#This Row],[сумма]]*Таблица1[[#This Row],[коэф]])),
IF((G515="5/16"),((база!$L$6*Таблица1[[#This Row],[сумма]]*Таблица1[[#This Row],[коэф]])),
IF((G515="4/16"),((база!$L$5*Таблица1[[#This Row],[сумма]]*Таблица1[[#This Row],[коэф]])),
IF((G515="3/16"),((база!$L$4*Таблица1[[#This Row],[сумма]]*Таблица1[[#This Row],[коэф]])),
IF((G515="4/4"),((база!$I$5*Таблица1[[#This Row],[сумма]]*Таблица1[[#This Row],[коэф]])),
IF(OR(G515="2/4",G515="3/4"),((база!$I$4*Таблица1[[#This Row],[сумма]]*Таблица1[[#This Row],[коэф]])),
IF((G515="5/8"),((база!$J$6*Таблица1[[#This Row],[сумма]]*Таблица1[[#This Row],[коэф]])),
IF((G515="4/8"),((база!$J$5*Таблица1[[#This Row],[сумма]]*Таблица1[[#This Row],[коэф]])),
IF(OR(G515="3/8",G515="2/8"),((база!$J$4*Таблица1[[#This Row],[сумма]]*Таблица1[[#This Row],[коэф]])))))))))))))),
(IF((G515="5/24"),((база!$M$6*Таблица1[[#This Row],[сумма]]*Таблица1[[#This Row],[коэф]])),
IF(OR(G515="4/24",G515="3/24"),((база!$M$5*Таблица1[[#This Row],[сумма]]*Таблица1[[#This Row],[коэф]])),
IF((G515="5/16"),((база!$L$6*Таблица1[[#This Row],[сумма]]*Таблица1[[#This Row],[коэф]])),
IF(OR(G515="4/16",G515="3/16"),((база!$L$5*Таблица1[[#This Row],[сумма]]*Таблица1[[#This Row],[коэф]])),
IF(OR(G515="2/4",G515="3/4",G515="4/4"),((база!$I$5*Таблица1[[#This Row],[сумма]]*Таблица1[[#This Row],[коэф]])),
IF((G515="5/8"),((база!$J$6*Таблица1[[#This Row],[сумма]]*Таблица1[[#This Row],[коэф]])),
IF(OR(G515="4/8",G515="3/8",G515="2/8"),((база!$J$5*Таблица1[[#This Row],[сумма]]*Таблица1[[#This Row],[коэф]])))))))))))</f>
        <v>0</v>
      </c>
      <c r="AP515" s="696" t="b">
        <f>IF(AR515&lt;=3,(IF((G515="5/24"),((база!$M$6*2*Таблица1[[#This Row],[Столбец1]]*Таблица1[[#This Row],[коэф]])),
IF((G515="4/24"),((база!$M$5*2*Таблица1[[#This Row],[Столбец1]]*Таблица1[[#This Row],[коэф]])),
IF((G515="3/24"),((база!$M$4*2*Таблица1[[#This Row],[Столбец1]]*Таблица1[[#This Row],[коэф]])),
IF((G515="5/16"),((база!$L$6*2*Таблица1[[#This Row],[Столбец1]]*Таблица1[[#This Row],[коэф]])),
IF((G515="4/16"),((база!$L$5*2*Таблица1[[#This Row],[Столбец1]]*Таблица1[[#This Row],[коэф]])),
IF((G515="3/16"),((база!$L$4*2*Таблица1[[#This Row],[Столбец1]]*Таблица1[[#This Row],[коэф]])),
IF((G515="4/4"),((база!$I$5*2*Таблица1[[#This Row],[Столбец1]]*Таблица1[[#This Row],[коэф]])),
IF(OR(G515="2/4",G515="3/4"),((база!$I$4*2*Таблица1[[#This Row],[Столбец1]]*Таблица1[[#This Row],[коэф]])),
IF((G515="5/8"),((база!$J$6*2*Таблица1[[#This Row],[Столбец1]]*Таблица1[[#This Row],[коэф]])),
IF((G515="4/8"),((база!$J$5*2*Таблица1[[#This Row],[Столбец1]]*Таблица1[[#This Row],[коэф]])),
IF(OR(G515="3/8",G515="2/8"),((база!$J$4*2*Таблица1[[#This Row],[Столбец1]]*Таблица1[[#This Row],[коэф]])))))))))))))),
(IF((G515="5/24"),((база!$M$6*2*Таблица1[[#This Row],[Столбец1]]*Таблица1[[#This Row],[коэф]])),
IF(OR(G515="4/24",G515="3/24"),((база!$M$5*2*Таблица1[[#This Row],[Столбец1]]*Таблица1[[#This Row],[коэф]])),
IF((G515="5/16"),((база!$L$6*2*Таблица1[[#This Row],[Столбец1]]*Таблица1[[#This Row],[коэф]])),
IF(OR(G515="4/16",G515="3/16"),((база!$L$5*2*Таблица1[[#This Row],[Столбец1]]*Таблица1[[#This Row],[коэф]])),
IF(OR(G515="2/4",G515="3/4",G515="4/4"),((база!$I$5*2*Таблица1[[#This Row],[Столбец1]]*Таблица1[[#This Row],[коэф]])),
IF((G515="5/8"),((база!$J$6*2*Таблица1[[#This Row],[Столбец1]]*Таблица1[[#This Row],[коэф]])),
IF(OR(G515="4/8",G515="3/8",G515="2/8"),((база!$J$5*2*Таблица1[[#This Row],[Столбец1]]*Таблица1[[#This Row],[коэф]])))))))))))</f>
        <v>0</v>
      </c>
      <c r="AQ515" s="678" t="str">
        <f>IFERROR(INDEX(база!T:T, MATCH(F515,база!Q:Q,0)),"")</f>
        <v/>
      </c>
      <c r="AR515" s="193">
        <f>IFERROR(INDEX(база!D:D, MATCH(F515,база!B:B,0)),"")</f>
        <v>0</v>
      </c>
    </row>
    <row r="516" spans="1:44" ht="15">
      <c r="A516" s="59"/>
      <c r="B516" s="215"/>
      <c r="C516" s="277"/>
      <c r="D516" s="55"/>
      <c r="E516" s="196"/>
      <c r="F516" s="651"/>
      <c r="G516" s="42"/>
      <c r="H516" s="539"/>
      <c r="I516" s="539"/>
      <c r="J516" s="539"/>
      <c r="K516" s="539"/>
      <c r="L516" s="539"/>
      <c r="M516" s="539"/>
      <c r="N516" s="539"/>
      <c r="O516" s="539"/>
      <c r="P516" s="278"/>
      <c r="Q516" s="539"/>
      <c r="R516" s="539"/>
      <c r="S516" s="539"/>
      <c r="T516" s="539"/>
      <c r="U516" s="539"/>
      <c r="V516" s="539"/>
      <c r="W516" s="539"/>
      <c r="X516" s="539"/>
      <c r="Y516" s="539"/>
      <c r="Z516" s="539"/>
      <c r="AA516" s="539"/>
      <c r="AB516" s="539"/>
      <c r="AC516" s="539"/>
      <c r="AD516" s="43"/>
      <c r="AE516" s="43"/>
      <c r="AF516" s="238"/>
      <c r="AG516" s="43"/>
      <c r="AH516" s="43"/>
      <c r="AI516" s="238"/>
      <c r="AJ516" s="238"/>
      <c r="AK516" s="238"/>
      <c r="AL516" s="238"/>
      <c r="AM516" s="197">
        <f>IF(AQ516=1,SUM(H516:I516,L516:O516,R516:U516,X516:AA516,AD516:AG516,AI516:AK516),
IF(AQ516=2,SUM(H516:K516,N516:Q516,T516:W516,Z516:AC516,AF516:AI516),
IF(AQ516=3,SUM(J516:M516,P516:S516,V516:Y516,AB516:AE516,AH516:AK516),SUM(Таблица1[[#This Row],[1]:[31]])-Таблица1[[#This Row],[Столбец1]])))</f>
        <v>0</v>
      </c>
      <c r="AN516" s="269">
        <f t="array" ref="AN516">IF(AQ516=1,SUM(J516:K516,P516:Q516,V516:W516,AB516:AC516,AH516:AI516),
IF(AQ516=2,SUM(L516:M516,R516:S516,X516:Y516,AD516:AE516),
IF(AQ516=3,SUM(H516:I516,N516:O516,T516:U516,Z516:AA516,AF516:AG516),
SUM(IFERROR(WEEKDAY($H$2:$AL$2,2)&gt;5,)*H516:AL516))))</f>
        <v>0</v>
      </c>
      <c r="AO516" s="271" t="b">
        <f>IF(AR516&lt;=3,(IF((G516="5/24"),((база!$M$6*Таблица1[[#This Row],[сумма]]*Таблица1[[#This Row],[коэф]])),
IF((G516="4/24"),((база!$M$5*Таблица1[[#This Row],[сумма]]*Таблица1[[#This Row],[коэф]])),
IF((G516="3/24"),((база!$M$4*Таблица1[[#This Row],[сумма]]*Таблица1[[#This Row],[коэф]])),
IF((G516="5/16"),((база!$L$6*Таблица1[[#This Row],[сумма]]*Таблица1[[#This Row],[коэф]])),
IF((G516="4/16"),((база!$L$5*Таблица1[[#This Row],[сумма]]*Таблица1[[#This Row],[коэф]])),
IF((G516="3/16"),((база!$L$4*Таблица1[[#This Row],[сумма]]*Таблица1[[#This Row],[коэф]])),
IF((G516="4/4"),((база!$I$5*Таблица1[[#This Row],[сумма]]*Таблица1[[#This Row],[коэф]])),
IF(OR(G516="2/4",G516="3/4"),((база!$I$4*Таблица1[[#This Row],[сумма]]*Таблица1[[#This Row],[коэф]])),
IF((G516="5/8"),((база!$J$6*Таблица1[[#This Row],[сумма]]*Таблица1[[#This Row],[коэф]])),
IF((G516="4/8"),((база!$J$5*Таблица1[[#This Row],[сумма]]*Таблица1[[#This Row],[коэф]])),
IF(OR(G516="3/8",G516="2/8"),((база!$J$4*Таблица1[[#This Row],[сумма]]*Таблица1[[#This Row],[коэф]])))))))))))))),
(IF((G516="5/24"),((база!$M$6*Таблица1[[#This Row],[сумма]]*Таблица1[[#This Row],[коэф]])),
IF(OR(G516="4/24",G516="3/24"),((база!$M$5*Таблица1[[#This Row],[сумма]]*Таблица1[[#This Row],[коэф]])),
IF((G516="5/16"),((база!$L$6*Таблица1[[#This Row],[сумма]]*Таблица1[[#This Row],[коэф]])),
IF(OR(G516="4/16",G516="3/16"),((база!$L$5*Таблица1[[#This Row],[сумма]]*Таблица1[[#This Row],[коэф]])),
IF(OR(G516="2/4",G516="3/4",G516="4/4"),((база!$I$5*Таблица1[[#This Row],[сумма]]*Таблица1[[#This Row],[коэф]])),
IF((G516="5/8"),((база!$J$6*Таблица1[[#This Row],[сумма]]*Таблица1[[#This Row],[коэф]])),
IF(OR(G516="4/8",G516="3/8",G516="2/8"),((база!$J$5*Таблица1[[#This Row],[сумма]]*Таблица1[[#This Row],[коэф]])))))))))))</f>
        <v>0</v>
      </c>
      <c r="AP516" s="696" t="b">
        <f>IF(AR516&lt;=3,(IF((G516="5/24"),((база!$M$6*2*Таблица1[[#This Row],[Столбец1]]*Таблица1[[#This Row],[коэф]])),
IF((G516="4/24"),((база!$M$5*2*Таблица1[[#This Row],[Столбец1]]*Таблица1[[#This Row],[коэф]])),
IF((G516="3/24"),((база!$M$4*2*Таблица1[[#This Row],[Столбец1]]*Таблица1[[#This Row],[коэф]])),
IF((G516="5/16"),((база!$L$6*2*Таблица1[[#This Row],[Столбец1]]*Таблица1[[#This Row],[коэф]])),
IF((G516="4/16"),((база!$L$5*2*Таблица1[[#This Row],[Столбец1]]*Таблица1[[#This Row],[коэф]])),
IF((G516="3/16"),((база!$L$4*2*Таблица1[[#This Row],[Столбец1]]*Таблица1[[#This Row],[коэф]])),
IF((G516="4/4"),((база!$I$5*2*Таблица1[[#This Row],[Столбец1]]*Таблица1[[#This Row],[коэф]])),
IF(OR(G516="2/4",G516="3/4"),((база!$I$4*2*Таблица1[[#This Row],[Столбец1]]*Таблица1[[#This Row],[коэф]])),
IF((G516="5/8"),((база!$J$6*2*Таблица1[[#This Row],[Столбец1]]*Таблица1[[#This Row],[коэф]])),
IF((G516="4/8"),((база!$J$5*2*Таблица1[[#This Row],[Столбец1]]*Таблица1[[#This Row],[коэф]])),
IF(OR(G516="3/8",G516="2/8"),((база!$J$4*2*Таблица1[[#This Row],[Столбец1]]*Таблица1[[#This Row],[коэф]])))))))))))))),
(IF((G516="5/24"),((база!$M$6*2*Таблица1[[#This Row],[Столбец1]]*Таблица1[[#This Row],[коэф]])),
IF(OR(G516="4/24",G516="3/24"),((база!$M$5*2*Таблица1[[#This Row],[Столбец1]]*Таблица1[[#This Row],[коэф]])),
IF((G516="5/16"),((база!$L$6*2*Таблица1[[#This Row],[Столбец1]]*Таблица1[[#This Row],[коэф]])),
IF(OR(G516="4/16",G516="3/16"),((база!$L$5*2*Таблица1[[#This Row],[Столбец1]]*Таблица1[[#This Row],[коэф]])),
IF(OR(G516="2/4",G516="3/4",G516="4/4"),((база!$I$5*2*Таблица1[[#This Row],[Столбец1]]*Таблица1[[#This Row],[коэф]])),
IF((G516="5/8"),((база!$J$6*2*Таблица1[[#This Row],[Столбец1]]*Таблица1[[#This Row],[коэф]])),
IF(OR(G516="4/8",G516="3/8",G516="2/8"),((база!$J$5*2*Таблица1[[#This Row],[Столбец1]]*Таблица1[[#This Row],[коэф]])))))))))))</f>
        <v>0</v>
      </c>
      <c r="AQ516" s="678" t="str">
        <f>IFERROR(INDEX(база!T:T, MATCH(F516,база!Q:Q,0)),"")</f>
        <v/>
      </c>
      <c r="AR516" s="193">
        <f>IFERROR(INDEX(база!D:D, MATCH(F516,база!B:B,0)),"")</f>
        <v>0</v>
      </c>
    </row>
    <row r="517" spans="1:44" ht="15">
      <c r="A517" s="59"/>
      <c r="B517" s="215"/>
      <c r="C517" s="277"/>
      <c r="D517" s="55"/>
      <c r="E517" s="196"/>
      <c r="F517" s="651"/>
      <c r="G517" s="42"/>
      <c r="H517" s="539"/>
      <c r="I517" s="539"/>
      <c r="J517" s="539"/>
      <c r="K517" s="539"/>
      <c r="L517" s="539"/>
      <c r="M517" s="539"/>
      <c r="N517" s="539"/>
      <c r="O517" s="539"/>
      <c r="P517" s="278"/>
      <c r="Q517" s="539"/>
      <c r="R517" s="539"/>
      <c r="S517" s="539"/>
      <c r="T517" s="539"/>
      <c r="U517" s="539"/>
      <c r="V517" s="539"/>
      <c r="W517" s="539"/>
      <c r="X517" s="539"/>
      <c r="Y517" s="539"/>
      <c r="Z517" s="539"/>
      <c r="AA517" s="539"/>
      <c r="AB517" s="539"/>
      <c r="AC517" s="539"/>
      <c r="AD517" s="43"/>
      <c r="AE517" s="43"/>
      <c r="AF517" s="238"/>
      <c r="AG517" s="43"/>
      <c r="AH517" s="43"/>
      <c r="AI517" s="43"/>
      <c r="AJ517" s="43"/>
      <c r="AK517" s="43"/>
      <c r="AL517" s="238"/>
      <c r="AM517" s="197">
        <f>IF(AQ517=1,SUM(H517:I517,L517:O517,R517:U517,X517:AA517,AD517:AG517,AI517:AK517),
IF(AQ517=2,SUM(H517:K517,N517:Q517,T517:W517,Z517:AC517,AF517:AI517),
IF(AQ517=3,SUM(J517:M517,P517:S517,V517:Y517,AB517:AE517,AH517:AK517),SUM(Таблица1[[#This Row],[1]:[31]])-Таблица1[[#This Row],[Столбец1]])))</f>
        <v>0</v>
      </c>
      <c r="AN517" s="269">
        <f t="array" ref="AN517">IF(AQ517=1,SUM(J517:K517,P517:Q517,V517:W517,AB517:AC517,AH517:AI517),
IF(AQ517=2,SUM(L517:M517,R517:S517,X517:Y517,AD517:AE517),
IF(AQ517=3,SUM(H517:I517,N517:O517,T517:U517,Z517:AA517,AF517:AG517),
SUM(IFERROR(WEEKDAY($H$2:$AL$2,2)&gt;5,)*H517:AL517))))</f>
        <v>0</v>
      </c>
      <c r="AO517" s="271" t="b">
        <f>IF(AR517&lt;=3,(IF((G517="5/24"),((база!$M$6*Таблица1[[#This Row],[сумма]]*Таблица1[[#This Row],[коэф]])),
IF((G517="4/24"),((база!$M$5*Таблица1[[#This Row],[сумма]]*Таблица1[[#This Row],[коэф]])),
IF((G517="3/24"),((база!$M$4*Таблица1[[#This Row],[сумма]]*Таблица1[[#This Row],[коэф]])),
IF((G517="5/16"),((база!$L$6*Таблица1[[#This Row],[сумма]]*Таблица1[[#This Row],[коэф]])),
IF((G517="4/16"),((база!$L$5*Таблица1[[#This Row],[сумма]]*Таблица1[[#This Row],[коэф]])),
IF((G517="3/16"),((база!$L$4*Таблица1[[#This Row],[сумма]]*Таблица1[[#This Row],[коэф]])),
IF((G517="4/4"),((база!$I$5*Таблица1[[#This Row],[сумма]]*Таблица1[[#This Row],[коэф]])),
IF(OR(G517="2/4",G517="3/4"),((база!$I$4*Таблица1[[#This Row],[сумма]]*Таблица1[[#This Row],[коэф]])),
IF((G517="5/8"),((база!$J$6*Таблица1[[#This Row],[сумма]]*Таблица1[[#This Row],[коэф]])),
IF((G517="4/8"),((база!$J$5*Таблица1[[#This Row],[сумма]]*Таблица1[[#This Row],[коэф]])),
IF(OR(G517="3/8",G517="2/8"),((база!$J$4*Таблица1[[#This Row],[сумма]]*Таблица1[[#This Row],[коэф]])))))))))))))),
(IF((G517="5/24"),((база!$M$6*Таблица1[[#This Row],[сумма]]*Таблица1[[#This Row],[коэф]])),
IF(OR(G517="4/24",G517="3/24"),((база!$M$5*Таблица1[[#This Row],[сумма]]*Таблица1[[#This Row],[коэф]])),
IF((G517="5/16"),((база!$L$6*Таблица1[[#This Row],[сумма]]*Таблица1[[#This Row],[коэф]])),
IF(OR(G517="4/16",G517="3/16"),((база!$L$5*Таблица1[[#This Row],[сумма]]*Таблица1[[#This Row],[коэф]])),
IF(OR(G517="2/4",G517="3/4",G517="4/4"),((база!$I$5*Таблица1[[#This Row],[сумма]]*Таблица1[[#This Row],[коэф]])),
IF((G517="5/8"),((база!$J$6*Таблица1[[#This Row],[сумма]]*Таблица1[[#This Row],[коэф]])),
IF(OR(G517="4/8",G517="3/8",G517="2/8"),((база!$J$5*Таблица1[[#This Row],[сумма]]*Таблица1[[#This Row],[коэф]])))))))))))</f>
        <v>0</v>
      </c>
      <c r="AP517" s="696" t="b">
        <f>IF(AR517&lt;=3,(IF((G517="5/24"),((база!$M$6*2*Таблица1[[#This Row],[Столбец1]]*Таблица1[[#This Row],[коэф]])),
IF((G517="4/24"),((база!$M$5*2*Таблица1[[#This Row],[Столбец1]]*Таблица1[[#This Row],[коэф]])),
IF((G517="3/24"),((база!$M$4*2*Таблица1[[#This Row],[Столбец1]]*Таблица1[[#This Row],[коэф]])),
IF((G517="5/16"),((база!$L$6*2*Таблица1[[#This Row],[Столбец1]]*Таблица1[[#This Row],[коэф]])),
IF((G517="4/16"),((база!$L$5*2*Таблица1[[#This Row],[Столбец1]]*Таблица1[[#This Row],[коэф]])),
IF((G517="3/16"),((база!$L$4*2*Таблица1[[#This Row],[Столбец1]]*Таблица1[[#This Row],[коэф]])),
IF((G517="4/4"),((база!$I$5*2*Таблица1[[#This Row],[Столбец1]]*Таблица1[[#This Row],[коэф]])),
IF(OR(G517="2/4",G517="3/4"),((база!$I$4*2*Таблица1[[#This Row],[Столбец1]]*Таблица1[[#This Row],[коэф]])),
IF((G517="5/8"),((база!$J$6*2*Таблица1[[#This Row],[Столбец1]]*Таблица1[[#This Row],[коэф]])),
IF((G517="4/8"),((база!$J$5*2*Таблица1[[#This Row],[Столбец1]]*Таблица1[[#This Row],[коэф]])),
IF(OR(G517="3/8",G517="2/8"),((база!$J$4*2*Таблица1[[#This Row],[Столбец1]]*Таблица1[[#This Row],[коэф]])))))))))))))),
(IF((G517="5/24"),((база!$M$6*2*Таблица1[[#This Row],[Столбец1]]*Таблица1[[#This Row],[коэф]])),
IF(OR(G517="4/24",G517="3/24"),((база!$M$5*2*Таблица1[[#This Row],[Столбец1]]*Таблица1[[#This Row],[коэф]])),
IF((G517="5/16"),((база!$L$6*2*Таблица1[[#This Row],[Столбец1]]*Таблица1[[#This Row],[коэф]])),
IF(OR(G517="4/16",G517="3/16"),((база!$L$5*2*Таблица1[[#This Row],[Столбец1]]*Таблица1[[#This Row],[коэф]])),
IF(OR(G517="2/4",G517="3/4",G517="4/4"),((база!$I$5*2*Таблица1[[#This Row],[Столбец1]]*Таблица1[[#This Row],[коэф]])),
IF((G517="5/8"),((база!$J$6*2*Таблица1[[#This Row],[Столбец1]]*Таблица1[[#This Row],[коэф]])),
IF(OR(G517="4/8",G517="3/8",G517="2/8"),((база!$J$5*2*Таблица1[[#This Row],[Столбец1]]*Таблица1[[#This Row],[коэф]])))))))))))</f>
        <v>0</v>
      </c>
      <c r="AQ517" s="678" t="str">
        <f>IFERROR(INDEX(база!T:T, MATCH(F517,база!Q:Q,0)),"")</f>
        <v/>
      </c>
      <c r="AR517" s="193">
        <f>IFERROR(INDEX(база!D:D, MATCH(F517,база!B:B,0)),"")</f>
        <v>0</v>
      </c>
    </row>
    <row r="518" spans="1:44" ht="15">
      <c r="A518" s="59"/>
      <c r="B518" s="215"/>
      <c r="C518" s="277"/>
      <c r="D518" s="55"/>
      <c r="E518" s="196"/>
      <c r="F518" s="651"/>
      <c r="G518" s="42"/>
      <c r="H518" s="539"/>
      <c r="I518" s="539"/>
      <c r="J518" s="539"/>
      <c r="K518" s="539"/>
      <c r="L518" s="539"/>
      <c r="M518" s="539"/>
      <c r="N518" s="539"/>
      <c r="O518" s="539"/>
      <c r="P518" s="278"/>
      <c r="Q518" s="539"/>
      <c r="R518" s="539"/>
      <c r="S518" s="539"/>
      <c r="T518" s="539"/>
      <c r="U518" s="539"/>
      <c r="V518" s="539"/>
      <c r="W518" s="539"/>
      <c r="X518" s="539"/>
      <c r="Y518" s="539"/>
      <c r="Z518" s="539"/>
      <c r="AA518" s="539"/>
      <c r="AB518" s="539"/>
      <c r="AC518" s="539"/>
      <c r="AD518" s="43"/>
      <c r="AE518" s="43"/>
      <c r="AF518" s="238"/>
      <c r="AG518" s="43"/>
      <c r="AH518" s="43"/>
      <c r="AI518" s="238"/>
      <c r="AJ518" s="238"/>
      <c r="AK518" s="238"/>
      <c r="AL518" s="238"/>
      <c r="AM518" s="197">
        <f>IF(AQ518=1,SUM(H518:I518,L518:O518,R518:U518,X518:AA518,AD518:AG518,AI518:AK518),
IF(AQ518=2,SUM(H518:K518,N518:Q518,T518:W518,Z518:AC518,AF518:AI518),
IF(AQ518=3,SUM(J518:M518,P518:S518,V518:Y518,AB518:AE518,AH518:AK518),SUM(Таблица1[[#This Row],[1]:[31]])-Таблица1[[#This Row],[Столбец1]])))</f>
        <v>0</v>
      </c>
      <c r="AN518" s="269">
        <f t="array" ref="AN518">IF(AQ518=1,SUM(J518:K518,P518:Q518,V518:W518,AB518:AC518,AH518:AI518),
IF(AQ518=2,SUM(L518:M518,R518:S518,X518:Y518,AD518:AE518),
IF(AQ518=3,SUM(H518:I518,N518:O518,T518:U518,Z518:AA518,AF518:AG518),
SUM(IFERROR(WEEKDAY($H$2:$AL$2,2)&gt;5,)*H518:AL518))))</f>
        <v>0</v>
      </c>
      <c r="AO518" s="271" t="b">
        <f>IF(AR518&lt;=3,(IF((G518="5/24"),((база!$M$6*Таблица1[[#This Row],[сумма]]*Таблица1[[#This Row],[коэф]])),
IF((G518="4/24"),((база!$M$5*Таблица1[[#This Row],[сумма]]*Таблица1[[#This Row],[коэф]])),
IF((G518="3/24"),((база!$M$4*Таблица1[[#This Row],[сумма]]*Таблица1[[#This Row],[коэф]])),
IF((G518="5/16"),((база!$L$6*Таблица1[[#This Row],[сумма]]*Таблица1[[#This Row],[коэф]])),
IF((G518="4/16"),((база!$L$5*Таблица1[[#This Row],[сумма]]*Таблица1[[#This Row],[коэф]])),
IF((G518="3/16"),((база!$L$4*Таблица1[[#This Row],[сумма]]*Таблица1[[#This Row],[коэф]])),
IF((G518="4/4"),((база!$I$5*Таблица1[[#This Row],[сумма]]*Таблица1[[#This Row],[коэф]])),
IF(OR(G518="2/4",G518="3/4"),((база!$I$4*Таблица1[[#This Row],[сумма]]*Таблица1[[#This Row],[коэф]])),
IF((G518="5/8"),((база!$J$6*Таблица1[[#This Row],[сумма]]*Таблица1[[#This Row],[коэф]])),
IF((G518="4/8"),((база!$J$5*Таблица1[[#This Row],[сумма]]*Таблица1[[#This Row],[коэф]])),
IF(OR(G518="3/8",G518="2/8"),((база!$J$4*Таблица1[[#This Row],[сумма]]*Таблица1[[#This Row],[коэф]])))))))))))))),
(IF((G518="5/24"),((база!$M$6*Таблица1[[#This Row],[сумма]]*Таблица1[[#This Row],[коэф]])),
IF(OR(G518="4/24",G518="3/24"),((база!$M$5*Таблица1[[#This Row],[сумма]]*Таблица1[[#This Row],[коэф]])),
IF((G518="5/16"),((база!$L$6*Таблица1[[#This Row],[сумма]]*Таблица1[[#This Row],[коэф]])),
IF(OR(G518="4/16",G518="3/16"),((база!$L$5*Таблица1[[#This Row],[сумма]]*Таблица1[[#This Row],[коэф]])),
IF(OR(G518="2/4",G518="3/4",G518="4/4"),((база!$I$5*Таблица1[[#This Row],[сумма]]*Таблица1[[#This Row],[коэф]])),
IF((G518="5/8"),((база!$J$6*Таблица1[[#This Row],[сумма]]*Таблица1[[#This Row],[коэф]])),
IF(OR(G518="4/8",G518="3/8",G518="2/8"),((база!$J$5*Таблица1[[#This Row],[сумма]]*Таблица1[[#This Row],[коэф]])))))))))))</f>
        <v>0</v>
      </c>
      <c r="AP518" s="696" t="b">
        <f>IF(AR518&lt;=3,(IF((G518="5/24"),((база!$M$6*2*Таблица1[[#This Row],[Столбец1]]*Таблица1[[#This Row],[коэф]])),
IF((G518="4/24"),((база!$M$5*2*Таблица1[[#This Row],[Столбец1]]*Таблица1[[#This Row],[коэф]])),
IF((G518="3/24"),((база!$M$4*2*Таблица1[[#This Row],[Столбец1]]*Таблица1[[#This Row],[коэф]])),
IF((G518="5/16"),((база!$L$6*2*Таблица1[[#This Row],[Столбец1]]*Таблица1[[#This Row],[коэф]])),
IF((G518="4/16"),((база!$L$5*2*Таблица1[[#This Row],[Столбец1]]*Таблица1[[#This Row],[коэф]])),
IF((G518="3/16"),((база!$L$4*2*Таблица1[[#This Row],[Столбец1]]*Таблица1[[#This Row],[коэф]])),
IF((G518="4/4"),((база!$I$5*2*Таблица1[[#This Row],[Столбец1]]*Таблица1[[#This Row],[коэф]])),
IF(OR(G518="2/4",G518="3/4"),((база!$I$4*2*Таблица1[[#This Row],[Столбец1]]*Таблица1[[#This Row],[коэф]])),
IF((G518="5/8"),((база!$J$6*2*Таблица1[[#This Row],[Столбец1]]*Таблица1[[#This Row],[коэф]])),
IF((G518="4/8"),((база!$J$5*2*Таблица1[[#This Row],[Столбец1]]*Таблица1[[#This Row],[коэф]])),
IF(OR(G518="3/8",G518="2/8"),((база!$J$4*2*Таблица1[[#This Row],[Столбец1]]*Таблица1[[#This Row],[коэф]])))))))))))))),
(IF((G518="5/24"),((база!$M$6*2*Таблица1[[#This Row],[Столбец1]]*Таблица1[[#This Row],[коэф]])),
IF(OR(G518="4/24",G518="3/24"),((база!$M$5*2*Таблица1[[#This Row],[Столбец1]]*Таблица1[[#This Row],[коэф]])),
IF((G518="5/16"),((база!$L$6*2*Таблица1[[#This Row],[Столбец1]]*Таблица1[[#This Row],[коэф]])),
IF(OR(G518="4/16",G518="3/16"),((база!$L$5*2*Таблица1[[#This Row],[Столбец1]]*Таблица1[[#This Row],[коэф]])),
IF(OR(G518="2/4",G518="3/4",G518="4/4"),((база!$I$5*2*Таблица1[[#This Row],[Столбец1]]*Таблица1[[#This Row],[коэф]])),
IF((G518="5/8"),((база!$J$6*2*Таблица1[[#This Row],[Столбец1]]*Таблица1[[#This Row],[коэф]])),
IF(OR(G518="4/8",G518="3/8",G518="2/8"),((база!$J$5*2*Таблица1[[#This Row],[Столбец1]]*Таблица1[[#This Row],[коэф]])))))))))))</f>
        <v>0</v>
      </c>
      <c r="AQ518" s="678" t="str">
        <f>IFERROR(INDEX(база!T:T, MATCH(F518,база!Q:Q,0)),"")</f>
        <v/>
      </c>
      <c r="AR518" s="193">
        <f>IFERROR(INDEX(база!D:D, MATCH(F518,база!B:B,0)),"")</f>
        <v>0</v>
      </c>
    </row>
    <row r="519" spans="1:44" ht="15">
      <c r="A519" s="59"/>
      <c r="B519" s="215"/>
      <c r="C519" s="277"/>
      <c r="D519" s="55"/>
      <c r="E519" s="196"/>
      <c r="F519" s="651"/>
      <c r="G519" s="42"/>
      <c r="H519" s="539"/>
      <c r="I519" s="539"/>
      <c r="J519" s="539"/>
      <c r="K519" s="539"/>
      <c r="L519" s="539"/>
      <c r="M519" s="539"/>
      <c r="N519" s="539"/>
      <c r="O519" s="539"/>
      <c r="P519" s="278"/>
      <c r="Q519" s="539"/>
      <c r="R519" s="539"/>
      <c r="S519" s="539"/>
      <c r="T519" s="539"/>
      <c r="U519" s="539"/>
      <c r="V519" s="539"/>
      <c r="W519" s="539"/>
      <c r="X519" s="539"/>
      <c r="Y519" s="539"/>
      <c r="Z519" s="539"/>
      <c r="AA519" s="539"/>
      <c r="AB519" s="539"/>
      <c r="AC519" s="539"/>
      <c r="AD519" s="43"/>
      <c r="AE519" s="43"/>
      <c r="AF519" s="238"/>
      <c r="AG519" s="43"/>
      <c r="AH519" s="43"/>
      <c r="AI519" s="43"/>
      <c r="AJ519" s="43"/>
      <c r="AK519" s="43"/>
      <c r="AL519" s="45"/>
      <c r="AM519" s="197">
        <f>IF(AQ519=1,SUM(H519:I519,L519:O519,R519:U519,X519:AA519,AD519:AG519,AI519:AK519),
IF(AQ519=2,SUM(H519:K519,N519:Q519,T519:W519,Z519:AC519,AF519:AI519),
IF(AQ519=3,SUM(J519:M519,P519:S519,V519:Y519,AB519:AE519,AH519:AK519),SUM(Таблица1[[#This Row],[1]:[31]])-Таблица1[[#This Row],[Столбец1]])))</f>
        <v>0</v>
      </c>
      <c r="AN519" s="269">
        <f t="array" ref="AN519">IF(AQ519=1,SUM(J519:K519,P519:Q519,V519:W519,AB519:AC519,AH519:AI519),
IF(AQ519=2,SUM(L519:M519,R519:S519,X519:Y519,AD519:AE519),
IF(AQ519=3,SUM(H519:I519,N519:O519,T519:U519,Z519:AA519,AF519:AG519),
SUM(IFERROR(WEEKDAY($H$2:$AL$2,2)&gt;5,)*H519:AL519))))</f>
        <v>0</v>
      </c>
      <c r="AO519" s="271" t="b">
        <f>IF(AR519&lt;=3,(IF((G519="5/24"),((база!$M$6*Таблица1[[#This Row],[сумма]]*Таблица1[[#This Row],[коэф]])),
IF((G519="4/24"),((база!$M$5*Таблица1[[#This Row],[сумма]]*Таблица1[[#This Row],[коэф]])),
IF((G519="3/24"),((база!$M$4*Таблица1[[#This Row],[сумма]]*Таблица1[[#This Row],[коэф]])),
IF((G519="5/16"),((база!$L$6*Таблица1[[#This Row],[сумма]]*Таблица1[[#This Row],[коэф]])),
IF((G519="4/16"),((база!$L$5*Таблица1[[#This Row],[сумма]]*Таблица1[[#This Row],[коэф]])),
IF((G519="3/16"),((база!$L$4*Таблица1[[#This Row],[сумма]]*Таблица1[[#This Row],[коэф]])),
IF((G519="4/4"),((база!$I$5*Таблица1[[#This Row],[сумма]]*Таблица1[[#This Row],[коэф]])),
IF(OR(G519="2/4",G519="3/4"),((база!$I$4*Таблица1[[#This Row],[сумма]]*Таблица1[[#This Row],[коэф]])),
IF((G519="5/8"),((база!$J$6*Таблица1[[#This Row],[сумма]]*Таблица1[[#This Row],[коэф]])),
IF((G519="4/8"),((база!$J$5*Таблица1[[#This Row],[сумма]]*Таблица1[[#This Row],[коэф]])),
IF(OR(G519="3/8",G519="2/8"),((база!$J$4*Таблица1[[#This Row],[сумма]]*Таблица1[[#This Row],[коэф]])))))))))))))),
(IF((G519="5/24"),((база!$M$6*Таблица1[[#This Row],[сумма]]*Таблица1[[#This Row],[коэф]])),
IF(OR(G519="4/24",G519="3/24"),((база!$M$5*Таблица1[[#This Row],[сумма]]*Таблица1[[#This Row],[коэф]])),
IF((G519="5/16"),((база!$L$6*Таблица1[[#This Row],[сумма]]*Таблица1[[#This Row],[коэф]])),
IF(OR(G519="4/16",G519="3/16"),((база!$L$5*Таблица1[[#This Row],[сумма]]*Таблица1[[#This Row],[коэф]])),
IF(OR(G519="2/4",G519="3/4",G519="4/4"),((база!$I$5*Таблица1[[#This Row],[сумма]]*Таблица1[[#This Row],[коэф]])),
IF((G519="5/8"),((база!$J$6*Таблица1[[#This Row],[сумма]]*Таблица1[[#This Row],[коэф]])),
IF(OR(G519="4/8",G519="3/8",G519="2/8"),((база!$J$5*Таблица1[[#This Row],[сумма]]*Таблица1[[#This Row],[коэф]])))))))))))</f>
        <v>0</v>
      </c>
      <c r="AP519" s="696" t="b">
        <f>IF(AR519&lt;=3,(IF((G519="5/24"),((база!$M$6*2*Таблица1[[#This Row],[Столбец1]]*Таблица1[[#This Row],[коэф]])),
IF((G519="4/24"),((база!$M$5*2*Таблица1[[#This Row],[Столбец1]]*Таблица1[[#This Row],[коэф]])),
IF((G519="3/24"),((база!$M$4*2*Таблица1[[#This Row],[Столбец1]]*Таблица1[[#This Row],[коэф]])),
IF((G519="5/16"),((база!$L$6*2*Таблица1[[#This Row],[Столбец1]]*Таблица1[[#This Row],[коэф]])),
IF((G519="4/16"),((база!$L$5*2*Таблица1[[#This Row],[Столбец1]]*Таблица1[[#This Row],[коэф]])),
IF((G519="3/16"),((база!$L$4*2*Таблица1[[#This Row],[Столбец1]]*Таблица1[[#This Row],[коэф]])),
IF((G519="4/4"),((база!$I$5*2*Таблица1[[#This Row],[Столбец1]]*Таблица1[[#This Row],[коэф]])),
IF(OR(G519="2/4",G519="3/4"),((база!$I$4*2*Таблица1[[#This Row],[Столбец1]]*Таблица1[[#This Row],[коэф]])),
IF((G519="5/8"),((база!$J$6*2*Таблица1[[#This Row],[Столбец1]]*Таблица1[[#This Row],[коэф]])),
IF((G519="4/8"),((база!$J$5*2*Таблица1[[#This Row],[Столбец1]]*Таблица1[[#This Row],[коэф]])),
IF(OR(G519="3/8",G519="2/8"),((база!$J$4*2*Таблица1[[#This Row],[Столбец1]]*Таблица1[[#This Row],[коэф]])))))))))))))),
(IF((G519="5/24"),((база!$M$6*2*Таблица1[[#This Row],[Столбец1]]*Таблица1[[#This Row],[коэф]])),
IF(OR(G519="4/24",G519="3/24"),((база!$M$5*2*Таблица1[[#This Row],[Столбец1]]*Таблица1[[#This Row],[коэф]])),
IF((G519="5/16"),((база!$L$6*2*Таблица1[[#This Row],[Столбец1]]*Таблица1[[#This Row],[коэф]])),
IF(OR(G519="4/16",G519="3/16"),((база!$L$5*2*Таблица1[[#This Row],[Столбец1]]*Таблица1[[#This Row],[коэф]])),
IF(OR(G519="2/4",G519="3/4",G519="4/4"),((база!$I$5*2*Таблица1[[#This Row],[Столбец1]]*Таблица1[[#This Row],[коэф]])),
IF((G519="5/8"),((база!$J$6*2*Таблица1[[#This Row],[Столбец1]]*Таблица1[[#This Row],[коэф]])),
IF(OR(G519="4/8",G519="3/8",G519="2/8"),((база!$J$5*2*Таблица1[[#This Row],[Столбец1]]*Таблица1[[#This Row],[коэф]])))))))))))</f>
        <v>0</v>
      </c>
      <c r="AQ519" s="678" t="str">
        <f>IFERROR(INDEX(база!T:T, MATCH(F519,база!Q:Q,0)),"")</f>
        <v/>
      </c>
      <c r="AR519" s="193">
        <f>IFERROR(INDEX(база!D:D, MATCH(F519,база!B:B,0)),"")</f>
        <v>0</v>
      </c>
    </row>
    <row r="520" spans="1:44" ht="15">
      <c r="A520" s="59"/>
      <c r="B520" s="215"/>
      <c r="C520" s="277"/>
      <c r="D520" s="55"/>
      <c r="E520" s="196"/>
      <c r="F520" s="651"/>
      <c r="G520" s="42"/>
      <c r="H520" s="539"/>
      <c r="I520" s="539"/>
      <c r="J520" s="539"/>
      <c r="K520" s="539"/>
      <c r="L520" s="539"/>
      <c r="M520" s="539"/>
      <c r="N520" s="539"/>
      <c r="O520" s="539"/>
      <c r="P520" s="278"/>
      <c r="Q520" s="539"/>
      <c r="R520" s="539"/>
      <c r="S520" s="539"/>
      <c r="T520" s="539"/>
      <c r="U520" s="539"/>
      <c r="V520" s="539"/>
      <c r="W520" s="539"/>
      <c r="X520" s="539"/>
      <c r="Y520" s="539"/>
      <c r="Z520" s="539"/>
      <c r="AA520" s="539"/>
      <c r="AB520" s="539"/>
      <c r="AC520" s="539"/>
      <c r="AD520" s="43"/>
      <c r="AE520" s="43"/>
      <c r="AF520" s="238"/>
      <c r="AG520" s="43"/>
      <c r="AH520" s="43"/>
      <c r="AI520" s="238"/>
      <c r="AJ520" s="238"/>
      <c r="AK520" s="238"/>
      <c r="AL520" s="238"/>
      <c r="AM520" s="197">
        <f>IF(AQ520=1,SUM(H520:I520,L520:O520,R520:U520,X520:AA520,AD520:AG520,AI520:AK520),
IF(AQ520=2,SUM(H520:K520,N520:Q520,T520:W520,Z520:AC520,AF520:AI520),
IF(AQ520=3,SUM(J520:M520,P520:S520,V520:Y520,AB520:AE520,AH520:AK520),SUM(Таблица1[[#This Row],[1]:[31]])-Таблица1[[#This Row],[Столбец1]])))</f>
        <v>0</v>
      </c>
      <c r="AN520" s="269">
        <f t="array" ref="AN520">IF(AQ520=1,SUM(J520:K520,P520:Q520,V520:W520,AB520:AC520,AH520:AI520),
IF(AQ520=2,SUM(L520:M520,R520:S520,X520:Y520,AD520:AE520),
IF(AQ520=3,SUM(H520:I520,N520:O520,T520:U520,Z520:AA520,AF520:AG520),
SUM(IFERROR(WEEKDAY($H$2:$AL$2,2)&gt;5,)*H520:AL520))))</f>
        <v>0</v>
      </c>
      <c r="AO520" s="271" t="b">
        <f>IF(AR520&lt;=3,(IF((G520="5/24"),((база!$M$6*Таблица1[[#This Row],[сумма]]*Таблица1[[#This Row],[коэф]])),
IF((G520="4/24"),((база!$M$5*Таблица1[[#This Row],[сумма]]*Таблица1[[#This Row],[коэф]])),
IF((G520="3/24"),((база!$M$4*Таблица1[[#This Row],[сумма]]*Таблица1[[#This Row],[коэф]])),
IF((G520="5/16"),((база!$L$6*Таблица1[[#This Row],[сумма]]*Таблица1[[#This Row],[коэф]])),
IF((G520="4/16"),((база!$L$5*Таблица1[[#This Row],[сумма]]*Таблица1[[#This Row],[коэф]])),
IF((G520="3/16"),((база!$L$4*Таблица1[[#This Row],[сумма]]*Таблица1[[#This Row],[коэф]])),
IF((G520="4/4"),((база!$I$5*Таблица1[[#This Row],[сумма]]*Таблица1[[#This Row],[коэф]])),
IF(OR(G520="2/4",G520="3/4"),((база!$I$4*Таблица1[[#This Row],[сумма]]*Таблица1[[#This Row],[коэф]])),
IF((G520="5/8"),((база!$J$6*Таблица1[[#This Row],[сумма]]*Таблица1[[#This Row],[коэф]])),
IF((G520="4/8"),((база!$J$5*Таблица1[[#This Row],[сумма]]*Таблица1[[#This Row],[коэф]])),
IF(OR(G520="3/8",G520="2/8"),((база!$J$4*Таблица1[[#This Row],[сумма]]*Таблица1[[#This Row],[коэф]])))))))))))))),
(IF((G520="5/24"),((база!$M$6*Таблица1[[#This Row],[сумма]]*Таблица1[[#This Row],[коэф]])),
IF(OR(G520="4/24",G520="3/24"),((база!$M$5*Таблица1[[#This Row],[сумма]]*Таблица1[[#This Row],[коэф]])),
IF((G520="5/16"),((база!$L$6*Таблица1[[#This Row],[сумма]]*Таблица1[[#This Row],[коэф]])),
IF(OR(G520="4/16",G520="3/16"),((база!$L$5*Таблица1[[#This Row],[сумма]]*Таблица1[[#This Row],[коэф]])),
IF(OR(G520="2/4",G520="3/4",G520="4/4"),((база!$I$5*Таблица1[[#This Row],[сумма]]*Таблица1[[#This Row],[коэф]])),
IF((G520="5/8"),((база!$J$6*Таблица1[[#This Row],[сумма]]*Таблица1[[#This Row],[коэф]])),
IF(OR(G520="4/8",G520="3/8",G520="2/8"),((база!$J$5*Таблица1[[#This Row],[сумма]]*Таблица1[[#This Row],[коэф]])))))))))))</f>
        <v>0</v>
      </c>
      <c r="AP520" s="696" t="b">
        <f>IF(AR520&lt;=3,(IF((G520="5/24"),((база!$M$6*2*Таблица1[[#This Row],[Столбец1]]*Таблица1[[#This Row],[коэф]])),
IF((G520="4/24"),((база!$M$5*2*Таблица1[[#This Row],[Столбец1]]*Таблица1[[#This Row],[коэф]])),
IF((G520="3/24"),((база!$M$4*2*Таблица1[[#This Row],[Столбец1]]*Таблица1[[#This Row],[коэф]])),
IF((G520="5/16"),((база!$L$6*2*Таблица1[[#This Row],[Столбец1]]*Таблица1[[#This Row],[коэф]])),
IF((G520="4/16"),((база!$L$5*2*Таблица1[[#This Row],[Столбец1]]*Таблица1[[#This Row],[коэф]])),
IF((G520="3/16"),((база!$L$4*2*Таблица1[[#This Row],[Столбец1]]*Таблица1[[#This Row],[коэф]])),
IF((G520="4/4"),((база!$I$5*2*Таблица1[[#This Row],[Столбец1]]*Таблица1[[#This Row],[коэф]])),
IF(OR(G520="2/4",G520="3/4"),((база!$I$4*2*Таблица1[[#This Row],[Столбец1]]*Таблица1[[#This Row],[коэф]])),
IF((G520="5/8"),((база!$J$6*2*Таблица1[[#This Row],[Столбец1]]*Таблица1[[#This Row],[коэф]])),
IF((G520="4/8"),((база!$J$5*2*Таблица1[[#This Row],[Столбец1]]*Таблица1[[#This Row],[коэф]])),
IF(OR(G520="3/8",G520="2/8"),((база!$J$4*2*Таблица1[[#This Row],[Столбец1]]*Таблица1[[#This Row],[коэф]])))))))))))))),
(IF((G520="5/24"),((база!$M$6*2*Таблица1[[#This Row],[Столбец1]]*Таблица1[[#This Row],[коэф]])),
IF(OR(G520="4/24",G520="3/24"),((база!$M$5*2*Таблица1[[#This Row],[Столбец1]]*Таблица1[[#This Row],[коэф]])),
IF((G520="5/16"),((база!$L$6*2*Таблица1[[#This Row],[Столбец1]]*Таблица1[[#This Row],[коэф]])),
IF(OR(G520="4/16",G520="3/16"),((база!$L$5*2*Таблица1[[#This Row],[Столбец1]]*Таблица1[[#This Row],[коэф]])),
IF(OR(G520="2/4",G520="3/4",G520="4/4"),((база!$I$5*2*Таблица1[[#This Row],[Столбец1]]*Таблица1[[#This Row],[коэф]])),
IF((G520="5/8"),((база!$J$6*2*Таблица1[[#This Row],[Столбец1]]*Таблица1[[#This Row],[коэф]])),
IF(OR(G520="4/8",G520="3/8",G520="2/8"),((база!$J$5*2*Таблица1[[#This Row],[Столбец1]]*Таблица1[[#This Row],[коэф]])))))))))))</f>
        <v>0</v>
      </c>
      <c r="AQ520" s="678" t="str">
        <f>IFERROR(INDEX(база!T:T, MATCH(F520,база!Q:Q,0)),"")</f>
        <v/>
      </c>
      <c r="AR520" s="193">
        <f>IFERROR(INDEX(база!D:D, MATCH(F520,база!B:B,0)),"")</f>
        <v>0</v>
      </c>
    </row>
    <row r="521" spans="1:44" ht="15">
      <c r="A521" s="59"/>
      <c r="B521" s="215"/>
      <c r="C521" s="277"/>
      <c r="D521" s="55"/>
      <c r="E521" s="196"/>
      <c r="F521" s="651"/>
      <c r="G521" s="42"/>
      <c r="H521" s="539"/>
      <c r="I521" s="539"/>
      <c r="J521" s="539"/>
      <c r="K521" s="539"/>
      <c r="L521" s="539"/>
      <c r="M521" s="539"/>
      <c r="N521" s="539"/>
      <c r="O521" s="539"/>
      <c r="P521" s="278"/>
      <c r="Q521" s="539"/>
      <c r="R521" s="539"/>
      <c r="S521" s="539"/>
      <c r="T521" s="539"/>
      <c r="U521" s="539"/>
      <c r="V521" s="539"/>
      <c r="W521" s="539"/>
      <c r="X521" s="539"/>
      <c r="Y521" s="539"/>
      <c r="Z521" s="539"/>
      <c r="AA521" s="539"/>
      <c r="AB521" s="539"/>
      <c r="AC521" s="539"/>
      <c r="AD521" s="43"/>
      <c r="AE521" s="43"/>
      <c r="AF521" s="238"/>
      <c r="AG521" s="43"/>
      <c r="AH521" s="43"/>
      <c r="AI521" s="43"/>
      <c r="AJ521" s="43"/>
      <c r="AK521" s="43"/>
      <c r="AL521" s="45"/>
      <c r="AM521" s="197">
        <f>IF(AQ521=1,SUM(H521:I521,L521:O521,R521:U521,X521:AA521,AD521:AG521,AI521:AK521),
IF(AQ521=2,SUM(H521:K521,N521:Q521,T521:W521,Z521:AC521,AF521:AI521),
IF(AQ521=3,SUM(J521:M521,P521:S521,V521:Y521,AB521:AE521,AH521:AK521),SUM(Таблица1[[#This Row],[1]:[31]])-Таблица1[[#This Row],[Столбец1]])))</f>
        <v>0</v>
      </c>
      <c r="AN521" s="269">
        <f t="array" ref="AN521">IF(AQ521=1,SUM(J521:K521,P521:Q521,V521:W521,AB521:AC521,AH521:AI521),
IF(AQ521=2,SUM(L521:M521,R521:S521,X521:Y521,AD521:AE521),
IF(AQ521=3,SUM(H521:I521,N521:O521,T521:U521,Z521:AA521,AF521:AG521),
SUM(IFERROR(WEEKDAY($H$2:$AL$2,2)&gt;5,)*H521:AL521))))</f>
        <v>0</v>
      </c>
      <c r="AO521" s="271" t="b">
        <f>IF(AR521&lt;=3,(IF((G521="5/24"),((база!$M$6*Таблица1[[#This Row],[сумма]]*Таблица1[[#This Row],[коэф]])),
IF((G521="4/24"),((база!$M$5*Таблица1[[#This Row],[сумма]]*Таблица1[[#This Row],[коэф]])),
IF((G521="3/24"),((база!$M$4*Таблица1[[#This Row],[сумма]]*Таблица1[[#This Row],[коэф]])),
IF((G521="5/16"),((база!$L$6*Таблица1[[#This Row],[сумма]]*Таблица1[[#This Row],[коэф]])),
IF((G521="4/16"),((база!$L$5*Таблица1[[#This Row],[сумма]]*Таблица1[[#This Row],[коэф]])),
IF((G521="3/16"),((база!$L$4*Таблица1[[#This Row],[сумма]]*Таблица1[[#This Row],[коэф]])),
IF((G521="4/4"),((база!$I$5*Таблица1[[#This Row],[сумма]]*Таблица1[[#This Row],[коэф]])),
IF(OR(G521="2/4",G521="3/4"),((база!$I$4*Таблица1[[#This Row],[сумма]]*Таблица1[[#This Row],[коэф]])),
IF((G521="5/8"),((база!$J$6*Таблица1[[#This Row],[сумма]]*Таблица1[[#This Row],[коэф]])),
IF((G521="4/8"),((база!$J$5*Таблица1[[#This Row],[сумма]]*Таблица1[[#This Row],[коэф]])),
IF(OR(G521="3/8",G521="2/8"),((база!$J$4*Таблица1[[#This Row],[сумма]]*Таблица1[[#This Row],[коэф]])))))))))))))),
(IF((G521="5/24"),((база!$M$6*Таблица1[[#This Row],[сумма]]*Таблица1[[#This Row],[коэф]])),
IF(OR(G521="4/24",G521="3/24"),((база!$M$5*Таблица1[[#This Row],[сумма]]*Таблица1[[#This Row],[коэф]])),
IF((G521="5/16"),((база!$L$6*Таблица1[[#This Row],[сумма]]*Таблица1[[#This Row],[коэф]])),
IF(OR(G521="4/16",G521="3/16"),((база!$L$5*Таблица1[[#This Row],[сумма]]*Таблица1[[#This Row],[коэф]])),
IF(OR(G521="2/4",G521="3/4",G521="4/4"),((база!$I$5*Таблица1[[#This Row],[сумма]]*Таблица1[[#This Row],[коэф]])),
IF((G521="5/8"),((база!$J$6*Таблица1[[#This Row],[сумма]]*Таблица1[[#This Row],[коэф]])),
IF(OR(G521="4/8",G521="3/8",G521="2/8"),((база!$J$5*Таблица1[[#This Row],[сумма]]*Таблица1[[#This Row],[коэф]])))))))))))</f>
        <v>0</v>
      </c>
      <c r="AP521" s="696" t="b">
        <f>IF(AR521&lt;=3,(IF((G521="5/24"),((база!$M$6*2*Таблица1[[#This Row],[Столбец1]]*Таблица1[[#This Row],[коэф]])),
IF((G521="4/24"),((база!$M$5*2*Таблица1[[#This Row],[Столбец1]]*Таблица1[[#This Row],[коэф]])),
IF((G521="3/24"),((база!$M$4*2*Таблица1[[#This Row],[Столбец1]]*Таблица1[[#This Row],[коэф]])),
IF((G521="5/16"),((база!$L$6*2*Таблица1[[#This Row],[Столбец1]]*Таблица1[[#This Row],[коэф]])),
IF((G521="4/16"),((база!$L$5*2*Таблица1[[#This Row],[Столбец1]]*Таблица1[[#This Row],[коэф]])),
IF((G521="3/16"),((база!$L$4*2*Таблица1[[#This Row],[Столбец1]]*Таблица1[[#This Row],[коэф]])),
IF((G521="4/4"),((база!$I$5*2*Таблица1[[#This Row],[Столбец1]]*Таблица1[[#This Row],[коэф]])),
IF(OR(G521="2/4",G521="3/4"),((база!$I$4*2*Таблица1[[#This Row],[Столбец1]]*Таблица1[[#This Row],[коэф]])),
IF((G521="5/8"),((база!$J$6*2*Таблица1[[#This Row],[Столбец1]]*Таблица1[[#This Row],[коэф]])),
IF((G521="4/8"),((база!$J$5*2*Таблица1[[#This Row],[Столбец1]]*Таблица1[[#This Row],[коэф]])),
IF(OR(G521="3/8",G521="2/8"),((база!$J$4*2*Таблица1[[#This Row],[Столбец1]]*Таблица1[[#This Row],[коэф]])))))))))))))),
(IF((G521="5/24"),((база!$M$6*2*Таблица1[[#This Row],[Столбец1]]*Таблица1[[#This Row],[коэф]])),
IF(OR(G521="4/24",G521="3/24"),((база!$M$5*2*Таблица1[[#This Row],[Столбец1]]*Таблица1[[#This Row],[коэф]])),
IF((G521="5/16"),((база!$L$6*2*Таблица1[[#This Row],[Столбец1]]*Таблица1[[#This Row],[коэф]])),
IF(OR(G521="4/16",G521="3/16"),((база!$L$5*2*Таблица1[[#This Row],[Столбец1]]*Таблица1[[#This Row],[коэф]])),
IF(OR(G521="2/4",G521="3/4",G521="4/4"),((база!$I$5*2*Таблица1[[#This Row],[Столбец1]]*Таблица1[[#This Row],[коэф]])),
IF((G521="5/8"),((база!$J$6*2*Таблица1[[#This Row],[Столбец1]]*Таблица1[[#This Row],[коэф]])),
IF(OR(G521="4/8",G521="3/8",G521="2/8"),((база!$J$5*2*Таблица1[[#This Row],[Столбец1]]*Таблица1[[#This Row],[коэф]])))))))))))</f>
        <v>0</v>
      </c>
      <c r="AQ521" s="678" t="str">
        <f>IFERROR(INDEX(база!T:T, MATCH(F521,база!Q:Q,0)),"")</f>
        <v/>
      </c>
      <c r="AR521" s="193">
        <f>IFERROR(INDEX(база!D:D, MATCH(F521,база!B:B,0)),"")</f>
        <v>0</v>
      </c>
    </row>
    <row r="522" spans="1:44" ht="15">
      <c r="A522" s="59"/>
      <c r="B522" s="215"/>
      <c r="C522" s="277"/>
      <c r="D522" s="55"/>
      <c r="E522" s="196"/>
      <c r="F522" s="651"/>
      <c r="G522" s="42"/>
      <c r="H522" s="539"/>
      <c r="I522" s="539"/>
      <c r="J522" s="539"/>
      <c r="K522" s="539"/>
      <c r="L522" s="539"/>
      <c r="M522" s="539"/>
      <c r="N522" s="539"/>
      <c r="O522" s="539"/>
      <c r="P522" s="278"/>
      <c r="Q522" s="539"/>
      <c r="R522" s="539"/>
      <c r="S522" s="539"/>
      <c r="T522" s="539"/>
      <c r="U522" s="539"/>
      <c r="V522" s="539"/>
      <c r="W522" s="539"/>
      <c r="X522" s="539"/>
      <c r="Y522" s="539"/>
      <c r="Z522" s="539"/>
      <c r="AA522" s="539"/>
      <c r="AB522" s="539"/>
      <c r="AC522" s="539"/>
      <c r="AD522" s="43"/>
      <c r="AE522" s="43"/>
      <c r="AF522" s="238"/>
      <c r="AG522" s="43"/>
      <c r="AH522" s="43"/>
      <c r="AI522" s="238"/>
      <c r="AJ522" s="238"/>
      <c r="AK522" s="238"/>
      <c r="AL522" s="238"/>
      <c r="AM522" s="197">
        <f>IF(AQ522=1,SUM(H522:I522,L522:O522,R522:U522,X522:AA522,AD522:AG522,AI522:AK522),
IF(AQ522=2,SUM(H522:K522,N522:Q522,T522:W522,Z522:AC522,AF522:AI522),
IF(AQ522=3,SUM(J522:M522,P522:S522,V522:Y522,AB522:AE522,AH522:AK522),SUM(Таблица1[[#This Row],[1]:[31]])-Таблица1[[#This Row],[Столбец1]])))</f>
        <v>0</v>
      </c>
      <c r="AN522" s="269">
        <f t="array" ref="AN522">IF(AQ522=1,SUM(J522:K522,P522:Q522,V522:W522,AB522:AC522,AH522:AI522),
IF(AQ522=2,SUM(L522:M522,R522:S522,X522:Y522,AD522:AE522),
IF(AQ522=3,SUM(H522:I522,N522:O522,T522:U522,Z522:AA522,AF522:AG522),
SUM(IFERROR(WEEKDAY($H$2:$AL$2,2)&gt;5,)*H522:AL522))))</f>
        <v>0</v>
      </c>
      <c r="AO522" s="271" t="b">
        <f>IF(AR522&lt;=3,(IF((G522="5/24"),((база!$M$6*Таблица1[[#This Row],[сумма]]*Таблица1[[#This Row],[коэф]])),
IF((G522="4/24"),((база!$M$5*Таблица1[[#This Row],[сумма]]*Таблица1[[#This Row],[коэф]])),
IF((G522="3/24"),((база!$M$4*Таблица1[[#This Row],[сумма]]*Таблица1[[#This Row],[коэф]])),
IF((G522="5/16"),((база!$L$6*Таблица1[[#This Row],[сумма]]*Таблица1[[#This Row],[коэф]])),
IF((G522="4/16"),((база!$L$5*Таблица1[[#This Row],[сумма]]*Таблица1[[#This Row],[коэф]])),
IF((G522="3/16"),((база!$L$4*Таблица1[[#This Row],[сумма]]*Таблица1[[#This Row],[коэф]])),
IF((G522="4/4"),((база!$I$5*Таблица1[[#This Row],[сумма]]*Таблица1[[#This Row],[коэф]])),
IF(OR(G522="2/4",G522="3/4"),((база!$I$4*Таблица1[[#This Row],[сумма]]*Таблица1[[#This Row],[коэф]])),
IF((G522="5/8"),((база!$J$6*Таблица1[[#This Row],[сумма]]*Таблица1[[#This Row],[коэф]])),
IF((G522="4/8"),((база!$J$5*Таблица1[[#This Row],[сумма]]*Таблица1[[#This Row],[коэф]])),
IF(OR(G522="3/8",G522="2/8"),((база!$J$4*Таблица1[[#This Row],[сумма]]*Таблица1[[#This Row],[коэф]])))))))))))))),
(IF((G522="5/24"),((база!$M$6*Таблица1[[#This Row],[сумма]]*Таблица1[[#This Row],[коэф]])),
IF(OR(G522="4/24",G522="3/24"),((база!$M$5*Таблица1[[#This Row],[сумма]]*Таблица1[[#This Row],[коэф]])),
IF((G522="5/16"),((база!$L$6*Таблица1[[#This Row],[сумма]]*Таблица1[[#This Row],[коэф]])),
IF(OR(G522="4/16",G522="3/16"),((база!$L$5*Таблица1[[#This Row],[сумма]]*Таблица1[[#This Row],[коэф]])),
IF(OR(G522="2/4",G522="3/4",G522="4/4"),((база!$I$5*Таблица1[[#This Row],[сумма]]*Таблица1[[#This Row],[коэф]])),
IF((G522="5/8"),((база!$J$6*Таблица1[[#This Row],[сумма]]*Таблица1[[#This Row],[коэф]])),
IF(OR(G522="4/8",G522="3/8",G522="2/8"),((база!$J$5*Таблица1[[#This Row],[сумма]]*Таблица1[[#This Row],[коэф]])))))))))))</f>
        <v>0</v>
      </c>
      <c r="AP522" s="696" t="b">
        <f>IF(AR522&lt;=3,(IF((G522="5/24"),((база!$M$6*2*Таблица1[[#This Row],[Столбец1]]*Таблица1[[#This Row],[коэф]])),
IF((G522="4/24"),((база!$M$5*2*Таблица1[[#This Row],[Столбец1]]*Таблица1[[#This Row],[коэф]])),
IF((G522="3/24"),((база!$M$4*2*Таблица1[[#This Row],[Столбец1]]*Таблица1[[#This Row],[коэф]])),
IF((G522="5/16"),((база!$L$6*2*Таблица1[[#This Row],[Столбец1]]*Таблица1[[#This Row],[коэф]])),
IF((G522="4/16"),((база!$L$5*2*Таблица1[[#This Row],[Столбец1]]*Таблица1[[#This Row],[коэф]])),
IF((G522="3/16"),((база!$L$4*2*Таблица1[[#This Row],[Столбец1]]*Таблица1[[#This Row],[коэф]])),
IF((G522="4/4"),((база!$I$5*2*Таблица1[[#This Row],[Столбец1]]*Таблица1[[#This Row],[коэф]])),
IF(OR(G522="2/4",G522="3/4"),((база!$I$4*2*Таблица1[[#This Row],[Столбец1]]*Таблица1[[#This Row],[коэф]])),
IF((G522="5/8"),((база!$J$6*2*Таблица1[[#This Row],[Столбец1]]*Таблица1[[#This Row],[коэф]])),
IF((G522="4/8"),((база!$J$5*2*Таблица1[[#This Row],[Столбец1]]*Таблица1[[#This Row],[коэф]])),
IF(OR(G522="3/8",G522="2/8"),((база!$J$4*2*Таблица1[[#This Row],[Столбец1]]*Таблица1[[#This Row],[коэф]])))))))))))))),
(IF((G522="5/24"),((база!$M$6*2*Таблица1[[#This Row],[Столбец1]]*Таблица1[[#This Row],[коэф]])),
IF(OR(G522="4/24",G522="3/24"),((база!$M$5*2*Таблица1[[#This Row],[Столбец1]]*Таблица1[[#This Row],[коэф]])),
IF((G522="5/16"),((база!$L$6*2*Таблица1[[#This Row],[Столбец1]]*Таблица1[[#This Row],[коэф]])),
IF(OR(G522="4/16",G522="3/16"),((база!$L$5*2*Таблица1[[#This Row],[Столбец1]]*Таблица1[[#This Row],[коэф]])),
IF(OR(G522="2/4",G522="3/4",G522="4/4"),((база!$I$5*2*Таблица1[[#This Row],[Столбец1]]*Таблица1[[#This Row],[коэф]])),
IF((G522="5/8"),((база!$J$6*2*Таблица1[[#This Row],[Столбец1]]*Таблица1[[#This Row],[коэф]])),
IF(OR(G522="4/8",G522="3/8",G522="2/8"),((база!$J$5*2*Таблица1[[#This Row],[Столбец1]]*Таблица1[[#This Row],[коэф]])))))))))))</f>
        <v>0</v>
      </c>
      <c r="AQ522" s="678" t="str">
        <f>IFERROR(INDEX(база!T:T, MATCH(F522,база!Q:Q,0)),"")</f>
        <v/>
      </c>
      <c r="AR522" s="193">
        <f>IFERROR(INDEX(база!D:D, MATCH(F522,база!B:B,0)),"")</f>
        <v>0</v>
      </c>
    </row>
    <row r="523" spans="1:44" ht="15">
      <c r="A523" s="59"/>
      <c r="B523" s="215"/>
      <c r="C523" s="277"/>
      <c r="D523" s="55"/>
      <c r="E523" s="196"/>
      <c r="F523" s="651"/>
      <c r="G523" s="42"/>
      <c r="H523" s="539"/>
      <c r="I523" s="539"/>
      <c r="J523" s="539"/>
      <c r="K523" s="539"/>
      <c r="L523" s="539"/>
      <c r="M523" s="539"/>
      <c r="N523" s="539"/>
      <c r="O523" s="539"/>
      <c r="P523" s="278"/>
      <c r="Q523" s="539"/>
      <c r="R523" s="539"/>
      <c r="S523" s="539"/>
      <c r="T523" s="539"/>
      <c r="U523" s="539"/>
      <c r="V523" s="539"/>
      <c r="W523" s="539"/>
      <c r="X523" s="539"/>
      <c r="Y523" s="539"/>
      <c r="Z523" s="539"/>
      <c r="AA523" s="539"/>
      <c r="AB523" s="539"/>
      <c r="AC523" s="539"/>
      <c r="AD523" s="43"/>
      <c r="AE523" s="43"/>
      <c r="AF523" s="238"/>
      <c r="AG523" s="43"/>
      <c r="AH523" s="43"/>
      <c r="AI523" s="43"/>
      <c r="AJ523" s="43"/>
      <c r="AK523" s="43"/>
      <c r="AL523" s="45"/>
      <c r="AM523" s="197">
        <f>IF(AQ523=1,SUM(H523:I523,L523:O523,R523:U523,X523:AA523,AD523:AG523,AI523:AK523),
IF(AQ523=2,SUM(H523:K523,N523:Q523,T523:W523,Z523:AC523,AF523:AI523),
IF(AQ523=3,SUM(J523:M523,P523:S523,V523:Y523,AB523:AE523,AH523:AK523),SUM(Таблица1[[#This Row],[1]:[31]])-Таблица1[[#This Row],[Столбец1]])))</f>
        <v>0</v>
      </c>
      <c r="AN523" s="269">
        <f t="array" ref="AN523">IF(AQ523=1,SUM(J523:K523,P523:Q523,V523:W523,AB523:AC523,AH523:AI523),
IF(AQ523=2,SUM(L523:M523,R523:S523,X523:Y523,AD523:AE523),
IF(AQ523=3,SUM(H523:I523,N523:O523,T523:U523,Z523:AA523,AF523:AG523),
SUM(IFERROR(WEEKDAY($H$2:$AL$2,2)&gt;5,)*H523:AL523))))</f>
        <v>0</v>
      </c>
      <c r="AO523" s="271" t="b">
        <f>IF(AR523&lt;=3,(IF((G523="5/24"),((база!$M$6*Таблица1[[#This Row],[сумма]]*Таблица1[[#This Row],[коэф]])),
IF((G523="4/24"),((база!$M$5*Таблица1[[#This Row],[сумма]]*Таблица1[[#This Row],[коэф]])),
IF((G523="3/24"),((база!$M$4*Таблица1[[#This Row],[сумма]]*Таблица1[[#This Row],[коэф]])),
IF((G523="5/16"),((база!$L$6*Таблица1[[#This Row],[сумма]]*Таблица1[[#This Row],[коэф]])),
IF((G523="4/16"),((база!$L$5*Таблица1[[#This Row],[сумма]]*Таблица1[[#This Row],[коэф]])),
IF((G523="3/16"),((база!$L$4*Таблица1[[#This Row],[сумма]]*Таблица1[[#This Row],[коэф]])),
IF((G523="4/4"),((база!$I$5*Таблица1[[#This Row],[сумма]]*Таблица1[[#This Row],[коэф]])),
IF(OR(G523="2/4",G523="3/4"),((база!$I$4*Таблица1[[#This Row],[сумма]]*Таблица1[[#This Row],[коэф]])),
IF((G523="5/8"),((база!$J$6*Таблица1[[#This Row],[сумма]]*Таблица1[[#This Row],[коэф]])),
IF((G523="4/8"),((база!$J$5*Таблица1[[#This Row],[сумма]]*Таблица1[[#This Row],[коэф]])),
IF(OR(G523="3/8",G523="2/8"),((база!$J$4*Таблица1[[#This Row],[сумма]]*Таблица1[[#This Row],[коэф]])))))))))))))),
(IF((G523="5/24"),((база!$M$6*Таблица1[[#This Row],[сумма]]*Таблица1[[#This Row],[коэф]])),
IF(OR(G523="4/24",G523="3/24"),((база!$M$5*Таблица1[[#This Row],[сумма]]*Таблица1[[#This Row],[коэф]])),
IF((G523="5/16"),((база!$L$6*Таблица1[[#This Row],[сумма]]*Таблица1[[#This Row],[коэф]])),
IF(OR(G523="4/16",G523="3/16"),((база!$L$5*Таблица1[[#This Row],[сумма]]*Таблица1[[#This Row],[коэф]])),
IF(OR(G523="2/4",G523="3/4",G523="4/4"),((база!$I$5*Таблица1[[#This Row],[сумма]]*Таблица1[[#This Row],[коэф]])),
IF((G523="5/8"),((база!$J$6*Таблица1[[#This Row],[сумма]]*Таблица1[[#This Row],[коэф]])),
IF(OR(G523="4/8",G523="3/8",G523="2/8"),((база!$J$5*Таблица1[[#This Row],[сумма]]*Таблица1[[#This Row],[коэф]])))))))))))</f>
        <v>0</v>
      </c>
      <c r="AP523" s="696" t="b">
        <f>IF(AR523&lt;=3,(IF((G523="5/24"),((база!$M$6*2*Таблица1[[#This Row],[Столбец1]]*Таблица1[[#This Row],[коэф]])),
IF((G523="4/24"),((база!$M$5*2*Таблица1[[#This Row],[Столбец1]]*Таблица1[[#This Row],[коэф]])),
IF((G523="3/24"),((база!$M$4*2*Таблица1[[#This Row],[Столбец1]]*Таблица1[[#This Row],[коэф]])),
IF((G523="5/16"),((база!$L$6*2*Таблица1[[#This Row],[Столбец1]]*Таблица1[[#This Row],[коэф]])),
IF((G523="4/16"),((база!$L$5*2*Таблица1[[#This Row],[Столбец1]]*Таблица1[[#This Row],[коэф]])),
IF((G523="3/16"),((база!$L$4*2*Таблица1[[#This Row],[Столбец1]]*Таблица1[[#This Row],[коэф]])),
IF((G523="4/4"),((база!$I$5*2*Таблица1[[#This Row],[Столбец1]]*Таблица1[[#This Row],[коэф]])),
IF(OR(G523="2/4",G523="3/4"),((база!$I$4*2*Таблица1[[#This Row],[Столбец1]]*Таблица1[[#This Row],[коэф]])),
IF((G523="5/8"),((база!$J$6*2*Таблица1[[#This Row],[Столбец1]]*Таблица1[[#This Row],[коэф]])),
IF((G523="4/8"),((база!$J$5*2*Таблица1[[#This Row],[Столбец1]]*Таблица1[[#This Row],[коэф]])),
IF(OR(G523="3/8",G523="2/8"),((база!$J$4*2*Таблица1[[#This Row],[Столбец1]]*Таблица1[[#This Row],[коэф]])))))))))))))),
(IF((G523="5/24"),((база!$M$6*2*Таблица1[[#This Row],[Столбец1]]*Таблица1[[#This Row],[коэф]])),
IF(OR(G523="4/24",G523="3/24"),((база!$M$5*2*Таблица1[[#This Row],[Столбец1]]*Таблица1[[#This Row],[коэф]])),
IF((G523="5/16"),((база!$L$6*2*Таблица1[[#This Row],[Столбец1]]*Таблица1[[#This Row],[коэф]])),
IF(OR(G523="4/16",G523="3/16"),((база!$L$5*2*Таблица1[[#This Row],[Столбец1]]*Таблица1[[#This Row],[коэф]])),
IF(OR(G523="2/4",G523="3/4",G523="4/4"),((база!$I$5*2*Таблица1[[#This Row],[Столбец1]]*Таблица1[[#This Row],[коэф]])),
IF((G523="5/8"),((база!$J$6*2*Таблица1[[#This Row],[Столбец1]]*Таблица1[[#This Row],[коэф]])),
IF(OR(G523="4/8",G523="3/8",G523="2/8"),((база!$J$5*2*Таблица1[[#This Row],[Столбец1]]*Таблица1[[#This Row],[коэф]])))))))))))</f>
        <v>0</v>
      </c>
      <c r="AQ523" s="678" t="str">
        <f>IFERROR(INDEX(база!T:T, MATCH(F523,база!Q:Q,0)),"")</f>
        <v/>
      </c>
      <c r="AR523" s="193">
        <f>IFERROR(INDEX(база!D:D, MATCH(F523,база!B:B,0)),"")</f>
        <v>0</v>
      </c>
    </row>
    <row r="524" spans="1:44" ht="15">
      <c r="A524" s="59"/>
      <c r="B524" s="215"/>
      <c r="C524" s="277"/>
      <c r="D524" s="55"/>
      <c r="E524" s="196"/>
      <c r="F524" s="651"/>
      <c r="G524" s="42"/>
      <c r="H524" s="539"/>
      <c r="I524" s="539"/>
      <c r="J524" s="539"/>
      <c r="K524" s="539"/>
      <c r="L524" s="539"/>
      <c r="M524" s="539"/>
      <c r="N524" s="539"/>
      <c r="O524" s="539"/>
      <c r="P524" s="278"/>
      <c r="Q524" s="539"/>
      <c r="R524" s="539"/>
      <c r="S524" s="539"/>
      <c r="T524" s="539"/>
      <c r="U524" s="539"/>
      <c r="V524" s="539"/>
      <c r="W524" s="539"/>
      <c r="X524" s="539"/>
      <c r="Y524" s="539"/>
      <c r="Z524" s="539"/>
      <c r="AA524" s="539"/>
      <c r="AB524" s="539"/>
      <c r="AC524" s="539"/>
      <c r="AD524" s="43"/>
      <c r="AE524" s="43"/>
      <c r="AF524" s="238"/>
      <c r="AG524" s="43"/>
      <c r="AH524" s="43"/>
      <c r="AI524" s="43"/>
      <c r="AJ524" s="43"/>
      <c r="AK524" s="43"/>
      <c r="AL524" s="45"/>
      <c r="AM524" s="197">
        <f>IF(AQ524=1,SUM(H524:I524,L524:O524,R524:U524,X524:AA524,AD524:AG524,AI524:AK524),
IF(AQ524=2,SUM(H524:K524,N524:Q524,T524:W524,Z524:AC524,AF524:AI524),
IF(AQ524=3,SUM(J524:M524,P524:S524,V524:Y524,AB524:AE524,AH524:AK524),SUM(Таблица1[[#This Row],[1]:[31]])-Таблица1[[#This Row],[Столбец1]])))</f>
        <v>0</v>
      </c>
      <c r="AN524" s="269">
        <f t="array" ref="AN524">IF(AQ524=1,SUM(J524:K524,P524:Q524,V524:W524,AB524:AC524,AH524:AI524),
IF(AQ524=2,SUM(L524:M524,R524:S524,X524:Y524,AD524:AE524),
IF(AQ524=3,SUM(H524:I524,N524:O524,T524:U524,Z524:AA524,AF524:AG524),
SUM(IFERROR(WEEKDAY($H$2:$AL$2,2)&gt;5,)*H524:AL524))))</f>
        <v>0</v>
      </c>
      <c r="AO524" s="271" t="b">
        <f>IF(AR524&lt;=3,(IF((G524="5/24"),((база!$M$6*Таблица1[[#This Row],[сумма]]*Таблица1[[#This Row],[коэф]])),
IF((G524="4/24"),((база!$M$5*Таблица1[[#This Row],[сумма]]*Таблица1[[#This Row],[коэф]])),
IF((G524="3/24"),((база!$M$4*Таблица1[[#This Row],[сумма]]*Таблица1[[#This Row],[коэф]])),
IF((G524="5/16"),((база!$L$6*Таблица1[[#This Row],[сумма]]*Таблица1[[#This Row],[коэф]])),
IF((G524="4/16"),((база!$L$5*Таблица1[[#This Row],[сумма]]*Таблица1[[#This Row],[коэф]])),
IF((G524="3/16"),((база!$L$4*Таблица1[[#This Row],[сумма]]*Таблица1[[#This Row],[коэф]])),
IF((G524="4/4"),((база!$I$5*Таблица1[[#This Row],[сумма]]*Таблица1[[#This Row],[коэф]])),
IF(OR(G524="2/4",G524="3/4"),((база!$I$4*Таблица1[[#This Row],[сумма]]*Таблица1[[#This Row],[коэф]])),
IF((G524="5/8"),((база!$J$6*Таблица1[[#This Row],[сумма]]*Таблица1[[#This Row],[коэф]])),
IF((G524="4/8"),((база!$J$5*Таблица1[[#This Row],[сумма]]*Таблица1[[#This Row],[коэф]])),
IF(OR(G524="3/8",G524="2/8"),((база!$J$4*Таблица1[[#This Row],[сумма]]*Таблица1[[#This Row],[коэф]])))))))))))))),
(IF((G524="5/24"),((база!$M$6*Таблица1[[#This Row],[сумма]]*Таблица1[[#This Row],[коэф]])),
IF(OR(G524="4/24",G524="3/24"),((база!$M$5*Таблица1[[#This Row],[сумма]]*Таблица1[[#This Row],[коэф]])),
IF((G524="5/16"),((база!$L$6*Таблица1[[#This Row],[сумма]]*Таблица1[[#This Row],[коэф]])),
IF(OR(G524="4/16",G524="3/16"),((база!$L$5*Таблица1[[#This Row],[сумма]]*Таблица1[[#This Row],[коэф]])),
IF(OR(G524="2/4",G524="3/4",G524="4/4"),((база!$I$5*Таблица1[[#This Row],[сумма]]*Таблица1[[#This Row],[коэф]])),
IF((G524="5/8"),((база!$J$6*Таблица1[[#This Row],[сумма]]*Таблица1[[#This Row],[коэф]])),
IF(OR(G524="4/8",G524="3/8",G524="2/8"),((база!$J$5*Таблица1[[#This Row],[сумма]]*Таблица1[[#This Row],[коэф]])))))))))))</f>
        <v>0</v>
      </c>
      <c r="AP524" s="696" t="b">
        <f>IF(AR524&lt;=3,(IF((G524="5/24"),((база!$M$6*2*Таблица1[[#This Row],[Столбец1]]*Таблица1[[#This Row],[коэф]])),
IF((G524="4/24"),((база!$M$5*2*Таблица1[[#This Row],[Столбец1]]*Таблица1[[#This Row],[коэф]])),
IF((G524="3/24"),((база!$M$4*2*Таблица1[[#This Row],[Столбец1]]*Таблица1[[#This Row],[коэф]])),
IF((G524="5/16"),((база!$L$6*2*Таблица1[[#This Row],[Столбец1]]*Таблица1[[#This Row],[коэф]])),
IF((G524="4/16"),((база!$L$5*2*Таблица1[[#This Row],[Столбец1]]*Таблица1[[#This Row],[коэф]])),
IF((G524="3/16"),((база!$L$4*2*Таблица1[[#This Row],[Столбец1]]*Таблица1[[#This Row],[коэф]])),
IF((G524="4/4"),((база!$I$5*2*Таблица1[[#This Row],[Столбец1]]*Таблица1[[#This Row],[коэф]])),
IF(OR(G524="2/4",G524="3/4"),((база!$I$4*2*Таблица1[[#This Row],[Столбец1]]*Таблица1[[#This Row],[коэф]])),
IF((G524="5/8"),((база!$J$6*2*Таблица1[[#This Row],[Столбец1]]*Таблица1[[#This Row],[коэф]])),
IF((G524="4/8"),((база!$J$5*2*Таблица1[[#This Row],[Столбец1]]*Таблица1[[#This Row],[коэф]])),
IF(OR(G524="3/8",G524="2/8"),((база!$J$4*2*Таблица1[[#This Row],[Столбец1]]*Таблица1[[#This Row],[коэф]])))))))))))))),
(IF((G524="5/24"),((база!$M$6*2*Таблица1[[#This Row],[Столбец1]]*Таблица1[[#This Row],[коэф]])),
IF(OR(G524="4/24",G524="3/24"),((база!$M$5*2*Таблица1[[#This Row],[Столбец1]]*Таблица1[[#This Row],[коэф]])),
IF((G524="5/16"),((база!$L$6*2*Таблица1[[#This Row],[Столбец1]]*Таблица1[[#This Row],[коэф]])),
IF(OR(G524="4/16",G524="3/16"),((база!$L$5*2*Таблица1[[#This Row],[Столбец1]]*Таблица1[[#This Row],[коэф]])),
IF(OR(G524="2/4",G524="3/4",G524="4/4"),((база!$I$5*2*Таблица1[[#This Row],[Столбец1]]*Таблица1[[#This Row],[коэф]])),
IF((G524="5/8"),((база!$J$6*2*Таблица1[[#This Row],[Столбец1]]*Таблица1[[#This Row],[коэф]])),
IF(OR(G524="4/8",G524="3/8",G524="2/8"),((база!$J$5*2*Таблица1[[#This Row],[Столбец1]]*Таблица1[[#This Row],[коэф]])))))))))))</f>
        <v>0</v>
      </c>
      <c r="AQ524" s="678" t="str">
        <f>IFERROR(INDEX(база!T:T, MATCH(F524,база!Q:Q,0)),"")</f>
        <v/>
      </c>
      <c r="AR524" s="193">
        <f>IFERROR(INDEX(база!D:D, MATCH(F524,база!B:B,0)),"")</f>
        <v>0</v>
      </c>
    </row>
    <row r="525" spans="1:44" ht="15">
      <c r="A525" s="59"/>
      <c r="B525" s="215"/>
      <c r="C525" s="277"/>
      <c r="D525" s="55"/>
      <c r="E525" s="196"/>
      <c r="F525" s="651"/>
      <c r="G525" s="42"/>
      <c r="H525" s="539"/>
      <c r="I525" s="539"/>
      <c r="J525" s="539"/>
      <c r="K525" s="539"/>
      <c r="L525" s="539"/>
      <c r="M525" s="539"/>
      <c r="N525" s="539"/>
      <c r="O525" s="539"/>
      <c r="P525" s="278"/>
      <c r="Q525" s="539"/>
      <c r="R525" s="539"/>
      <c r="S525" s="539"/>
      <c r="T525" s="539"/>
      <c r="U525" s="539"/>
      <c r="V525" s="539"/>
      <c r="W525" s="539"/>
      <c r="X525" s="539"/>
      <c r="Y525" s="539"/>
      <c r="Z525" s="539"/>
      <c r="AA525" s="539"/>
      <c r="AB525" s="539"/>
      <c r="AC525" s="539"/>
      <c r="AD525" s="43"/>
      <c r="AE525" s="43"/>
      <c r="AF525" s="238"/>
      <c r="AG525" s="43"/>
      <c r="AH525" s="43"/>
      <c r="AI525" s="238"/>
      <c r="AJ525" s="238"/>
      <c r="AK525" s="238"/>
      <c r="AL525" s="238"/>
      <c r="AM525" s="197">
        <f>IF(AQ525=1,SUM(H525:I525,L525:O525,R525:U525,X525:AA525,AD525:AG525,AI525:AK525),
IF(AQ525=2,SUM(H525:K525,N525:Q525,T525:W525,Z525:AC525,AF525:AI525),
IF(AQ525=3,SUM(J525:M525,P525:S525,V525:Y525,AB525:AE525,AH525:AK525),SUM(Таблица1[[#This Row],[1]:[31]])-Таблица1[[#This Row],[Столбец1]])))</f>
        <v>0</v>
      </c>
      <c r="AN525" s="269">
        <f t="array" ref="AN525">IF(AQ525=1,SUM(J525:K525,P525:Q525,V525:W525,AB525:AC525,AH525:AI525),
IF(AQ525=2,SUM(L525:M525,R525:S525,X525:Y525,AD525:AE525),
IF(AQ525=3,SUM(H525:I525,N525:O525,T525:U525,Z525:AA525,AF525:AG525),
SUM(IFERROR(WEEKDAY($H$2:$AL$2,2)&gt;5,)*H525:AL525))))</f>
        <v>0</v>
      </c>
      <c r="AO525" s="271" t="b">
        <f>IF(AR525&lt;=3,(IF((G525="5/24"),((база!$M$6*Таблица1[[#This Row],[сумма]]*Таблица1[[#This Row],[коэф]])),
IF((G525="4/24"),((база!$M$5*Таблица1[[#This Row],[сумма]]*Таблица1[[#This Row],[коэф]])),
IF((G525="3/24"),((база!$M$4*Таблица1[[#This Row],[сумма]]*Таблица1[[#This Row],[коэф]])),
IF((G525="5/16"),((база!$L$6*Таблица1[[#This Row],[сумма]]*Таблица1[[#This Row],[коэф]])),
IF((G525="4/16"),((база!$L$5*Таблица1[[#This Row],[сумма]]*Таблица1[[#This Row],[коэф]])),
IF((G525="3/16"),((база!$L$4*Таблица1[[#This Row],[сумма]]*Таблица1[[#This Row],[коэф]])),
IF((G525="4/4"),((база!$I$5*Таблица1[[#This Row],[сумма]]*Таблица1[[#This Row],[коэф]])),
IF(OR(G525="2/4",G525="3/4"),((база!$I$4*Таблица1[[#This Row],[сумма]]*Таблица1[[#This Row],[коэф]])),
IF((G525="5/8"),((база!$J$6*Таблица1[[#This Row],[сумма]]*Таблица1[[#This Row],[коэф]])),
IF((G525="4/8"),((база!$J$5*Таблица1[[#This Row],[сумма]]*Таблица1[[#This Row],[коэф]])),
IF(OR(G525="3/8",G525="2/8"),((база!$J$4*Таблица1[[#This Row],[сумма]]*Таблица1[[#This Row],[коэф]])))))))))))))),
(IF((G525="5/24"),((база!$M$6*Таблица1[[#This Row],[сумма]]*Таблица1[[#This Row],[коэф]])),
IF(OR(G525="4/24",G525="3/24"),((база!$M$5*Таблица1[[#This Row],[сумма]]*Таблица1[[#This Row],[коэф]])),
IF((G525="5/16"),((база!$L$6*Таблица1[[#This Row],[сумма]]*Таблица1[[#This Row],[коэф]])),
IF(OR(G525="4/16",G525="3/16"),((база!$L$5*Таблица1[[#This Row],[сумма]]*Таблица1[[#This Row],[коэф]])),
IF(OR(G525="2/4",G525="3/4",G525="4/4"),((база!$I$5*Таблица1[[#This Row],[сумма]]*Таблица1[[#This Row],[коэф]])),
IF((G525="5/8"),((база!$J$6*Таблица1[[#This Row],[сумма]]*Таблица1[[#This Row],[коэф]])),
IF(OR(G525="4/8",G525="3/8",G525="2/8"),((база!$J$5*Таблица1[[#This Row],[сумма]]*Таблица1[[#This Row],[коэф]])))))))))))</f>
        <v>0</v>
      </c>
      <c r="AP525" s="696" t="b">
        <f>IF(AR525&lt;=3,(IF((G525="5/24"),((база!$M$6*2*Таблица1[[#This Row],[Столбец1]]*Таблица1[[#This Row],[коэф]])),
IF((G525="4/24"),((база!$M$5*2*Таблица1[[#This Row],[Столбец1]]*Таблица1[[#This Row],[коэф]])),
IF((G525="3/24"),((база!$M$4*2*Таблица1[[#This Row],[Столбец1]]*Таблица1[[#This Row],[коэф]])),
IF((G525="5/16"),((база!$L$6*2*Таблица1[[#This Row],[Столбец1]]*Таблица1[[#This Row],[коэф]])),
IF((G525="4/16"),((база!$L$5*2*Таблица1[[#This Row],[Столбец1]]*Таблица1[[#This Row],[коэф]])),
IF((G525="3/16"),((база!$L$4*2*Таблица1[[#This Row],[Столбец1]]*Таблица1[[#This Row],[коэф]])),
IF((G525="4/4"),((база!$I$5*2*Таблица1[[#This Row],[Столбец1]]*Таблица1[[#This Row],[коэф]])),
IF(OR(G525="2/4",G525="3/4"),((база!$I$4*2*Таблица1[[#This Row],[Столбец1]]*Таблица1[[#This Row],[коэф]])),
IF((G525="5/8"),((база!$J$6*2*Таблица1[[#This Row],[Столбец1]]*Таблица1[[#This Row],[коэф]])),
IF((G525="4/8"),((база!$J$5*2*Таблица1[[#This Row],[Столбец1]]*Таблица1[[#This Row],[коэф]])),
IF(OR(G525="3/8",G525="2/8"),((база!$J$4*2*Таблица1[[#This Row],[Столбец1]]*Таблица1[[#This Row],[коэф]])))))))))))))),
(IF((G525="5/24"),((база!$M$6*2*Таблица1[[#This Row],[Столбец1]]*Таблица1[[#This Row],[коэф]])),
IF(OR(G525="4/24",G525="3/24"),((база!$M$5*2*Таблица1[[#This Row],[Столбец1]]*Таблица1[[#This Row],[коэф]])),
IF((G525="5/16"),((база!$L$6*2*Таблица1[[#This Row],[Столбец1]]*Таблица1[[#This Row],[коэф]])),
IF(OR(G525="4/16",G525="3/16"),((база!$L$5*2*Таблица1[[#This Row],[Столбец1]]*Таблица1[[#This Row],[коэф]])),
IF(OR(G525="2/4",G525="3/4",G525="4/4"),((база!$I$5*2*Таблица1[[#This Row],[Столбец1]]*Таблица1[[#This Row],[коэф]])),
IF((G525="5/8"),((база!$J$6*2*Таблица1[[#This Row],[Столбец1]]*Таблица1[[#This Row],[коэф]])),
IF(OR(G525="4/8",G525="3/8",G525="2/8"),((база!$J$5*2*Таблица1[[#This Row],[Столбец1]]*Таблица1[[#This Row],[коэф]])))))))))))</f>
        <v>0</v>
      </c>
      <c r="AQ525" s="678" t="str">
        <f>IFERROR(INDEX(база!T:T, MATCH(F525,база!Q:Q,0)),"")</f>
        <v/>
      </c>
      <c r="AR525" s="193">
        <f>IFERROR(INDEX(база!D:D, MATCH(F525,база!B:B,0)),"")</f>
        <v>0</v>
      </c>
    </row>
    <row r="526" spans="1:44" ht="15">
      <c r="A526" s="59"/>
      <c r="B526" s="215"/>
      <c r="C526" s="277"/>
      <c r="D526" s="55"/>
      <c r="E526" s="196"/>
      <c r="F526" s="651"/>
      <c r="G526" s="42"/>
      <c r="H526" s="539"/>
      <c r="I526" s="539"/>
      <c r="J526" s="539"/>
      <c r="K526" s="539"/>
      <c r="L526" s="539"/>
      <c r="M526" s="539"/>
      <c r="N526" s="539"/>
      <c r="O526" s="539"/>
      <c r="P526" s="278"/>
      <c r="Q526" s="539"/>
      <c r="R526" s="539"/>
      <c r="S526" s="539"/>
      <c r="T526" s="539"/>
      <c r="U526" s="539"/>
      <c r="V526" s="539"/>
      <c r="W526" s="539"/>
      <c r="X526" s="539"/>
      <c r="Y526" s="539"/>
      <c r="Z526" s="539"/>
      <c r="AA526" s="539"/>
      <c r="AB526" s="539"/>
      <c r="AC526" s="539"/>
      <c r="AD526" s="43"/>
      <c r="AE526" s="43"/>
      <c r="AF526" s="238"/>
      <c r="AG526" s="43"/>
      <c r="AH526" s="43"/>
      <c r="AI526" s="43"/>
      <c r="AJ526" s="43"/>
      <c r="AK526" s="43"/>
      <c r="AL526" s="45"/>
      <c r="AM526" s="197">
        <f>IF(AQ526=1,SUM(H526:I526,L526:O526,R526:U526,X526:AA526,AD526:AG526,AI526:AK526),
IF(AQ526=2,SUM(H526:K526,N526:Q526,T526:W526,Z526:AC526,AF526:AI526),
IF(AQ526=3,SUM(J526:M526,P526:S526,V526:Y526,AB526:AE526,AH526:AK526),SUM(Таблица1[[#This Row],[1]:[31]])-Таблица1[[#This Row],[Столбец1]])))</f>
        <v>0</v>
      </c>
      <c r="AN526" s="269">
        <f t="array" ref="AN526">IF(AQ526=1,SUM(J526:K526,P526:Q526,V526:W526,AB526:AC526,AH526:AI526),
IF(AQ526=2,SUM(L526:M526,R526:S526,X526:Y526,AD526:AE526),
IF(AQ526=3,SUM(H526:I526,N526:O526,T526:U526,Z526:AA526,AF526:AG526),
SUM(IFERROR(WEEKDAY($H$2:$AL$2,2)&gt;5,)*H526:AL526))))</f>
        <v>0</v>
      </c>
      <c r="AO526" s="271" t="b">
        <f>IF(AR526&lt;=3,(IF((G526="5/24"),((база!$M$6*Таблица1[[#This Row],[сумма]]*Таблица1[[#This Row],[коэф]])),
IF((G526="4/24"),((база!$M$5*Таблица1[[#This Row],[сумма]]*Таблица1[[#This Row],[коэф]])),
IF((G526="3/24"),((база!$M$4*Таблица1[[#This Row],[сумма]]*Таблица1[[#This Row],[коэф]])),
IF((G526="5/16"),((база!$L$6*Таблица1[[#This Row],[сумма]]*Таблица1[[#This Row],[коэф]])),
IF((G526="4/16"),((база!$L$5*Таблица1[[#This Row],[сумма]]*Таблица1[[#This Row],[коэф]])),
IF((G526="3/16"),((база!$L$4*Таблица1[[#This Row],[сумма]]*Таблица1[[#This Row],[коэф]])),
IF((G526="4/4"),((база!$I$5*Таблица1[[#This Row],[сумма]]*Таблица1[[#This Row],[коэф]])),
IF(OR(G526="2/4",G526="3/4"),((база!$I$4*Таблица1[[#This Row],[сумма]]*Таблица1[[#This Row],[коэф]])),
IF((G526="5/8"),((база!$J$6*Таблица1[[#This Row],[сумма]]*Таблица1[[#This Row],[коэф]])),
IF((G526="4/8"),((база!$J$5*Таблица1[[#This Row],[сумма]]*Таблица1[[#This Row],[коэф]])),
IF(OR(G526="3/8",G526="2/8"),((база!$J$4*Таблица1[[#This Row],[сумма]]*Таблица1[[#This Row],[коэф]])))))))))))))),
(IF((G526="5/24"),((база!$M$6*Таблица1[[#This Row],[сумма]]*Таблица1[[#This Row],[коэф]])),
IF(OR(G526="4/24",G526="3/24"),((база!$M$5*Таблица1[[#This Row],[сумма]]*Таблица1[[#This Row],[коэф]])),
IF((G526="5/16"),((база!$L$6*Таблица1[[#This Row],[сумма]]*Таблица1[[#This Row],[коэф]])),
IF(OR(G526="4/16",G526="3/16"),((база!$L$5*Таблица1[[#This Row],[сумма]]*Таблица1[[#This Row],[коэф]])),
IF(OR(G526="2/4",G526="3/4",G526="4/4"),((база!$I$5*Таблица1[[#This Row],[сумма]]*Таблица1[[#This Row],[коэф]])),
IF((G526="5/8"),((база!$J$6*Таблица1[[#This Row],[сумма]]*Таблица1[[#This Row],[коэф]])),
IF(OR(G526="4/8",G526="3/8",G526="2/8"),((база!$J$5*Таблица1[[#This Row],[сумма]]*Таблица1[[#This Row],[коэф]])))))))))))</f>
        <v>0</v>
      </c>
      <c r="AP526" s="696" t="b">
        <f>IF(AR526&lt;=3,(IF((G526="5/24"),((база!$M$6*2*Таблица1[[#This Row],[Столбец1]]*Таблица1[[#This Row],[коэф]])),
IF((G526="4/24"),((база!$M$5*2*Таблица1[[#This Row],[Столбец1]]*Таблица1[[#This Row],[коэф]])),
IF((G526="3/24"),((база!$M$4*2*Таблица1[[#This Row],[Столбец1]]*Таблица1[[#This Row],[коэф]])),
IF((G526="5/16"),((база!$L$6*2*Таблица1[[#This Row],[Столбец1]]*Таблица1[[#This Row],[коэф]])),
IF((G526="4/16"),((база!$L$5*2*Таблица1[[#This Row],[Столбец1]]*Таблица1[[#This Row],[коэф]])),
IF((G526="3/16"),((база!$L$4*2*Таблица1[[#This Row],[Столбец1]]*Таблица1[[#This Row],[коэф]])),
IF((G526="4/4"),((база!$I$5*2*Таблица1[[#This Row],[Столбец1]]*Таблица1[[#This Row],[коэф]])),
IF(OR(G526="2/4",G526="3/4"),((база!$I$4*2*Таблица1[[#This Row],[Столбец1]]*Таблица1[[#This Row],[коэф]])),
IF((G526="5/8"),((база!$J$6*2*Таблица1[[#This Row],[Столбец1]]*Таблица1[[#This Row],[коэф]])),
IF((G526="4/8"),((база!$J$5*2*Таблица1[[#This Row],[Столбец1]]*Таблица1[[#This Row],[коэф]])),
IF(OR(G526="3/8",G526="2/8"),((база!$J$4*2*Таблица1[[#This Row],[Столбец1]]*Таблица1[[#This Row],[коэф]])))))))))))))),
(IF((G526="5/24"),((база!$M$6*2*Таблица1[[#This Row],[Столбец1]]*Таблица1[[#This Row],[коэф]])),
IF(OR(G526="4/24",G526="3/24"),((база!$M$5*2*Таблица1[[#This Row],[Столбец1]]*Таблица1[[#This Row],[коэф]])),
IF((G526="5/16"),((база!$L$6*2*Таблица1[[#This Row],[Столбец1]]*Таблица1[[#This Row],[коэф]])),
IF(OR(G526="4/16",G526="3/16"),((база!$L$5*2*Таблица1[[#This Row],[Столбец1]]*Таблица1[[#This Row],[коэф]])),
IF(OR(G526="2/4",G526="3/4",G526="4/4"),((база!$I$5*2*Таблица1[[#This Row],[Столбец1]]*Таблица1[[#This Row],[коэф]])),
IF((G526="5/8"),((база!$J$6*2*Таблица1[[#This Row],[Столбец1]]*Таблица1[[#This Row],[коэф]])),
IF(OR(G526="4/8",G526="3/8",G526="2/8"),((база!$J$5*2*Таблица1[[#This Row],[Столбец1]]*Таблица1[[#This Row],[коэф]])))))))))))</f>
        <v>0</v>
      </c>
      <c r="AQ526" s="678" t="str">
        <f>IFERROR(INDEX(база!T:T, MATCH(F526,база!Q:Q,0)),"")</f>
        <v/>
      </c>
      <c r="AR526" s="193">
        <f>IFERROR(INDEX(база!D:D, MATCH(F526,база!B:B,0)),"")</f>
        <v>0</v>
      </c>
    </row>
    <row r="527" spans="1:44" ht="15">
      <c r="A527" s="59"/>
      <c r="B527" s="215"/>
      <c r="C527" s="277"/>
      <c r="D527" s="55"/>
      <c r="E527" s="196"/>
      <c r="F527" s="651"/>
      <c r="G527" s="42"/>
      <c r="H527" s="539"/>
      <c r="I527" s="539"/>
      <c r="J527" s="539"/>
      <c r="K527" s="539"/>
      <c r="L527" s="539"/>
      <c r="M527" s="539"/>
      <c r="N527" s="539"/>
      <c r="O527" s="539"/>
      <c r="P527" s="278"/>
      <c r="Q527" s="539"/>
      <c r="R527" s="539"/>
      <c r="S527" s="539"/>
      <c r="T527" s="539"/>
      <c r="U527" s="539"/>
      <c r="V527" s="539"/>
      <c r="W527" s="539"/>
      <c r="X527" s="539"/>
      <c r="Y527" s="539"/>
      <c r="Z527" s="539"/>
      <c r="AA527" s="539"/>
      <c r="AB527" s="539"/>
      <c r="AC527" s="539"/>
      <c r="AD527" s="43"/>
      <c r="AE527" s="43"/>
      <c r="AF527" s="238"/>
      <c r="AG527" s="43"/>
      <c r="AH527" s="43"/>
      <c r="AI527" s="238"/>
      <c r="AJ527" s="238"/>
      <c r="AK527" s="238"/>
      <c r="AL527" s="238"/>
      <c r="AM527" s="197">
        <f>IF(AQ527=1,SUM(H527:I527,L527:O527,R527:U527,X527:AA527,AD527:AG527,AI527:AK527),
IF(AQ527=2,SUM(H527:K527,N527:Q527,T527:W527,Z527:AC527,AF527:AI527),
IF(AQ527=3,SUM(J527:M527,P527:S527,V527:Y527,AB527:AE527,AH527:AK527),SUM(Таблица1[[#This Row],[1]:[31]])-Таблица1[[#This Row],[Столбец1]])))</f>
        <v>0</v>
      </c>
      <c r="AN527" s="269">
        <f t="array" ref="AN527">IF(AQ527=1,SUM(J527:K527,P527:Q527,V527:W527,AB527:AC527,AH527:AI527),
IF(AQ527=2,SUM(L527:M527,R527:S527,X527:Y527,AD527:AE527),
IF(AQ527=3,SUM(H527:I527,N527:O527,T527:U527,Z527:AA527,AF527:AG527),
SUM(IFERROR(WEEKDAY($H$2:$AL$2,2)&gt;5,)*H527:AL527))))</f>
        <v>0</v>
      </c>
      <c r="AO527" s="271" t="b">
        <f>IF(AR527&lt;=3,(IF((G527="5/24"),((база!$M$6*Таблица1[[#This Row],[сумма]]*Таблица1[[#This Row],[коэф]])),
IF((G527="4/24"),((база!$M$5*Таблица1[[#This Row],[сумма]]*Таблица1[[#This Row],[коэф]])),
IF((G527="3/24"),((база!$M$4*Таблица1[[#This Row],[сумма]]*Таблица1[[#This Row],[коэф]])),
IF((G527="5/16"),((база!$L$6*Таблица1[[#This Row],[сумма]]*Таблица1[[#This Row],[коэф]])),
IF((G527="4/16"),((база!$L$5*Таблица1[[#This Row],[сумма]]*Таблица1[[#This Row],[коэф]])),
IF((G527="3/16"),((база!$L$4*Таблица1[[#This Row],[сумма]]*Таблица1[[#This Row],[коэф]])),
IF((G527="4/4"),((база!$I$5*Таблица1[[#This Row],[сумма]]*Таблица1[[#This Row],[коэф]])),
IF(OR(G527="2/4",G527="3/4"),((база!$I$4*Таблица1[[#This Row],[сумма]]*Таблица1[[#This Row],[коэф]])),
IF((G527="5/8"),((база!$J$6*Таблица1[[#This Row],[сумма]]*Таблица1[[#This Row],[коэф]])),
IF((G527="4/8"),((база!$J$5*Таблица1[[#This Row],[сумма]]*Таблица1[[#This Row],[коэф]])),
IF(OR(G527="3/8",G527="2/8"),((база!$J$4*Таблица1[[#This Row],[сумма]]*Таблица1[[#This Row],[коэф]])))))))))))))),
(IF((G527="5/24"),((база!$M$6*Таблица1[[#This Row],[сумма]]*Таблица1[[#This Row],[коэф]])),
IF(OR(G527="4/24",G527="3/24"),((база!$M$5*Таблица1[[#This Row],[сумма]]*Таблица1[[#This Row],[коэф]])),
IF((G527="5/16"),((база!$L$6*Таблица1[[#This Row],[сумма]]*Таблица1[[#This Row],[коэф]])),
IF(OR(G527="4/16",G527="3/16"),((база!$L$5*Таблица1[[#This Row],[сумма]]*Таблица1[[#This Row],[коэф]])),
IF(OR(G527="2/4",G527="3/4",G527="4/4"),((база!$I$5*Таблица1[[#This Row],[сумма]]*Таблица1[[#This Row],[коэф]])),
IF((G527="5/8"),((база!$J$6*Таблица1[[#This Row],[сумма]]*Таблица1[[#This Row],[коэф]])),
IF(OR(G527="4/8",G527="3/8",G527="2/8"),((база!$J$5*Таблица1[[#This Row],[сумма]]*Таблица1[[#This Row],[коэф]])))))))))))</f>
        <v>0</v>
      </c>
      <c r="AP527" s="696" t="b">
        <f>IF(AR527&lt;=3,(IF((G527="5/24"),((база!$M$6*2*Таблица1[[#This Row],[Столбец1]]*Таблица1[[#This Row],[коэф]])),
IF((G527="4/24"),((база!$M$5*2*Таблица1[[#This Row],[Столбец1]]*Таблица1[[#This Row],[коэф]])),
IF((G527="3/24"),((база!$M$4*2*Таблица1[[#This Row],[Столбец1]]*Таблица1[[#This Row],[коэф]])),
IF((G527="5/16"),((база!$L$6*2*Таблица1[[#This Row],[Столбец1]]*Таблица1[[#This Row],[коэф]])),
IF((G527="4/16"),((база!$L$5*2*Таблица1[[#This Row],[Столбец1]]*Таблица1[[#This Row],[коэф]])),
IF((G527="3/16"),((база!$L$4*2*Таблица1[[#This Row],[Столбец1]]*Таблица1[[#This Row],[коэф]])),
IF((G527="4/4"),((база!$I$5*2*Таблица1[[#This Row],[Столбец1]]*Таблица1[[#This Row],[коэф]])),
IF(OR(G527="2/4",G527="3/4"),((база!$I$4*2*Таблица1[[#This Row],[Столбец1]]*Таблица1[[#This Row],[коэф]])),
IF((G527="5/8"),((база!$J$6*2*Таблица1[[#This Row],[Столбец1]]*Таблица1[[#This Row],[коэф]])),
IF((G527="4/8"),((база!$J$5*2*Таблица1[[#This Row],[Столбец1]]*Таблица1[[#This Row],[коэф]])),
IF(OR(G527="3/8",G527="2/8"),((база!$J$4*2*Таблица1[[#This Row],[Столбец1]]*Таблица1[[#This Row],[коэф]])))))))))))))),
(IF((G527="5/24"),((база!$M$6*2*Таблица1[[#This Row],[Столбец1]]*Таблица1[[#This Row],[коэф]])),
IF(OR(G527="4/24",G527="3/24"),((база!$M$5*2*Таблица1[[#This Row],[Столбец1]]*Таблица1[[#This Row],[коэф]])),
IF((G527="5/16"),((база!$L$6*2*Таблица1[[#This Row],[Столбец1]]*Таблица1[[#This Row],[коэф]])),
IF(OR(G527="4/16",G527="3/16"),((база!$L$5*2*Таблица1[[#This Row],[Столбец1]]*Таблица1[[#This Row],[коэф]])),
IF(OR(G527="2/4",G527="3/4",G527="4/4"),((база!$I$5*2*Таблица1[[#This Row],[Столбец1]]*Таблица1[[#This Row],[коэф]])),
IF((G527="5/8"),((база!$J$6*2*Таблица1[[#This Row],[Столбец1]]*Таблица1[[#This Row],[коэф]])),
IF(OR(G527="4/8",G527="3/8",G527="2/8"),((база!$J$5*2*Таблица1[[#This Row],[Столбец1]]*Таблица1[[#This Row],[коэф]])))))))))))</f>
        <v>0</v>
      </c>
      <c r="AQ527" s="678" t="str">
        <f>IFERROR(INDEX(база!T:T, MATCH(F527,база!Q:Q,0)),"")</f>
        <v/>
      </c>
      <c r="AR527" s="193">
        <f>IFERROR(INDEX(база!D:D, MATCH(F527,база!B:B,0)),"")</f>
        <v>0</v>
      </c>
    </row>
    <row r="528" spans="1:44" ht="15">
      <c r="A528" s="59"/>
      <c r="B528" s="215"/>
      <c r="C528" s="277"/>
      <c r="D528" s="55"/>
      <c r="E528" s="196"/>
      <c r="F528" s="651"/>
      <c r="G528" s="42"/>
      <c r="H528" s="539"/>
      <c r="I528" s="539"/>
      <c r="J528" s="539"/>
      <c r="K528" s="539"/>
      <c r="L528" s="539"/>
      <c r="M528" s="539"/>
      <c r="N528" s="539"/>
      <c r="O528" s="539"/>
      <c r="P528" s="278"/>
      <c r="Q528" s="539"/>
      <c r="R528" s="539"/>
      <c r="S528" s="539"/>
      <c r="T528" s="539"/>
      <c r="U528" s="539"/>
      <c r="V528" s="539"/>
      <c r="W528" s="539"/>
      <c r="X528" s="539"/>
      <c r="Y528" s="539"/>
      <c r="Z528" s="539"/>
      <c r="AA528" s="539"/>
      <c r="AB528" s="539"/>
      <c r="AC528" s="539"/>
      <c r="AD528" s="43"/>
      <c r="AE528" s="43"/>
      <c r="AF528" s="238"/>
      <c r="AG528" s="43"/>
      <c r="AH528" s="43"/>
      <c r="AI528" s="43"/>
      <c r="AJ528" s="43"/>
      <c r="AK528" s="43"/>
      <c r="AL528" s="45"/>
      <c r="AM528" s="197">
        <f>IF(AQ528=1,SUM(H528:I528,L528:O528,R528:U528,X528:AA528,AD528:AG528,AI528:AK528),
IF(AQ528=2,SUM(H528:K528,N528:Q528,T528:W528,Z528:AC528,AF528:AI528),
IF(AQ528=3,SUM(J528:M528,P528:S528,V528:Y528,AB528:AE528,AH528:AK528),SUM(Таблица1[[#This Row],[1]:[31]])-Таблица1[[#This Row],[Столбец1]])))</f>
        <v>0</v>
      </c>
      <c r="AN528" s="269">
        <f t="array" ref="AN528">IF(AQ528=1,SUM(J528:K528,P528:Q528,V528:W528,AB528:AC528,AH528:AI528),
IF(AQ528=2,SUM(L528:M528,R528:S528,X528:Y528,AD528:AE528),
IF(AQ528=3,SUM(H528:I528,N528:O528,T528:U528,Z528:AA528,AF528:AG528),
SUM(IFERROR(WEEKDAY($H$2:$AL$2,2)&gt;5,)*H528:AL528))))</f>
        <v>0</v>
      </c>
      <c r="AO528" s="271" t="b">
        <f>IF(AR528&lt;=3,(IF((G528="5/24"),((база!$M$6*Таблица1[[#This Row],[сумма]]*Таблица1[[#This Row],[коэф]])),
IF((G528="4/24"),((база!$M$5*Таблица1[[#This Row],[сумма]]*Таблица1[[#This Row],[коэф]])),
IF((G528="3/24"),((база!$M$4*Таблица1[[#This Row],[сумма]]*Таблица1[[#This Row],[коэф]])),
IF((G528="5/16"),((база!$L$6*Таблица1[[#This Row],[сумма]]*Таблица1[[#This Row],[коэф]])),
IF((G528="4/16"),((база!$L$5*Таблица1[[#This Row],[сумма]]*Таблица1[[#This Row],[коэф]])),
IF((G528="3/16"),((база!$L$4*Таблица1[[#This Row],[сумма]]*Таблица1[[#This Row],[коэф]])),
IF((G528="4/4"),((база!$I$5*Таблица1[[#This Row],[сумма]]*Таблица1[[#This Row],[коэф]])),
IF(OR(G528="2/4",G528="3/4"),((база!$I$4*Таблица1[[#This Row],[сумма]]*Таблица1[[#This Row],[коэф]])),
IF((G528="5/8"),((база!$J$6*Таблица1[[#This Row],[сумма]]*Таблица1[[#This Row],[коэф]])),
IF((G528="4/8"),((база!$J$5*Таблица1[[#This Row],[сумма]]*Таблица1[[#This Row],[коэф]])),
IF(OR(G528="3/8",G528="2/8"),((база!$J$4*Таблица1[[#This Row],[сумма]]*Таблица1[[#This Row],[коэф]])))))))))))))),
(IF((G528="5/24"),((база!$M$6*Таблица1[[#This Row],[сумма]]*Таблица1[[#This Row],[коэф]])),
IF(OR(G528="4/24",G528="3/24"),((база!$M$5*Таблица1[[#This Row],[сумма]]*Таблица1[[#This Row],[коэф]])),
IF((G528="5/16"),((база!$L$6*Таблица1[[#This Row],[сумма]]*Таблица1[[#This Row],[коэф]])),
IF(OR(G528="4/16",G528="3/16"),((база!$L$5*Таблица1[[#This Row],[сумма]]*Таблица1[[#This Row],[коэф]])),
IF(OR(G528="2/4",G528="3/4",G528="4/4"),((база!$I$5*Таблица1[[#This Row],[сумма]]*Таблица1[[#This Row],[коэф]])),
IF((G528="5/8"),((база!$J$6*Таблица1[[#This Row],[сумма]]*Таблица1[[#This Row],[коэф]])),
IF(OR(G528="4/8",G528="3/8",G528="2/8"),((база!$J$5*Таблица1[[#This Row],[сумма]]*Таблица1[[#This Row],[коэф]])))))))))))</f>
        <v>0</v>
      </c>
      <c r="AP528" s="696" t="b">
        <f>IF(AR528&lt;=3,(IF((G528="5/24"),((база!$M$6*2*Таблица1[[#This Row],[Столбец1]]*Таблица1[[#This Row],[коэф]])),
IF((G528="4/24"),((база!$M$5*2*Таблица1[[#This Row],[Столбец1]]*Таблица1[[#This Row],[коэф]])),
IF((G528="3/24"),((база!$M$4*2*Таблица1[[#This Row],[Столбец1]]*Таблица1[[#This Row],[коэф]])),
IF((G528="5/16"),((база!$L$6*2*Таблица1[[#This Row],[Столбец1]]*Таблица1[[#This Row],[коэф]])),
IF((G528="4/16"),((база!$L$5*2*Таблица1[[#This Row],[Столбец1]]*Таблица1[[#This Row],[коэф]])),
IF((G528="3/16"),((база!$L$4*2*Таблица1[[#This Row],[Столбец1]]*Таблица1[[#This Row],[коэф]])),
IF((G528="4/4"),((база!$I$5*2*Таблица1[[#This Row],[Столбец1]]*Таблица1[[#This Row],[коэф]])),
IF(OR(G528="2/4",G528="3/4"),((база!$I$4*2*Таблица1[[#This Row],[Столбец1]]*Таблица1[[#This Row],[коэф]])),
IF((G528="5/8"),((база!$J$6*2*Таблица1[[#This Row],[Столбец1]]*Таблица1[[#This Row],[коэф]])),
IF((G528="4/8"),((база!$J$5*2*Таблица1[[#This Row],[Столбец1]]*Таблица1[[#This Row],[коэф]])),
IF(OR(G528="3/8",G528="2/8"),((база!$J$4*2*Таблица1[[#This Row],[Столбец1]]*Таблица1[[#This Row],[коэф]])))))))))))))),
(IF((G528="5/24"),((база!$M$6*2*Таблица1[[#This Row],[Столбец1]]*Таблица1[[#This Row],[коэф]])),
IF(OR(G528="4/24",G528="3/24"),((база!$M$5*2*Таблица1[[#This Row],[Столбец1]]*Таблица1[[#This Row],[коэф]])),
IF((G528="5/16"),((база!$L$6*2*Таблица1[[#This Row],[Столбец1]]*Таблица1[[#This Row],[коэф]])),
IF(OR(G528="4/16",G528="3/16"),((база!$L$5*2*Таблица1[[#This Row],[Столбец1]]*Таблица1[[#This Row],[коэф]])),
IF(OR(G528="2/4",G528="3/4",G528="4/4"),((база!$I$5*2*Таблица1[[#This Row],[Столбец1]]*Таблица1[[#This Row],[коэф]])),
IF((G528="5/8"),((база!$J$6*2*Таблица1[[#This Row],[Столбец1]]*Таблица1[[#This Row],[коэф]])),
IF(OR(G528="4/8",G528="3/8",G528="2/8"),((база!$J$5*2*Таблица1[[#This Row],[Столбец1]]*Таблица1[[#This Row],[коэф]])))))))))))</f>
        <v>0</v>
      </c>
      <c r="AQ528" s="678" t="str">
        <f>IFERROR(INDEX(база!T:T, MATCH(F528,база!Q:Q,0)),"")</f>
        <v/>
      </c>
      <c r="AR528" s="193">
        <f>IFERROR(INDEX(база!D:D, MATCH(F528,база!B:B,0)),"")</f>
        <v>0</v>
      </c>
    </row>
    <row r="529" spans="1:44" ht="15">
      <c r="A529" s="59"/>
      <c r="B529" s="215"/>
      <c r="C529" s="277"/>
      <c r="D529" s="55"/>
      <c r="E529" s="196"/>
      <c r="F529" s="651"/>
      <c r="G529" s="42"/>
      <c r="H529" s="539"/>
      <c r="I529" s="539"/>
      <c r="J529" s="539"/>
      <c r="K529" s="539"/>
      <c r="L529" s="539"/>
      <c r="M529" s="539"/>
      <c r="N529" s="539"/>
      <c r="O529" s="539"/>
      <c r="P529" s="278"/>
      <c r="Q529" s="539"/>
      <c r="R529" s="539"/>
      <c r="S529" s="539"/>
      <c r="T529" s="539"/>
      <c r="U529" s="539"/>
      <c r="V529" s="539"/>
      <c r="W529" s="539"/>
      <c r="X529" s="539"/>
      <c r="Y529" s="539"/>
      <c r="Z529" s="539"/>
      <c r="AA529" s="539"/>
      <c r="AB529" s="539"/>
      <c r="AC529" s="539"/>
      <c r="AD529" s="43"/>
      <c r="AE529" s="43"/>
      <c r="AF529" s="238"/>
      <c r="AG529" s="43"/>
      <c r="AH529" s="43"/>
      <c r="AI529" s="238"/>
      <c r="AJ529" s="238"/>
      <c r="AK529" s="238"/>
      <c r="AL529" s="238"/>
      <c r="AM529" s="197">
        <f>IF(AQ529=1,SUM(H529:I529,L529:O529,R529:U529,X529:AA529,AD529:AG529,AI529:AK529),
IF(AQ529=2,SUM(H529:K529,N529:Q529,T529:W529,Z529:AC529,AF529:AI529),
IF(AQ529=3,SUM(J529:M529,P529:S529,V529:Y529,AB529:AE529,AH529:AK529),SUM(Таблица1[[#This Row],[1]:[31]])-Таблица1[[#This Row],[Столбец1]])))</f>
        <v>0</v>
      </c>
      <c r="AN529" s="269">
        <f t="array" ref="AN529">IF(AQ529=1,SUM(J529:K529,P529:Q529,V529:W529,AB529:AC529,AH529:AI529),
IF(AQ529=2,SUM(L529:M529,R529:S529,X529:Y529,AD529:AE529),
IF(AQ529=3,SUM(H529:I529,N529:O529,T529:U529,Z529:AA529,AF529:AG529),
SUM(IFERROR(WEEKDAY($H$2:$AL$2,2)&gt;5,)*H529:AL529))))</f>
        <v>0</v>
      </c>
      <c r="AO529" s="271" t="b">
        <f>IF(AR529&lt;=3,(IF((G529="5/24"),((база!$M$6*Таблица1[[#This Row],[сумма]]*Таблица1[[#This Row],[коэф]])),
IF((G529="4/24"),((база!$M$5*Таблица1[[#This Row],[сумма]]*Таблица1[[#This Row],[коэф]])),
IF((G529="3/24"),((база!$M$4*Таблица1[[#This Row],[сумма]]*Таблица1[[#This Row],[коэф]])),
IF((G529="5/16"),((база!$L$6*Таблица1[[#This Row],[сумма]]*Таблица1[[#This Row],[коэф]])),
IF((G529="4/16"),((база!$L$5*Таблица1[[#This Row],[сумма]]*Таблица1[[#This Row],[коэф]])),
IF((G529="3/16"),((база!$L$4*Таблица1[[#This Row],[сумма]]*Таблица1[[#This Row],[коэф]])),
IF((G529="4/4"),((база!$I$5*Таблица1[[#This Row],[сумма]]*Таблица1[[#This Row],[коэф]])),
IF(OR(G529="2/4",G529="3/4"),((база!$I$4*Таблица1[[#This Row],[сумма]]*Таблица1[[#This Row],[коэф]])),
IF((G529="5/8"),((база!$J$6*Таблица1[[#This Row],[сумма]]*Таблица1[[#This Row],[коэф]])),
IF((G529="4/8"),((база!$J$5*Таблица1[[#This Row],[сумма]]*Таблица1[[#This Row],[коэф]])),
IF(OR(G529="3/8",G529="2/8"),((база!$J$4*Таблица1[[#This Row],[сумма]]*Таблица1[[#This Row],[коэф]])))))))))))))),
(IF((G529="5/24"),((база!$M$6*Таблица1[[#This Row],[сумма]]*Таблица1[[#This Row],[коэф]])),
IF(OR(G529="4/24",G529="3/24"),((база!$M$5*Таблица1[[#This Row],[сумма]]*Таблица1[[#This Row],[коэф]])),
IF((G529="5/16"),((база!$L$6*Таблица1[[#This Row],[сумма]]*Таблица1[[#This Row],[коэф]])),
IF(OR(G529="4/16",G529="3/16"),((база!$L$5*Таблица1[[#This Row],[сумма]]*Таблица1[[#This Row],[коэф]])),
IF(OR(G529="2/4",G529="3/4",G529="4/4"),((база!$I$5*Таблица1[[#This Row],[сумма]]*Таблица1[[#This Row],[коэф]])),
IF((G529="5/8"),((база!$J$6*Таблица1[[#This Row],[сумма]]*Таблица1[[#This Row],[коэф]])),
IF(OR(G529="4/8",G529="3/8",G529="2/8"),((база!$J$5*Таблица1[[#This Row],[сумма]]*Таблица1[[#This Row],[коэф]])))))))))))</f>
        <v>0</v>
      </c>
      <c r="AP529" s="696" t="b">
        <f>IF(AR529&lt;=3,(IF((G529="5/24"),((база!$M$6*2*Таблица1[[#This Row],[Столбец1]]*Таблица1[[#This Row],[коэф]])),
IF((G529="4/24"),((база!$M$5*2*Таблица1[[#This Row],[Столбец1]]*Таблица1[[#This Row],[коэф]])),
IF((G529="3/24"),((база!$M$4*2*Таблица1[[#This Row],[Столбец1]]*Таблица1[[#This Row],[коэф]])),
IF((G529="5/16"),((база!$L$6*2*Таблица1[[#This Row],[Столбец1]]*Таблица1[[#This Row],[коэф]])),
IF((G529="4/16"),((база!$L$5*2*Таблица1[[#This Row],[Столбец1]]*Таблица1[[#This Row],[коэф]])),
IF((G529="3/16"),((база!$L$4*2*Таблица1[[#This Row],[Столбец1]]*Таблица1[[#This Row],[коэф]])),
IF((G529="4/4"),((база!$I$5*2*Таблица1[[#This Row],[Столбец1]]*Таблица1[[#This Row],[коэф]])),
IF(OR(G529="2/4",G529="3/4"),((база!$I$4*2*Таблица1[[#This Row],[Столбец1]]*Таблица1[[#This Row],[коэф]])),
IF((G529="5/8"),((база!$J$6*2*Таблица1[[#This Row],[Столбец1]]*Таблица1[[#This Row],[коэф]])),
IF((G529="4/8"),((база!$J$5*2*Таблица1[[#This Row],[Столбец1]]*Таблица1[[#This Row],[коэф]])),
IF(OR(G529="3/8",G529="2/8"),((база!$J$4*2*Таблица1[[#This Row],[Столбец1]]*Таблица1[[#This Row],[коэф]])))))))))))))),
(IF((G529="5/24"),((база!$M$6*2*Таблица1[[#This Row],[Столбец1]]*Таблица1[[#This Row],[коэф]])),
IF(OR(G529="4/24",G529="3/24"),((база!$M$5*2*Таблица1[[#This Row],[Столбец1]]*Таблица1[[#This Row],[коэф]])),
IF((G529="5/16"),((база!$L$6*2*Таблица1[[#This Row],[Столбец1]]*Таблица1[[#This Row],[коэф]])),
IF(OR(G529="4/16",G529="3/16"),((база!$L$5*2*Таблица1[[#This Row],[Столбец1]]*Таблица1[[#This Row],[коэф]])),
IF(OR(G529="2/4",G529="3/4",G529="4/4"),((база!$I$5*2*Таблица1[[#This Row],[Столбец1]]*Таблица1[[#This Row],[коэф]])),
IF((G529="5/8"),((база!$J$6*2*Таблица1[[#This Row],[Столбец1]]*Таблица1[[#This Row],[коэф]])),
IF(OR(G529="4/8",G529="3/8",G529="2/8"),((база!$J$5*2*Таблица1[[#This Row],[Столбец1]]*Таблица1[[#This Row],[коэф]])))))))))))</f>
        <v>0</v>
      </c>
      <c r="AQ529" s="678" t="str">
        <f>IFERROR(INDEX(база!T:T, MATCH(F529,база!Q:Q,0)),"")</f>
        <v/>
      </c>
      <c r="AR529" s="193">
        <f>IFERROR(INDEX(база!D:D, MATCH(F529,база!B:B,0)),"")</f>
        <v>0</v>
      </c>
    </row>
    <row r="530" spans="1:44" ht="15">
      <c r="A530" s="59"/>
      <c r="B530" s="215"/>
      <c r="C530" s="277"/>
      <c r="D530" s="55"/>
      <c r="E530" s="196"/>
      <c r="F530" s="651"/>
      <c r="G530" s="42"/>
      <c r="H530" s="539"/>
      <c r="I530" s="539"/>
      <c r="J530" s="539"/>
      <c r="K530" s="539"/>
      <c r="L530" s="539"/>
      <c r="M530" s="539"/>
      <c r="N530" s="539"/>
      <c r="O530" s="539"/>
      <c r="P530" s="278"/>
      <c r="Q530" s="539"/>
      <c r="R530" s="539"/>
      <c r="S530" s="539"/>
      <c r="T530" s="539"/>
      <c r="U530" s="539"/>
      <c r="V530" s="539"/>
      <c r="W530" s="539"/>
      <c r="X530" s="539"/>
      <c r="Y530" s="539"/>
      <c r="Z530" s="539"/>
      <c r="AA530" s="539"/>
      <c r="AB530" s="539"/>
      <c r="AC530" s="539"/>
      <c r="AD530" s="43"/>
      <c r="AE530" s="43"/>
      <c r="AF530" s="238"/>
      <c r="AG530" s="43"/>
      <c r="AH530" s="43"/>
      <c r="AI530" s="43"/>
      <c r="AJ530" s="43"/>
      <c r="AK530" s="43"/>
      <c r="AL530" s="45"/>
      <c r="AM530" s="197">
        <f>IF(AQ530=1,SUM(H530:I530,L530:O530,R530:U530,X530:AA530,AD530:AG530,AI530:AK530),
IF(AQ530=2,SUM(H530:K530,N530:Q530,T530:W530,Z530:AC530,AF530:AI530),
IF(AQ530=3,SUM(J530:M530,P530:S530,V530:Y530,AB530:AE530,AH530:AK530),SUM(Таблица1[[#This Row],[1]:[31]])-Таблица1[[#This Row],[Столбец1]])))</f>
        <v>0</v>
      </c>
      <c r="AN530" s="269">
        <f t="array" ref="AN530">IF(AQ530=1,SUM(J530:K530,P530:Q530,V530:W530,AB530:AC530,AH530:AI530),
IF(AQ530=2,SUM(L530:M530,R530:S530,X530:Y530,AD530:AE530),
IF(AQ530=3,SUM(H530:I530,N530:O530,T530:U530,Z530:AA530,AF530:AG530),
SUM(IFERROR(WEEKDAY($H$2:$AL$2,2)&gt;5,)*H530:AL530))))</f>
        <v>0</v>
      </c>
      <c r="AO530" s="271" t="b">
        <f>IF(AR530&lt;=3,(IF((G530="5/24"),((база!$M$6*Таблица1[[#This Row],[сумма]]*Таблица1[[#This Row],[коэф]])),
IF((G530="4/24"),((база!$M$5*Таблица1[[#This Row],[сумма]]*Таблица1[[#This Row],[коэф]])),
IF((G530="3/24"),((база!$M$4*Таблица1[[#This Row],[сумма]]*Таблица1[[#This Row],[коэф]])),
IF((G530="5/16"),((база!$L$6*Таблица1[[#This Row],[сумма]]*Таблица1[[#This Row],[коэф]])),
IF((G530="4/16"),((база!$L$5*Таблица1[[#This Row],[сумма]]*Таблица1[[#This Row],[коэф]])),
IF((G530="3/16"),((база!$L$4*Таблица1[[#This Row],[сумма]]*Таблица1[[#This Row],[коэф]])),
IF((G530="4/4"),((база!$I$5*Таблица1[[#This Row],[сумма]]*Таблица1[[#This Row],[коэф]])),
IF(OR(G530="2/4",G530="3/4"),((база!$I$4*Таблица1[[#This Row],[сумма]]*Таблица1[[#This Row],[коэф]])),
IF((G530="5/8"),((база!$J$6*Таблица1[[#This Row],[сумма]]*Таблица1[[#This Row],[коэф]])),
IF((G530="4/8"),((база!$J$5*Таблица1[[#This Row],[сумма]]*Таблица1[[#This Row],[коэф]])),
IF(OR(G530="3/8",G530="2/8"),((база!$J$4*Таблица1[[#This Row],[сумма]]*Таблица1[[#This Row],[коэф]])))))))))))))),
(IF((G530="5/24"),((база!$M$6*Таблица1[[#This Row],[сумма]]*Таблица1[[#This Row],[коэф]])),
IF(OR(G530="4/24",G530="3/24"),((база!$M$5*Таблица1[[#This Row],[сумма]]*Таблица1[[#This Row],[коэф]])),
IF((G530="5/16"),((база!$L$6*Таблица1[[#This Row],[сумма]]*Таблица1[[#This Row],[коэф]])),
IF(OR(G530="4/16",G530="3/16"),((база!$L$5*Таблица1[[#This Row],[сумма]]*Таблица1[[#This Row],[коэф]])),
IF(OR(G530="2/4",G530="3/4",G530="4/4"),((база!$I$5*Таблица1[[#This Row],[сумма]]*Таблица1[[#This Row],[коэф]])),
IF((G530="5/8"),((база!$J$6*Таблица1[[#This Row],[сумма]]*Таблица1[[#This Row],[коэф]])),
IF(OR(G530="4/8",G530="3/8",G530="2/8"),((база!$J$5*Таблица1[[#This Row],[сумма]]*Таблица1[[#This Row],[коэф]])))))))))))</f>
        <v>0</v>
      </c>
      <c r="AP530" s="696" t="b">
        <f>IF(AR530&lt;=3,(IF((G530="5/24"),((база!$M$6*2*Таблица1[[#This Row],[Столбец1]]*Таблица1[[#This Row],[коэф]])),
IF((G530="4/24"),((база!$M$5*2*Таблица1[[#This Row],[Столбец1]]*Таблица1[[#This Row],[коэф]])),
IF((G530="3/24"),((база!$M$4*2*Таблица1[[#This Row],[Столбец1]]*Таблица1[[#This Row],[коэф]])),
IF((G530="5/16"),((база!$L$6*2*Таблица1[[#This Row],[Столбец1]]*Таблица1[[#This Row],[коэф]])),
IF((G530="4/16"),((база!$L$5*2*Таблица1[[#This Row],[Столбец1]]*Таблица1[[#This Row],[коэф]])),
IF((G530="3/16"),((база!$L$4*2*Таблица1[[#This Row],[Столбец1]]*Таблица1[[#This Row],[коэф]])),
IF((G530="4/4"),((база!$I$5*2*Таблица1[[#This Row],[Столбец1]]*Таблица1[[#This Row],[коэф]])),
IF(OR(G530="2/4",G530="3/4"),((база!$I$4*2*Таблица1[[#This Row],[Столбец1]]*Таблица1[[#This Row],[коэф]])),
IF((G530="5/8"),((база!$J$6*2*Таблица1[[#This Row],[Столбец1]]*Таблица1[[#This Row],[коэф]])),
IF((G530="4/8"),((база!$J$5*2*Таблица1[[#This Row],[Столбец1]]*Таблица1[[#This Row],[коэф]])),
IF(OR(G530="3/8",G530="2/8"),((база!$J$4*2*Таблица1[[#This Row],[Столбец1]]*Таблица1[[#This Row],[коэф]])))))))))))))),
(IF((G530="5/24"),((база!$M$6*2*Таблица1[[#This Row],[Столбец1]]*Таблица1[[#This Row],[коэф]])),
IF(OR(G530="4/24",G530="3/24"),((база!$M$5*2*Таблица1[[#This Row],[Столбец1]]*Таблица1[[#This Row],[коэф]])),
IF((G530="5/16"),((база!$L$6*2*Таблица1[[#This Row],[Столбец1]]*Таблица1[[#This Row],[коэф]])),
IF(OR(G530="4/16",G530="3/16"),((база!$L$5*2*Таблица1[[#This Row],[Столбец1]]*Таблица1[[#This Row],[коэф]])),
IF(OR(G530="2/4",G530="3/4",G530="4/4"),((база!$I$5*2*Таблица1[[#This Row],[Столбец1]]*Таблица1[[#This Row],[коэф]])),
IF((G530="5/8"),((база!$J$6*2*Таблица1[[#This Row],[Столбец1]]*Таблица1[[#This Row],[коэф]])),
IF(OR(G530="4/8",G530="3/8",G530="2/8"),((база!$J$5*2*Таблица1[[#This Row],[Столбец1]]*Таблица1[[#This Row],[коэф]])))))))))))</f>
        <v>0</v>
      </c>
      <c r="AQ530" s="678" t="str">
        <f>IFERROR(INDEX(база!T:T, MATCH(F530,база!Q:Q,0)),"")</f>
        <v/>
      </c>
      <c r="AR530" s="193">
        <f>IFERROR(INDEX(база!D:D, MATCH(F530,база!B:B,0)),"")</f>
        <v>0</v>
      </c>
    </row>
    <row r="531" spans="1:44" ht="15">
      <c r="A531" s="59"/>
      <c r="B531" s="215"/>
      <c r="C531" s="54"/>
      <c r="D531" s="55"/>
      <c r="E531" s="196"/>
      <c r="F531" s="651"/>
      <c r="G531" s="42"/>
      <c r="H531" s="539"/>
      <c r="I531" s="539"/>
      <c r="J531" s="539"/>
      <c r="K531" s="539"/>
      <c r="L531" s="539"/>
      <c r="M531" s="539"/>
      <c r="N531" s="539"/>
      <c r="O531" s="539"/>
      <c r="P531" s="278"/>
      <c r="Q531" s="539"/>
      <c r="R531" s="539"/>
      <c r="S531" s="539"/>
      <c r="T531" s="539"/>
      <c r="U531" s="539"/>
      <c r="V531" s="539"/>
      <c r="W531" s="539"/>
      <c r="X531" s="539"/>
      <c r="Y531" s="539"/>
      <c r="Z531" s="539"/>
      <c r="AA531" s="539"/>
      <c r="AB531" s="539"/>
      <c r="AC531" s="539"/>
      <c r="AD531" s="43"/>
      <c r="AE531" s="43"/>
      <c r="AF531" s="238"/>
      <c r="AG531" s="43"/>
      <c r="AH531" s="43"/>
      <c r="AI531" s="238"/>
      <c r="AJ531" s="238"/>
      <c r="AK531" s="238"/>
      <c r="AL531" s="238"/>
      <c r="AM531" s="197">
        <f>IF(AQ531=1,SUM(H531:I531,L531:O531,R531:U531,X531:AA531,AD531:AG531,AI531:AK531),
IF(AQ531=2,SUM(H531:K531,N531:Q531,T531:W531,Z531:AC531,AF531:AI531),
IF(AQ531=3,SUM(J531:M531,P531:S531,V531:Y531,AB531:AE531,AH531:AK531),SUM(Таблица1[[#This Row],[1]:[31]])-Таблица1[[#This Row],[Столбец1]])))</f>
        <v>0</v>
      </c>
      <c r="AN531" s="269">
        <f t="array" ref="AN531">IF(AQ531=1,SUM(J531:K531,P531:Q531,V531:W531,AB531:AC531,AH531:AI531),
IF(AQ531=2,SUM(L531:M531,R531:S531,X531:Y531,AD531:AE531),
IF(AQ531=3,SUM(H531:I531,N531:O531,T531:U531,Z531:AA531,AF531:AG531),
SUM(IFERROR(WEEKDAY($H$2:$AL$2,2)&gt;5,)*H531:AL531))))</f>
        <v>0</v>
      </c>
      <c r="AO531" s="271" t="b">
        <f>IF(AR531&lt;=3,(IF((G531="5/24"),((база!$M$6*Таблица1[[#This Row],[сумма]]*Таблица1[[#This Row],[коэф]])),
IF((G531="4/24"),((база!$M$5*Таблица1[[#This Row],[сумма]]*Таблица1[[#This Row],[коэф]])),
IF((G531="3/24"),((база!$M$4*Таблица1[[#This Row],[сумма]]*Таблица1[[#This Row],[коэф]])),
IF((G531="5/16"),((база!$L$6*Таблица1[[#This Row],[сумма]]*Таблица1[[#This Row],[коэф]])),
IF((G531="4/16"),((база!$L$5*Таблица1[[#This Row],[сумма]]*Таблица1[[#This Row],[коэф]])),
IF((G531="3/16"),((база!$L$4*Таблица1[[#This Row],[сумма]]*Таблица1[[#This Row],[коэф]])),
IF((G531="4/4"),((база!$I$5*Таблица1[[#This Row],[сумма]]*Таблица1[[#This Row],[коэф]])),
IF(OR(G531="2/4",G531="3/4"),((база!$I$4*Таблица1[[#This Row],[сумма]]*Таблица1[[#This Row],[коэф]])),
IF((G531="5/8"),((база!$J$6*Таблица1[[#This Row],[сумма]]*Таблица1[[#This Row],[коэф]])),
IF((G531="4/8"),((база!$J$5*Таблица1[[#This Row],[сумма]]*Таблица1[[#This Row],[коэф]])),
IF(OR(G531="3/8",G531="2/8"),((база!$J$4*Таблица1[[#This Row],[сумма]]*Таблица1[[#This Row],[коэф]])))))))))))))),
(IF((G531="5/24"),((база!$M$6*Таблица1[[#This Row],[сумма]]*Таблица1[[#This Row],[коэф]])),
IF(OR(G531="4/24",G531="3/24"),((база!$M$5*Таблица1[[#This Row],[сумма]]*Таблица1[[#This Row],[коэф]])),
IF((G531="5/16"),((база!$L$6*Таблица1[[#This Row],[сумма]]*Таблица1[[#This Row],[коэф]])),
IF(OR(G531="4/16",G531="3/16"),((база!$L$5*Таблица1[[#This Row],[сумма]]*Таблица1[[#This Row],[коэф]])),
IF(OR(G531="2/4",G531="3/4",G531="4/4"),((база!$I$5*Таблица1[[#This Row],[сумма]]*Таблица1[[#This Row],[коэф]])),
IF((G531="5/8"),((база!$J$6*Таблица1[[#This Row],[сумма]]*Таблица1[[#This Row],[коэф]])),
IF(OR(G531="4/8",G531="3/8",G531="2/8"),((база!$J$5*Таблица1[[#This Row],[сумма]]*Таблица1[[#This Row],[коэф]])))))))))))</f>
        <v>0</v>
      </c>
      <c r="AP531" s="696" t="b">
        <f>IF(AR531&lt;=3,(IF((G531="5/24"),((база!$M$6*2*Таблица1[[#This Row],[Столбец1]]*Таблица1[[#This Row],[коэф]])),
IF((G531="4/24"),((база!$M$5*2*Таблица1[[#This Row],[Столбец1]]*Таблица1[[#This Row],[коэф]])),
IF((G531="3/24"),((база!$M$4*2*Таблица1[[#This Row],[Столбец1]]*Таблица1[[#This Row],[коэф]])),
IF((G531="5/16"),((база!$L$6*2*Таблица1[[#This Row],[Столбец1]]*Таблица1[[#This Row],[коэф]])),
IF((G531="4/16"),((база!$L$5*2*Таблица1[[#This Row],[Столбец1]]*Таблица1[[#This Row],[коэф]])),
IF((G531="3/16"),((база!$L$4*2*Таблица1[[#This Row],[Столбец1]]*Таблица1[[#This Row],[коэф]])),
IF((G531="4/4"),((база!$I$5*2*Таблица1[[#This Row],[Столбец1]]*Таблица1[[#This Row],[коэф]])),
IF(OR(G531="2/4",G531="3/4"),((база!$I$4*2*Таблица1[[#This Row],[Столбец1]]*Таблица1[[#This Row],[коэф]])),
IF((G531="5/8"),((база!$J$6*2*Таблица1[[#This Row],[Столбец1]]*Таблица1[[#This Row],[коэф]])),
IF((G531="4/8"),((база!$J$5*2*Таблица1[[#This Row],[Столбец1]]*Таблица1[[#This Row],[коэф]])),
IF(OR(G531="3/8",G531="2/8"),((база!$J$4*2*Таблица1[[#This Row],[Столбец1]]*Таблица1[[#This Row],[коэф]])))))))))))))),
(IF((G531="5/24"),((база!$M$6*2*Таблица1[[#This Row],[Столбец1]]*Таблица1[[#This Row],[коэф]])),
IF(OR(G531="4/24",G531="3/24"),((база!$M$5*2*Таблица1[[#This Row],[Столбец1]]*Таблица1[[#This Row],[коэф]])),
IF((G531="5/16"),((база!$L$6*2*Таблица1[[#This Row],[Столбец1]]*Таблица1[[#This Row],[коэф]])),
IF(OR(G531="4/16",G531="3/16"),((база!$L$5*2*Таблица1[[#This Row],[Столбец1]]*Таблица1[[#This Row],[коэф]])),
IF(OR(G531="2/4",G531="3/4",G531="4/4"),((база!$I$5*2*Таблица1[[#This Row],[Столбец1]]*Таблица1[[#This Row],[коэф]])),
IF((G531="5/8"),((база!$J$6*2*Таблица1[[#This Row],[Столбец1]]*Таблица1[[#This Row],[коэф]])),
IF(OR(G531="4/8",G531="3/8",G531="2/8"),((база!$J$5*2*Таблица1[[#This Row],[Столбец1]]*Таблица1[[#This Row],[коэф]])))))))))))</f>
        <v>0</v>
      </c>
      <c r="AQ531" s="678" t="str">
        <f>IFERROR(INDEX(база!T:T, MATCH(F531,база!Q:Q,0)),"")</f>
        <v/>
      </c>
      <c r="AR531" s="193">
        <f>IFERROR(INDEX(база!D:D, MATCH(F531,база!B:B,0)),"")</f>
        <v>0</v>
      </c>
    </row>
    <row r="532" spans="1:44" ht="15">
      <c r="A532" s="59"/>
      <c r="B532" s="215"/>
      <c r="C532" s="277"/>
      <c r="D532" s="55"/>
      <c r="E532" s="196"/>
      <c r="F532" s="702"/>
      <c r="G532" s="42"/>
      <c r="H532" s="539"/>
      <c r="I532" s="539"/>
      <c r="J532" s="539"/>
      <c r="K532" s="539"/>
      <c r="L532" s="539"/>
      <c r="M532" s="539"/>
      <c r="N532" s="539"/>
      <c r="O532" s="539"/>
      <c r="P532" s="278"/>
      <c r="Q532" s="539"/>
      <c r="R532" s="539"/>
      <c r="S532" s="539"/>
      <c r="T532" s="539"/>
      <c r="U532" s="539"/>
      <c r="V532" s="539"/>
      <c r="W532" s="539"/>
      <c r="X532" s="539"/>
      <c r="Y532" s="539"/>
      <c r="Z532" s="539"/>
      <c r="AA532" s="539"/>
      <c r="AB532" s="539"/>
      <c r="AC532" s="539"/>
      <c r="AD532" s="43"/>
      <c r="AE532" s="43"/>
      <c r="AF532" s="238"/>
      <c r="AG532" s="43"/>
      <c r="AH532" s="43"/>
      <c r="AI532" s="43"/>
      <c r="AJ532" s="43"/>
      <c r="AK532" s="43"/>
      <c r="AL532" s="45"/>
      <c r="AM532" s="197">
        <f>IF(AQ532=1,SUM(H532:I532,L532:O532,R532:U532,X532:AA532,AD532:AG532,AI532:AK532),
IF(AQ532=2,SUM(H532:K532,N532:Q532,T532:W532,Z532:AC532,AF532:AI532),
IF(AQ532=3,SUM(J532:M532,P532:S532,V532:Y532,AB532:AE532,AH532:AK532),SUM(Таблица1[[#This Row],[1]:[31]])-Таблица1[[#This Row],[Столбец1]])))</f>
        <v>0</v>
      </c>
      <c r="AN532" s="269">
        <f t="array" ref="AN532">IF(AQ532=1,SUM(J532:K532,P532:Q532,V532:W532,AB532:AC532,AH532:AI532),
IF(AQ532=2,SUM(L532:M532,R532:S532,X532:Y532,AD532:AE532),
IF(AQ532=3,SUM(H532:I532,N532:O532,T532:U532,Z532:AA532,AF532:AG532),
SUM(IFERROR(WEEKDAY($H$2:$AL$2,2)&gt;5,)*H532:AL532))))</f>
        <v>0</v>
      </c>
      <c r="AO532" s="271" t="b">
        <f>IF(AR532&lt;=3,(IF((G532="5/24"),((база!$M$6*Таблица1[[#This Row],[сумма]]*Таблица1[[#This Row],[коэф]])),
IF((G532="4/24"),((база!$M$5*Таблица1[[#This Row],[сумма]]*Таблица1[[#This Row],[коэф]])),
IF((G532="3/24"),((база!$M$4*Таблица1[[#This Row],[сумма]]*Таблица1[[#This Row],[коэф]])),
IF((G532="5/16"),((база!$L$6*Таблица1[[#This Row],[сумма]]*Таблица1[[#This Row],[коэф]])),
IF((G532="4/16"),((база!$L$5*Таблица1[[#This Row],[сумма]]*Таблица1[[#This Row],[коэф]])),
IF((G532="3/16"),((база!$L$4*Таблица1[[#This Row],[сумма]]*Таблица1[[#This Row],[коэф]])),
IF((G532="4/4"),((база!$I$5*Таблица1[[#This Row],[сумма]]*Таблица1[[#This Row],[коэф]])),
IF(OR(G532="2/4",G532="3/4"),((база!$I$4*Таблица1[[#This Row],[сумма]]*Таблица1[[#This Row],[коэф]])),
IF((G532="5/8"),((база!$J$6*Таблица1[[#This Row],[сумма]]*Таблица1[[#This Row],[коэф]])),
IF((G532="4/8"),((база!$J$5*Таблица1[[#This Row],[сумма]]*Таблица1[[#This Row],[коэф]])),
IF(OR(G532="3/8",G532="2/8"),((база!$J$4*Таблица1[[#This Row],[сумма]]*Таблица1[[#This Row],[коэф]])))))))))))))),
(IF((G532="5/24"),((база!$M$6*Таблица1[[#This Row],[сумма]]*Таблица1[[#This Row],[коэф]])),
IF(OR(G532="4/24",G532="3/24"),((база!$M$5*Таблица1[[#This Row],[сумма]]*Таблица1[[#This Row],[коэф]])),
IF((G532="5/16"),((база!$L$6*Таблица1[[#This Row],[сумма]]*Таблица1[[#This Row],[коэф]])),
IF(OR(G532="4/16",G532="3/16"),((база!$L$5*Таблица1[[#This Row],[сумма]]*Таблица1[[#This Row],[коэф]])),
IF(OR(G532="2/4",G532="3/4",G532="4/4"),((база!$I$5*Таблица1[[#This Row],[сумма]]*Таблица1[[#This Row],[коэф]])),
IF((G532="5/8"),((база!$J$6*Таблица1[[#This Row],[сумма]]*Таблица1[[#This Row],[коэф]])),
IF(OR(G532="4/8",G532="3/8",G532="2/8"),((база!$J$5*Таблица1[[#This Row],[сумма]]*Таблица1[[#This Row],[коэф]])))))))))))</f>
        <v>0</v>
      </c>
      <c r="AP532" s="696" t="b">
        <f>IF(AR532&lt;=3,(IF((G532="5/24"),((база!$M$6*2*Таблица1[[#This Row],[Столбец1]]*Таблица1[[#This Row],[коэф]])),
IF((G532="4/24"),((база!$M$5*2*Таблица1[[#This Row],[Столбец1]]*Таблица1[[#This Row],[коэф]])),
IF((G532="3/24"),((база!$M$4*2*Таблица1[[#This Row],[Столбец1]]*Таблица1[[#This Row],[коэф]])),
IF((G532="5/16"),((база!$L$6*2*Таблица1[[#This Row],[Столбец1]]*Таблица1[[#This Row],[коэф]])),
IF((G532="4/16"),((база!$L$5*2*Таблица1[[#This Row],[Столбец1]]*Таблица1[[#This Row],[коэф]])),
IF((G532="3/16"),((база!$L$4*2*Таблица1[[#This Row],[Столбец1]]*Таблица1[[#This Row],[коэф]])),
IF((G532="4/4"),((база!$I$5*2*Таблица1[[#This Row],[Столбец1]]*Таблица1[[#This Row],[коэф]])),
IF(OR(G532="2/4",G532="3/4"),((база!$I$4*2*Таблица1[[#This Row],[Столбец1]]*Таблица1[[#This Row],[коэф]])),
IF((G532="5/8"),((база!$J$6*2*Таблица1[[#This Row],[Столбец1]]*Таблица1[[#This Row],[коэф]])),
IF((G532="4/8"),((база!$J$5*2*Таблица1[[#This Row],[Столбец1]]*Таблица1[[#This Row],[коэф]])),
IF(OR(G532="3/8",G532="2/8"),((база!$J$4*2*Таблица1[[#This Row],[Столбец1]]*Таблица1[[#This Row],[коэф]])))))))))))))),
(IF((G532="5/24"),((база!$M$6*2*Таблица1[[#This Row],[Столбец1]]*Таблица1[[#This Row],[коэф]])),
IF(OR(G532="4/24",G532="3/24"),((база!$M$5*2*Таблица1[[#This Row],[Столбец1]]*Таблица1[[#This Row],[коэф]])),
IF((G532="5/16"),((база!$L$6*2*Таблица1[[#This Row],[Столбец1]]*Таблица1[[#This Row],[коэф]])),
IF(OR(G532="4/16",G532="3/16"),((база!$L$5*2*Таблица1[[#This Row],[Столбец1]]*Таблица1[[#This Row],[коэф]])),
IF(OR(G532="2/4",G532="3/4",G532="4/4"),((база!$I$5*2*Таблица1[[#This Row],[Столбец1]]*Таблица1[[#This Row],[коэф]])),
IF((G532="5/8"),((база!$J$6*2*Таблица1[[#This Row],[Столбец1]]*Таблица1[[#This Row],[коэф]])),
IF(OR(G532="4/8",G532="3/8",G532="2/8"),((база!$J$5*2*Таблица1[[#This Row],[Столбец1]]*Таблица1[[#This Row],[коэф]])))))))))))</f>
        <v>0</v>
      </c>
      <c r="AQ532" s="678" t="str">
        <f>IFERROR(INDEX(база!T:T, MATCH(F533,база!Q:Q,0)),"")</f>
        <v/>
      </c>
      <c r="AR532" s="193">
        <f>IFERROR(INDEX(база!D:D, MATCH(F533,база!B:B,0)),"")</f>
        <v>0</v>
      </c>
    </row>
    <row r="533" spans="1:44" ht="15">
      <c r="A533" s="59"/>
      <c r="B533" s="215"/>
      <c r="C533" s="277"/>
      <c r="D533" s="55"/>
      <c r="E533" s="196"/>
      <c r="F533" s="651"/>
      <c r="G533" s="42"/>
      <c r="H533" s="539"/>
      <c r="I533" s="539"/>
      <c r="J533" s="539"/>
      <c r="K533" s="539"/>
      <c r="L533" s="539"/>
      <c r="M533" s="539"/>
      <c r="N533" s="539"/>
      <c r="O533" s="539"/>
      <c r="P533" s="278"/>
      <c r="Q533" s="539"/>
      <c r="R533" s="539"/>
      <c r="S533" s="539"/>
      <c r="T533" s="539"/>
      <c r="U533" s="539"/>
      <c r="V533" s="539"/>
      <c r="W533" s="539"/>
      <c r="X533" s="539"/>
      <c r="Y533" s="539"/>
      <c r="Z533" s="539"/>
      <c r="AA533" s="539"/>
      <c r="AB533" s="539"/>
      <c r="AC533" s="539"/>
      <c r="AD533" s="43"/>
      <c r="AE533" s="43"/>
      <c r="AF533" s="238"/>
      <c r="AG533" s="43"/>
      <c r="AH533" s="43"/>
      <c r="AI533" s="238"/>
      <c r="AJ533" s="238"/>
      <c r="AK533" s="238"/>
      <c r="AL533" s="238"/>
      <c r="AM533" s="197">
        <f>IF(AQ533=1,SUM(H533:I533,L533:O533,R533:U533,X533:AA533,AD533:AG533,AI533:AK533),
IF(AQ533=2,SUM(H533:K533,N533:Q533,T533:W533,Z533:AC533,AF533:AI533),
IF(AQ533=3,SUM(J533:M533,P533:S533,V533:Y533,AB533:AE533,AH533:AK533),SUM(Таблица1[[#This Row],[1]:[31]])-Таблица1[[#This Row],[Столбец1]])))</f>
        <v>0</v>
      </c>
      <c r="AN533" s="269">
        <f t="array" ref="AN533">IF(AQ533=1,SUM(J533:K533,P533:Q533,V533:W533,AB533:AC533,AH533:AI533),
IF(AQ533=2,SUM(L533:M533,R533:S533,X533:Y533,AD533:AE533),
IF(AQ533=3,SUM(H533:I533,N533:O533,T533:U533,Z533:AA533,AF533:AG533),
SUM(IFERROR(WEEKDAY($H$2:$AL$2,2)&gt;5,)*H533:AL533))))</f>
        <v>0</v>
      </c>
      <c r="AO533" s="271" t="b">
        <f>IF(AR533&lt;=3,(IF((G533="5/24"),((база!$M$6*Таблица1[[#This Row],[сумма]]*Таблица1[[#This Row],[коэф]])),
IF((G533="4/24"),((база!$M$5*Таблица1[[#This Row],[сумма]]*Таблица1[[#This Row],[коэф]])),
IF((G533="3/24"),((база!$M$4*Таблица1[[#This Row],[сумма]]*Таблица1[[#This Row],[коэф]])),
IF((G533="5/16"),((база!$L$6*Таблица1[[#This Row],[сумма]]*Таблица1[[#This Row],[коэф]])),
IF((G533="4/16"),((база!$L$5*Таблица1[[#This Row],[сумма]]*Таблица1[[#This Row],[коэф]])),
IF((G533="3/16"),((база!$L$4*Таблица1[[#This Row],[сумма]]*Таблица1[[#This Row],[коэф]])),
IF((G533="4/4"),((база!$I$5*Таблица1[[#This Row],[сумма]]*Таблица1[[#This Row],[коэф]])),
IF(OR(G533="2/4",G533="3/4"),((база!$I$4*Таблица1[[#This Row],[сумма]]*Таблица1[[#This Row],[коэф]])),
IF((G533="5/8"),((база!$J$6*Таблица1[[#This Row],[сумма]]*Таблица1[[#This Row],[коэф]])),
IF((G533="4/8"),((база!$J$5*Таблица1[[#This Row],[сумма]]*Таблица1[[#This Row],[коэф]])),
IF(OR(G533="3/8",G533="2/8"),((база!$J$4*Таблица1[[#This Row],[сумма]]*Таблица1[[#This Row],[коэф]])))))))))))))),
(IF((G533="5/24"),((база!$M$6*Таблица1[[#This Row],[сумма]]*Таблица1[[#This Row],[коэф]])),
IF(OR(G533="4/24",G533="3/24"),((база!$M$5*Таблица1[[#This Row],[сумма]]*Таблица1[[#This Row],[коэф]])),
IF((G533="5/16"),((база!$L$6*Таблица1[[#This Row],[сумма]]*Таблица1[[#This Row],[коэф]])),
IF(OR(G533="4/16",G533="3/16"),((база!$L$5*Таблица1[[#This Row],[сумма]]*Таблица1[[#This Row],[коэф]])),
IF(OR(G533="2/4",G533="3/4",G533="4/4"),((база!$I$5*Таблица1[[#This Row],[сумма]]*Таблица1[[#This Row],[коэф]])),
IF((G533="5/8"),((база!$J$6*Таблица1[[#This Row],[сумма]]*Таблица1[[#This Row],[коэф]])),
IF(OR(G533="4/8",G533="3/8",G533="2/8"),((база!$J$5*Таблица1[[#This Row],[сумма]]*Таблица1[[#This Row],[коэф]])))))))))))</f>
        <v>0</v>
      </c>
      <c r="AP533" s="696" t="b">
        <f>IF(AR533&lt;=3,(IF((G533="5/24"),((база!$M$6*2*Таблица1[[#This Row],[Столбец1]]*Таблица1[[#This Row],[коэф]])),
IF((G533="4/24"),((база!$M$5*2*Таблица1[[#This Row],[Столбец1]]*Таблица1[[#This Row],[коэф]])),
IF((G533="3/24"),((база!$M$4*2*Таблица1[[#This Row],[Столбец1]]*Таблица1[[#This Row],[коэф]])),
IF((G533="5/16"),((база!$L$6*2*Таблица1[[#This Row],[Столбец1]]*Таблица1[[#This Row],[коэф]])),
IF((G533="4/16"),((база!$L$5*2*Таблица1[[#This Row],[Столбец1]]*Таблица1[[#This Row],[коэф]])),
IF((G533="3/16"),((база!$L$4*2*Таблица1[[#This Row],[Столбец1]]*Таблица1[[#This Row],[коэф]])),
IF((G533="4/4"),((база!$I$5*2*Таблица1[[#This Row],[Столбец1]]*Таблица1[[#This Row],[коэф]])),
IF(OR(G533="2/4",G533="3/4"),((база!$I$4*2*Таблица1[[#This Row],[Столбец1]]*Таблица1[[#This Row],[коэф]])),
IF((G533="5/8"),((база!$J$6*2*Таблица1[[#This Row],[Столбец1]]*Таблица1[[#This Row],[коэф]])),
IF((G533="4/8"),((база!$J$5*2*Таблица1[[#This Row],[Столбец1]]*Таблица1[[#This Row],[коэф]])),
IF(OR(G533="3/8",G533="2/8"),((база!$J$4*2*Таблица1[[#This Row],[Столбец1]]*Таблица1[[#This Row],[коэф]])))))))))))))),
(IF((G533="5/24"),((база!$M$6*2*Таблица1[[#This Row],[Столбец1]]*Таблица1[[#This Row],[коэф]])),
IF(OR(G533="4/24",G533="3/24"),((база!$M$5*2*Таблица1[[#This Row],[Столбец1]]*Таблица1[[#This Row],[коэф]])),
IF((G533="5/16"),((база!$L$6*2*Таблица1[[#This Row],[Столбец1]]*Таблица1[[#This Row],[коэф]])),
IF(OR(G533="4/16",G533="3/16"),((база!$L$5*2*Таблица1[[#This Row],[Столбец1]]*Таблица1[[#This Row],[коэф]])),
IF(OR(G533="2/4",G533="3/4",G533="4/4"),((база!$I$5*2*Таблица1[[#This Row],[Столбец1]]*Таблица1[[#This Row],[коэф]])),
IF((G533="5/8"),((база!$J$6*2*Таблица1[[#This Row],[Столбец1]]*Таблица1[[#This Row],[коэф]])),
IF(OR(G533="4/8",G533="3/8",G533="2/8"),((база!$J$5*2*Таблица1[[#This Row],[Столбец1]]*Таблица1[[#This Row],[коэф]])))))))))))</f>
        <v>0</v>
      </c>
      <c r="AQ533" s="678" t="str">
        <f>IFERROR(INDEX(база!T:T, MATCH(#REF!,база!Q:Q,0)),"")</f>
        <v/>
      </c>
      <c r="AR533" s="193" t="str">
        <f>IFERROR(INDEX(база!D:D, MATCH(#REF!,база!B:B,0)),"")</f>
        <v/>
      </c>
    </row>
    <row r="534" spans="1:44" ht="15">
      <c r="A534" s="59"/>
      <c r="B534" s="215"/>
      <c r="C534" s="277"/>
      <c r="D534" s="55"/>
      <c r="E534" s="196"/>
      <c r="F534" s="651"/>
      <c r="G534" s="42"/>
      <c r="H534" s="539"/>
      <c r="I534" s="539"/>
      <c r="J534" s="539"/>
      <c r="K534" s="539"/>
      <c r="L534" s="539"/>
      <c r="M534" s="539"/>
      <c r="N534" s="539"/>
      <c r="O534" s="539"/>
      <c r="P534" s="278"/>
      <c r="Q534" s="539"/>
      <c r="R534" s="539"/>
      <c r="S534" s="539"/>
      <c r="T534" s="539"/>
      <c r="U534" s="539"/>
      <c r="V534" s="539"/>
      <c r="W534" s="539"/>
      <c r="X534" s="539"/>
      <c r="Y534" s="539"/>
      <c r="Z534" s="539"/>
      <c r="AA534" s="539"/>
      <c r="AB534" s="539"/>
      <c r="AC534" s="539"/>
      <c r="AD534" s="43"/>
      <c r="AE534" s="43"/>
      <c r="AF534" s="238"/>
      <c r="AG534" s="43"/>
      <c r="AH534" s="43"/>
      <c r="AI534" s="43"/>
      <c r="AJ534" s="43"/>
      <c r="AK534" s="43"/>
      <c r="AL534" s="45"/>
      <c r="AM534" s="197">
        <f>IF(AQ534=1,SUM(H534:I534,L534:O534,R534:U534,X534:AA534,AD534:AG534,AI534:AK534),
IF(AQ534=2,SUM(H534:K534,N534:Q534,T534:W534,Z534:AC534,AF534:AI534),
IF(AQ534=3,SUM(J534:M534,P534:S534,V534:Y534,AB534:AE534,AH534:AK534),SUM(Таблица1[[#This Row],[1]:[31]])-Таблица1[[#This Row],[Столбец1]])))</f>
        <v>0</v>
      </c>
      <c r="AN534" s="269">
        <f t="array" ref="AN534">IF(AQ534=1,SUM(J534:K534,P534:Q534,V534:W534,AB534:AC534,AH534:AI534),
IF(AQ534=2,SUM(L534:M534,R534:S534,X534:Y534,AD534:AE534),
IF(AQ534=3,SUM(H534:I534,N534:O534,T534:U534,Z534:AA534,AF534:AG534),
SUM(IFERROR(WEEKDAY($H$2:$AL$2,2)&gt;5,)*H534:AL534))))</f>
        <v>0</v>
      </c>
      <c r="AO534" s="271" t="b">
        <f>IF(AR534&lt;=3,(IF((G534="5/24"),((база!$M$6*Таблица1[[#This Row],[сумма]]*Таблица1[[#This Row],[коэф]])),
IF((G534="4/24"),((база!$M$5*Таблица1[[#This Row],[сумма]]*Таблица1[[#This Row],[коэф]])),
IF((G534="3/24"),((база!$M$4*Таблица1[[#This Row],[сумма]]*Таблица1[[#This Row],[коэф]])),
IF((G534="5/16"),((база!$L$6*Таблица1[[#This Row],[сумма]]*Таблица1[[#This Row],[коэф]])),
IF((G534="4/16"),((база!$L$5*Таблица1[[#This Row],[сумма]]*Таблица1[[#This Row],[коэф]])),
IF((G534="3/16"),((база!$L$4*Таблица1[[#This Row],[сумма]]*Таблица1[[#This Row],[коэф]])),
IF((G534="4/4"),((база!$I$5*Таблица1[[#This Row],[сумма]]*Таблица1[[#This Row],[коэф]])),
IF(OR(G534="2/4",G534="3/4"),((база!$I$4*Таблица1[[#This Row],[сумма]]*Таблица1[[#This Row],[коэф]])),
IF((G534="5/8"),((база!$J$6*Таблица1[[#This Row],[сумма]]*Таблица1[[#This Row],[коэф]])),
IF((G534="4/8"),((база!$J$5*Таблица1[[#This Row],[сумма]]*Таблица1[[#This Row],[коэф]])),
IF(OR(G534="3/8",G534="2/8"),((база!$J$4*Таблица1[[#This Row],[сумма]]*Таблица1[[#This Row],[коэф]])))))))))))))),
(IF((G534="5/24"),((база!$M$6*Таблица1[[#This Row],[сумма]]*Таблица1[[#This Row],[коэф]])),
IF(OR(G534="4/24",G534="3/24"),((база!$M$5*Таблица1[[#This Row],[сумма]]*Таблица1[[#This Row],[коэф]])),
IF((G534="5/16"),((база!$L$6*Таблица1[[#This Row],[сумма]]*Таблица1[[#This Row],[коэф]])),
IF(OR(G534="4/16",G534="3/16"),((база!$L$5*Таблица1[[#This Row],[сумма]]*Таблица1[[#This Row],[коэф]])),
IF(OR(G534="2/4",G534="3/4",G534="4/4"),((база!$I$5*Таблица1[[#This Row],[сумма]]*Таблица1[[#This Row],[коэф]])),
IF((G534="5/8"),((база!$J$6*Таблица1[[#This Row],[сумма]]*Таблица1[[#This Row],[коэф]])),
IF(OR(G534="4/8",G534="3/8",G534="2/8"),((база!$J$5*Таблица1[[#This Row],[сумма]]*Таблица1[[#This Row],[коэф]])))))))))))</f>
        <v>0</v>
      </c>
      <c r="AP534" s="696" t="b">
        <f>IF(AR534&lt;=3,(IF((G534="5/24"),((база!$M$6*2*Таблица1[[#This Row],[Столбец1]]*Таблица1[[#This Row],[коэф]])),
IF((G534="4/24"),((база!$M$5*2*Таблица1[[#This Row],[Столбец1]]*Таблица1[[#This Row],[коэф]])),
IF((G534="3/24"),((база!$M$4*2*Таблица1[[#This Row],[Столбец1]]*Таблица1[[#This Row],[коэф]])),
IF((G534="5/16"),((база!$L$6*2*Таблица1[[#This Row],[Столбец1]]*Таблица1[[#This Row],[коэф]])),
IF((G534="4/16"),((база!$L$5*2*Таблица1[[#This Row],[Столбец1]]*Таблица1[[#This Row],[коэф]])),
IF((G534="3/16"),((база!$L$4*2*Таблица1[[#This Row],[Столбец1]]*Таблица1[[#This Row],[коэф]])),
IF((G534="4/4"),((база!$I$5*2*Таблица1[[#This Row],[Столбец1]]*Таблица1[[#This Row],[коэф]])),
IF(OR(G534="2/4",G534="3/4"),((база!$I$4*2*Таблица1[[#This Row],[Столбец1]]*Таблица1[[#This Row],[коэф]])),
IF((G534="5/8"),((база!$J$6*2*Таблица1[[#This Row],[Столбец1]]*Таблица1[[#This Row],[коэф]])),
IF((G534="4/8"),((база!$J$5*2*Таблица1[[#This Row],[Столбец1]]*Таблица1[[#This Row],[коэф]])),
IF(OR(G534="3/8",G534="2/8"),((база!$J$4*2*Таблица1[[#This Row],[Столбец1]]*Таблица1[[#This Row],[коэф]])))))))))))))),
(IF((G534="5/24"),((база!$M$6*2*Таблица1[[#This Row],[Столбец1]]*Таблица1[[#This Row],[коэф]])),
IF(OR(G534="4/24",G534="3/24"),((база!$M$5*2*Таблица1[[#This Row],[Столбец1]]*Таблица1[[#This Row],[коэф]])),
IF((G534="5/16"),((база!$L$6*2*Таблица1[[#This Row],[Столбец1]]*Таблица1[[#This Row],[коэф]])),
IF(OR(G534="4/16",G534="3/16"),((база!$L$5*2*Таблица1[[#This Row],[Столбец1]]*Таблица1[[#This Row],[коэф]])),
IF(OR(G534="2/4",G534="3/4",G534="4/4"),((база!$I$5*2*Таблица1[[#This Row],[Столбец1]]*Таблица1[[#This Row],[коэф]])),
IF((G534="5/8"),((база!$J$6*2*Таблица1[[#This Row],[Столбец1]]*Таблица1[[#This Row],[коэф]])),
IF(OR(G534="4/8",G534="3/8",G534="2/8"),((база!$J$5*2*Таблица1[[#This Row],[Столбец1]]*Таблица1[[#This Row],[коэф]])))))))))))</f>
        <v>0</v>
      </c>
      <c r="AQ534" s="678" t="str">
        <f>IFERROR(INDEX(база!T:T, MATCH(F534,база!Q:Q,0)),"")</f>
        <v/>
      </c>
      <c r="AR534" s="193">
        <f>IFERROR(INDEX(база!D:D, MATCH(F534,база!B:B,0)),"")</f>
        <v>0</v>
      </c>
    </row>
    <row r="535" spans="1:44" ht="15">
      <c r="A535" s="59"/>
      <c r="B535" s="215"/>
      <c r="C535" s="277"/>
      <c r="D535" s="55"/>
      <c r="E535" s="196"/>
      <c r="F535" s="651"/>
      <c r="G535" s="42"/>
      <c r="H535" s="539"/>
      <c r="I535" s="539"/>
      <c r="J535" s="539"/>
      <c r="K535" s="539"/>
      <c r="L535" s="539"/>
      <c r="M535" s="539"/>
      <c r="N535" s="539"/>
      <c r="O535" s="539"/>
      <c r="P535" s="278"/>
      <c r="Q535" s="539"/>
      <c r="R535" s="539"/>
      <c r="S535" s="539"/>
      <c r="T535" s="539"/>
      <c r="U535" s="539"/>
      <c r="V535" s="539"/>
      <c r="W535" s="539"/>
      <c r="X535" s="539"/>
      <c r="Y535" s="539"/>
      <c r="Z535" s="539"/>
      <c r="AA535" s="539"/>
      <c r="AB535" s="539"/>
      <c r="AC535" s="539"/>
      <c r="AD535" s="43"/>
      <c r="AE535" s="43"/>
      <c r="AF535" s="238"/>
      <c r="AG535" s="43"/>
      <c r="AH535" s="43"/>
      <c r="AI535" s="238"/>
      <c r="AJ535" s="238"/>
      <c r="AK535" s="238"/>
      <c r="AL535" s="238"/>
      <c r="AM535" s="197">
        <f>IF(AQ535=1,SUM(H535:I535,L535:O535,R535:U535,X535:AA535,AD535:AG535,AI535:AK535),
IF(AQ535=2,SUM(H535:K535,N535:Q535,T535:W535,Z535:AC535,AF535:AI535),
IF(AQ535=3,SUM(J535:M535,P535:S535,V535:Y535,AB535:AE535,AH535:AK535),SUM(Таблица1[[#This Row],[1]:[31]])-Таблица1[[#This Row],[Столбец1]])))</f>
        <v>0</v>
      </c>
      <c r="AN535" s="269">
        <f t="array" ref="AN535">IF(AQ535=1,SUM(J535:K535,P535:Q535,V535:W535,AB535:AC535,AH535:AI535),
IF(AQ535=2,SUM(L535:M535,R535:S535,X535:Y535,AD535:AE535),
IF(AQ535=3,SUM(H535:I535,N535:O535,T535:U535,Z535:AA535,AF535:AG535),
SUM(IFERROR(WEEKDAY($H$2:$AL$2,2)&gt;5,)*H535:AL535))))</f>
        <v>0</v>
      </c>
      <c r="AO535" s="271" t="b">
        <f>IF(AR535&lt;=3,(IF((G535="5/24"),((база!$M$6*Таблица1[[#This Row],[сумма]]*Таблица1[[#This Row],[коэф]])),
IF((G535="4/24"),((база!$M$5*Таблица1[[#This Row],[сумма]]*Таблица1[[#This Row],[коэф]])),
IF((G535="3/24"),((база!$M$4*Таблица1[[#This Row],[сумма]]*Таблица1[[#This Row],[коэф]])),
IF((G535="5/16"),((база!$L$6*Таблица1[[#This Row],[сумма]]*Таблица1[[#This Row],[коэф]])),
IF((G535="4/16"),((база!$L$5*Таблица1[[#This Row],[сумма]]*Таблица1[[#This Row],[коэф]])),
IF((G535="3/16"),((база!$L$4*Таблица1[[#This Row],[сумма]]*Таблица1[[#This Row],[коэф]])),
IF((G535="4/4"),((база!$I$5*Таблица1[[#This Row],[сумма]]*Таблица1[[#This Row],[коэф]])),
IF(OR(G535="2/4",G535="3/4"),((база!$I$4*Таблица1[[#This Row],[сумма]]*Таблица1[[#This Row],[коэф]])),
IF((G535="5/8"),((база!$J$6*Таблица1[[#This Row],[сумма]]*Таблица1[[#This Row],[коэф]])),
IF((G535="4/8"),((база!$J$5*Таблица1[[#This Row],[сумма]]*Таблица1[[#This Row],[коэф]])),
IF(OR(G535="3/8",G535="2/8"),((база!$J$4*Таблица1[[#This Row],[сумма]]*Таблица1[[#This Row],[коэф]])))))))))))))),
(IF((G535="5/24"),((база!$M$6*Таблица1[[#This Row],[сумма]]*Таблица1[[#This Row],[коэф]])),
IF(OR(G535="4/24",G535="3/24"),((база!$M$5*Таблица1[[#This Row],[сумма]]*Таблица1[[#This Row],[коэф]])),
IF((G535="5/16"),((база!$L$6*Таблица1[[#This Row],[сумма]]*Таблица1[[#This Row],[коэф]])),
IF(OR(G535="4/16",G535="3/16"),((база!$L$5*Таблица1[[#This Row],[сумма]]*Таблица1[[#This Row],[коэф]])),
IF(OR(G535="2/4",G535="3/4",G535="4/4"),((база!$I$5*Таблица1[[#This Row],[сумма]]*Таблица1[[#This Row],[коэф]])),
IF((G535="5/8"),((база!$J$6*Таблица1[[#This Row],[сумма]]*Таблица1[[#This Row],[коэф]])),
IF(OR(G535="4/8",G535="3/8",G535="2/8"),((база!$J$5*Таблица1[[#This Row],[сумма]]*Таблица1[[#This Row],[коэф]])))))))))))</f>
        <v>0</v>
      </c>
      <c r="AP535" s="696" t="b">
        <f>IF(AR535&lt;=3,(IF((G535="5/24"),((база!$M$6*2*Таблица1[[#This Row],[Столбец1]]*Таблица1[[#This Row],[коэф]])),
IF((G535="4/24"),((база!$M$5*2*Таблица1[[#This Row],[Столбец1]]*Таблица1[[#This Row],[коэф]])),
IF((G535="3/24"),((база!$M$4*2*Таблица1[[#This Row],[Столбец1]]*Таблица1[[#This Row],[коэф]])),
IF((G535="5/16"),((база!$L$6*2*Таблица1[[#This Row],[Столбец1]]*Таблица1[[#This Row],[коэф]])),
IF((G535="4/16"),((база!$L$5*2*Таблица1[[#This Row],[Столбец1]]*Таблица1[[#This Row],[коэф]])),
IF((G535="3/16"),((база!$L$4*2*Таблица1[[#This Row],[Столбец1]]*Таблица1[[#This Row],[коэф]])),
IF((G535="4/4"),((база!$I$5*2*Таблица1[[#This Row],[Столбец1]]*Таблица1[[#This Row],[коэф]])),
IF(OR(G535="2/4",G535="3/4"),((база!$I$4*2*Таблица1[[#This Row],[Столбец1]]*Таблица1[[#This Row],[коэф]])),
IF((G535="5/8"),((база!$J$6*2*Таблица1[[#This Row],[Столбец1]]*Таблица1[[#This Row],[коэф]])),
IF((G535="4/8"),((база!$J$5*2*Таблица1[[#This Row],[Столбец1]]*Таблица1[[#This Row],[коэф]])),
IF(OR(G535="3/8",G535="2/8"),((база!$J$4*2*Таблица1[[#This Row],[Столбец1]]*Таблица1[[#This Row],[коэф]])))))))))))))),
(IF((G535="5/24"),((база!$M$6*2*Таблица1[[#This Row],[Столбец1]]*Таблица1[[#This Row],[коэф]])),
IF(OR(G535="4/24",G535="3/24"),((база!$M$5*2*Таблица1[[#This Row],[Столбец1]]*Таблица1[[#This Row],[коэф]])),
IF((G535="5/16"),((база!$L$6*2*Таблица1[[#This Row],[Столбец1]]*Таблица1[[#This Row],[коэф]])),
IF(OR(G535="4/16",G535="3/16"),((база!$L$5*2*Таблица1[[#This Row],[Столбец1]]*Таблица1[[#This Row],[коэф]])),
IF(OR(G535="2/4",G535="3/4",G535="4/4"),((база!$I$5*2*Таблица1[[#This Row],[Столбец1]]*Таблица1[[#This Row],[коэф]])),
IF((G535="5/8"),((база!$J$6*2*Таблица1[[#This Row],[Столбец1]]*Таблица1[[#This Row],[коэф]])),
IF(OR(G535="4/8",G535="3/8",G535="2/8"),((база!$J$5*2*Таблица1[[#This Row],[Столбец1]]*Таблица1[[#This Row],[коэф]])))))))))))</f>
        <v>0</v>
      </c>
      <c r="AQ535" s="678" t="str">
        <f>IFERROR(INDEX(база!T:T, MATCH(F535,база!Q:Q,0)),"")</f>
        <v/>
      </c>
      <c r="AR535" s="193">
        <f>IFERROR(INDEX(база!D:D, MATCH(F535,база!B:B,0)),"")</f>
        <v>0</v>
      </c>
    </row>
    <row r="536" spans="1:44" ht="15">
      <c r="A536" s="59"/>
      <c r="B536" s="215"/>
      <c r="C536" s="277"/>
      <c r="D536" s="55"/>
      <c r="E536" s="196"/>
      <c r="F536" s="651"/>
      <c r="G536" s="42"/>
      <c r="H536" s="539"/>
      <c r="I536" s="539"/>
      <c r="J536" s="539"/>
      <c r="K536" s="539"/>
      <c r="L536" s="539"/>
      <c r="M536" s="539"/>
      <c r="N536" s="539"/>
      <c r="O536" s="539"/>
      <c r="P536" s="278"/>
      <c r="Q536" s="539"/>
      <c r="R536" s="539"/>
      <c r="S536" s="539"/>
      <c r="T536" s="539"/>
      <c r="U536" s="539"/>
      <c r="V536" s="539"/>
      <c r="W536" s="539"/>
      <c r="X536" s="539"/>
      <c r="Y536" s="539"/>
      <c r="Z536" s="539"/>
      <c r="AA536" s="539"/>
      <c r="AB536" s="539"/>
      <c r="AC536" s="539"/>
      <c r="AD536" s="43"/>
      <c r="AE536" s="43"/>
      <c r="AF536" s="238"/>
      <c r="AG536" s="43"/>
      <c r="AH536" s="43"/>
      <c r="AI536" s="43"/>
      <c r="AJ536" s="43"/>
      <c r="AK536" s="43"/>
      <c r="AL536" s="45"/>
      <c r="AM536" s="197">
        <f>IF(AQ536=1,SUM(H536:I536,L536:O536,R536:U536,X536:AA536,AD536:AG536,AI536:AK536),
IF(AQ536=2,SUM(H536:K536,N536:Q536,T536:W536,Z536:AC536,AF536:AI536),
IF(AQ536=3,SUM(J536:M536,P536:S536,V536:Y536,AB536:AE536,AH536:AK536),SUM(Таблица1[[#This Row],[1]:[31]])-Таблица1[[#This Row],[Столбец1]])))</f>
        <v>0</v>
      </c>
      <c r="AN536" s="269">
        <f t="array" ref="AN536">IF(AQ536=1,SUM(J536:K536,P536:Q536,V536:W536,AB536:AC536,AH536:AI536),
IF(AQ536=2,SUM(L536:M536,R536:S536,X536:Y536,AD536:AE536),
IF(AQ536=3,SUM(H536:I536,N536:O536,T536:U536,Z536:AA536,AF536:AG536),
SUM(IFERROR(WEEKDAY($H$2:$AL$2,2)&gt;5,)*H536:AL536))))</f>
        <v>0</v>
      </c>
      <c r="AO536" s="271" t="b">
        <f>IF(AR536&lt;=3,(IF((G536="5/24"),((база!$M$6*Таблица1[[#This Row],[сумма]]*Таблица1[[#This Row],[коэф]])),
IF((G536="4/24"),((база!$M$5*Таблица1[[#This Row],[сумма]]*Таблица1[[#This Row],[коэф]])),
IF((G536="3/24"),((база!$M$4*Таблица1[[#This Row],[сумма]]*Таблица1[[#This Row],[коэф]])),
IF((G536="5/16"),((база!$L$6*Таблица1[[#This Row],[сумма]]*Таблица1[[#This Row],[коэф]])),
IF((G536="4/16"),((база!$L$5*Таблица1[[#This Row],[сумма]]*Таблица1[[#This Row],[коэф]])),
IF((G536="3/16"),((база!$L$4*Таблица1[[#This Row],[сумма]]*Таблица1[[#This Row],[коэф]])),
IF((G536="4/4"),((база!$I$5*Таблица1[[#This Row],[сумма]]*Таблица1[[#This Row],[коэф]])),
IF(OR(G536="2/4",G536="3/4"),((база!$I$4*Таблица1[[#This Row],[сумма]]*Таблица1[[#This Row],[коэф]])),
IF((G536="5/8"),((база!$J$6*Таблица1[[#This Row],[сумма]]*Таблица1[[#This Row],[коэф]])),
IF((G536="4/8"),((база!$J$5*Таблица1[[#This Row],[сумма]]*Таблица1[[#This Row],[коэф]])),
IF(OR(G536="3/8",G536="2/8"),((база!$J$4*Таблица1[[#This Row],[сумма]]*Таблица1[[#This Row],[коэф]])))))))))))))),
(IF((G536="5/24"),((база!$M$6*Таблица1[[#This Row],[сумма]]*Таблица1[[#This Row],[коэф]])),
IF(OR(G536="4/24",G536="3/24"),((база!$M$5*Таблица1[[#This Row],[сумма]]*Таблица1[[#This Row],[коэф]])),
IF((G536="5/16"),((база!$L$6*Таблица1[[#This Row],[сумма]]*Таблица1[[#This Row],[коэф]])),
IF(OR(G536="4/16",G536="3/16"),((база!$L$5*Таблица1[[#This Row],[сумма]]*Таблица1[[#This Row],[коэф]])),
IF(OR(G536="2/4",G536="3/4",G536="4/4"),((база!$I$5*Таблица1[[#This Row],[сумма]]*Таблица1[[#This Row],[коэф]])),
IF((G536="5/8"),((база!$J$6*Таблица1[[#This Row],[сумма]]*Таблица1[[#This Row],[коэф]])),
IF(OR(G536="4/8",G536="3/8",G536="2/8"),((база!$J$5*Таблица1[[#This Row],[сумма]]*Таблица1[[#This Row],[коэф]])))))))))))</f>
        <v>0</v>
      </c>
      <c r="AP536" s="696" t="b">
        <f>IF(AR536&lt;=3,(IF((G536="5/24"),((база!$M$6*2*Таблица1[[#This Row],[Столбец1]]*Таблица1[[#This Row],[коэф]])),
IF((G536="4/24"),((база!$M$5*2*Таблица1[[#This Row],[Столбец1]]*Таблица1[[#This Row],[коэф]])),
IF((G536="3/24"),((база!$M$4*2*Таблица1[[#This Row],[Столбец1]]*Таблица1[[#This Row],[коэф]])),
IF((G536="5/16"),((база!$L$6*2*Таблица1[[#This Row],[Столбец1]]*Таблица1[[#This Row],[коэф]])),
IF((G536="4/16"),((база!$L$5*2*Таблица1[[#This Row],[Столбец1]]*Таблица1[[#This Row],[коэф]])),
IF((G536="3/16"),((база!$L$4*2*Таблица1[[#This Row],[Столбец1]]*Таблица1[[#This Row],[коэф]])),
IF((G536="4/4"),((база!$I$5*2*Таблица1[[#This Row],[Столбец1]]*Таблица1[[#This Row],[коэф]])),
IF(OR(G536="2/4",G536="3/4"),((база!$I$4*2*Таблица1[[#This Row],[Столбец1]]*Таблица1[[#This Row],[коэф]])),
IF((G536="5/8"),((база!$J$6*2*Таблица1[[#This Row],[Столбец1]]*Таблица1[[#This Row],[коэф]])),
IF((G536="4/8"),((база!$J$5*2*Таблица1[[#This Row],[Столбец1]]*Таблица1[[#This Row],[коэф]])),
IF(OR(G536="3/8",G536="2/8"),((база!$J$4*2*Таблица1[[#This Row],[Столбец1]]*Таблица1[[#This Row],[коэф]])))))))))))))),
(IF((G536="5/24"),((база!$M$6*2*Таблица1[[#This Row],[Столбец1]]*Таблица1[[#This Row],[коэф]])),
IF(OR(G536="4/24",G536="3/24"),((база!$M$5*2*Таблица1[[#This Row],[Столбец1]]*Таблица1[[#This Row],[коэф]])),
IF((G536="5/16"),((база!$L$6*2*Таблица1[[#This Row],[Столбец1]]*Таблица1[[#This Row],[коэф]])),
IF(OR(G536="4/16",G536="3/16"),((база!$L$5*2*Таблица1[[#This Row],[Столбец1]]*Таблица1[[#This Row],[коэф]])),
IF(OR(G536="2/4",G536="3/4",G536="4/4"),((база!$I$5*2*Таблица1[[#This Row],[Столбец1]]*Таблица1[[#This Row],[коэф]])),
IF((G536="5/8"),((база!$J$6*2*Таблица1[[#This Row],[Столбец1]]*Таблица1[[#This Row],[коэф]])),
IF(OR(G536="4/8",G536="3/8",G536="2/8"),((база!$J$5*2*Таблица1[[#This Row],[Столбец1]]*Таблица1[[#This Row],[коэф]])))))))))))</f>
        <v>0</v>
      </c>
      <c r="AQ536" s="678" t="str">
        <f>IFERROR(INDEX(база!T:T, MATCH(F536,база!Q:Q,0)),"")</f>
        <v/>
      </c>
      <c r="AR536" s="193">
        <f>IFERROR(INDEX(база!D:D, MATCH(F536,база!B:B,0)),"")</f>
        <v>0</v>
      </c>
    </row>
    <row r="537" spans="1:44" ht="15">
      <c r="A537" s="59"/>
      <c r="B537" s="215"/>
      <c r="C537" s="277"/>
      <c r="D537" s="55"/>
      <c r="E537" s="196"/>
      <c r="F537" s="651"/>
      <c r="G537" s="42"/>
      <c r="H537" s="539"/>
      <c r="I537" s="539"/>
      <c r="J537" s="539"/>
      <c r="K537" s="539"/>
      <c r="L537" s="539"/>
      <c r="M537" s="539"/>
      <c r="N537" s="539"/>
      <c r="O537" s="539"/>
      <c r="P537" s="278"/>
      <c r="Q537" s="539"/>
      <c r="R537" s="539"/>
      <c r="S537" s="539"/>
      <c r="T537" s="539"/>
      <c r="U537" s="539"/>
      <c r="V537" s="539"/>
      <c r="W537" s="539"/>
      <c r="X537" s="539"/>
      <c r="Y537" s="539"/>
      <c r="Z537" s="539"/>
      <c r="AA537" s="539"/>
      <c r="AB537" s="539"/>
      <c r="AC537" s="539"/>
      <c r="AD537" s="43"/>
      <c r="AE537" s="43"/>
      <c r="AF537" s="238"/>
      <c r="AG537" s="43"/>
      <c r="AH537" s="43"/>
      <c r="AI537" s="238"/>
      <c r="AJ537" s="238"/>
      <c r="AK537" s="238"/>
      <c r="AL537" s="238"/>
      <c r="AM537" s="197">
        <f>IF(AQ537=1,SUM(H537:I537,L537:O537,R537:U537,X537:AA537,AD537:AG537,AI537:AK537),
IF(AQ537=2,SUM(H537:K537,N537:Q537,T537:W537,Z537:AC537,AF537:AI537),
IF(AQ537=3,SUM(J537:M537,P537:S537,V537:Y537,AB537:AE537,AH537:AK537),SUM(Таблица1[[#This Row],[1]:[31]])-Таблица1[[#This Row],[Столбец1]])))</f>
        <v>0</v>
      </c>
      <c r="AN537" s="269">
        <f t="array" ref="AN537">IF(AQ537=1,SUM(J537:K537,P537:Q537,V537:W537,AB537:AC537,AH537:AI537),
IF(AQ537=2,SUM(L537:M537,R537:S537,X537:Y537,AD537:AE537),
IF(AQ537=3,SUM(H537:I537,N537:O537,T537:U537,Z537:AA537,AF537:AG537),
SUM(IFERROR(WEEKDAY($H$2:$AL$2,2)&gt;5,)*H537:AL537))))</f>
        <v>0</v>
      </c>
      <c r="AO537" s="271" t="b">
        <f>IF(AR537&lt;=3,(IF((G537="5/24"),((база!$M$6*Таблица1[[#This Row],[сумма]]*Таблица1[[#This Row],[коэф]])),
IF((G537="4/24"),((база!$M$5*Таблица1[[#This Row],[сумма]]*Таблица1[[#This Row],[коэф]])),
IF((G537="3/24"),((база!$M$4*Таблица1[[#This Row],[сумма]]*Таблица1[[#This Row],[коэф]])),
IF((G537="5/16"),((база!$L$6*Таблица1[[#This Row],[сумма]]*Таблица1[[#This Row],[коэф]])),
IF((G537="4/16"),((база!$L$5*Таблица1[[#This Row],[сумма]]*Таблица1[[#This Row],[коэф]])),
IF((G537="3/16"),((база!$L$4*Таблица1[[#This Row],[сумма]]*Таблица1[[#This Row],[коэф]])),
IF((G537="4/4"),((база!$I$5*Таблица1[[#This Row],[сумма]]*Таблица1[[#This Row],[коэф]])),
IF(OR(G537="2/4",G537="3/4"),((база!$I$4*Таблица1[[#This Row],[сумма]]*Таблица1[[#This Row],[коэф]])),
IF((G537="5/8"),((база!$J$6*Таблица1[[#This Row],[сумма]]*Таблица1[[#This Row],[коэф]])),
IF((G537="4/8"),((база!$J$5*Таблица1[[#This Row],[сумма]]*Таблица1[[#This Row],[коэф]])),
IF(OR(G537="3/8",G537="2/8"),((база!$J$4*Таблица1[[#This Row],[сумма]]*Таблица1[[#This Row],[коэф]])))))))))))))),
(IF((G537="5/24"),((база!$M$6*Таблица1[[#This Row],[сумма]]*Таблица1[[#This Row],[коэф]])),
IF(OR(G537="4/24",G537="3/24"),((база!$M$5*Таблица1[[#This Row],[сумма]]*Таблица1[[#This Row],[коэф]])),
IF((G537="5/16"),((база!$L$6*Таблица1[[#This Row],[сумма]]*Таблица1[[#This Row],[коэф]])),
IF(OR(G537="4/16",G537="3/16"),((база!$L$5*Таблица1[[#This Row],[сумма]]*Таблица1[[#This Row],[коэф]])),
IF(OR(G537="2/4",G537="3/4",G537="4/4"),((база!$I$5*Таблица1[[#This Row],[сумма]]*Таблица1[[#This Row],[коэф]])),
IF((G537="5/8"),((база!$J$6*Таблица1[[#This Row],[сумма]]*Таблица1[[#This Row],[коэф]])),
IF(OR(G537="4/8",G537="3/8",G537="2/8"),((база!$J$5*Таблица1[[#This Row],[сумма]]*Таблица1[[#This Row],[коэф]])))))))))))</f>
        <v>0</v>
      </c>
      <c r="AP537" s="696" t="b">
        <f>IF(AR537&lt;=3,(IF((G537="5/24"),((база!$M$6*2*Таблица1[[#This Row],[Столбец1]]*Таблица1[[#This Row],[коэф]])),
IF((G537="4/24"),((база!$M$5*2*Таблица1[[#This Row],[Столбец1]]*Таблица1[[#This Row],[коэф]])),
IF((G537="3/24"),((база!$M$4*2*Таблица1[[#This Row],[Столбец1]]*Таблица1[[#This Row],[коэф]])),
IF((G537="5/16"),((база!$L$6*2*Таблица1[[#This Row],[Столбец1]]*Таблица1[[#This Row],[коэф]])),
IF((G537="4/16"),((база!$L$5*2*Таблица1[[#This Row],[Столбец1]]*Таблица1[[#This Row],[коэф]])),
IF((G537="3/16"),((база!$L$4*2*Таблица1[[#This Row],[Столбец1]]*Таблица1[[#This Row],[коэф]])),
IF((G537="4/4"),((база!$I$5*2*Таблица1[[#This Row],[Столбец1]]*Таблица1[[#This Row],[коэф]])),
IF(OR(G537="2/4",G537="3/4"),((база!$I$4*2*Таблица1[[#This Row],[Столбец1]]*Таблица1[[#This Row],[коэф]])),
IF((G537="5/8"),((база!$J$6*2*Таблица1[[#This Row],[Столбец1]]*Таблица1[[#This Row],[коэф]])),
IF((G537="4/8"),((база!$J$5*2*Таблица1[[#This Row],[Столбец1]]*Таблица1[[#This Row],[коэф]])),
IF(OR(G537="3/8",G537="2/8"),((база!$J$4*2*Таблица1[[#This Row],[Столбец1]]*Таблица1[[#This Row],[коэф]])))))))))))))),
(IF((G537="5/24"),((база!$M$6*2*Таблица1[[#This Row],[Столбец1]]*Таблица1[[#This Row],[коэф]])),
IF(OR(G537="4/24",G537="3/24"),((база!$M$5*2*Таблица1[[#This Row],[Столбец1]]*Таблица1[[#This Row],[коэф]])),
IF((G537="5/16"),((база!$L$6*2*Таблица1[[#This Row],[Столбец1]]*Таблица1[[#This Row],[коэф]])),
IF(OR(G537="4/16",G537="3/16"),((база!$L$5*2*Таблица1[[#This Row],[Столбец1]]*Таблица1[[#This Row],[коэф]])),
IF(OR(G537="2/4",G537="3/4",G537="4/4"),((база!$I$5*2*Таблица1[[#This Row],[Столбец1]]*Таблица1[[#This Row],[коэф]])),
IF((G537="5/8"),((база!$J$6*2*Таблица1[[#This Row],[Столбец1]]*Таблица1[[#This Row],[коэф]])),
IF(OR(G537="4/8",G537="3/8",G537="2/8"),((база!$J$5*2*Таблица1[[#This Row],[Столбец1]]*Таблица1[[#This Row],[коэф]])))))))))))</f>
        <v>0</v>
      </c>
      <c r="AQ537" s="678" t="str">
        <f>IFERROR(INDEX(база!T:T, MATCH(F537,база!Q:Q,0)),"")</f>
        <v/>
      </c>
      <c r="AR537" s="193">
        <f>IFERROR(INDEX(база!D:D, MATCH(F537,база!B:B,0)),"")</f>
        <v>0</v>
      </c>
    </row>
    <row r="538" spans="1:44" ht="15">
      <c r="A538" s="59"/>
      <c r="B538" s="215"/>
      <c r="C538" s="277"/>
      <c r="D538" s="55"/>
      <c r="E538" s="196"/>
      <c r="F538" s="651"/>
      <c r="G538" s="42"/>
      <c r="H538" s="539"/>
      <c r="I538" s="539"/>
      <c r="J538" s="539"/>
      <c r="K538" s="539"/>
      <c r="L538" s="539"/>
      <c r="M538" s="539"/>
      <c r="N538" s="539"/>
      <c r="O538" s="539"/>
      <c r="P538" s="278"/>
      <c r="Q538" s="539"/>
      <c r="R538" s="539"/>
      <c r="S538" s="539"/>
      <c r="T538" s="539"/>
      <c r="U538" s="539"/>
      <c r="V538" s="539"/>
      <c r="W538" s="539"/>
      <c r="X538" s="539"/>
      <c r="Y538" s="539"/>
      <c r="Z538" s="539"/>
      <c r="AA538" s="539"/>
      <c r="AB538" s="539"/>
      <c r="AC538" s="539"/>
      <c r="AD538" s="43"/>
      <c r="AE538" s="43"/>
      <c r="AF538" s="238"/>
      <c r="AG538" s="43"/>
      <c r="AH538" s="43"/>
      <c r="AI538" s="43"/>
      <c r="AJ538" s="43"/>
      <c r="AK538" s="43"/>
      <c r="AL538" s="45"/>
      <c r="AM538" s="197">
        <f>IF(AQ538=1,SUM(H538:I538,L538:O538,R538:U538,X538:AA538,AD538:AG538,AI538:AK538),
IF(AQ538=2,SUM(H538:K538,N538:Q538,T538:W538,Z538:AC538,AF538:AI538),
IF(AQ538=3,SUM(J538:M538,P538:S538,V538:Y538,AB538:AE538,AH538:AK538),SUM(Таблица1[[#This Row],[1]:[31]])-Таблица1[[#This Row],[Столбец1]])))</f>
        <v>0</v>
      </c>
      <c r="AN538" s="269">
        <f t="array" ref="AN538">IF(AQ538=1,SUM(J538:K538,P538:Q538,V538:W538,AB538:AC538,AH538:AI538),
IF(AQ538=2,SUM(L538:M538,R538:S538,X538:Y538,AD538:AE538),
IF(AQ538=3,SUM(H538:I538,N538:O538,T538:U538,Z538:AA538,AF538:AG538),
SUM(IFERROR(WEEKDAY($H$2:$AL$2,2)&gt;5,)*H538:AL538))))</f>
        <v>0</v>
      </c>
      <c r="AO538" s="271" t="b">
        <f>IF(AR538&lt;=3,(IF((G538="5/24"),((база!$M$6*Таблица1[[#This Row],[сумма]]*Таблица1[[#This Row],[коэф]])),
IF((G538="4/24"),((база!$M$5*Таблица1[[#This Row],[сумма]]*Таблица1[[#This Row],[коэф]])),
IF((G538="3/24"),((база!$M$4*Таблица1[[#This Row],[сумма]]*Таблица1[[#This Row],[коэф]])),
IF((G538="5/16"),((база!$L$6*Таблица1[[#This Row],[сумма]]*Таблица1[[#This Row],[коэф]])),
IF((G538="4/16"),((база!$L$5*Таблица1[[#This Row],[сумма]]*Таблица1[[#This Row],[коэф]])),
IF((G538="3/16"),((база!$L$4*Таблица1[[#This Row],[сумма]]*Таблица1[[#This Row],[коэф]])),
IF((G538="4/4"),((база!$I$5*Таблица1[[#This Row],[сумма]]*Таблица1[[#This Row],[коэф]])),
IF(OR(G538="2/4",G538="3/4"),((база!$I$4*Таблица1[[#This Row],[сумма]]*Таблица1[[#This Row],[коэф]])),
IF((G538="5/8"),((база!$J$6*Таблица1[[#This Row],[сумма]]*Таблица1[[#This Row],[коэф]])),
IF((G538="4/8"),((база!$J$5*Таблица1[[#This Row],[сумма]]*Таблица1[[#This Row],[коэф]])),
IF(OR(G538="3/8",G538="2/8"),((база!$J$4*Таблица1[[#This Row],[сумма]]*Таблица1[[#This Row],[коэф]])))))))))))))),
(IF((G538="5/24"),((база!$M$6*Таблица1[[#This Row],[сумма]]*Таблица1[[#This Row],[коэф]])),
IF(OR(G538="4/24",G538="3/24"),((база!$M$5*Таблица1[[#This Row],[сумма]]*Таблица1[[#This Row],[коэф]])),
IF((G538="5/16"),((база!$L$6*Таблица1[[#This Row],[сумма]]*Таблица1[[#This Row],[коэф]])),
IF(OR(G538="4/16",G538="3/16"),((база!$L$5*Таблица1[[#This Row],[сумма]]*Таблица1[[#This Row],[коэф]])),
IF(OR(G538="2/4",G538="3/4",G538="4/4"),((база!$I$5*Таблица1[[#This Row],[сумма]]*Таблица1[[#This Row],[коэф]])),
IF((G538="5/8"),((база!$J$6*Таблица1[[#This Row],[сумма]]*Таблица1[[#This Row],[коэф]])),
IF(OR(G538="4/8",G538="3/8",G538="2/8"),((база!$J$5*Таблица1[[#This Row],[сумма]]*Таблица1[[#This Row],[коэф]])))))))))))</f>
        <v>0</v>
      </c>
      <c r="AP538" s="696" t="b">
        <f>IF(AR538&lt;=3,(IF((G538="5/24"),((база!$M$6*2*Таблица1[[#This Row],[Столбец1]]*Таблица1[[#This Row],[коэф]])),
IF((G538="4/24"),((база!$M$5*2*Таблица1[[#This Row],[Столбец1]]*Таблица1[[#This Row],[коэф]])),
IF((G538="3/24"),((база!$M$4*2*Таблица1[[#This Row],[Столбец1]]*Таблица1[[#This Row],[коэф]])),
IF((G538="5/16"),((база!$L$6*2*Таблица1[[#This Row],[Столбец1]]*Таблица1[[#This Row],[коэф]])),
IF((G538="4/16"),((база!$L$5*2*Таблица1[[#This Row],[Столбец1]]*Таблица1[[#This Row],[коэф]])),
IF((G538="3/16"),((база!$L$4*2*Таблица1[[#This Row],[Столбец1]]*Таблица1[[#This Row],[коэф]])),
IF((G538="4/4"),((база!$I$5*2*Таблица1[[#This Row],[Столбец1]]*Таблица1[[#This Row],[коэф]])),
IF(OR(G538="2/4",G538="3/4"),((база!$I$4*2*Таблица1[[#This Row],[Столбец1]]*Таблица1[[#This Row],[коэф]])),
IF((G538="5/8"),((база!$J$6*2*Таблица1[[#This Row],[Столбец1]]*Таблица1[[#This Row],[коэф]])),
IF((G538="4/8"),((база!$J$5*2*Таблица1[[#This Row],[Столбец1]]*Таблица1[[#This Row],[коэф]])),
IF(OR(G538="3/8",G538="2/8"),((база!$J$4*2*Таблица1[[#This Row],[Столбец1]]*Таблица1[[#This Row],[коэф]])))))))))))))),
(IF((G538="5/24"),((база!$M$6*2*Таблица1[[#This Row],[Столбец1]]*Таблица1[[#This Row],[коэф]])),
IF(OR(G538="4/24",G538="3/24"),((база!$M$5*2*Таблица1[[#This Row],[Столбец1]]*Таблица1[[#This Row],[коэф]])),
IF((G538="5/16"),((база!$L$6*2*Таблица1[[#This Row],[Столбец1]]*Таблица1[[#This Row],[коэф]])),
IF(OR(G538="4/16",G538="3/16"),((база!$L$5*2*Таблица1[[#This Row],[Столбец1]]*Таблица1[[#This Row],[коэф]])),
IF(OR(G538="2/4",G538="3/4",G538="4/4"),((база!$I$5*2*Таблица1[[#This Row],[Столбец1]]*Таблица1[[#This Row],[коэф]])),
IF((G538="5/8"),((база!$J$6*2*Таблица1[[#This Row],[Столбец1]]*Таблица1[[#This Row],[коэф]])),
IF(OR(G538="4/8",G538="3/8",G538="2/8"),((база!$J$5*2*Таблица1[[#This Row],[Столбец1]]*Таблица1[[#This Row],[коэф]])))))))))))</f>
        <v>0</v>
      </c>
      <c r="AQ538" s="678" t="str">
        <f>IFERROR(INDEX(база!T:T, MATCH(F538,база!Q:Q,0)),"")</f>
        <v/>
      </c>
      <c r="AR538" s="193">
        <f>IFERROR(INDEX(база!D:D, MATCH(F538,база!B:B,0)),"")</f>
        <v>0</v>
      </c>
    </row>
    <row r="539" spans="1:44" ht="15">
      <c r="A539" s="59"/>
      <c r="B539" s="215"/>
      <c r="C539" s="277"/>
      <c r="D539" s="55"/>
      <c r="E539" s="196"/>
      <c r="F539" s="651"/>
      <c r="G539" s="42"/>
      <c r="H539" s="539"/>
      <c r="I539" s="539"/>
      <c r="J539" s="539"/>
      <c r="K539" s="539"/>
      <c r="L539" s="539"/>
      <c r="M539" s="539"/>
      <c r="N539" s="539"/>
      <c r="O539" s="539"/>
      <c r="P539" s="278"/>
      <c r="Q539" s="539"/>
      <c r="R539" s="539"/>
      <c r="S539" s="539"/>
      <c r="T539" s="539"/>
      <c r="U539" s="539"/>
      <c r="V539" s="539"/>
      <c r="W539" s="539"/>
      <c r="X539" s="539"/>
      <c r="Y539" s="539"/>
      <c r="Z539" s="539"/>
      <c r="AA539" s="539"/>
      <c r="AB539" s="539"/>
      <c r="AC539" s="539"/>
      <c r="AD539" s="43"/>
      <c r="AE539" s="43"/>
      <c r="AF539" s="238"/>
      <c r="AG539" s="43"/>
      <c r="AH539" s="43"/>
      <c r="AI539" s="238"/>
      <c r="AJ539" s="238"/>
      <c r="AK539" s="238"/>
      <c r="AL539" s="238"/>
      <c r="AM539" s="197">
        <f>IF(AQ539=1,SUM(H539:I539,L539:O539,R539:U539,X539:AA539,AD539:AG539,AI539:AK539),
IF(AQ539=2,SUM(H539:K539,N539:Q539,T539:W539,Z539:AC539,AF539:AI539),
IF(AQ539=3,SUM(J539:M539,P539:S539,V539:Y539,AB539:AE539,AH539:AK539),SUM(Таблица1[[#This Row],[1]:[31]])-Таблица1[[#This Row],[Столбец1]])))</f>
        <v>0</v>
      </c>
      <c r="AN539" s="269">
        <f t="array" ref="AN539">IF(AQ539=1,SUM(J539:K539,P539:Q539,V539:W539,AB539:AC539,AH539:AI539),
IF(AQ539=2,SUM(L539:M539,R539:S539,X539:Y539,AD539:AE539),
IF(AQ539=3,SUM(H539:I539,N539:O539,T539:U539,Z539:AA539,AF539:AG539),
SUM(IFERROR(WEEKDAY($H$2:$AL$2,2)&gt;5,)*H539:AL539))))</f>
        <v>0</v>
      </c>
      <c r="AO539" s="271" t="b">
        <f>IF(AR539&lt;=3,(IF((G539="5/24"),((база!$M$6*Таблица1[[#This Row],[сумма]]*Таблица1[[#This Row],[коэф]])),
IF((G539="4/24"),((база!$M$5*Таблица1[[#This Row],[сумма]]*Таблица1[[#This Row],[коэф]])),
IF((G539="3/24"),((база!$M$4*Таблица1[[#This Row],[сумма]]*Таблица1[[#This Row],[коэф]])),
IF((G539="5/16"),((база!$L$6*Таблица1[[#This Row],[сумма]]*Таблица1[[#This Row],[коэф]])),
IF((G539="4/16"),((база!$L$5*Таблица1[[#This Row],[сумма]]*Таблица1[[#This Row],[коэф]])),
IF((G539="3/16"),((база!$L$4*Таблица1[[#This Row],[сумма]]*Таблица1[[#This Row],[коэф]])),
IF((G539="4/4"),((база!$I$5*Таблица1[[#This Row],[сумма]]*Таблица1[[#This Row],[коэф]])),
IF(OR(G539="2/4",G539="3/4"),((база!$I$4*Таблица1[[#This Row],[сумма]]*Таблица1[[#This Row],[коэф]])),
IF((G539="5/8"),((база!$J$6*Таблица1[[#This Row],[сумма]]*Таблица1[[#This Row],[коэф]])),
IF((G539="4/8"),((база!$J$5*Таблица1[[#This Row],[сумма]]*Таблица1[[#This Row],[коэф]])),
IF(OR(G539="3/8",G539="2/8"),((база!$J$4*Таблица1[[#This Row],[сумма]]*Таблица1[[#This Row],[коэф]])))))))))))))),
(IF((G539="5/24"),((база!$M$6*Таблица1[[#This Row],[сумма]]*Таблица1[[#This Row],[коэф]])),
IF(OR(G539="4/24",G539="3/24"),((база!$M$5*Таблица1[[#This Row],[сумма]]*Таблица1[[#This Row],[коэф]])),
IF((G539="5/16"),((база!$L$6*Таблица1[[#This Row],[сумма]]*Таблица1[[#This Row],[коэф]])),
IF(OR(G539="4/16",G539="3/16"),((база!$L$5*Таблица1[[#This Row],[сумма]]*Таблица1[[#This Row],[коэф]])),
IF(OR(G539="2/4",G539="3/4",G539="4/4"),((база!$I$5*Таблица1[[#This Row],[сумма]]*Таблица1[[#This Row],[коэф]])),
IF((G539="5/8"),((база!$J$6*Таблица1[[#This Row],[сумма]]*Таблица1[[#This Row],[коэф]])),
IF(OR(G539="4/8",G539="3/8",G539="2/8"),((база!$J$5*Таблица1[[#This Row],[сумма]]*Таблица1[[#This Row],[коэф]])))))))))))</f>
        <v>0</v>
      </c>
      <c r="AP539" s="696" t="b">
        <f>IF(AR539&lt;=3,(IF((G539="5/24"),((база!$M$6*2*Таблица1[[#This Row],[Столбец1]]*Таблица1[[#This Row],[коэф]])),
IF((G539="4/24"),((база!$M$5*2*Таблица1[[#This Row],[Столбец1]]*Таблица1[[#This Row],[коэф]])),
IF((G539="3/24"),((база!$M$4*2*Таблица1[[#This Row],[Столбец1]]*Таблица1[[#This Row],[коэф]])),
IF((G539="5/16"),((база!$L$6*2*Таблица1[[#This Row],[Столбец1]]*Таблица1[[#This Row],[коэф]])),
IF((G539="4/16"),((база!$L$5*2*Таблица1[[#This Row],[Столбец1]]*Таблица1[[#This Row],[коэф]])),
IF((G539="3/16"),((база!$L$4*2*Таблица1[[#This Row],[Столбец1]]*Таблица1[[#This Row],[коэф]])),
IF((G539="4/4"),((база!$I$5*2*Таблица1[[#This Row],[Столбец1]]*Таблица1[[#This Row],[коэф]])),
IF(OR(G539="2/4",G539="3/4"),((база!$I$4*2*Таблица1[[#This Row],[Столбец1]]*Таблица1[[#This Row],[коэф]])),
IF((G539="5/8"),((база!$J$6*2*Таблица1[[#This Row],[Столбец1]]*Таблица1[[#This Row],[коэф]])),
IF((G539="4/8"),((база!$J$5*2*Таблица1[[#This Row],[Столбец1]]*Таблица1[[#This Row],[коэф]])),
IF(OR(G539="3/8",G539="2/8"),((база!$J$4*2*Таблица1[[#This Row],[Столбец1]]*Таблица1[[#This Row],[коэф]])))))))))))))),
(IF((G539="5/24"),((база!$M$6*2*Таблица1[[#This Row],[Столбец1]]*Таблица1[[#This Row],[коэф]])),
IF(OR(G539="4/24",G539="3/24"),((база!$M$5*2*Таблица1[[#This Row],[Столбец1]]*Таблица1[[#This Row],[коэф]])),
IF((G539="5/16"),((база!$L$6*2*Таблица1[[#This Row],[Столбец1]]*Таблица1[[#This Row],[коэф]])),
IF(OR(G539="4/16",G539="3/16"),((база!$L$5*2*Таблица1[[#This Row],[Столбец1]]*Таблица1[[#This Row],[коэф]])),
IF(OR(G539="2/4",G539="3/4",G539="4/4"),((база!$I$5*2*Таблица1[[#This Row],[Столбец1]]*Таблица1[[#This Row],[коэф]])),
IF((G539="5/8"),((база!$J$6*2*Таблица1[[#This Row],[Столбец1]]*Таблица1[[#This Row],[коэф]])),
IF(OR(G539="4/8",G539="3/8",G539="2/8"),((база!$J$5*2*Таблица1[[#This Row],[Столбец1]]*Таблица1[[#This Row],[коэф]])))))))))))</f>
        <v>0</v>
      </c>
      <c r="AQ539" s="678" t="str">
        <f>IFERROR(INDEX(база!T:T, MATCH(F539,база!Q:Q,0)),"")</f>
        <v/>
      </c>
      <c r="AR539" s="193">
        <f>IFERROR(INDEX(база!D:D, MATCH(F539,база!B:B,0)),"")</f>
        <v>0</v>
      </c>
    </row>
    <row r="540" spans="1:44" ht="15">
      <c r="A540" s="59"/>
      <c r="B540" s="215"/>
      <c r="C540" s="277"/>
      <c r="D540" s="55"/>
      <c r="E540" s="196"/>
      <c r="F540" s="651"/>
      <c r="G540" s="42"/>
      <c r="H540" s="539"/>
      <c r="I540" s="539"/>
      <c r="J540" s="539"/>
      <c r="K540" s="539"/>
      <c r="L540" s="539"/>
      <c r="M540" s="539"/>
      <c r="N540" s="539"/>
      <c r="O540" s="539"/>
      <c r="P540" s="278"/>
      <c r="Q540" s="539"/>
      <c r="R540" s="539"/>
      <c r="S540" s="539"/>
      <c r="T540" s="539"/>
      <c r="U540" s="539"/>
      <c r="V540" s="539"/>
      <c r="W540" s="539"/>
      <c r="X540" s="539"/>
      <c r="Y540" s="539"/>
      <c r="Z540" s="539"/>
      <c r="AA540" s="539"/>
      <c r="AB540" s="539"/>
      <c r="AC540" s="539"/>
      <c r="AD540" s="43"/>
      <c r="AE540" s="43"/>
      <c r="AF540" s="238"/>
      <c r="AG540" s="43"/>
      <c r="AH540" s="43"/>
      <c r="AI540" s="43"/>
      <c r="AJ540" s="43"/>
      <c r="AK540" s="43"/>
      <c r="AL540" s="45"/>
      <c r="AM540" s="197">
        <f>IF(AQ540=1,SUM(H540:I540,L540:O540,R540:U540,X540:AA540,AD540:AG540,AI540:AK540),
IF(AQ540=2,SUM(H540:K540,N540:Q540,T540:W540,Z540:AC540,AF540:AI540),
IF(AQ540=3,SUM(J540:M540,P540:S540,V540:Y540,AB540:AE540,AH540:AK540),SUM(Таблица1[[#This Row],[1]:[31]])-Таблица1[[#This Row],[Столбец1]])))</f>
        <v>0</v>
      </c>
      <c r="AN540" s="269">
        <f t="array" ref="AN540">IF(AQ540=1,SUM(J540:K540,P540:Q540,V540:W540,AB540:AC540,AH540:AI540),
IF(AQ540=2,SUM(L540:M540,R540:S540,X540:Y540,AD540:AE540),
IF(AQ540=3,SUM(H540:I540,N540:O540,T540:U540,Z540:AA540,AF540:AG540),
SUM(IFERROR(WEEKDAY($H$2:$AL$2,2)&gt;5,)*H540:AL540))))</f>
        <v>0</v>
      </c>
      <c r="AO540" s="271" t="b">
        <f>IF(AR540&lt;=3,(IF((G540="5/24"),((база!$M$6*Таблица1[[#This Row],[сумма]]*Таблица1[[#This Row],[коэф]])),
IF((G540="4/24"),((база!$M$5*Таблица1[[#This Row],[сумма]]*Таблица1[[#This Row],[коэф]])),
IF((G540="3/24"),((база!$M$4*Таблица1[[#This Row],[сумма]]*Таблица1[[#This Row],[коэф]])),
IF((G540="5/16"),((база!$L$6*Таблица1[[#This Row],[сумма]]*Таблица1[[#This Row],[коэф]])),
IF((G540="4/16"),((база!$L$5*Таблица1[[#This Row],[сумма]]*Таблица1[[#This Row],[коэф]])),
IF((G540="3/16"),((база!$L$4*Таблица1[[#This Row],[сумма]]*Таблица1[[#This Row],[коэф]])),
IF((G540="4/4"),((база!$I$5*Таблица1[[#This Row],[сумма]]*Таблица1[[#This Row],[коэф]])),
IF(OR(G540="2/4",G540="3/4"),((база!$I$4*Таблица1[[#This Row],[сумма]]*Таблица1[[#This Row],[коэф]])),
IF((G540="5/8"),((база!$J$6*Таблица1[[#This Row],[сумма]]*Таблица1[[#This Row],[коэф]])),
IF((G540="4/8"),((база!$J$5*Таблица1[[#This Row],[сумма]]*Таблица1[[#This Row],[коэф]])),
IF(OR(G540="3/8",G540="2/8"),((база!$J$4*Таблица1[[#This Row],[сумма]]*Таблица1[[#This Row],[коэф]])))))))))))))),
(IF((G540="5/24"),((база!$M$6*Таблица1[[#This Row],[сумма]]*Таблица1[[#This Row],[коэф]])),
IF(OR(G540="4/24",G540="3/24"),((база!$M$5*Таблица1[[#This Row],[сумма]]*Таблица1[[#This Row],[коэф]])),
IF((G540="5/16"),((база!$L$6*Таблица1[[#This Row],[сумма]]*Таблица1[[#This Row],[коэф]])),
IF(OR(G540="4/16",G540="3/16"),((база!$L$5*Таблица1[[#This Row],[сумма]]*Таблица1[[#This Row],[коэф]])),
IF(OR(G540="2/4",G540="3/4",G540="4/4"),((база!$I$5*Таблица1[[#This Row],[сумма]]*Таблица1[[#This Row],[коэф]])),
IF((G540="5/8"),((база!$J$6*Таблица1[[#This Row],[сумма]]*Таблица1[[#This Row],[коэф]])),
IF(OR(G540="4/8",G540="3/8",G540="2/8"),((база!$J$5*Таблица1[[#This Row],[сумма]]*Таблица1[[#This Row],[коэф]])))))))))))</f>
        <v>0</v>
      </c>
      <c r="AP540" s="696" t="b">
        <f>IF(AR540&lt;=3,(IF((G540="5/24"),((база!$M$6*2*Таблица1[[#This Row],[Столбец1]]*Таблица1[[#This Row],[коэф]])),
IF((G540="4/24"),((база!$M$5*2*Таблица1[[#This Row],[Столбец1]]*Таблица1[[#This Row],[коэф]])),
IF((G540="3/24"),((база!$M$4*2*Таблица1[[#This Row],[Столбец1]]*Таблица1[[#This Row],[коэф]])),
IF((G540="5/16"),((база!$L$6*2*Таблица1[[#This Row],[Столбец1]]*Таблица1[[#This Row],[коэф]])),
IF((G540="4/16"),((база!$L$5*2*Таблица1[[#This Row],[Столбец1]]*Таблица1[[#This Row],[коэф]])),
IF((G540="3/16"),((база!$L$4*2*Таблица1[[#This Row],[Столбец1]]*Таблица1[[#This Row],[коэф]])),
IF((G540="4/4"),((база!$I$5*2*Таблица1[[#This Row],[Столбец1]]*Таблица1[[#This Row],[коэф]])),
IF(OR(G540="2/4",G540="3/4"),((база!$I$4*2*Таблица1[[#This Row],[Столбец1]]*Таблица1[[#This Row],[коэф]])),
IF((G540="5/8"),((база!$J$6*2*Таблица1[[#This Row],[Столбец1]]*Таблица1[[#This Row],[коэф]])),
IF((G540="4/8"),((база!$J$5*2*Таблица1[[#This Row],[Столбец1]]*Таблица1[[#This Row],[коэф]])),
IF(OR(G540="3/8",G540="2/8"),((база!$J$4*2*Таблица1[[#This Row],[Столбец1]]*Таблица1[[#This Row],[коэф]])))))))))))))),
(IF((G540="5/24"),((база!$M$6*2*Таблица1[[#This Row],[Столбец1]]*Таблица1[[#This Row],[коэф]])),
IF(OR(G540="4/24",G540="3/24"),((база!$M$5*2*Таблица1[[#This Row],[Столбец1]]*Таблица1[[#This Row],[коэф]])),
IF((G540="5/16"),((база!$L$6*2*Таблица1[[#This Row],[Столбец1]]*Таблица1[[#This Row],[коэф]])),
IF(OR(G540="4/16",G540="3/16"),((база!$L$5*2*Таблица1[[#This Row],[Столбец1]]*Таблица1[[#This Row],[коэф]])),
IF(OR(G540="2/4",G540="3/4",G540="4/4"),((база!$I$5*2*Таблица1[[#This Row],[Столбец1]]*Таблица1[[#This Row],[коэф]])),
IF((G540="5/8"),((база!$J$6*2*Таблица1[[#This Row],[Столбец1]]*Таблица1[[#This Row],[коэф]])),
IF(OR(G540="4/8",G540="3/8",G540="2/8"),((база!$J$5*2*Таблица1[[#This Row],[Столбец1]]*Таблица1[[#This Row],[коэф]])))))))))))</f>
        <v>0</v>
      </c>
      <c r="AQ540" s="678" t="str">
        <f>IFERROR(INDEX(база!T:T, MATCH(F540,база!Q:Q,0)),"")</f>
        <v/>
      </c>
      <c r="AR540" s="193">
        <f>IFERROR(INDEX(база!D:D, MATCH(F540,база!B:B,0)),"")</f>
        <v>0</v>
      </c>
    </row>
    <row r="541" spans="1:44" ht="15">
      <c r="A541" s="59"/>
      <c r="B541" s="215"/>
      <c r="C541" s="277"/>
      <c r="D541" s="55"/>
      <c r="E541" s="196"/>
      <c r="F541" s="651"/>
      <c r="G541" s="42"/>
      <c r="H541" s="539"/>
      <c r="I541" s="539"/>
      <c r="J541" s="539"/>
      <c r="K541" s="539"/>
      <c r="L541" s="539"/>
      <c r="M541" s="539"/>
      <c r="N541" s="539"/>
      <c r="O541" s="539"/>
      <c r="P541" s="278"/>
      <c r="Q541" s="539"/>
      <c r="R541" s="539"/>
      <c r="S541" s="539"/>
      <c r="T541" s="539"/>
      <c r="U541" s="539"/>
      <c r="V541" s="539"/>
      <c r="W541" s="539"/>
      <c r="X541" s="539"/>
      <c r="Y541" s="539"/>
      <c r="Z541" s="539"/>
      <c r="AA541" s="539"/>
      <c r="AB541" s="539"/>
      <c r="AC541" s="539"/>
      <c r="AD541" s="43"/>
      <c r="AE541" s="43"/>
      <c r="AF541" s="238"/>
      <c r="AG541" s="43"/>
      <c r="AH541" s="43"/>
      <c r="AI541" s="238"/>
      <c r="AJ541" s="238"/>
      <c r="AK541" s="238"/>
      <c r="AL541" s="238"/>
      <c r="AM541" s="197">
        <f>IF(AQ541=1,SUM(H541:I541,L541:O541,R541:U541,X541:AA541,AD541:AG541,AI541:AK541),
IF(AQ541=2,SUM(H541:K541,N541:Q541,T541:W541,Z541:AC541,AF541:AI541),
IF(AQ541=3,SUM(J541:M541,P541:S541,V541:Y541,AB541:AE541,AH541:AK541),SUM(Таблица1[[#This Row],[1]:[31]])-Таблица1[[#This Row],[Столбец1]])))</f>
        <v>0</v>
      </c>
      <c r="AN541" s="269">
        <f t="array" ref="AN541">IF(AQ541=1,SUM(J541:K541,P541:Q541,V541:W541,AB541:AC541,AH541:AI541),
IF(AQ541=2,SUM(L541:M541,R541:S541,X541:Y541,AD541:AE541),
IF(AQ541=3,SUM(H541:I541,N541:O541,T541:U541,Z541:AA541,AF541:AG541),
SUM(IFERROR(WEEKDAY($H$2:$AL$2,2)&gt;5,)*H541:AL541))))</f>
        <v>0</v>
      </c>
      <c r="AO541" s="271" t="b">
        <f>IF(AR541&lt;=3,(IF((G541="5/24"),((база!$M$6*Таблица1[[#This Row],[сумма]]*Таблица1[[#This Row],[коэф]])),
IF((G541="4/24"),((база!$M$5*Таблица1[[#This Row],[сумма]]*Таблица1[[#This Row],[коэф]])),
IF((G541="3/24"),((база!$M$4*Таблица1[[#This Row],[сумма]]*Таблица1[[#This Row],[коэф]])),
IF((G541="5/16"),((база!$L$6*Таблица1[[#This Row],[сумма]]*Таблица1[[#This Row],[коэф]])),
IF((G541="4/16"),((база!$L$5*Таблица1[[#This Row],[сумма]]*Таблица1[[#This Row],[коэф]])),
IF((G541="3/16"),((база!$L$4*Таблица1[[#This Row],[сумма]]*Таблица1[[#This Row],[коэф]])),
IF((G541="4/4"),((база!$I$5*Таблица1[[#This Row],[сумма]]*Таблица1[[#This Row],[коэф]])),
IF(OR(G541="2/4",G541="3/4"),((база!$I$4*Таблица1[[#This Row],[сумма]]*Таблица1[[#This Row],[коэф]])),
IF((G541="5/8"),((база!$J$6*Таблица1[[#This Row],[сумма]]*Таблица1[[#This Row],[коэф]])),
IF((G541="4/8"),((база!$J$5*Таблица1[[#This Row],[сумма]]*Таблица1[[#This Row],[коэф]])),
IF(OR(G541="3/8",G541="2/8"),((база!$J$4*Таблица1[[#This Row],[сумма]]*Таблица1[[#This Row],[коэф]])))))))))))))),
(IF((G541="5/24"),((база!$M$6*Таблица1[[#This Row],[сумма]]*Таблица1[[#This Row],[коэф]])),
IF(OR(G541="4/24",G541="3/24"),((база!$M$5*Таблица1[[#This Row],[сумма]]*Таблица1[[#This Row],[коэф]])),
IF((G541="5/16"),((база!$L$6*Таблица1[[#This Row],[сумма]]*Таблица1[[#This Row],[коэф]])),
IF(OR(G541="4/16",G541="3/16"),((база!$L$5*Таблица1[[#This Row],[сумма]]*Таблица1[[#This Row],[коэф]])),
IF(OR(G541="2/4",G541="3/4",G541="4/4"),((база!$I$5*Таблица1[[#This Row],[сумма]]*Таблица1[[#This Row],[коэф]])),
IF((G541="5/8"),((база!$J$6*Таблица1[[#This Row],[сумма]]*Таблица1[[#This Row],[коэф]])),
IF(OR(G541="4/8",G541="3/8",G541="2/8"),((база!$J$5*Таблица1[[#This Row],[сумма]]*Таблица1[[#This Row],[коэф]])))))))))))</f>
        <v>0</v>
      </c>
      <c r="AP541" s="696" t="b">
        <f>IF(AR541&lt;=3,(IF((G541="5/24"),((база!$M$6*2*Таблица1[[#This Row],[Столбец1]]*Таблица1[[#This Row],[коэф]])),
IF((G541="4/24"),((база!$M$5*2*Таблица1[[#This Row],[Столбец1]]*Таблица1[[#This Row],[коэф]])),
IF((G541="3/24"),((база!$M$4*2*Таблица1[[#This Row],[Столбец1]]*Таблица1[[#This Row],[коэф]])),
IF((G541="5/16"),((база!$L$6*2*Таблица1[[#This Row],[Столбец1]]*Таблица1[[#This Row],[коэф]])),
IF((G541="4/16"),((база!$L$5*2*Таблица1[[#This Row],[Столбец1]]*Таблица1[[#This Row],[коэф]])),
IF((G541="3/16"),((база!$L$4*2*Таблица1[[#This Row],[Столбец1]]*Таблица1[[#This Row],[коэф]])),
IF((G541="4/4"),((база!$I$5*2*Таблица1[[#This Row],[Столбец1]]*Таблица1[[#This Row],[коэф]])),
IF(OR(G541="2/4",G541="3/4"),((база!$I$4*2*Таблица1[[#This Row],[Столбец1]]*Таблица1[[#This Row],[коэф]])),
IF((G541="5/8"),((база!$J$6*2*Таблица1[[#This Row],[Столбец1]]*Таблица1[[#This Row],[коэф]])),
IF((G541="4/8"),((база!$J$5*2*Таблица1[[#This Row],[Столбец1]]*Таблица1[[#This Row],[коэф]])),
IF(OR(G541="3/8",G541="2/8"),((база!$J$4*2*Таблица1[[#This Row],[Столбец1]]*Таблица1[[#This Row],[коэф]])))))))))))))),
(IF((G541="5/24"),((база!$M$6*2*Таблица1[[#This Row],[Столбец1]]*Таблица1[[#This Row],[коэф]])),
IF(OR(G541="4/24",G541="3/24"),((база!$M$5*2*Таблица1[[#This Row],[Столбец1]]*Таблица1[[#This Row],[коэф]])),
IF((G541="5/16"),((база!$L$6*2*Таблица1[[#This Row],[Столбец1]]*Таблица1[[#This Row],[коэф]])),
IF(OR(G541="4/16",G541="3/16"),((база!$L$5*2*Таблица1[[#This Row],[Столбец1]]*Таблица1[[#This Row],[коэф]])),
IF(OR(G541="2/4",G541="3/4",G541="4/4"),((база!$I$5*2*Таблица1[[#This Row],[Столбец1]]*Таблица1[[#This Row],[коэф]])),
IF((G541="5/8"),((база!$J$6*2*Таблица1[[#This Row],[Столбец1]]*Таблица1[[#This Row],[коэф]])),
IF(OR(G541="4/8",G541="3/8",G541="2/8"),((база!$J$5*2*Таблица1[[#This Row],[Столбец1]]*Таблица1[[#This Row],[коэф]])))))))))))</f>
        <v>0</v>
      </c>
      <c r="AQ541" s="678" t="str">
        <f>IFERROR(INDEX(база!T:T, MATCH(F541,база!Q:Q,0)),"")</f>
        <v/>
      </c>
      <c r="AR541" s="193">
        <f>IFERROR(INDEX(база!D:D, MATCH(F541,база!B:B,0)),"")</f>
        <v>0</v>
      </c>
    </row>
    <row r="542" spans="1:44" ht="15">
      <c r="A542" s="59"/>
      <c r="B542" s="215"/>
      <c r="C542" s="277"/>
      <c r="D542" s="55"/>
      <c r="E542" s="196"/>
      <c r="F542" s="651"/>
      <c r="G542" s="42"/>
      <c r="H542" s="539"/>
      <c r="I542" s="539"/>
      <c r="J542" s="539"/>
      <c r="K542" s="539"/>
      <c r="L542" s="539"/>
      <c r="M542" s="539"/>
      <c r="N542" s="539"/>
      <c r="O542" s="539"/>
      <c r="P542" s="278"/>
      <c r="Q542" s="539"/>
      <c r="R542" s="539"/>
      <c r="S542" s="539"/>
      <c r="T542" s="539"/>
      <c r="U542" s="539"/>
      <c r="V542" s="539"/>
      <c r="W542" s="539"/>
      <c r="X542" s="539"/>
      <c r="Y542" s="539"/>
      <c r="Z542" s="539"/>
      <c r="AA542" s="539"/>
      <c r="AB542" s="539"/>
      <c r="AC542" s="539"/>
      <c r="AD542" s="43"/>
      <c r="AE542" s="43"/>
      <c r="AF542" s="238"/>
      <c r="AG542" s="43"/>
      <c r="AH542" s="43"/>
      <c r="AI542" s="43"/>
      <c r="AJ542" s="43"/>
      <c r="AK542" s="43"/>
      <c r="AL542" s="45"/>
      <c r="AM542" s="197">
        <f>IF(AQ542=1,SUM(H542:I542,L542:O542,R542:U542,X542:AA542,AD542:AG542,AI542:AK542),
IF(AQ542=2,SUM(H542:K542,N542:Q542,T542:W542,Z542:AC542,AF542:AI542),
IF(AQ542=3,SUM(J542:M542,P542:S542,V542:Y542,AB542:AE542,AH542:AK542),SUM(Таблица1[[#This Row],[1]:[31]])-Таблица1[[#This Row],[Столбец1]])))</f>
        <v>0</v>
      </c>
      <c r="AN542" s="269">
        <f t="array" ref="AN542">IF(AQ542=1,SUM(J542:K542,P542:Q542,V542:W542,AB542:AC542,AH542:AI542),
IF(AQ542=2,SUM(L542:M542,R542:S542,X542:Y542,AD542:AE542),
IF(AQ542=3,SUM(H542:I542,N542:O542,T542:U542,Z542:AA542,AF542:AG542),
SUM(IFERROR(WEEKDAY($H$2:$AL$2,2)&gt;5,)*H542:AL542))))</f>
        <v>0</v>
      </c>
      <c r="AO542" s="271" t="b">
        <f>IF(AR542&lt;=3,(IF((G542="5/24"),((база!$M$6*Таблица1[[#This Row],[сумма]]*Таблица1[[#This Row],[коэф]])),
IF((G542="4/24"),((база!$M$5*Таблица1[[#This Row],[сумма]]*Таблица1[[#This Row],[коэф]])),
IF((G542="3/24"),((база!$M$4*Таблица1[[#This Row],[сумма]]*Таблица1[[#This Row],[коэф]])),
IF((G542="5/16"),((база!$L$6*Таблица1[[#This Row],[сумма]]*Таблица1[[#This Row],[коэф]])),
IF((G542="4/16"),((база!$L$5*Таблица1[[#This Row],[сумма]]*Таблица1[[#This Row],[коэф]])),
IF((G542="3/16"),((база!$L$4*Таблица1[[#This Row],[сумма]]*Таблица1[[#This Row],[коэф]])),
IF((G542="4/4"),((база!$I$5*Таблица1[[#This Row],[сумма]]*Таблица1[[#This Row],[коэф]])),
IF(OR(G542="2/4",G542="3/4"),((база!$I$4*Таблица1[[#This Row],[сумма]]*Таблица1[[#This Row],[коэф]])),
IF((G542="5/8"),((база!$J$6*Таблица1[[#This Row],[сумма]]*Таблица1[[#This Row],[коэф]])),
IF((G542="4/8"),((база!$J$5*Таблица1[[#This Row],[сумма]]*Таблица1[[#This Row],[коэф]])),
IF(OR(G542="3/8",G542="2/8"),((база!$J$4*Таблица1[[#This Row],[сумма]]*Таблица1[[#This Row],[коэф]])))))))))))))),
(IF((G542="5/24"),((база!$M$6*Таблица1[[#This Row],[сумма]]*Таблица1[[#This Row],[коэф]])),
IF(OR(G542="4/24",G542="3/24"),((база!$M$5*Таблица1[[#This Row],[сумма]]*Таблица1[[#This Row],[коэф]])),
IF((G542="5/16"),((база!$L$6*Таблица1[[#This Row],[сумма]]*Таблица1[[#This Row],[коэф]])),
IF(OR(G542="4/16",G542="3/16"),((база!$L$5*Таблица1[[#This Row],[сумма]]*Таблица1[[#This Row],[коэф]])),
IF(OR(G542="2/4",G542="3/4",G542="4/4"),((база!$I$5*Таблица1[[#This Row],[сумма]]*Таблица1[[#This Row],[коэф]])),
IF((G542="5/8"),((база!$J$6*Таблица1[[#This Row],[сумма]]*Таблица1[[#This Row],[коэф]])),
IF(OR(G542="4/8",G542="3/8",G542="2/8"),((база!$J$5*Таблица1[[#This Row],[сумма]]*Таблица1[[#This Row],[коэф]])))))))))))</f>
        <v>0</v>
      </c>
      <c r="AP542" s="696" t="b">
        <f>IF(AR542&lt;=3,(IF((G542="5/24"),((база!$M$6*2*Таблица1[[#This Row],[Столбец1]]*Таблица1[[#This Row],[коэф]])),
IF((G542="4/24"),((база!$M$5*2*Таблица1[[#This Row],[Столбец1]]*Таблица1[[#This Row],[коэф]])),
IF((G542="3/24"),((база!$M$4*2*Таблица1[[#This Row],[Столбец1]]*Таблица1[[#This Row],[коэф]])),
IF((G542="5/16"),((база!$L$6*2*Таблица1[[#This Row],[Столбец1]]*Таблица1[[#This Row],[коэф]])),
IF((G542="4/16"),((база!$L$5*2*Таблица1[[#This Row],[Столбец1]]*Таблица1[[#This Row],[коэф]])),
IF((G542="3/16"),((база!$L$4*2*Таблица1[[#This Row],[Столбец1]]*Таблица1[[#This Row],[коэф]])),
IF((G542="4/4"),((база!$I$5*2*Таблица1[[#This Row],[Столбец1]]*Таблица1[[#This Row],[коэф]])),
IF(OR(G542="2/4",G542="3/4"),((база!$I$4*2*Таблица1[[#This Row],[Столбец1]]*Таблица1[[#This Row],[коэф]])),
IF((G542="5/8"),((база!$J$6*2*Таблица1[[#This Row],[Столбец1]]*Таблица1[[#This Row],[коэф]])),
IF((G542="4/8"),((база!$J$5*2*Таблица1[[#This Row],[Столбец1]]*Таблица1[[#This Row],[коэф]])),
IF(OR(G542="3/8",G542="2/8"),((база!$J$4*2*Таблица1[[#This Row],[Столбец1]]*Таблица1[[#This Row],[коэф]])))))))))))))),
(IF((G542="5/24"),((база!$M$6*2*Таблица1[[#This Row],[Столбец1]]*Таблица1[[#This Row],[коэф]])),
IF(OR(G542="4/24",G542="3/24"),((база!$M$5*2*Таблица1[[#This Row],[Столбец1]]*Таблица1[[#This Row],[коэф]])),
IF((G542="5/16"),((база!$L$6*2*Таблица1[[#This Row],[Столбец1]]*Таблица1[[#This Row],[коэф]])),
IF(OR(G542="4/16",G542="3/16"),((база!$L$5*2*Таблица1[[#This Row],[Столбец1]]*Таблица1[[#This Row],[коэф]])),
IF(OR(G542="2/4",G542="3/4",G542="4/4"),((база!$I$5*2*Таблица1[[#This Row],[Столбец1]]*Таблица1[[#This Row],[коэф]])),
IF((G542="5/8"),((база!$J$6*2*Таблица1[[#This Row],[Столбец1]]*Таблица1[[#This Row],[коэф]])),
IF(OR(G542="4/8",G542="3/8",G542="2/8"),((база!$J$5*2*Таблица1[[#This Row],[Столбец1]]*Таблица1[[#This Row],[коэф]])))))))))))</f>
        <v>0</v>
      </c>
      <c r="AQ542" s="678" t="str">
        <f>IFERROR(INDEX(база!T:T, MATCH(F542,база!Q:Q,0)),"")</f>
        <v/>
      </c>
      <c r="AR542" s="193">
        <f>IFERROR(INDEX(база!D:D, MATCH(F542,база!B:B,0)),"")</f>
        <v>0</v>
      </c>
    </row>
    <row r="543" spans="1:44" ht="15">
      <c r="A543" s="59"/>
      <c r="B543" s="215"/>
      <c r="C543" s="277"/>
      <c r="D543" s="55"/>
      <c r="E543" s="196"/>
      <c r="F543" s="651"/>
      <c r="G543" s="42"/>
      <c r="H543" s="539"/>
      <c r="I543" s="539"/>
      <c r="J543" s="539"/>
      <c r="K543" s="539"/>
      <c r="L543" s="539"/>
      <c r="M543" s="539"/>
      <c r="N543" s="539"/>
      <c r="O543" s="539"/>
      <c r="P543" s="278"/>
      <c r="Q543" s="539"/>
      <c r="R543" s="539"/>
      <c r="S543" s="539"/>
      <c r="T543" s="539"/>
      <c r="U543" s="539"/>
      <c r="V543" s="539"/>
      <c r="W543" s="539"/>
      <c r="X543" s="539"/>
      <c r="Y543" s="539"/>
      <c r="Z543" s="539"/>
      <c r="AA543" s="539"/>
      <c r="AB543" s="539"/>
      <c r="AC543" s="539"/>
      <c r="AD543" s="43"/>
      <c r="AE543" s="43"/>
      <c r="AF543" s="238"/>
      <c r="AG543" s="43"/>
      <c r="AH543" s="43"/>
      <c r="AI543" s="238"/>
      <c r="AJ543" s="238"/>
      <c r="AK543" s="238"/>
      <c r="AL543" s="238"/>
      <c r="AM543" s="197">
        <f>IF(AQ543=1,SUM(H543:I543,L543:O543,R543:U543,X543:AA543,AD543:AG543,AI543:AK543),
IF(AQ543=2,SUM(H543:K543,N543:Q543,T543:W543,Z543:AC543,AF543:AI543),
IF(AQ543=3,SUM(J543:M543,P543:S543,V543:Y543,AB543:AE543,AH543:AK543),SUM(Таблица1[[#This Row],[1]:[31]])-Таблица1[[#This Row],[Столбец1]])))</f>
        <v>0</v>
      </c>
      <c r="AN543" s="269">
        <f t="array" ref="AN543">IF(AQ543=1,SUM(J543:K543,P543:Q543,V543:W543,AB543:AC543,AH543:AI543),
IF(AQ543=2,SUM(L543:M543,R543:S543,X543:Y543,AD543:AE543),
IF(AQ543=3,SUM(H543:I543,N543:O543,T543:U543,Z543:AA543,AF543:AG543),
SUM(IFERROR(WEEKDAY($H$2:$AL$2,2)&gt;5,)*H543:AL543))))</f>
        <v>0</v>
      </c>
      <c r="AO543" s="271" t="b">
        <f>IF(AR543&lt;=3,(IF((G543="5/24"),((база!$M$6*Таблица1[[#This Row],[сумма]]*Таблица1[[#This Row],[коэф]])),
IF((G543="4/24"),((база!$M$5*Таблица1[[#This Row],[сумма]]*Таблица1[[#This Row],[коэф]])),
IF((G543="3/24"),((база!$M$4*Таблица1[[#This Row],[сумма]]*Таблица1[[#This Row],[коэф]])),
IF((G543="5/16"),((база!$L$6*Таблица1[[#This Row],[сумма]]*Таблица1[[#This Row],[коэф]])),
IF((G543="4/16"),((база!$L$5*Таблица1[[#This Row],[сумма]]*Таблица1[[#This Row],[коэф]])),
IF((G543="3/16"),((база!$L$4*Таблица1[[#This Row],[сумма]]*Таблица1[[#This Row],[коэф]])),
IF((G543="4/4"),((база!$I$5*Таблица1[[#This Row],[сумма]]*Таблица1[[#This Row],[коэф]])),
IF(OR(G543="2/4",G543="3/4"),((база!$I$4*Таблица1[[#This Row],[сумма]]*Таблица1[[#This Row],[коэф]])),
IF((G543="5/8"),((база!$J$6*Таблица1[[#This Row],[сумма]]*Таблица1[[#This Row],[коэф]])),
IF((G543="4/8"),((база!$J$5*Таблица1[[#This Row],[сумма]]*Таблица1[[#This Row],[коэф]])),
IF(OR(G543="3/8",G543="2/8"),((база!$J$4*Таблица1[[#This Row],[сумма]]*Таблица1[[#This Row],[коэф]])))))))))))))),
(IF((G543="5/24"),((база!$M$6*Таблица1[[#This Row],[сумма]]*Таблица1[[#This Row],[коэф]])),
IF(OR(G543="4/24",G543="3/24"),((база!$M$5*Таблица1[[#This Row],[сумма]]*Таблица1[[#This Row],[коэф]])),
IF((G543="5/16"),((база!$L$6*Таблица1[[#This Row],[сумма]]*Таблица1[[#This Row],[коэф]])),
IF(OR(G543="4/16",G543="3/16"),((база!$L$5*Таблица1[[#This Row],[сумма]]*Таблица1[[#This Row],[коэф]])),
IF(OR(G543="2/4",G543="3/4",G543="4/4"),((база!$I$5*Таблица1[[#This Row],[сумма]]*Таблица1[[#This Row],[коэф]])),
IF((G543="5/8"),((база!$J$6*Таблица1[[#This Row],[сумма]]*Таблица1[[#This Row],[коэф]])),
IF(OR(G543="4/8",G543="3/8",G543="2/8"),((база!$J$5*Таблица1[[#This Row],[сумма]]*Таблица1[[#This Row],[коэф]])))))))))))</f>
        <v>0</v>
      </c>
      <c r="AP543" s="696" t="b">
        <f>IF(AR543&lt;=3,(IF((G543="5/24"),((база!$M$6*2*Таблица1[[#This Row],[Столбец1]]*Таблица1[[#This Row],[коэф]])),
IF((G543="4/24"),((база!$M$5*2*Таблица1[[#This Row],[Столбец1]]*Таблица1[[#This Row],[коэф]])),
IF((G543="3/24"),((база!$M$4*2*Таблица1[[#This Row],[Столбец1]]*Таблица1[[#This Row],[коэф]])),
IF((G543="5/16"),((база!$L$6*2*Таблица1[[#This Row],[Столбец1]]*Таблица1[[#This Row],[коэф]])),
IF((G543="4/16"),((база!$L$5*2*Таблица1[[#This Row],[Столбец1]]*Таблица1[[#This Row],[коэф]])),
IF((G543="3/16"),((база!$L$4*2*Таблица1[[#This Row],[Столбец1]]*Таблица1[[#This Row],[коэф]])),
IF((G543="4/4"),((база!$I$5*2*Таблица1[[#This Row],[Столбец1]]*Таблица1[[#This Row],[коэф]])),
IF(OR(G543="2/4",G543="3/4"),((база!$I$4*2*Таблица1[[#This Row],[Столбец1]]*Таблица1[[#This Row],[коэф]])),
IF((G543="5/8"),((база!$J$6*2*Таблица1[[#This Row],[Столбец1]]*Таблица1[[#This Row],[коэф]])),
IF((G543="4/8"),((база!$J$5*2*Таблица1[[#This Row],[Столбец1]]*Таблица1[[#This Row],[коэф]])),
IF(OR(G543="3/8",G543="2/8"),((база!$J$4*2*Таблица1[[#This Row],[Столбец1]]*Таблица1[[#This Row],[коэф]])))))))))))))),
(IF((G543="5/24"),((база!$M$6*2*Таблица1[[#This Row],[Столбец1]]*Таблица1[[#This Row],[коэф]])),
IF(OR(G543="4/24",G543="3/24"),((база!$M$5*2*Таблица1[[#This Row],[Столбец1]]*Таблица1[[#This Row],[коэф]])),
IF((G543="5/16"),((база!$L$6*2*Таблица1[[#This Row],[Столбец1]]*Таблица1[[#This Row],[коэф]])),
IF(OR(G543="4/16",G543="3/16"),((база!$L$5*2*Таблица1[[#This Row],[Столбец1]]*Таблица1[[#This Row],[коэф]])),
IF(OR(G543="2/4",G543="3/4",G543="4/4"),((база!$I$5*2*Таблица1[[#This Row],[Столбец1]]*Таблица1[[#This Row],[коэф]])),
IF((G543="5/8"),((база!$J$6*2*Таблица1[[#This Row],[Столбец1]]*Таблица1[[#This Row],[коэф]])),
IF(OR(G543="4/8",G543="3/8",G543="2/8"),((база!$J$5*2*Таблица1[[#This Row],[Столбец1]]*Таблица1[[#This Row],[коэф]])))))))))))</f>
        <v>0</v>
      </c>
      <c r="AQ543" s="678" t="str">
        <f>IFERROR(INDEX(база!T:T, MATCH(F543,база!Q:Q,0)),"")</f>
        <v/>
      </c>
      <c r="AR543" s="193">
        <f>IFERROR(INDEX(база!D:D, MATCH(F543,база!B:B,0)),"")</f>
        <v>0</v>
      </c>
    </row>
    <row r="544" spans="1:44" ht="15">
      <c r="A544" s="59"/>
      <c r="B544" s="215"/>
      <c r="C544" s="277"/>
      <c r="D544" s="55"/>
      <c r="E544" s="196"/>
      <c r="F544" s="651"/>
      <c r="G544" s="42"/>
      <c r="H544" s="539"/>
      <c r="I544" s="539"/>
      <c r="J544" s="539"/>
      <c r="K544" s="539"/>
      <c r="L544" s="539"/>
      <c r="M544" s="539"/>
      <c r="N544" s="539"/>
      <c r="O544" s="539"/>
      <c r="P544" s="278"/>
      <c r="Q544" s="539"/>
      <c r="R544" s="539"/>
      <c r="S544" s="539"/>
      <c r="T544" s="539"/>
      <c r="U544" s="539"/>
      <c r="V544" s="539"/>
      <c r="W544" s="539"/>
      <c r="X544" s="539"/>
      <c r="Y544" s="539"/>
      <c r="Z544" s="539"/>
      <c r="AA544" s="539"/>
      <c r="AB544" s="539"/>
      <c r="AC544" s="539"/>
      <c r="AD544" s="43"/>
      <c r="AE544" s="43"/>
      <c r="AF544" s="238"/>
      <c r="AG544" s="43"/>
      <c r="AH544" s="43"/>
      <c r="AI544" s="43"/>
      <c r="AJ544" s="43"/>
      <c r="AK544" s="43"/>
      <c r="AL544" s="45"/>
      <c r="AM544" s="197">
        <f>IF(AQ544=1,SUM(H544:I544,L544:O544,R544:U544,X544:AA544,AD544:AG544,AI544:AK544),
IF(AQ544=2,SUM(H544:K544,N544:Q544,T544:W544,Z544:AC544,AF544:AI544),
IF(AQ544=3,SUM(J544:M544,P544:S544,V544:Y544,AB544:AE544,AH544:AK544),SUM(Таблица1[[#This Row],[1]:[31]])-Таблица1[[#This Row],[Столбец1]])))</f>
        <v>0</v>
      </c>
      <c r="AN544" s="269">
        <f t="array" ref="AN544">IF(AQ544=1,SUM(J544:K544,P544:Q544,V544:W544,AB544:AC544,AH544:AI544),
IF(AQ544=2,SUM(L544:M544,R544:S544,X544:Y544,AD544:AE544),
IF(AQ544=3,SUM(H544:I544,N544:O544,T544:U544,Z544:AA544,AF544:AG544),
SUM(IFERROR(WEEKDAY($H$2:$AL$2,2)&gt;5,)*H544:AL544))))</f>
        <v>0</v>
      </c>
      <c r="AO544" s="271" t="b">
        <f>IF(AR544&lt;=3,(IF((G544="5/24"),((база!$M$6*Таблица1[[#This Row],[сумма]]*Таблица1[[#This Row],[коэф]])),
IF((G544="4/24"),((база!$M$5*Таблица1[[#This Row],[сумма]]*Таблица1[[#This Row],[коэф]])),
IF((G544="3/24"),((база!$M$4*Таблица1[[#This Row],[сумма]]*Таблица1[[#This Row],[коэф]])),
IF((G544="5/16"),((база!$L$6*Таблица1[[#This Row],[сумма]]*Таблица1[[#This Row],[коэф]])),
IF((G544="4/16"),((база!$L$5*Таблица1[[#This Row],[сумма]]*Таблица1[[#This Row],[коэф]])),
IF((G544="3/16"),((база!$L$4*Таблица1[[#This Row],[сумма]]*Таблица1[[#This Row],[коэф]])),
IF((G544="4/4"),((база!$I$5*Таблица1[[#This Row],[сумма]]*Таблица1[[#This Row],[коэф]])),
IF(OR(G544="2/4",G544="3/4"),((база!$I$4*Таблица1[[#This Row],[сумма]]*Таблица1[[#This Row],[коэф]])),
IF((G544="5/8"),((база!$J$6*Таблица1[[#This Row],[сумма]]*Таблица1[[#This Row],[коэф]])),
IF((G544="4/8"),((база!$J$5*Таблица1[[#This Row],[сумма]]*Таблица1[[#This Row],[коэф]])),
IF(OR(G544="3/8",G544="2/8"),((база!$J$4*Таблица1[[#This Row],[сумма]]*Таблица1[[#This Row],[коэф]])))))))))))))),
(IF((G544="5/24"),((база!$M$6*Таблица1[[#This Row],[сумма]]*Таблица1[[#This Row],[коэф]])),
IF(OR(G544="4/24",G544="3/24"),((база!$M$5*Таблица1[[#This Row],[сумма]]*Таблица1[[#This Row],[коэф]])),
IF((G544="5/16"),((база!$L$6*Таблица1[[#This Row],[сумма]]*Таблица1[[#This Row],[коэф]])),
IF(OR(G544="4/16",G544="3/16"),((база!$L$5*Таблица1[[#This Row],[сумма]]*Таблица1[[#This Row],[коэф]])),
IF(OR(G544="2/4",G544="3/4",G544="4/4"),((база!$I$5*Таблица1[[#This Row],[сумма]]*Таблица1[[#This Row],[коэф]])),
IF((G544="5/8"),((база!$J$6*Таблица1[[#This Row],[сумма]]*Таблица1[[#This Row],[коэф]])),
IF(OR(G544="4/8",G544="3/8",G544="2/8"),((база!$J$5*Таблица1[[#This Row],[сумма]]*Таблица1[[#This Row],[коэф]])))))))))))</f>
        <v>0</v>
      </c>
      <c r="AP544" s="696" t="b">
        <f>IF(AR544&lt;=3,(IF((G544="5/24"),((база!$M$6*2*Таблица1[[#This Row],[Столбец1]]*Таблица1[[#This Row],[коэф]])),
IF((G544="4/24"),((база!$M$5*2*Таблица1[[#This Row],[Столбец1]]*Таблица1[[#This Row],[коэф]])),
IF((G544="3/24"),((база!$M$4*2*Таблица1[[#This Row],[Столбец1]]*Таблица1[[#This Row],[коэф]])),
IF((G544="5/16"),((база!$L$6*2*Таблица1[[#This Row],[Столбец1]]*Таблица1[[#This Row],[коэф]])),
IF((G544="4/16"),((база!$L$5*2*Таблица1[[#This Row],[Столбец1]]*Таблица1[[#This Row],[коэф]])),
IF((G544="3/16"),((база!$L$4*2*Таблица1[[#This Row],[Столбец1]]*Таблица1[[#This Row],[коэф]])),
IF((G544="4/4"),((база!$I$5*2*Таблица1[[#This Row],[Столбец1]]*Таблица1[[#This Row],[коэф]])),
IF(OR(G544="2/4",G544="3/4"),((база!$I$4*2*Таблица1[[#This Row],[Столбец1]]*Таблица1[[#This Row],[коэф]])),
IF((G544="5/8"),((база!$J$6*2*Таблица1[[#This Row],[Столбец1]]*Таблица1[[#This Row],[коэф]])),
IF((G544="4/8"),((база!$J$5*2*Таблица1[[#This Row],[Столбец1]]*Таблица1[[#This Row],[коэф]])),
IF(OR(G544="3/8",G544="2/8"),((база!$J$4*2*Таблица1[[#This Row],[Столбец1]]*Таблица1[[#This Row],[коэф]])))))))))))))),
(IF((G544="5/24"),((база!$M$6*2*Таблица1[[#This Row],[Столбец1]]*Таблица1[[#This Row],[коэф]])),
IF(OR(G544="4/24",G544="3/24"),((база!$M$5*2*Таблица1[[#This Row],[Столбец1]]*Таблица1[[#This Row],[коэф]])),
IF((G544="5/16"),((база!$L$6*2*Таблица1[[#This Row],[Столбец1]]*Таблица1[[#This Row],[коэф]])),
IF(OR(G544="4/16",G544="3/16"),((база!$L$5*2*Таблица1[[#This Row],[Столбец1]]*Таблица1[[#This Row],[коэф]])),
IF(OR(G544="2/4",G544="3/4",G544="4/4"),((база!$I$5*2*Таблица1[[#This Row],[Столбец1]]*Таблица1[[#This Row],[коэф]])),
IF((G544="5/8"),((база!$J$6*2*Таблица1[[#This Row],[Столбец1]]*Таблица1[[#This Row],[коэф]])),
IF(OR(G544="4/8",G544="3/8",G544="2/8"),((база!$J$5*2*Таблица1[[#This Row],[Столбец1]]*Таблица1[[#This Row],[коэф]])))))))))))</f>
        <v>0</v>
      </c>
      <c r="AQ544" s="678" t="str">
        <f>IFERROR(INDEX(база!T:T, MATCH(F544,база!Q:Q,0)),"")</f>
        <v/>
      </c>
      <c r="AR544" s="193">
        <f>IFERROR(INDEX(база!D:D, MATCH(F544,база!B:B,0)),"")</f>
        <v>0</v>
      </c>
    </row>
    <row r="545" spans="1:44" ht="15">
      <c r="A545" s="59"/>
      <c r="B545" s="215"/>
      <c r="C545" s="277"/>
      <c r="D545" s="55"/>
      <c r="E545" s="196"/>
      <c r="F545" s="651"/>
      <c r="G545" s="42"/>
      <c r="H545" s="539"/>
      <c r="I545" s="539"/>
      <c r="J545" s="539"/>
      <c r="K545" s="539"/>
      <c r="L545" s="539"/>
      <c r="M545" s="539"/>
      <c r="N545" s="539"/>
      <c r="O545" s="539"/>
      <c r="P545" s="278"/>
      <c r="Q545" s="539"/>
      <c r="R545" s="539"/>
      <c r="S545" s="539"/>
      <c r="T545" s="539"/>
      <c r="U545" s="539"/>
      <c r="V545" s="539"/>
      <c r="W545" s="539"/>
      <c r="X545" s="539"/>
      <c r="Y545" s="539"/>
      <c r="Z545" s="539"/>
      <c r="AA545" s="539"/>
      <c r="AB545" s="539"/>
      <c r="AC545" s="539"/>
      <c r="AD545" s="43"/>
      <c r="AE545" s="43"/>
      <c r="AF545" s="238"/>
      <c r="AG545" s="43"/>
      <c r="AH545" s="43"/>
      <c r="AI545" s="238"/>
      <c r="AJ545" s="238"/>
      <c r="AK545" s="238"/>
      <c r="AL545" s="238"/>
      <c r="AM545" s="197">
        <f>IF(AQ545=1,SUM(H545:I545,L545:O545,R545:U545,X545:AA545,AD545:AG545,AI545:AK545),
IF(AQ545=2,SUM(H545:K545,N545:Q545,T545:W545,Z545:AC545,AF545:AI545),
IF(AQ545=3,SUM(J545:M545,P545:S545,V545:Y545,AB545:AE545,AH545:AK545),SUM(Таблица1[[#This Row],[1]:[31]])-Таблица1[[#This Row],[Столбец1]])))</f>
        <v>0</v>
      </c>
      <c r="AN545" s="269">
        <f t="array" ref="AN545">IF(AQ545=1,SUM(J545:K545,P545:Q545,V545:W545,AB545:AC545,AH545:AI545),
IF(AQ545=2,SUM(L545:M545,R545:S545,X545:Y545,AD545:AE545),
IF(AQ545=3,SUM(H545:I545,N545:O545,T545:U545,Z545:AA545,AF545:AG545),
SUM(IFERROR(WEEKDAY($H$2:$AL$2,2)&gt;5,)*H545:AL545))))</f>
        <v>0</v>
      </c>
      <c r="AO545" s="271" t="b">
        <f>IF(AR545&lt;=3,(IF((G545="5/24"),((база!$M$6*Таблица1[[#This Row],[сумма]]*Таблица1[[#This Row],[коэф]])),
IF((G545="4/24"),((база!$M$5*Таблица1[[#This Row],[сумма]]*Таблица1[[#This Row],[коэф]])),
IF((G545="3/24"),((база!$M$4*Таблица1[[#This Row],[сумма]]*Таблица1[[#This Row],[коэф]])),
IF((G545="5/16"),((база!$L$6*Таблица1[[#This Row],[сумма]]*Таблица1[[#This Row],[коэф]])),
IF((G545="4/16"),((база!$L$5*Таблица1[[#This Row],[сумма]]*Таблица1[[#This Row],[коэф]])),
IF((G545="3/16"),((база!$L$4*Таблица1[[#This Row],[сумма]]*Таблица1[[#This Row],[коэф]])),
IF((G545="4/4"),((база!$I$5*Таблица1[[#This Row],[сумма]]*Таблица1[[#This Row],[коэф]])),
IF(OR(G545="2/4",G545="3/4"),((база!$I$4*Таблица1[[#This Row],[сумма]]*Таблица1[[#This Row],[коэф]])),
IF((G545="5/8"),((база!$J$6*Таблица1[[#This Row],[сумма]]*Таблица1[[#This Row],[коэф]])),
IF((G545="4/8"),((база!$J$5*Таблица1[[#This Row],[сумма]]*Таблица1[[#This Row],[коэф]])),
IF(OR(G545="3/8",G545="2/8"),((база!$J$4*Таблица1[[#This Row],[сумма]]*Таблица1[[#This Row],[коэф]])))))))))))))),
(IF((G545="5/24"),((база!$M$6*Таблица1[[#This Row],[сумма]]*Таблица1[[#This Row],[коэф]])),
IF(OR(G545="4/24",G545="3/24"),((база!$M$5*Таблица1[[#This Row],[сумма]]*Таблица1[[#This Row],[коэф]])),
IF((G545="5/16"),((база!$L$6*Таблица1[[#This Row],[сумма]]*Таблица1[[#This Row],[коэф]])),
IF(OR(G545="4/16",G545="3/16"),((база!$L$5*Таблица1[[#This Row],[сумма]]*Таблица1[[#This Row],[коэф]])),
IF(OR(G545="2/4",G545="3/4",G545="4/4"),((база!$I$5*Таблица1[[#This Row],[сумма]]*Таблица1[[#This Row],[коэф]])),
IF((G545="5/8"),((база!$J$6*Таблица1[[#This Row],[сумма]]*Таблица1[[#This Row],[коэф]])),
IF(OR(G545="4/8",G545="3/8",G545="2/8"),((база!$J$5*Таблица1[[#This Row],[сумма]]*Таблица1[[#This Row],[коэф]])))))))))))</f>
        <v>0</v>
      </c>
      <c r="AP545" s="696" t="b">
        <f>IF(AR545&lt;=3,(IF((G545="5/24"),((база!$M$6*2*Таблица1[[#This Row],[Столбец1]]*Таблица1[[#This Row],[коэф]])),
IF((G545="4/24"),((база!$M$5*2*Таблица1[[#This Row],[Столбец1]]*Таблица1[[#This Row],[коэф]])),
IF((G545="3/24"),((база!$M$4*2*Таблица1[[#This Row],[Столбец1]]*Таблица1[[#This Row],[коэф]])),
IF((G545="5/16"),((база!$L$6*2*Таблица1[[#This Row],[Столбец1]]*Таблица1[[#This Row],[коэф]])),
IF((G545="4/16"),((база!$L$5*2*Таблица1[[#This Row],[Столбец1]]*Таблица1[[#This Row],[коэф]])),
IF((G545="3/16"),((база!$L$4*2*Таблица1[[#This Row],[Столбец1]]*Таблица1[[#This Row],[коэф]])),
IF((G545="4/4"),((база!$I$5*2*Таблица1[[#This Row],[Столбец1]]*Таблица1[[#This Row],[коэф]])),
IF(OR(G545="2/4",G545="3/4"),((база!$I$4*2*Таблица1[[#This Row],[Столбец1]]*Таблица1[[#This Row],[коэф]])),
IF((G545="5/8"),((база!$J$6*2*Таблица1[[#This Row],[Столбец1]]*Таблица1[[#This Row],[коэф]])),
IF((G545="4/8"),((база!$J$5*2*Таблица1[[#This Row],[Столбец1]]*Таблица1[[#This Row],[коэф]])),
IF(OR(G545="3/8",G545="2/8"),((база!$J$4*2*Таблица1[[#This Row],[Столбец1]]*Таблица1[[#This Row],[коэф]])))))))))))))),
(IF((G545="5/24"),((база!$M$6*2*Таблица1[[#This Row],[Столбец1]]*Таблица1[[#This Row],[коэф]])),
IF(OR(G545="4/24",G545="3/24"),((база!$M$5*2*Таблица1[[#This Row],[Столбец1]]*Таблица1[[#This Row],[коэф]])),
IF((G545="5/16"),((база!$L$6*2*Таблица1[[#This Row],[Столбец1]]*Таблица1[[#This Row],[коэф]])),
IF(OR(G545="4/16",G545="3/16"),((база!$L$5*2*Таблица1[[#This Row],[Столбец1]]*Таблица1[[#This Row],[коэф]])),
IF(OR(G545="2/4",G545="3/4",G545="4/4"),((база!$I$5*2*Таблица1[[#This Row],[Столбец1]]*Таблица1[[#This Row],[коэф]])),
IF((G545="5/8"),((база!$J$6*2*Таблица1[[#This Row],[Столбец1]]*Таблица1[[#This Row],[коэф]])),
IF(OR(G545="4/8",G545="3/8",G545="2/8"),((база!$J$5*2*Таблица1[[#This Row],[Столбец1]]*Таблица1[[#This Row],[коэф]])))))))))))</f>
        <v>0</v>
      </c>
      <c r="AQ545" s="678" t="str">
        <f>IFERROR(INDEX(база!T:T, MATCH(F545,база!Q:Q,0)),"")</f>
        <v/>
      </c>
      <c r="AR545" s="193">
        <f>IFERROR(INDEX(база!D:D, MATCH(F545,база!B:B,0)),"")</f>
        <v>0</v>
      </c>
    </row>
    <row r="546" spans="1:44" ht="15">
      <c r="A546" s="59"/>
      <c r="B546" s="215"/>
      <c r="C546" s="277"/>
      <c r="D546" s="55"/>
      <c r="E546" s="196"/>
      <c r="F546" s="651"/>
      <c r="G546" s="42"/>
      <c r="H546" s="539"/>
      <c r="I546" s="539"/>
      <c r="J546" s="539"/>
      <c r="K546" s="539"/>
      <c r="L546" s="539"/>
      <c r="M546" s="539"/>
      <c r="N546" s="539"/>
      <c r="O546" s="539"/>
      <c r="P546" s="278"/>
      <c r="Q546" s="539"/>
      <c r="R546" s="539"/>
      <c r="S546" s="539"/>
      <c r="T546" s="539"/>
      <c r="U546" s="539"/>
      <c r="V546" s="539"/>
      <c r="W546" s="539"/>
      <c r="X546" s="539"/>
      <c r="Y546" s="539"/>
      <c r="Z546" s="539"/>
      <c r="AA546" s="539"/>
      <c r="AB546" s="539"/>
      <c r="AC546" s="539"/>
      <c r="AD546" s="43"/>
      <c r="AE546" s="43"/>
      <c r="AF546" s="238"/>
      <c r="AG546" s="43"/>
      <c r="AH546" s="43"/>
      <c r="AI546" s="43"/>
      <c r="AJ546" s="43"/>
      <c r="AK546" s="43"/>
      <c r="AL546" s="45"/>
      <c r="AM546" s="197">
        <f>IF(AQ546=1,SUM(H546:I546,L546:O546,R546:U546,X546:AA546,AD546:AG546,AI546:AK546),
IF(AQ546=2,SUM(H546:K546,N546:Q546,T546:W546,Z546:AC546,AF546:AI546),
IF(AQ546=3,SUM(J546:M546,P546:S546,V546:Y546,AB546:AE546,AH546:AK546),SUM(Таблица1[[#This Row],[1]:[31]])-Таблица1[[#This Row],[Столбец1]])))</f>
        <v>0</v>
      </c>
      <c r="AN546" s="269">
        <f t="array" ref="AN546">IF(AQ546=1,SUM(J546:K546,P546:Q546,V546:W546,AB546:AC546,AH546:AI546),
IF(AQ546=2,SUM(L546:M546,R546:S546,X546:Y546,AD546:AE546),
IF(AQ546=3,SUM(H546:I546,N546:O546,T546:U546,Z546:AA546,AF546:AG546),
SUM(IFERROR(WEEKDAY($H$2:$AL$2,2)&gt;5,)*H546:AL546))))</f>
        <v>0</v>
      </c>
      <c r="AO546" s="271" t="b">
        <f>IF(AR546&lt;=3,(IF((G546="5/24"),((база!$M$6*Таблица1[[#This Row],[сумма]]*Таблица1[[#This Row],[коэф]])),
IF((G546="4/24"),((база!$M$5*Таблица1[[#This Row],[сумма]]*Таблица1[[#This Row],[коэф]])),
IF((G546="3/24"),((база!$M$4*Таблица1[[#This Row],[сумма]]*Таблица1[[#This Row],[коэф]])),
IF((G546="5/16"),((база!$L$6*Таблица1[[#This Row],[сумма]]*Таблица1[[#This Row],[коэф]])),
IF((G546="4/16"),((база!$L$5*Таблица1[[#This Row],[сумма]]*Таблица1[[#This Row],[коэф]])),
IF((G546="3/16"),((база!$L$4*Таблица1[[#This Row],[сумма]]*Таблица1[[#This Row],[коэф]])),
IF((G546="4/4"),((база!$I$5*Таблица1[[#This Row],[сумма]]*Таблица1[[#This Row],[коэф]])),
IF(OR(G546="2/4",G546="3/4"),((база!$I$4*Таблица1[[#This Row],[сумма]]*Таблица1[[#This Row],[коэф]])),
IF((G546="5/8"),((база!$J$6*Таблица1[[#This Row],[сумма]]*Таблица1[[#This Row],[коэф]])),
IF((G546="4/8"),((база!$J$5*Таблица1[[#This Row],[сумма]]*Таблица1[[#This Row],[коэф]])),
IF(OR(G546="3/8",G546="2/8"),((база!$J$4*Таблица1[[#This Row],[сумма]]*Таблица1[[#This Row],[коэф]])))))))))))))),
(IF((G546="5/24"),((база!$M$6*Таблица1[[#This Row],[сумма]]*Таблица1[[#This Row],[коэф]])),
IF(OR(G546="4/24",G546="3/24"),((база!$M$5*Таблица1[[#This Row],[сумма]]*Таблица1[[#This Row],[коэф]])),
IF((G546="5/16"),((база!$L$6*Таблица1[[#This Row],[сумма]]*Таблица1[[#This Row],[коэф]])),
IF(OR(G546="4/16",G546="3/16"),((база!$L$5*Таблица1[[#This Row],[сумма]]*Таблица1[[#This Row],[коэф]])),
IF(OR(G546="2/4",G546="3/4",G546="4/4"),((база!$I$5*Таблица1[[#This Row],[сумма]]*Таблица1[[#This Row],[коэф]])),
IF((G546="5/8"),((база!$J$6*Таблица1[[#This Row],[сумма]]*Таблица1[[#This Row],[коэф]])),
IF(OR(G546="4/8",G546="3/8",G546="2/8"),((база!$J$5*Таблица1[[#This Row],[сумма]]*Таблица1[[#This Row],[коэф]])))))))))))</f>
        <v>0</v>
      </c>
      <c r="AP546" s="696" t="b">
        <f>IF(AR546&lt;=3,(IF((G546="5/24"),((база!$M$6*2*Таблица1[[#This Row],[Столбец1]]*Таблица1[[#This Row],[коэф]])),
IF((G546="4/24"),((база!$M$5*2*Таблица1[[#This Row],[Столбец1]]*Таблица1[[#This Row],[коэф]])),
IF((G546="3/24"),((база!$M$4*2*Таблица1[[#This Row],[Столбец1]]*Таблица1[[#This Row],[коэф]])),
IF((G546="5/16"),((база!$L$6*2*Таблица1[[#This Row],[Столбец1]]*Таблица1[[#This Row],[коэф]])),
IF((G546="4/16"),((база!$L$5*2*Таблица1[[#This Row],[Столбец1]]*Таблица1[[#This Row],[коэф]])),
IF((G546="3/16"),((база!$L$4*2*Таблица1[[#This Row],[Столбец1]]*Таблица1[[#This Row],[коэф]])),
IF((G546="4/4"),((база!$I$5*2*Таблица1[[#This Row],[Столбец1]]*Таблица1[[#This Row],[коэф]])),
IF(OR(G546="2/4",G546="3/4"),((база!$I$4*2*Таблица1[[#This Row],[Столбец1]]*Таблица1[[#This Row],[коэф]])),
IF((G546="5/8"),((база!$J$6*2*Таблица1[[#This Row],[Столбец1]]*Таблица1[[#This Row],[коэф]])),
IF((G546="4/8"),((база!$J$5*2*Таблица1[[#This Row],[Столбец1]]*Таблица1[[#This Row],[коэф]])),
IF(OR(G546="3/8",G546="2/8"),((база!$J$4*2*Таблица1[[#This Row],[Столбец1]]*Таблица1[[#This Row],[коэф]])))))))))))))),
(IF((G546="5/24"),((база!$M$6*2*Таблица1[[#This Row],[Столбец1]]*Таблица1[[#This Row],[коэф]])),
IF(OR(G546="4/24",G546="3/24"),((база!$M$5*2*Таблица1[[#This Row],[Столбец1]]*Таблица1[[#This Row],[коэф]])),
IF((G546="5/16"),((база!$L$6*2*Таблица1[[#This Row],[Столбец1]]*Таблица1[[#This Row],[коэф]])),
IF(OR(G546="4/16",G546="3/16"),((база!$L$5*2*Таблица1[[#This Row],[Столбец1]]*Таблица1[[#This Row],[коэф]])),
IF(OR(G546="2/4",G546="3/4",G546="4/4"),((база!$I$5*2*Таблица1[[#This Row],[Столбец1]]*Таблица1[[#This Row],[коэф]])),
IF((G546="5/8"),((база!$J$6*2*Таблица1[[#This Row],[Столбец1]]*Таблица1[[#This Row],[коэф]])),
IF(OR(G546="4/8",G546="3/8",G546="2/8"),((база!$J$5*2*Таблица1[[#This Row],[Столбец1]]*Таблица1[[#This Row],[коэф]])))))))))))</f>
        <v>0</v>
      </c>
      <c r="AQ546" s="678" t="str">
        <f>IFERROR(INDEX(база!T:T, MATCH(F546,база!Q:Q,0)),"")</f>
        <v/>
      </c>
      <c r="AR546" s="193">
        <f>IFERROR(INDEX(база!D:D, MATCH(F546,база!B:B,0)),"")</f>
        <v>0</v>
      </c>
    </row>
    <row r="547" spans="1:44" ht="15">
      <c r="A547" s="59"/>
      <c r="B547" s="215"/>
      <c r="C547" s="54"/>
      <c r="D547" s="55"/>
      <c r="E547" s="196"/>
      <c r="F547" s="651"/>
      <c r="G547" s="42"/>
      <c r="H547" s="539"/>
      <c r="I547" s="539"/>
      <c r="J547" s="539"/>
      <c r="K547" s="539"/>
      <c r="L547" s="539"/>
      <c r="M547" s="539"/>
      <c r="N547" s="539"/>
      <c r="O547" s="539"/>
      <c r="P547" s="278"/>
      <c r="Q547" s="539"/>
      <c r="R547" s="539"/>
      <c r="S547" s="539"/>
      <c r="T547" s="539"/>
      <c r="U547" s="539"/>
      <c r="V547" s="539"/>
      <c r="W547" s="539"/>
      <c r="X547" s="539"/>
      <c r="Y547" s="539"/>
      <c r="Z547" s="539"/>
      <c r="AA547" s="539"/>
      <c r="AB547" s="539"/>
      <c r="AC547" s="539"/>
      <c r="AD547" s="43"/>
      <c r="AE547" s="43"/>
      <c r="AF547" s="238"/>
      <c r="AG547" s="43"/>
      <c r="AH547" s="43"/>
      <c r="AI547" s="238"/>
      <c r="AJ547" s="238"/>
      <c r="AK547" s="238"/>
      <c r="AL547" s="238"/>
      <c r="AM547" s="197">
        <f>IF(AQ547=1,SUM(H547:I547,L547:O547,R547:U547,X547:AA547,AD547:AG547,AI547:AK547),
IF(AQ547=2,SUM(H547:K547,N547:Q547,T547:W547,Z547:AC547,AF547:AI547),
IF(AQ547=3,SUM(J547:M547,P547:S547,V547:Y547,AB547:AE547,AH547:AK547),SUM(Таблица1[[#This Row],[1]:[31]])-Таблица1[[#This Row],[Столбец1]])))</f>
        <v>0</v>
      </c>
      <c r="AN547" s="269">
        <f t="array" ref="AN547">IF(AQ547=1,SUM(J547:K547,P547:Q547,V547:W547,AB547:AC547,AH547:AI547),
IF(AQ547=2,SUM(L547:M547,R547:S547,X547:Y547,AD547:AE547),
IF(AQ547=3,SUM(H547:I547,N547:O547,T547:U547,Z547:AA547,AF547:AG547),
SUM(IFERROR(WEEKDAY($H$2:$AL$2,2)&gt;5,)*H547:AL547))))</f>
        <v>0</v>
      </c>
      <c r="AO547" s="271" t="b">
        <f>IF(AR547&lt;=3,(IF((G547="5/24"),((база!$M$6*Таблица1[[#This Row],[сумма]]*Таблица1[[#This Row],[коэф]])),
IF((G547="4/24"),((база!$M$5*Таблица1[[#This Row],[сумма]]*Таблица1[[#This Row],[коэф]])),
IF((G547="3/24"),((база!$M$4*Таблица1[[#This Row],[сумма]]*Таблица1[[#This Row],[коэф]])),
IF((G547="5/16"),((база!$L$6*Таблица1[[#This Row],[сумма]]*Таблица1[[#This Row],[коэф]])),
IF((G547="4/16"),((база!$L$5*Таблица1[[#This Row],[сумма]]*Таблица1[[#This Row],[коэф]])),
IF((G547="3/16"),((база!$L$4*Таблица1[[#This Row],[сумма]]*Таблица1[[#This Row],[коэф]])),
IF((G547="4/4"),((база!$I$5*Таблица1[[#This Row],[сумма]]*Таблица1[[#This Row],[коэф]])),
IF(OR(G547="2/4",G547="3/4"),((база!$I$4*Таблица1[[#This Row],[сумма]]*Таблица1[[#This Row],[коэф]])),
IF((G547="5/8"),((база!$J$6*Таблица1[[#This Row],[сумма]]*Таблица1[[#This Row],[коэф]])),
IF((G547="4/8"),((база!$J$5*Таблица1[[#This Row],[сумма]]*Таблица1[[#This Row],[коэф]])),
IF(OR(G547="3/8",G547="2/8"),((база!$J$4*Таблица1[[#This Row],[сумма]]*Таблица1[[#This Row],[коэф]])))))))))))))),
(IF((G547="5/24"),((база!$M$6*Таблица1[[#This Row],[сумма]]*Таблица1[[#This Row],[коэф]])),
IF(OR(G547="4/24",G547="3/24"),((база!$M$5*Таблица1[[#This Row],[сумма]]*Таблица1[[#This Row],[коэф]])),
IF((G547="5/16"),((база!$L$6*Таблица1[[#This Row],[сумма]]*Таблица1[[#This Row],[коэф]])),
IF(OR(G547="4/16",G547="3/16"),((база!$L$5*Таблица1[[#This Row],[сумма]]*Таблица1[[#This Row],[коэф]])),
IF(OR(G547="2/4",G547="3/4",G547="4/4"),((база!$I$5*Таблица1[[#This Row],[сумма]]*Таблица1[[#This Row],[коэф]])),
IF((G547="5/8"),((база!$J$6*Таблица1[[#This Row],[сумма]]*Таблица1[[#This Row],[коэф]])),
IF(OR(G547="4/8",G547="3/8",G547="2/8"),((база!$J$5*Таблица1[[#This Row],[сумма]]*Таблица1[[#This Row],[коэф]])))))))))))</f>
        <v>0</v>
      </c>
      <c r="AP547" s="696" t="b">
        <f>IF(AR547&lt;=3,(IF((G547="5/24"),((база!$M$6*2*Таблица1[[#This Row],[Столбец1]]*Таблица1[[#This Row],[коэф]])),
IF((G547="4/24"),((база!$M$5*2*Таблица1[[#This Row],[Столбец1]]*Таблица1[[#This Row],[коэф]])),
IF((G547="3/24"),((база!$M$4*2*Таблица1[[#This Row],[Столбец1]]*Таблица1[[#This Row],[коэф]])),
IF((G547="5/16"),((база!$L$6*2*Таблица1[[#This Row],[Столбец1]]*Таблица1[[#This Row],[коэф]])),
IF((G547="4/16"),((база!$L$5*2*Таблица1[[#This Row],[Столбец1]]*Таблица1[[#This Row],[коэф]])),
IF((G547="3/16"),((база!$L$4*2*Таблица1[[#This Row],[Столбец1]]*Таблица1[[#This Row],[коэф]])),
IF((G547="4/4"),((база!$I$5*2*Таблица1[[#This Row],[Столбец1]]*Таблица1[[#This Row],[коэф]])),
IF(OR(G547="2/4",G547="3/4"),((база!$I$4*2*Таблица1[[#This Row],[Столбец1]]*Таблица1[[#This Row],[коэф]])),
IF((G547="5/8"),((база!$J$6*2*Таблица1[[#This Row],[Столбец1]]*Таблица1[[#This Row],[коэф]])),
IF((G547="4/8"),((база!$J$5*2*Таблица1[[#This Row],[Столбец1]]*Таблица1[[#This Row],[коэф]])),
IF(OR(G547="3/8",G547="2/8"),((база!$J$4*2*Таблица1[[#This Row],[Столбец1]]*Таблица1[[#This Row],[коэф]])))))))))))))),
(IF((G547="5/24"),((база!$M$6*2*Таблица1[[#This Row],[Столбец1]]*Таблица1[[#This Row],[коэф]])),
IF(OR(G547="4/24",G547="3/24"),((база!$M$5*2*Таблица1[[#This Row],[Столбец1]]*Таблица1[[#This Row],[коэф]])),
IF((G547="5/16"),((база!$L$6*2*Таблица1[[#This Row],[Столбец1]]*Таблица1[[#This Row],[коэф]])),
IF(OR(G547="4/16",G547="3/16"),((база!$L$5*2*Таблица1[[#This Row],[Столбец1]]*Таблица1[[#This Row],[коэф]])),
IF(OR(G547="2/4",G547="3/4",G547="4/4"),((база!$I$5*2*Таблица1[[#This Row],[Столбец1]]*Таблица1[[#This Row],[коэф]])),
IF((G547="5/8"),((база!$J$6*2*Таблица1[[#This Row],[Столбец1]]*Таблица1[[#This Row],[коэф]])),
IF(OR(G547="4/8",G547="3/8",G547="2/8"),((база!$J$5*2*Таблица1[[#This Row],[Столбец1]]*Таблица1[[#This Row],[коэф]])))))))))))</f>
        <v>0</v>
      </c>
      <c r="AQ547" s="678" t="str">
        <f>IFERROR(INDEX(база!T:T, MATCH(F547,база!Q:Q,0)),"")</f>
        <v/>
      </c>
      <c r="AR547" s="193">
        <f>IFERROR(INDEX(база!D:D, MATCH(F547,база!B:B,0)),"")</f>
        <v>0</v>
      </c>
    </row>
    <row r="548" spans="1:44" ht="15">
      <c r="A548" s="59"/>
      <c r="B548" s="215"/>
      <c r="C548" s="54"/>
      <c r="D548" s="55"/>
      <c r="E548" s="196"/>
      <c r="F548" s="651"/>
      <c r="G548" s="42"/>
      <c r="H548" s="539"/>
      <c r="I548" s="539"/>
      <c r="J548" s="539"/>
      <c r="K548" s="539"/>
      <c r="L548" s="539"/>
      <c r="M548" s="539"/>
      <c r="N548" s="539"/>
      <c r="O548" s="539"/>
      <c r="P548" s="278"/>
      <c r="Q548" s="539"/>
      <c r="R548" s="539"/>
      <c r="S548" s="539"/>
      <c r="T548" s="539"/>
      <c r="U548" s="539"/>
      <c r="V548" s="539"/>
      <c r="W548" s="539"/>
      <c r="X548" s="539"/>
      <c r="Y548" s="539"/>
      <c r="Z548" s="539"/>
      <c r="AA548" s="539"/>
      <c r="AB548" s="539"/>
      <c r="AC548" s="539"/>
      <c r="AD548" s="43"/>
      <c r="AE548" s="43"/>
      <c r="AF548" s="238"/>
      <c r="AG548" s="43"/>
      <c r="AH548" s="43"/>
      <c r="AI548" s="43"/>
      <c r="AJ548" s="43"/>
      <c r="AK548" s="43"/>
      <c r="AL548" s="45"/>
      <c r="AM548" s="197">
        <f>IF(AQ548=1,SUM(H548:I548,L548:O548,R548:U548,X548:AA548,AD548:AG548,AI548:AK548),
IF(AQ548=2,SUM(H548:K548,N548:Q548,T548:W548,Z548:AC548,AF548:AI548),
IF(AQ548=3,SUM(J548:M548,P548:S548,V548:Y548,AB548:AE548,AH548:AK548),SUM(Таблица1[[#This Row],[1]:[31]])-Таблица1[[#This Row],[Столбец1]])))</f>
        <v>0</v>
      </c>
      <c r="AN548" s="269">
        <f t="array" ref="AN548">IF(AQ548=1,SUM(J548:K548,P548:Q548,V548:W548,AB548:AC548,AH548:AI548),
IF(AQ548=2,SUM(L548:M548,R548:S548,X548:Y548,AD548:AE548),
IF(AQ548=3,SUM(H548:I548,N548:O548,T548:U548,Z548:AA548,AF548:AG548),
SUM(IFERROR(WEEKDAY($H$2:$AL$2,2)&gt;5,)*H548:AL548))))</f>
        <v>0</v>
      </c>
      <c r="AO548" s="271" t="b">
        <f>IF(AR548&lt;=3,(IF((G548="5/24"),((база!$M$6*Таблица1[[#This Row],[сумма]]*Таблица1[[#This Row],[коэф]])),
IF((G548="4/24"),((база!$M$5*Таблица1[[#This Row],[сумма]]*Таблица1[[#This Row],[коэф]])),
IF((G548="3/24"),((база!$M$4*Таблица1[[#This Row],[сумма]]*Таблица1[[#This Row],[коэф]])),
IF((G548="5/16"),((база!$L$6*Таблица1[[#This Row],[сумма]]*Таблица1[[#This Row],[коэф]])),
IF((G548="4/16"),((база!$L$5*Таблица1[[#This Row],[сумма]]*Таблица1[[#This Row],[коэф]])),
IF((G548="3/16"),((база!$L$4*Таблица1[[#This Row],[сумма]]*Таблица1[[#This Row],[коэф]])),
IF((G548="4/4"),((база!$I$5*Таблица1[[#This Row],[сумма]]*Таблица1[[#This Row],[коэф]])),
IF(OR(G548="2/4",G548="3/4"),((база!$I$4*Таблица1[[#This Row],[сумма]]*Таблица1[[#This Row],[коэф]])),
IF((G548="5/8"),((база!$J$6*Таблица1[[#This Row],[сумма]]*Таблица1[[#This Row],[коэф]])),
IF((G548="4/8"),((база!$J$5*Таблица1[[#This Row],[сумма]]*Таблица1[[#This Row],[коэф]])),
IF(OR(G548="3/8",G548="2/8"),((база!$J$4*Таблица1[[#This Row],[сумма]]*Таблица1[[#This Row],[коэф]])))))))))))))),
(IF((G548="5/24"),((база!$M$6*Таблица1[[#This Row],[сумма]]*Таблица1[[#This Row],[коэф]])),
IF(OR(G548="4/24",G548="3/24"),((база!$M$5*Таблица1[[#This Row],[сумма]]*Таблица1[[#This Row],[коэф]])),
IF((G548="5/16"),((база!$L$6*Таблица1[[#This Row],[сумма]]*Таблица1[[#This Row],[коэф]])),
IF(OR(G548="4/16",G548="3/16"),((база!$L$5*Таблица1[[#This Row],[сумма]]*Таблица1[[#This Row],[коэф]])),
IF(OR(G548="2/4",G548="3/4",G548="4/4"),((база!$I$5*Таблица1[[#This Row],[сумма]]*Таблица1[[#This Row],[коэф]])),
IF((G548="5/8"),((база!$J$6*Таблица1[[#This Row],[сумма]]*Таблица1[[#This Row],[коэф]])),
IF(OR(G548="4/8",G548="3/8",G548="2/8"),((база!$J$5*Таблица1[[#This Row],[сумма]]*Таблица1[[#This Row],[коэф]])))))))))))</f>
        <v>0</v>
      </c>
      <c r="AP548" s="696" t="b">
        <f>IF(AR548&lt;=3,(IF((G548="5/24"),((база!$M$6*2*Таблица1[[#This Row],[Столбец1]]*Таблица1[[#This Row],[коэф]])),
IF((G548="4/24"),((база!$M$5*2*Таблица1[[#This Row],[Столбец1]]*Таблица1[[#This Row],[коэф]])),
IF((G548="3/24"),((база!$M$4*2*Таблица1[[#This Row],[Столбец1]]*Таблица1[[#This Row],[коэф]])),
IF((G548="5/16"),((база!$L$6*2*Таблица1[[#This Row],[Столбец1]]*Таблица1[[#This Row],[коэф]])),
IF((G548="4/16"),((база!$L$5*2*Таблица1[[#This Row],[Столбец1]]*Таблица1[[#This Row],[коэф]])),
IF((G548="3/16"),((база!$L$4*2*Таблица1[[#This Row],[Столбец1]]*Таблица1[[#This Row],[коэф]])),
IF((G548="4/4"),((база!$I$5*2*Таблица1[[#This Row],[Столбец1]]*Таблица1[[#This Row],[коэф]])),
IF(OR(G548="2/4",G548="3/4"),((база!$I$4*2*Таблица1[[#This Row],[Столбец1]]*Таблица1[[#This Row],[коэф]])),
IF((G548="5/8"),((база!$J$6*2*Таблица1[[#This Row],[Столбец1]]*Таблица1[[#This Row],[коэф]])),
IF((G548="4/8"),((база!$J$5*2*Таблица1[[#This Row],[Столбец1]]*Таблица1[[#This Row],[коэф]])),
IF(OR(G548="3/8",G548="2/8"),((база!$J$4*2*Таблица1[[#This Row],[Столбец1]]*Таблица1[[#This Row],[коэф]])))))))))))))),
(IF((G548="5/24"),((база!$M$6*2*Таблица1[[#This Row],[Столбец1]]*Таблица1[[#This Row],[коэф]])),
IF(OR(G548="4/24",G548="3/24"),((база!$M$5*2*Таблица1[[#This Row],[Столбец1]]*Таблица1[[#This Row],[коэф]])),
IF((G548="5/16"),((база!$L$6*2*Таблица1[[#This Row],[Столбец1]]*Таблица1[[#This Row],[коэф]])),
IF(OR(G548="4/16",G548="3/16"),((база!$L$5*2*Таблица1[[#This Row],[Столбец1]]*Таблица1[[#This Row],[коэф]])),
IF(OR(G548="2/4",G548="3/4",G548="4/4"),((база!$I$5*2*Таблица1[[#This Row],[Столбец1]]*Таблица1[[#This Row],[коэф]])),
IF((G548="5/8"),((база!$J$6*2*Таблица1[[#This Row],[Столбец1]]*Таблица1[[#This Row],[коэф]])),
IF(OR(G548="4/8",G548="3/8",G548="2/8"),((база!$J$5*2*Таблица1[[#This Row],[Столбец1]]*Таблица1[[#This Row],[коэф]])))))))))))</f>
        <v>0</v>
      </c>
      <c r="AQ548" s="678" t="str">
        <f>IFERROR(INDEX(база!T:T, MATCH(F548,база!Q:Q,0)),"")</f>
        <v/>
      </c>
      <c r="AR548" s="193">
        <f>IFERROR(INDEX(база!D:D, MATCH(F548,база!B:B,0)),"")</f>
        <v>0</v>
      </c>
    </row>
    <row r="549" spans="1:44" ht="15">
      <c r="A549" s="59"/>
      <c r="B549" s="215"/>
      <c r="C549" s="277"/>
      <c r="D549" s="55"/>
      <c r="E549" s="196"/>
      <c r="F549" s="651"/>
      <c r="G549" s="42"/>
      <c r="H549" s="539"/>
      <c r="I549" s="539"/>
      <c r="J549" s="539"/>
      <c r="K549" s="539"/>
      <c r="L549" s="539"/>
      <c r="M549" s="539"/>
      <c r="N549" s="539"/>
      <c r="O549" s="539"/>
      <c r="P549" s="278"/>
      <c r="Q549" s="539"/>
      <c r="R549" s="539"/>
      <c r="S549" s="539"/>
      <c r="T549" s="539"/>
      <c r="U549" s="539"/>
      <c r="V549" s="539"/>
      <c r="W549" s="539"/>
      <c r="X549" s="539"/>
      <c r="Y549" s="539"/>
      <c r="Z549" s="539"/>
      <c r="AA549" s="539"/>
      <c r="AB549" s="539"/>
      <c r="AC549" s="539"/>
      <c r="AD549" s="43"/>
      <c r="AE549" s="43"/>
      <c r="AF549" s="238"/>
      <c r="AG549" s="43"/>
      <c r="AH549" s="43"/>
      <c r="AI549" s="238"/>
      <c r="AJ549" s="238"/>
      <c r="AK549" s="238"/>
      <c r="AL549" s="238"/>
      <c r="AM549" s="197">
        <f>IF(AQ549=1,SUM(H549:I549,L549:O549,R549:U549,X549:AA549,AD549:AG549,AI549:AK549),
IF(AQ549=2,SUM(H549:K549,N549:Q549,T549:W549,Z549:AC549,AF549:AI549),
IF(AQ549=3,SUM(J549:M549,P549:S549,V549:Y549,AB549:AE549,AH549:AK549),SUM(Таблица1[[#This Row],[1]:[31]])-Таблица1[[#This Row],[Столбец1]])))</f>
        <v>0</v>
      </c>
      <c r="AN549" s="269">
        <f t="array" ref="AN549">IF(AQ549=1,SUM(J549:K549,P549:Q549,V549:W549,AB549:AC549,AH549:AI549),
IF(AQ549=2,SUM(L549:M549,R549:S549,X549:Y549,AD549:AE549),
IF(AQ549=3,SUM(H549:I549,N549:O549,T549:U549,Z549:AA549,AF549:AG549),
SUM(IFERROR(WEEKDAY($H$2:$AL$2,2)&gt;5,)*H549:AL549))))</f>
        <v>0</v>
      </c>
      <c r="AO549" s="271" t="b">
        <f>IF(AR549&lt;=3,(IF((G549="5/24"),((база!$M$6*Таблица1[[#This Row],[сумма]]*Таблица1[[#This Row],[коэф]])),
IF((G549="4/24"),((база!$M$5*Таблица1[[#This Row],[сумма]]*Таблица1[[#This Row],[коэф]])),
IF((G549="3/24"),((база!$M$4*Таблица1[[#This Row],[сумма]]*Таблица1[[#This Row],[коэф]])),
IF((G549="5/16"),((база!$L$6*Таблица1[[#This Row],[сумма]]*Таблица1[[#This Row],[коэф]])),
IF((G549="4/16"),((база!$L$5*Таблица1[[#This Row],[сумма]]*Таблица1[[#This Row],[коэф]])),
IF((G549="3/16"),((база!$L$4*Таблица1[[#This Row],[сумма]]*Таблица1[[#This Row],[коэф]])),
IF((G549="4/4"),((база!$I$5*Таблица1[[#This Row],[сумма]]*Таблица1[[#This Row],[коэф]])),
IF(OR(G549="2/4",G549="3/4"),((база!$I$4*Таблица1[[#This Row],[сумма]]*Таблица1[[#This Row],[коэф]])),
IF((G549="5/8"),((база!$J$6*Таблица1[[#This Row],[сумма]]*Таблица1[[#This Row],[коэф]])),
IF((G549="4/8"),((база!$J$5*Таблица1[[#This Row],[сумма]]*Таблица1[[#This Row],[коэф]])),
IF(OR(G549="3/8",G549="2/8"),((база!$J$4*Таблица1[[#This Row],[сумма]]*Таблица1[[#This Row],[коэф]])))))))))))))),
(IF((G549="5/24"),((база!$M$6*Таблица1[[#This Row],[сумма]]*Таблица1[[#This Row],[коэф]])),
IF(OR(G549="4/24",G549="3/24"),((база!$M$5*Таблица1[[#This Row],[сумма]]*Таблица1[[#This Row],[коэф]])),
IF((G549="5/16"),((база!$L$6*Таблица1[[#This Row],[сумма]]*Таблица1[[#This Row],[коэф]])),
IF(OR(G549="4/16",G549="3/16"),((база!$L$5*Таблица1[[#This Row],[сумма]]*Таблица1[[#This Row],[коэф]])),
IF(OR(G549="2/4",G549="3/4",G549="4/4"),((база!$I$5*Таблица1[[#This Row],[сумма]]*Таблица1[[#This Row],[коэф]])),
IF((G549="5/8"),((база!$J$6*Таблица1[[#This Row],[сумма]]*Таблица1[[#This Row],[коэф]])),
IF(OR(G549="4/8",G549="3/8",G549="2/8"),((база!$J$5*Таблица1[[#This Row],[сумма]]*Таблица1[[#This Row],[коэф]])))))))))))</f>
        <v>0</v>
      </c>
      <c r="AP549" s="696" t="b">
        <f>IF(AR549&lt;=3,(IF((G549="5/24"),((база!$M$6*2*Таблица1[[#This Row],[Столбец1]]*Таблица1[[#This Row],[коэф]])),
IF((G549="4/24"),((база!$M$5*2*Таблица1[[#This Row],[Столбец1]]*Таблица1[[#This Row],[коэф]])),
IF((G549="3/24"),((база!$M$4*2*Таблица1[[#This Row],[Столбец1]]*Таблица1[[#This Row],[коэф]])),
IF((G549="5/16"),((база!$L$6*2*Таблица1[[#This Row],[Столбец1]]*Таблица1[[#This Row],[коэф]])),
IF((G549="4/16"),((база!$L$5*2*Таблица1[[#This Row],[Столбец1]]*Таблица1[[#This Row],[коэф]])),
IF((G549="3/16"),((база!$L$4*2*Таблица1[[#This Row],[Столбец1]]*Таблица1[[#This Row],[коэф]])),
IF((G549="4/4"),((база!$I$5*2*Таблица1[[#This Row],[Столбец1]]*Таблица1[[#This Row],[коэф]])),
IF(OR(G549="2/4",G549="3/4"),((база!$I$4*2*Таблица1[[#This Row],[Столбец1]]*Таблица1[[#This Row],[коэф]])),
IF((G549="5/8"),((база!$J$6*2*Таблица1[[#This Row],[Столбец1]]*Таблица1[[#This Row],[коэф]])),
IF((G549="4/8"),((база!$J$5*2*Таблица1[[#This Row],[Столбец1]]*Таблица1[[#This Row],[коэф]])),
IF(OR(G549="3/8",G549="2/8"),((база!$J$4*2*Таблица1[[#This Row],[Столбец1]]*Таблица1[[#This Row],[коэф]])))))))))))))),
(IF((G549="5/24"),((база!$M$6*2*Таблица1[[#This Row],[Столбец1]]*Таблица1[[#This Row],[коэф]])),
IF(OR(G549="4/24",G549="3/24"),((база!$M$5*2*Таблица1[[#This Row],[Столбец1]]*Таблица1[[#This Row],[коэф]])),
IF((G549="5/16"),((база!$L$6*2*Таблица1[[#This Row],[Столбец1]]*Таблица1[[#This Row],[коэф]])),
IF(OR(G549="4/16",G549="3/16"),((база!$L$5*2*Таблица1[[#This Row],[Столбец1]]*Таблица1[[#This Row],[коэф]])),
IF(OR(G549="2/4",G549="3/4",G549="4/4"),((база!$I$5*2*Таблица1[[#This Row],[Столбец1]]*Таблица1[[#This Row],[коэф]])),
IF((G549="5/8"),((база!$J$6*2*Таблица1[[#This Row],[Столбец1]]*Таблица1[[#This Row],[коэф]])),
IF(OR(G549="4/8",G549="3/8",G549="2/8"),((база!$J$5*2*Таблица1[[#This Row],[Столбец1]]*Таблица1[[#This Row],[коэф]])))))))))))</f>
        <v>0</v>
      </c>
      <c r="AQ549" s="678" t="str">
        <f>IFERROR(INDEX(база!T:T, MATCH(F549,база!Q:Q,0)),"")</f>
        <v/>
      </c>
      <c r="AR549" s="193">
        <f>IFERROR(INDEX(база!D:D, MATCH(F549,база!B:B,0)),"")</f>
        <v>0</v>
      </c>
    </row>
    <row r="550" spans="1:44" ht="15">
      <c r="A550" s="59"/>
      <c r="B550" s="215"/>
      <c r="C550" s="277"/>
      <c r="D550" s="55"/>
      <c r="E550" s="196"/>
      <c r="F550" s="651"/>
      <c r="G550" s="42"/>
      <c r="H550" s="539"/>
      <c r="I550" s="539"/>
      <c r="J550" s="539"/>
      <c r="K550" s="539"/>
      <c r="L550" s="539"/>
      <c r="M550" s="539"/>
      <c r="N550" s="539"/>
      <c r="O550" s="539"/>
      <c r="P550" s="278"/>
      <c r="Q550" s="539"/>
      <c r="R550" s="539"/>
      <c r="S550" s="539"/>
      <c r="T550" s="539"/>
      <c r="U550" s="539"/>
      <c r="V550" s="539"/>
      <c r="W550" s="539"/>
      <c r="X550" s="539"/>
      <c r="Y550" s="539"/>
      <c r="Z550" s="539"/>
      <c r="AA550" s="539"/>
      <c r="AB550" s="539"/>
      <c r="AC550" s="539"/>
      <c r="AD550" s="43"/>
      <c r="AE550" s="43"/>
      <c r="AF550" s="238"/>
      <c r="AG550" s="43"/>
      <c r="AH550" s="43"/>
      <c r="AI550" s="43"/>
      <c r="AJ550" s="43"/>
      <c r="AK550" s="43"/>
      <c r="AL550" s="45"/>
      <c r="AM550" s="197">
        <f>IF(AQ550=1,SUM(H550:I550,L550:O550,R550:U550,X550:AA550,AD550:AG550,AI550:AK550),
IF(AQ550=2,SUM(H550:K550,N550:Q550,T550:W550,Z550:AC550,AF550:AI550),
IF(AQ550=3,SUM(J550:M550,P550:S550,V550:Y550,AB550:AE550,AH550:AK550),SUM(Таблица1[[#This Row],[1]:[31]])-Таблица1[[#This Row],[Столбец1]])))</f>
        <v>0</v>
      </c>
      <c r="AN550" s="269">
        <f t="array" ref="AN550">IF(AQ550=1,SUM(J550:K550,P550:Q550,V550:W550,AB550:AC550,AH550:AI550),
IF(AQ550=2,SUM(L550:M550,R550:S550,X550:Y550,AD550:AE550),
IF(AQ550=3,SUM(H550:I550,N550:O550,T550:U550,Z550:AA550,AF550:AG550),
SUM(IFERROR(WEEKDAY($H$2:$AL$2,2)&gt;5,)*H550:AL550))))</f>
        <v>0</v>
      </c>
      <c r="AO550" s="271" t="b">
        <f>IF(AR550&lt;=3,(IF((G550="5/24"),((база!$M$6*Таблица1[[#This Row],[сумма]]*Таблица1[[#This Row],[коэф]])),
IF((G550="4/24"),((база!$M$5*Таблица1[[#This Row],[сумма]]*Таблица1[[#This Row],[коэф]])),
IF((G550="3/24"),((база!$M$4*Таблица1[[#This Row],[сумма]]*Таблица1[[#This Row],[коэф]])),
IF((G550="5/16"),((база!$L$6*Таблица1[[#This Row],[сумма]]*Таблица1[[#This Row],[коэф]])),
IF((G550="4/16"),((база!$L$5*Таблица1[[#This Row],[сумма]]*Таблица1[[#This Row],[коэф]])),
IF((G550="3/16"),((база!$L$4*Таблица1[[#This Row],[сумма]]*Таблица1[[#This Row],[коэф]])),
IF((G550="4/4"),((база!$I$5*Таблица1[[#This Row],[сумма]]*Таблица1[[#This Row],[коэф]])),
IF(OR(G550="2/4",G550="3/4"),((база!$I$4*Таблица1[[#This Row],[сумма]]*Таблица1[[#This Row],[коэф]])),
IF((G550="5/8"),((база!$J$6*Таблица1[[#This Row],[сумма]]*Таблица1[[#This Row],[коэф]])),
IF((G550="4/8"),((база!$J$5*Таблица1[[#This Row],[сумма]]*Таблица1[[#This Row],[коэф]])),
IF(OR(G550="3/8",G550="2/8"),((база!$J$4*Таблица1[[#This Row],[сумма]]*Таблица1[[#This Row],[коэф]])))))))))))))),
(IF((G550="5/24"),((база!$M$6*Таблица1[[#This Row],[сумма]]*Таблица1[[#This Row],[коэф]])),
IF(OR(G550="4/24",G550="3/24"),((база!$M$5*Таблица1[[#This Row],[сумма]]*Таблица1[[#This Row],[коэф]])),
IF((G550="5/16"),((база!$L$6*Таблица1[[#This Row],[сумма]]*Таблица1[[#This Row],[коэф]])),
IF(OR(G550="4/16",G550="3/16"),((база!$L$5*Таблица1[[#This Row],[сумма]]*Таблица1[[#This Row],[коэф]])),
IF(OR(G550="2/4",G550="3/4",G550="4/4"),((база!$I$5*Таблица1[[#This Row],[сумма]]*Таблица1[[#This Row],[коэф]])),
IF((G550="5/8"),((база!$J$6*Таблица1[[#This Row],[сумма]]*Таблица1[[#This Row],[коэф]])),
IF(OR(G550="4/8",G550="3/8",G550="2/8"),((база!$J$5*Таблица1[[#This Row],[сумма]]*Таблица1[[#This Row],[коэф]])))))))))))</f>
        <v>0</v>
      </c>
      <c r="AP550" s="696" t="b">
        <f>IF(AR550&lt;=3,(IF((G550="5/24"),((база!$M$6*2*Таблица1[[#This Row],[Столбец1]]*Таблица1[[#This Row],[коэф]])),
IF((G550="4/24"),((база!$M$5*2*Таблица1[[#This Row],[Столбец1]]*Таблица1[[#This Row],[коэф]])),
IF((G550="3/24"),((база!$M$4*2*Таблица1[[#This Row],[Столбец1]]*Таблица1[[#This Row],[коэф]])),
IF((G550="5/16"),((база!$L$6*2*Таблица1[[#This Row],[Столбец1]]*Таблица1[[#This Row],[коэф]])),
IF((G550="4/16"),((база!$L$5*2*Таблица1[[#This Row],[Столбец1]]*Таблица1[[#This Row],[коэф]])),
IF((G550="3/16"),((база!$L$4*2*Таблица1[[#This Row],[Столбец1]]*Таблица1[[#This Row],[коэф]])),
IF((G550="4/4"),((база!$I$5*2*Таблица1[[#This Row],[Столбец1]]*Таблица1[[#This Row],[коэф]])),
IF(OR(G550="2/4",G550="3/4"),((база!$I$4*2*Таблица1[[#This Row],[Столбец1]]*Таблица1[[#This Row],[коэф]])),
IF((G550="5/8"),((база!$J$6*2*Таблица1[[#This Row],[Столбец1]]*Таблица1[[#This Row],[коэф]])),
IF((G550="4/8"),((база!$J$5*2*Таблица1[[#This Row],[Столбец1]]*Таблица1[[#This Row],[коэф]])),
IF(OR(G550="3/8",G550="2/8"),((база!$J$4*2*Таблица1[[#This Row],[Столбец1]]*Таблица1[[#This Row],[коэф]])))))))))))))),
(IF((G550="5/24"),((база!$M$6*2*Таблица1[[#This Row],[Столбец1]]*Таблица1[[#This Row],[коэф]])),
IF(OR(G550="4/24",G550="3/24"),((база!$M$5*2*Таблица1[[#This Row],[Столбец1]]*Таблица1[[#This Row],[коэф]])),
IF((G550="5/16"),((база!$L$6*2*Таблица1[[#This Row],[Столбец1]]*Таблица1[[#This Row],[коэф]])),
IF(OR(G550="4/16",G550="3/16"),((база!$L$5*2*Таблица1[[#This Row],[Столбец1]]*Таблица1[[#This Row],[коэф]])),
IF(OR(G550="2/4",G550="3/4",G550="4/4"),((база!$I$5*2*Таблица1[[#This Row],[Столбец1]]*Таблица1[[#This Row],[коэф]])),
IF((G550="5/8"),((база!$J$6*2*Таблица1[[#This Row],[Столбец1]]*Таблица1[[#This Row],[коэф]])),
IF(OR(G550="4/8",G550="3/8",G550="2/8"),((база!$J$5*2*Таблица1[[#This Row],[Столбец1]]*Таблица1[[#This Row],[коэф]])))))))))))</f>
        <v>0</v>
      </c>
      <c r="AQ550" s="678" t="str">
        <f>IFERROR(INDEX(база!T:T, MATCH(F550,база!Q:Q,0)),"")</f>
        <v/>
      </c>
      <c r="AR550" s="193">
        <f>IFERROR(INDEX(база!D:D, MATCH(F550,база!B:B,0)),"")</f>
        <v>0</v>
      </c>
    </row>
    <row r="551" spans="1:44" ht="15">
      <c r="A551" s="59"/>
      <c r="B551" s="215"/>
      <c r="C551" s="277"/>
      <c r="D551" s="55"/>
      <c r="E551" s="196"/>
      <c r="F551" s="651"/>
      <c r="G551" s="42"/>
      <c r="H551" s="539"/>
      <c r="I551" s="539"/>
      <c r="J551" s="539"/>
      <c r="K551" s="539"/>
      <c r="L551" s="539"/>
      <c r="M551" s="539"/>
      <c r="N551" s="539"/>
      <c r="O551" s="539"/>
      <c r="P551" s="278"/>
      <c r="Q551" s="539"/>
      <c r="R551" s="539"/>
      <c r="S551" s="539"/>
      <c r="T551" s="539"/>
      <c r="U551" s="539"/>
      <c r="V551" s="539"/>
      <c r="W551" s="539"/>
      <c r="X551" s="539"/>
      <c r="Y551" s="539"/>
      <c r="Z551" s="539"/>
      <c r="AA551" s="539"/>
      <c r="AB551" s="539"/>
      <c r="AC551" s="539"/>
      <c r="AD551" s="43"/>
      <c r="AE551" s="43"/>
      <c r="AF551" s="238"/>
      <c r="AG551" s="43"/>
      <c r="AH551" s="43"/>
      <c r="AI551" s="238"/>
      <c r="AJ551" s="238"/>
      <c r="AK551" s="238"/>
      <c r="AL551" s="238"/>
      <c r="AM551" s="197">
        <f>IF(AQ551=1,SUM(H551:I551,L551:O551,R551:U551,X551:AA551,AD551:AG551,AI551:AK551),
IF(AQ551=2,SUM(H551:K551,N551:Q551,T551:W551,Z551:AC551,AF551:AI551),
IF(AQ551=3,SUM(J551:M551,P551:S551,V551:Y551,AB551:AE551,AH551:AK551),SUM(Таблица1[[#This Row],[1]:[31]])-Таблица1[[#This Row],[Столбец1]])))</f>
        <v>0</v>
      </c>
      <c r="AN551" s="269">
        <f t="array" ref="AN551">IF(AQ551=1,SUM(J551:K551,P551:Q551,V551:W551,AB551:AC551,AH551:AI551),
IF(AQ551=2,SUM(L551:M551,R551:S551,X551:Y551,AD551:AE551),
IF(AQ551=3,SUM(H551:I551,N551:O551,T551:U551,Z551:AA551,AF551:AG551),
SUM(IFERROR(WEEKDAY($H$2:$AL$2,2)&gt;5,)*H551:AL551))))</f>
        <v>0</v>
      </c>
      <c r="AO551" s="271" t="b">
        <f>IF(AR551&lt;=3,(IF((G551="5/24"),((база!$M$6*Таблица1[[#This Row],[сумма]]*Таблица1[[#This Row],[коэф]])),
IF((G551="4/24"),((база!$M$5*Таблица1[[#This Row],[сумма]]*Таблица1[[#This Row],[коэф]])),
IF((G551="3/24"),((база!$M$4*Таблица1[[#This Row],[сумма]]*Таблица1[[#This Row],[коэф]])),
IF((G551="5/16"),((база!$L$6*Таблица1[[#This Row],[сумма]]*Таблица1[[#This Row],[коэф]])),
IF((G551="4/16"),((база!$L$5*Таблица1[[#This Row],[сумма]]*Таблица1[[#This Row],[коэф]])),
IF((G551="3/16"),((база!$L$4*Таблица1[[#This Row],[сумма]]*Таблица1[[#This Row],[коэф]])),
IF((G551="4/4"),((база!$I$5*Таблица1[[#This Row],[сумма]]*Таблица1[[#This Row],[коэф]])),
IF(OR(G551="2/4",G551="3/4"),((база!$I$4*Таблица1[[#This Row],[сумма]]*Таблица1[[#This Row],[коэф]])),
IF((G551="5/8"),((база!$J$6*Таблица1[[#This Row],[сумма]]*Таблица1[[#This Row],[коэф]])),
IF((G551="4/8"),((база!$J$5*Таблица1[[#This Row],[сумма]]*Таблица1[[#This Row],[коэф]])),
IF(OR(G551="3/8",G551="2/8"),((база!$J$4*Таблица1[[#This Row],[сумма]]*Таблица1[[#This Row],[коэф]])))))))))))))),
(IF((G551="5/24"),((база!$M$6*Таблица1[[#This Row],[сумма]]*Таблица1[[#This Row],[коэф]])),
IF(OR(G551="4/24",G551="3/24"),((база!$M$5*Таблица1[[#This Row],[сумма]]*Таблица1[[#This Row],[коэф]])),
IF((G551="5/16"),((база!$L$6*Таблица1[[#This Row],[сумма]]*Таблица1[[#This Row],[коэф]])),
IF(OR(G551="4/16",G551="3/16"),((база!$L$5*Таблица1[[#This Row],[сумма]]*Таблица1[[#This Row],[коэф]])),
IF(OR(G551="2/4",G551="3/4",G551="4/4"),((база!$I$5*Таблица1[[#This Row],[сумма]]*Таблица1[[#This Row],[коэф]])),
IF((G551="5/8"),((база!$J$6*Таблица1[[#This Row],[сумма]]*Таблица1[[#This Row],[коэф]])),
IF(OR(G551="4/8",G551="3/8",G551="2/8"),((база!$J$5*Таблица1[[#This Row],[сумма]]*Таблица1[[#This Row],[коэф]])))))))))))</f>
        <v>0</v>
      </c>
      <c r="AP551" s="696" t="b">
        <f>IF(AR551&lt;=3,(IF((G551="5/24"),((база!$M$6*2*Таблица1[[#This Row],[Столбец1]]*Таблица1[[#This Row],[коэф]])),
IF((G551="4/24"),((база!$M$5*2*Таблица1[[#This Row],[Столбец1]]*Таблица1[[#This Row],[коэф]])),
IF((G551="3/24"),((база!$M$4*2*Таблица1[[#This Row],[Столбец1]]*Таблица1[[#This Row],[коэф]])),
IF((G551="5/16"),((база!$L$6*2*Таблица1[[#This Row],[Столбец1]]*Таблица1[[#This Row],[коэф]])),
IF((G551="4/16"),((база!$L$5*2*Таблица1[[#This Row],[Столбец1]]*Таблица1[[#This Row],[коэф]])),
IF((G551="3/16"),((база!$L$4*2*Таблица1[[#This Row],[Столбец1]]*Таблица1[[#This Row],[коэф]])),
IF((G551="4/4"),((база!$I$5*2*Таблица1[[#This Row],[Столбец1]]*Таблица1[[#This Row],[коэф]])),
IF(OR(G551="2/4",G551="3/4"),((база!$I$4*2*Таблица1[[#This Row],[Столбец1]]*Таблица1[[#This Row],[коэф]])),
IF((G551="5/8"),((база!$J$6*2*Таблица1[[#This Row],[Столбец1]]*Таблица1[[#This Row],[коэф]])),
IF((G551="4/8"),((база!$J$5*2*Таблица1[[#This Row],[Столбец1]]*Таблица1[[#This Row],[коэф]])),
IF(OR(G551="3/8",G551="2/8"),((база!$J$4*2*Таблица1[[#This Row],[Столбец1]]*Таблица1[[#This Row],[коэф]])))))))))))))),
(IF((G551="5/24"),((база!$M$6*2*Таблица1[[#This Row],[Столбец1]]*Таблица1[[#This Row],[коэф]])),
IF(OR(G551="4/24",G551="3/24"),((база!$M$5*2*Таблица1[[#This Row],[Столбец1]]*Таблица1[[#This Row],[коэф]])),
IF((G551="5/16"),((база!$L$6*2*Таблица1[[#This Row],[Столбец1]]*Таблица1[[#This Row],[коэф]])),
IF(OR(G551="4/16",G551="3/16"),((база!$L$5*2*Таблица1[[#This Row],[Столбец1]]*Таблица1[[#This Row],[коэф]])),
IF(OR(G551="2/4",G551="3/4",G551="4/4"),((база!$I$5*2*Таблица1[[#This Row],[Столбец1]]*Таблица1[[#This Row],[коэф]])),
IF((G551="5/8"),((база!$J$6*2*Таблица1[[#This Row],[Столбец1]]*Таблица1[[#This Row],[коэф]])),
IF(OR(G551="4/8",G551="3/8",G551="2/8"),((база!$J$5*2*Таблица1[[#This Row],[Столбец1]]*Таблица1[[#This Row],[коэф]])))))))))))</f>
        <v>0</v>
      </c>
      <c r="AQ551" s="678" t="str">
        <f>IFERROR(INDEX(база!T:T, MATCH(F551,база!Q:Q,0)),"")</f>
        <v/>
      </c>
      <c r="AR551" s="193">
        <f>IFERROR(INDEX(база!D:D, MATCH(F551,база!B:B,0)),"")</f>
        <v>0</v>
      </c>
    </row>
    <row r="552" spans="1:44" ht="15">
      <c r="A552" s="59"/>
      <c r="B552" s="215"/>
      <c r="C552" s="277"/>
      <c r="D552" s="55"/>
      <c r="E552" s="196"/>
      <c r="F552" s="651"/>
      <c r="G552" s="42"/>
      <c r="H552" s="539"/>
      <c r="I552" s="539"/>
      <c r="J552" s="539"/>
      <c r="K552" s="539"/>
      <c r="L552" s="539"/>
      <c r="M552" s="539"/>
      <c r="N552" s="539"/>
      <c r="O552" s="539"/>
      <c r="P552" s="278"/>
      <c r="Q552" s="539"/>
      <c r="R552" s="539"/>
      <c r="S552" s="539"/>
      <c r="T552" s="539"/>
      <c r="U552" s="539"/>
      <c r="V552" s="539"/>
      <c r="W552" s="539"/>
      <c r="X552" s="539"/>
      <c r="Y552" s="539"/>
      <c r="Z552" s="539"/>
      <c r="AA552" s="539"/>
      <c r="AB552" s="539"/>
      <c r="AC552" s="539"/>
      <c r="AD552" s="43"/>
      <c r="AE552" s="43"/>
      <c r="AF552" s="238"/>
      <c r="AG552" s="43"/>
      <c r="AH552" s="43"/>
      <c r="AI552" s="43"/>
      <c r="AJ552" s="43"/>
      <c r="AK552" s="43"/>
      <c r="AL552" s="45"/>
      <c r="AM552" s="197">
        <f>IF(AQ552=1,SUM(H552:I552,L552:O552,R552:U552,X552:AA552,AD552:AG552,AI552:AK552),
IF(AQ552=2,SUM(H552:K552,N552:Q552,T552:W552,Z552:AC552,AF552:AI552),
IF(AQ552=3,SUM(J552:M552,P552:S552,V552:Y552,AB552:AE552,AH552:AK552),SUM(Таблица1[[#This Row],[1]:[31]])-Таблица1[[#This Row],[Столбец1]])))</f>
        <v>0</v>
      </c>
      <c r="AN552" s="269">
        <f t="array" ref="AN552">IF(AQ552=1,SUM(J552:K552,P552:Q552,V552:W552,AB552:AC552,AH552:AI552),
IF(AQ552=2,SUM(L552:M552,R552:S552,X552:Y552,AD552:AE552),
IF(AQ552=3,SUM(H552:I552,N552:O552,T552:U552,Z552:AA552,AF552:AG552),
SUM(IFERROR(WEEKDAY($H$2:$AL$2,2)&gt;5,)*H552:AL552))))</f>
        <v>0</v>
      </c>
      <c r="AO552" s="271" t="b">
        <f>IF(AR552&lt;=3,(IF((G552="5/24"),((база!$M$6*Таблица1[[#This Row],[сумма]]*Таблица1[[#This Row],[коэф]])),
IF((G552="4/24"),((база!$M$5*Таблица1[[#This Row],[сумма]]*Таблица1[[#This Row],[коэф]])),
IF((G552="3/24"),((база!$M$4*Таблица1[[#This Row],[сумма]]*Таблица1[[#This Row],[коэф]])),
IF((G552="5/16"),((база!$L$6*Таблица1[[#This Row],[сумма]]*Таблица1[[#This Row],[коэф]])),
IF((G552="4/16"),((база!$L$5*Таблица1[[#This Row],[сумма]]*Таблица1[[#This Row],[коэф]])),
IF((G552="3/16"),((база!$L$4*Таблица1[[#This Row],[сумма]]*Таблица1[[#This Row],[коэф]])),
IF((G552="4/4"),((база!$I$5*Таблица1[[#This Row],[сумма]]*Таблица1[[#This Row],[коэф]])),
IF(OR(G552="2/4",G552="3/4"),((база!$I$4*Таблица1[[#This Row],[сумма]]*Таблица1[[#This Row],[коэф]])),
IF((G552="5/8"),((база!$J$6*Таблица1[[#This Row],[сумма]]*Таблица1[[#This Row],[коэф]])),
IF((G552="4/8"),((база!$J$5*Таблица1[[#This Row],[сумма]]*Таблица1[[#This Row],[коэф]])),
IF(OR(G552="3/8",G552="2/8"),((база!$J$4*Таблица1[[#This Row],[сумма]]*Таблица1[[#This Row],[коэф]])))))))))))))),
(IF((G552="5/24"),((база!$M$6*Таблица1[[#This Row],[сумма]]*Таблица1[[#This Row],[коэф]])),
IF(OR(G552="4/24",G552="3/24"),((база!$M$5*Таблица1[[#This Row],[сумма]]*Таблица1[[#This Row],[коэф]])),
IF((G552="5/16"),((база!$L$6*Таблица1[[#This Row],[сумма]]*Таблица1[[#This Row],[коэф]])),
IF(OR(G552="4/16",G552="3/16"),((база!$L$5*Таблица1[[#This Row],[сумма]]*Таблица1[[#This Row],[коэф]])),
IF(OR(G552="2/4",G552="3/4",G552="4/4"),((база!$I$5*Таблица1[[#This Row],[сумма]]*Таблица1[[#This Row],[коэф]])),
IF((G552="5/8"),((база!$J$6*Таблица1[[#This Row],[сумма]]*Таблица1[[#This Row],[коэф]])),
IF(OR(G552="4/8",G552="3/8",G552="2/8"),((база!$J$5*Таблица1[[#This Row],[сумма]]*Таблица1[[#This Row],[коэф]])))))))))))</f>
        <v>0</v>
      </c>
      <c r="AP552" s="696" t="b">
        <f>IF(AR552&lt;=3,(IF((G552="5/24"),((база!$M$6*2*Таблица1[[#This Row],[Столбец1]]*Таблица1[[#This Row],[коэф]])),
IF((G552="4/24"),((база!$M$5*2*Таблица1[[#This Row],[Столбец1]]*Таблица1[[#This Row],[коэф]])),
IF((G552="3/24"),((база!$M$4*2*Таблица1[[#This Row],[Столбец1]]*Таблица1[[#This Row],[коэф]])),
IF((G552="5/16"),((база!$L$6*2*Таблица1[[#This Row],[Столбец1]]*Таблица1[[#This Row],[коэф]])),
IF((G552="4/16"),((база!$L$5*2*Таблица1[[#This Row],[Столбец1]]*Таблица1[[#This Row],[коэф]])),
IF((G552="3/16"),((база!$L$4*2*Таблица1[[#This Row],[Столбец1]]*Таблица1[[#This Row],[коэф]])),
IF((G552="4/4"),((база!$I$5*2*Таблица1[[#This Row],[Столбец1]]*Таблица1[[#This Row],[коэф]])),
IF(OR(G552="2/4",G552="3/4"),((база!$I$4*2*Таблица1[[#This Row],[Столбец1]]*Таблица1[[#This Row],[коэф]])),
IF((G552="5/8"),((база!$J$6*2*Таблица1[[#This Row],[Столбец1]]*Таблица1[[#This Row],[коэф]])),
IF((G552="4/8"),((база!$J$5*2*Таблица1[[#This Row],[Столбец1]]*Таблица1[[#This Row],[коэф]])),
IF(OR(G552="3/8",G552="2/8"),((база!$J$4*2*Таблица1[[#This Row],[Столбец1]]*Таблица1[[#This Row],[коэф]])))))))))))))),
(IF((G552="5/24"),((база!$M$6*2*Таблица1[[#This Row],[Столбец1]]*Таблица1[[#This Row],[коэф]])),
IF(OR(G552="4/24",G552="3/24"),((база!$M$5*2*Таблица1[[#This Row],[Столбец1]]*Таблица1[[#This Row],[коэф]])),
IF((G552="5/16"),((база!$L$6*2*Таблица1[[#This Row],[Столбец1]]*Таблица1[[#This Row],[коэф]])),
IF(OR(G552="4/16",G552="3/16"),((база!$L$5*2*Таблица1[[#This Row],[Столбец1]]*Таблица1[[#This Row],[коэф]])),
IF(OR(G552="2/4",G552="3/4",G552="4/4"),((база!$I$5*2*Таблица1[[#This Row],[Столбец1]]*Таблица1[[#This Row],[коэф]])),
IF((G552="5/8"),((база!$J$6*2*Таблица1[[#This Row],[Столбец1]]*Таблица1[[#This Row],[коэф]])),
IF(OR(G552="4/8",G552="3/8",G552="2/8"),((база!$J$5*2*Таблица1[[#This Row],[Столбец1]]*Таблица1[[#This Row],[коэф]])))))))))))</f>
        <v>0</v>
      </c>
      <c r="AQ552" s="678" t="str">
        <f>IFERROR(INDEX(база!T:T, MATCH(F552,база!Q:Q,0)),"")</f>
        <v/>
      </c>
      <c r="AR552" s="193">
        <f>IFERROR(INDEX(база!D:D, MATCH(F552,база!B:B,0)),"")</f>
        <v>0</v>
      </c>
    </row>
    <row r="553" spans="1:44" ht="15">
      <c r="A553" s="59"/>
      <c r="B553" s="215"/>
      <c r="C553" s="277"/>
      <c r="D553" s="55"/>
      <c r="E553" s="196"/>
      <c r="F553" s="651"/>
      <c r="G553" s="42"/>
      <c r="H553" s="539"/>
      <c r="I553" s="539"/>
      <c r="J553" s="539"/>
      <c r="K553" s="539"/>
      <c r="L553" s="539"/>
      <c r="M553" s="539"/>
      <c r="N553" s="539"/>
      <c r="O553" s="539"/>
      <c r="P553" s="278"/>
      <c r="Q553" s="539"/>
      <c r="R553" s="539"/>
      <c r="S553" s="539"/>
      <c r="T553" s="539"/>
      <c r="U553" s="539"/>
      <c r="V553" s="539"/>
      <c r="W553" s="539"/>
      <c r="X553" s="539"/>
      <c r="Y553" s="539"/>
      <c r="Z553" s="539"/>
      <c r="AA553" s="539"/>
      <c r="AB553" s="539"/>
      <c r="AC553" s="539"/>
      <c r="AD553" s="43"/>
      <c r="AE553" s="43"/>
      <c r="AF553" s="238"/>
      <c r="AG553" s="43"/>
      <c r="AH553" s="43"/>
      <c r="AI553" s="238"/>
      <c r="AJ553" s="238"/>
      <c r="AK553" s="238"/>
      <c r="AL553" s="238"/>
      <c r="AM553" s="197">
        <f>IF(AQ553=1,SUM(H553:I553,L553:O553,R553:U553,X553:AA553,AD553:AG553,AI553:AK553),
IF(AQ553=2,SUM(H553:K553,N553:Q553,T553:W553,Z553:AC553,AF553:AI553),
IF(AQ553=3,SUM(J553:M553,P553:S553,V553:Y553,AB553:AE553,AH553:AK553),SUM(Таблица1[[#This Row],[1]:[31]])-Таблица1[[#This Row],[Столбец1]])))</f>
        <v>0</v>
      </c>
      <c r="AN553" s="269">
        <f t="array" ref="AN553">IF(AQ553=1,SUM(J553:K553,P553:Q553,V553:W553,AB553:AC553,AH553:AI553),
IF(AQ553=2,SUM(L553:M553,R553:S553,X553:Y553,AD553:AE553),
IF(AQ553=3,SUM(H553:I553,N553:O553,T553:U553,Z553:AA553,AF553:AG553),
SUM(IFERROR(WEEKDAY($H$2:$AL$2,2)&gt;5,)*H553:AL553))))</f>
        <v>0</v>
      </c>
      <c r="AO553" s="271" t="b">
        <f>IF(AR553&lt;=3,(IF((G553="5/24"),((база!$M$6*Таблица1[[#This Row],[сумма]]*Таблица1[[#This Row],[коэф]])),
IF((G553="4/24"),((база!$M$5*Таблица1[[#This Row],[сумма]]*Таблица1[[#This Row],[коэф]])),
IF((G553="3/24"),((база!$M$4*Таблица1[[#This Row],[сумма]]*Таблица1[[#This Row],[коэф]])),
IF((G553="5/16"),((база!$L$6*Таблица1[[#This Row],[сумма]]*Таблица1[[#This Row],[коэф]])),
IF((G553="4/16"),((база!$L$5*Таблица1[[#This Row],[сумма]]*Таблица1[[#This Row],[коэф]])),
IF((G553="3/16"),((база!$L$4*Таблица1[[#This Row],[сумма]]*Таблица1[[#This Row],[коэф]])),
IF((G553="4/4"),((база!$I$5*Таблица1[[#This Row],[сумма]]*Таблица1[[#This Row],[коэф]])),
IF(OR(G553="2/4",G553="3/4"),((база!$I$4*Таблица1[[#This Row],[сумма]]*Таблица1[[#This Row],[коэф]])),
IF((G553="5/8"),((база!$J$6*Таблица1[[#This Row],[сумма]]*Таблица1[[#This Row],[коэф]])),
IF((G553="4/8"),((база!$J$5*Таблица1[[#This Row],[сумма]]*Таблица1[[#This Row],[коэф]])),
IF(OR(G553="3/8",G553="2/8"),((база!$J$4*Таблица1[[#This Row],[сумма]]*Таблица1[[#This Row],[коэф]])))))))))))))),
(IF((G553="5/24"),((база!$M$6*Таблица1[[#This Row],[сумма]]*Таблица1[[#This Row],[коэф]])),
IF(OR(G553="4/24",G553="3/24"),((база!$M$5*Таблица1[[#This Row],[сумма]]*Таблица1[[#This Row],[коэф]])),
IF((G553="5/16"),((база!$L$6*Таблица1[[#This Row],[сумма]]*Таблица1[[#This Row],[коэф]])),
IF(OR(G553="4/16",G553="3/16"),((база!$L$5*Таблица1[[#This Row],[сумма]]*Таблица1[[#This Row],[коэф]])),
IF(OR(G553="2/4",G553="3/4",G553="4/4"),((база!$I$5*Таблица1[[#This Row],[сумма]]*Таблица1[[#This Row],[коэф]])),
IF((G553="5/8"),((база!$J$6*Таблица1[[#This Row],[сумма]]*Таблица1[[#This Row],[коэф]])),
IF(OR(G553="4/8",G553="3/8",G553="2/8"),((база!$J$5*Таблица1[[#This Row],[сумма]]*Таблица1[[#This Row],[коэф]])))))))))))</f>
        <v>0</v>
      </c>
      <c r="AP553" s="696" t="b">
        <f>IF(AR553&lt;=3,(IF((G553="5/24"),((база!$M$6*2*Таблица1[[#This Row],[Столбец1]]*Таблица1[[#This Row],[коэф]])),
IF((G553="4/24"),((база!$M$5*2*Таблица1[[#This Row],[Столбец1]]*Таблица1[[#This Row],[коэф]])),
IF((G553="3/24"),((база!$M$4*2*Таблица1[[#This Row],[Столбец1]]*Таблица1[[#This Row],[коэф]])),
IF((G553="5/16"),((база!$L$6*2*Таблица1[[#This Row],[Столбец1]]*Таблица1[[#This Row],[коэф]])),
IF((G553="4/16"),((база!$L$5*2*Таблица1[[#This Row],[Столбец1]]*Таблица1[[#This Row],[коэф]])),
IF((G553="3/16"),((база!$L$4*2*Таблица1[[#This Row],[Столбец1]]*Таблица1[[#This Row],[коэф]])),
IF((G553="4/4"),((база!$I$5*2*Таблица1[[#This Row],[Столбец1]]*Таблица1[[#This Row],[коэф]])),
IF(OR(G553="2/4",G553="3/4"),((база!$I$4*2*Таблица1[[#This Row],[Столбец1]]*Таблица1[[#This Row],[коэф]])),
IF((G553="5/8"),((база!$J$6*2*Таблица1[[#This Row],[Столбец1]]*Таблица1[[#This Row],[коэф]])),
IF((G553="4/8"),((база!$J$5*2*Таблица1[[#This Row],[Столбец1]]*Таблица1[[#This Row],[коэф]])),
IF(OR(G553="3/8",G553="2/8"),((база!$J$4*2*Таблица1[[#This Row],[Столбец1]]*Таблица1[[#This Row],[коэф]])))))))))))))),
(IF((G553="5/24"),((база!$M$6*2*Таблица1[[#This Row],[Столбец1]]*Таблица1[[#This Row],[коэф]])),
IF(OR(G553="4/24",G553="3/24"),((база!$M$5*2*Таблица1[[#This Row],[Столбец1]]*Таблица1[[#This Row],[коэф]])),
IF((G553="5/16"),((база!$L$6*2*Таблица1[[#This Row],[Столбец1]]*Таблица1[[#This Row],[коэф]])),
IF(OR(G553="4/16",G553="3/16"),((база!$L$5*2*Таблица1[[#This Row],[Столбец1]]*Таблица1[[#This Row],[коэф]])),
IF(OR(G553="2/4",G553="3/4",G553="4/4"),((база!$I$5*2*Таблица1[[#This Row],[Столбец1]]*Таблица1[[#This Row],[коэф]])),
IF((G553="5/8"),((база!$J$6*2*Таблица1[[#This Row],[Столбец1]]*Таблица1[[#This Row],[коэф]])),
IF(OR(G553="4/8",G553="3/8",G553="2/8"),((база!$J$5*2*Таблица1[[#This Row],[Столбец1]]*Таблица1[[#This Row],[коэф]])))))))))))</f>
        <v>0</v>
      </c>
      <c r="AQ553" s="678" t="str">
        <f>IFERROR(INDEX(база!T:T, MATCH(F553,база!Q:Q,0)),"")</f>
        <v/>
      </c>
      <c r="AR553" s="193">
        <f>IFERROR(INDEX(база!D:D, MATCH(F553,база!B:B,0)),"")</f>
        <v>0</v>
      </c>
    </row>
    <row r="554" spans="1:44" ht="15">
      <c r="A554" s="59"/>
      <c r="B554" s="215"/>
      <c r="C554" s="277"/>
      <c r="D554" s="55"/>
      <c r="E554" s="196"/>
      <c r="F554" s="651"/>
      <c r="G554" s="42"/>
      <c r="H554" s="539"/>
      <c r="I554" s="539"/>
      <c r="J554" s="539"/>
      <c r="K554" s="539"/>
      <c r="L554" s="539"/>
      <c r="M554" s="539"/>
      <c r="N554" s="539"/>
      <c r="O554" s="539"/>
      <c r="P554" s="278"/>
      <c r="Q554" s="539"/>
      <c r="R554" s="539"/>
      <c r="S554" s="539"/>
      <c r="T554" s="539"/>
      <c r="U554" s="539"/>
      <c r="V554" s="539"/>
      <c r="W554" s="539"/>
      <c r="X554" s="539"/>
      <c r="Y554" s="539"/>
      <c r="Z554" s="539"/>
      <c r="AA554" s="539"/>
      <c r="AB554" s="539"/>
      <c r="AC554" s="539"/>
      <c r="AD554" s="43"/>
      <c r="AE554" s="43"/>
      <c r="AF554" s="238"/>
      <c r="AG554" s="43"/>
      <c r="AH554" s="43"/>
      <c r="AI554" s="43"/>
      <c r="AJ554" s="43"/>
      <c r="AK554" s="43"/>
      <c r="AL554" s="45"/>
      <c r="AM554" s="197">
        <f>IF(AQ554=1,SUM(H554:I554,L554:O554,R554:U554,X554:AA554,AD554:AG554,AI554:AK554),
IF(AQ554=2,SUM(H554:K554,N554:Q554,T554:W554,Z554:AC554,AF554:AI554),
IF(AQ554=3,SUM(J554:M554,P554:S554,V554:Y554,AB554:AE554,AH554:AK554),SUM(Таблица1[[#This Row],[1]:[31]])-Таблица1[[#This Row],[Столбец1]])))</f>
        <v>0</v>
      </c>
      <c r="AN554" s="269">
        <f t="array" ref="AN554">IF(AQ554=1,SUM(J554:K554,P554:Q554,V554:W554,AB554:AC554,AH554:AI554),
IF(AQ554=2,SUM(L554:M554,R554:S554,X554:Y554,AD554:AE554),
IF(AQ554=3,SUM(H554:I554,N554:O554,T554:U554,Z554:AA554,AF554:AG554),
SUM(IFERROR(WEEKDAY($H$2:$AL$2,2)&gt;5,)*H554:AL554))))</f>
        <v>0</v>
      </c>
      <c r="AO554" s="271" t="b">
        <f>IF(AR554&lt;=3,(IF((G554="5/24"),((база!$M$6*Таблица1[[#This Row],[сумма]]*Таблица1[[#This Row],[коэф]])),
IF((G554="4/24"),((база!$M$5*Таблица1[[#This Row],[сумма]]*Таблица1[[#This Row],[коэф]])),
IF((G554="3/24"),((база!$M$4*Таблица1[[#This Row],[сумма]]*Таблица1[[#This Row],[коэф]])),
IF((G554="5/16"),((база!$L$6*Таблица1[[#This Row],[сумма]]*Таблица1[[#This Row],[коэф]])),
IF((G554="4/16"),((база!$L$5*Таблица1[[#This Row],[сумма]]*Таблица1[[#This Row],[коэф]])),
IF((G554="3/16"),((база!$L$4*Таблица1[[#This Row],[сумма]]*Таблица1[[#This Row],[коэф]])),
IF((G554="4/4"),((база!$I$5*Таблица1[[#This Row],[сумма]]*Таблица1[[#This Row],[коэф]])),
IF(OR(G554="2/4",G554="3/4"),((база!$I$4*Таблица1[[#This Row],[сумма]]*Таблица1[[#This Row],[коэф]])),
IF((G554="5/8"),((база!$J$6*Таблица1[[#This Row],[сумма]]*Таблица1[[#This Row],[коэф]])),
IF((G554="4/8"),((база!$J$5*Таблица1[[#This Row],[сумма]]*Таблица1[[#This Row],[коэф]])),
IF(OR(G554="3/8",G554="2/8"),((база!$J$4*Таблица1[[#This Row],[сумма]]*Таблица1[[#This Row],[коэф]])))))))))))))),
(IF((G554="5/24"),((база!$M$6*Таблица1[[#This Row],[сумма]]*Таблица1[[#This Row],[коэф]])),
IF(OR(G554="4/24",G554="3/24"),((база!$M$5*Таблица1[[#This Row],[сумма]]*Таблица1[[#This Row],[коэф]])),
IF((G554="5/16"),((база!$L$6*Таблица1[[#This Row],[сумма]]*Таблица1[[#This Row],[коэф]])),
IF(OR(G554="4/16",G554="3/16"),((база!$L$5*Таблица1[[#This Row],[сумма]]*Таблица1[[#This Row],[коэф]])),
IF(OR(G554="2/4",G554="3/4",G554="4/4"),((база!$I$5*Таблица1[[#This Row],[сумма]]*Таблица1[[#This Row],[коэф]])),
IF((G554="5/8"),((база!$J$6*Таблица1[[#This Row],[сумма]]*Таблица1[[#This Row],[коэф]])),
IF(OR(G554="4/8",G554="3/8",G554="2/8"),((база!$J$5*Таблица1[[#This Row],[сумма]]*Таблица1[[#This Row],[коэф]])))))))))))</f>
        <v>0</v>
      </c>
      <c r="AP554" s="696" t="b">
        <f>IF(AR554&lt;=3,(IF((G554="5/24"),((база!$M$6*2*Таблица1[[#This Row],[Столбец1]]*Таблица1[[#This Row],[коэф]])),
IF((G554="4/24"),((база!$M$5*2*Таблица1[[#This Row],[Столбец1]]*Таблица1[[#This Row],[коэф]])),
IF((G554="3/24"),((база!$M$4*2*Таблица1[[#This Row],[Столбец1]]*Таблица1[[#This Row],[коэф]])),
IF((G554="5/16"),((база!$L$6*2*Таблица1[[#This Row],[Столбец1]]*Таблица1[[#This Row],[коэф]])),
IF((G554="4/16"),((база!$L$5*2*Таблица1[[#This Row],[Столбец1]]*Таблица1[[#This Row],[коэф]])),
IF((G554="3/16"),((база!$L$4*2*Таблица1[[#This Row],[Столбец1]]*Таблица1[[#This Row],[коэф]])),
IF((G554="4/4"),((база!$I$5*2*Таблица1[[#This Row],[Столбец1]]*Таблица1[[#This Row],[коэф]])),
IF(OR(G554="2/4",G554="3/4"),((база!$I$4*2*Таблица1[[#This Row],[Столбец1]]*Таблица1[[#This Row],[коэф]])),
IF((G554="5/8"),((база!$J$6*2*Таблица1[[#This Row],[Столбец1]]*Таблица1[[#This Row],[коэф]])),
IF((G554="4/8"),((база!$J$5*2*Таблица1[[#This Row],[Столбец1]]*Таблица1[[#This Row],[коэф]])),
IF(OR(G554="3/8",G554="2/8"),((база!$J$4*2*Таблица1[[#This Row],[Столбец1]]*Таблица1[[#This Row],[коэф]])))))))))))))),
(IF((G554="5/24"),((база!$M$6*2*Таблица1[[#This Row],[Столбец1]]*Таблица1[[#This Row],[коэф]])),
IF(OR(G554="4/24",G554="3/24"),((база!$M$5*2*Таблица1[[#This Row],[Столбец1]]*Таблица1[[#This Row],[коэф]])),
IF((G554="5/16"),((база!$L$6*2*Таблица1[[#This Row],[Столбец1]]*Таблица1[[#This Row],[коэф]])),
IF(OR(G554="4/16",G554="3/16"),((база!$L$5*2*Таблица1[[#This Row],[Столбец1]]*Таблица1[[#This Row],[коэф]])),
IF(OR(G554="2/4",G554="3/4",G554="4/4"),((база!$I$5*2*Таблица1[[#This Row],[Столбец1]]*Таблица1[[#This Row],[коэф]])),
IF((G554="5/8"),((база!$J$6*2*Таблица1[[#This Row],[Столбец1]]*Таблица1[[#This Row],[коэф]])),
IF(OR(G554="4/8",G554="3/8",G554="2/8"),((база!$J$5*2*Таблица1[[#This Row],[Столбец1]]*Таблица1[[#This Row],[коэф]])))))))))))</f>
        <v>0</v>
      </c>
      <c r="AQ554" s="678" t="str">
        <f>IFERROR(INDEX(база!T:T, MATCH(F554,база!Q:Q,0)),"")</f>
        <v/>
      </c>
      <c r="AR554" s="193">
        <f>IFERROR(INDEX(база!D:D, MATCH(F554,база!B:B,0)),"")</f>
        <v>0</v>
      </c>
    </row>
    <row r="555" spans="1:44" ht="15">
      <c r="A555" s="59"/>
      <c r="B555" s="215"/>
      <c r="C555" s="277"/>
      <c r="D555" s="55"/>
      <c r="E555" s="196"/>
      <c r="F555" s="651"/>
      <c r="G555" s="42"/>
      <c r="H555" s="539"/>
      <c r="I555" s="539"/>
      <c r="J555" s="539"/>
      <c r="K555" s="539"/>
      <c r="L555" s="539"/>
      <c r="M555" s="539"/>
      <c r="N555" s="539"/>
      <c r="O555" s="539"/>
      <c r="P555" s="278"/>
      <c r="Q555" s="539"/>
      <c r="R555" s="539"/>
      <c r="S555" s="539"/>
      <c r="T555" s="539"/>
      <c r="U555" s="539"/>
      <c r="V555" s="539"/>
      <c r="W555" s="539"/>
      <c r="X555" s="539"/>
      <c r="Y555" s="539"/>
      <c r="Z555" s="539"/>
      <c r="AA555" s="539"/>
      <c r="AB555" s="539"/>
      <c r="AC555" s="539"/>
      <c r="AD555" s="43"/>
      <c r="AE555" s="43"/>
      <c r="AF555" s="238"/>
      <c r="AG555" s="43"/>
      <c r="AH555" s="43"/>
      <c r="AI555" s="238"/>
      <c r="AJ555" s="238"/>
      <c r="AK555" s="238"/>
      <c r="AL555" s="238"/>
      <c r="AM555" s="197">
        <f>IF(AQ555=1,SUM(H555:I555,L555:O555,R555:U555,X555:AA555,AD555:AG555,AI555:AK555),
IF(AQ555=2,SUM(H555:K555,N555:Q555,T555:W555,Z555:AC555,AF555:AI555),
IF(AQ555=3,SUM(J555:M555,P555:S555,V555:Y555,AB555:AE555,AH555:AK555),SUM(Таблица1[[#This Row],[1]:[31]])-Таблица1[[#This Row],[Столбец1]])))</f>
        <v>0</v>
      </c>
      <c r="AN555" s="269">
        <f t="array" ref="AN555">IF(AQ555=1,SUM(J555:K555,P555:Q555,V555:W555,AB555:AC555,AH555:AI555),
IF(AQ555=2,SUM(L555:M555,R555:S555,X555:Y555,AD555:AE555),
IF(AQ555=3,SUM(H555:I555,N555:O555,T555:U555,Z555:AA555,AF555:AG555),
SUM(IFERROR(WEEKDAY($H$2:$AL$2,2)&gt;5,)*H555:AL555))))</f>
        <v>0</v>
      </c>
      <c r="AO555" s="271" t="b">
        <f>IF(AR555&lt;=3,(IF((G555="5/24"),((база!$M$6*Таблица1[[#This Row],[сумма]]*Таблица1[[#This Row],[коэф]])),
IF((G555="4/24"),((база!$M$5*Таблица1[[#This Row],[сумма]]*Таблица1[[#This Row],[коэф]])),
IF((G555="3/24"),((база!$M$4*Таблица1[[#This Row],[сумма]]*Таблица1[[#This Row],[коэф]])),
IF((G555="5/16"),((база!$L$6*Таблица1[[#This Row],[сумма]]*Таблица1[[#This Row],[коэф]])),
IF((G555="4/16"),((база!$L$5*Таблица1[[#This Row],[сумма]]*Таблица1[[#This Row],[коэф]])),
IF((G555="3/16"),((база!$L$4*Таблица1[[#This Row],[сумма]]*Таблица1[[#This Row],[коэф]])),
IF((G555="4/4"),((база!$I$5*Таблица1[[#This Row],[сумма]]*Таблица1[[#This Row],[коэф]])),
IF(OR(G555="2/4",G555="3/4"),((база!$I$4*Таблица1[[#This Row],[сумма]]*Таблица1[[#This Row],[коэф]])),
IF((G555="5/8"),((база!$J$6*Таблица1[[#This Row],[сумма]]*Таблица1[[#This Row],[коэф]])),
IF((G555="4/8"),((база!$J$5*Таблица1[[#This Row],[сумма]]*Таблица1[[#This Row],[коэф]])),
IF(OR(G555="3/8",G555="2/8"),((база!$J$4*Таблица1[[#This Row],[сумма]]*Таблица1[[#This Row],[коэф]])))))))))))))),
(IF((G555="5/24"),((база!$M$6*Таблица1[[#This Row],[сумма]]*Таблица1[[#This Row],[коэф]])),
IF(OR(G555="4/24",G555="3/24"),((база!$M$5*Таблица1[[#This Row],[сумма]]*Таблица1[[#This Row],[коэф]])),
IF((G555="5/16"),((база!$L$6*Таблица1[[#This Row],[сумма]]*Таблица1[[#This Row],[коэф]])),
IF(OR(G555="4/16",G555="3/16"),((база!$L$5*Таблица1[[#This Row],[сумма]]*Таблица1[[#This Row],[коэф]])),
IF(OR(G555="2/4",G555="3/4",G555="4/4"),((база!$I$5*Таблица1[[#This Row],[сумма]]*Таблица1[[#This Row],[коэф]])),
IF((G555="5/8"),((база!$J$6*Таблица1[[#This Row],[сумма]]*Таблица1[[#This Row],[коэф]])),
IF(OR(G555="4/8",G555="3/8",G555="2/8"),((база!$J$5*Таблица1[[#This Row],[сумма]]*Таблица1[[#This Row],[коэф]])))))))))))</f>
        <v>0</v>
      </c>
      <c r="AP555" s="696" t="b">
        <f>IF(AR555&lt;=3,(IF((G555="5/24"),((база!$M$6*2*Таблица1[[#This Row],[Столбец1]]*Таблица1[[#This Row],[коэф]])),
IF((G555="4/24"),((база!$M$5*2*Таблица1[[#This Row],[Столбец1]]*Таблица1[[#This Row],[коэф]])),
IF((G555="3/24"),((база!$M$4*2*Таблица1[[#This Row],[Столбец1]]*Таблица1[[#This Row],[коэф]])),
IF((G555="5/16"),((база!$L$6*2*Таблица1[[#This Row],[Столбец1]]*Таблица1[[#This Row],[коэф]])),
IF((G555="4/16"),((база!$L$5*2*Таблица1[[#This Row],[Столбец1]]*Таблица1[[#This Row],[коэф]])),
IF((G555="3/16"),((база!$L$4*2*Таблица1[[#This Row],[Столбец1]]*Таблица1[[#This Row],[коэф]])),
IF((G555="4/4"),((база!$I$5*2*Таблица1[[#This Row],[Столбец1]]*Таблица1[[#This Row],[коэф]])),
IF(OR(G555="2/4",G555="3/4"),((база!$I$4*2*Таблица1[[#This Row],[Столбец1]]*Таблица1[[#This Row],[коэф]])),
IF((G555="5/8"),((база!$J$6*2*Таблица1[[#This Row],[Столбец1]]*Таблица1[[#This Row],[коэф]])),
IF((G555="4/8"),((база!$J$5*2*Таблица1[[#This Row],[Столбец1]]*Таблица1[[#This Row],[коэф]])),
IF(OR(G555="3/8",G555="2/8"),((база!$J$4*2*Таблица1[[#This Row],[Столбец1]]*Таблица1[[#This Row],[коэф]])))))))))))))),
(IF((G555="5/24"),((база!$M$6*2*Таблица1[[#This Row],[Столбец1]]*Таблица1[[#This Row],[коэф]])),
IF(OR(G555="4/24",G555="3/24"),((база!$M$5*2*Таблица1[[#This Row],[Столбец1]]*Таблица1[[#This Row],[коэф]])),
IF((G555="5/16"),((база!$L$6*2*Таблица1[[#This Row],[Столбец1]]*Таблица1[[#This Row],[коэф]])),
IF(OR(G555="4/16",G555="3/16"),((база!$L$5*2*Таблица1[[#This Row],[Столбец1]]*Таблица1[[#This Row],[коэф]])),
IF(OR(G555="2/4",G555="3/4",G555="4/4"),((база!$I$5*2*Таблица1[[#This Row],[Столбец1]]*Таблица1[[#This Row],[коэф]])),
IF((G555="5/8"),((база!$J$6*2*Таблица1[[#This Row],[Столбец1]]*Таблица1[[#This Row],[коэф]])),
IF(OR(G555="4/8",G555="3/8",G555="2/8"),((база!$J$5*2*Таблица1[[#This Row],[Столбец1]]*Таблица1[[#This Row],[коэф]])))))))))))</f>
        <v>0</v>
      </c>
      <c r="AQ555" s="678" t="str">
        <f>IFERROR(INDEX(база!T:T, MATCH(F555,база!Q:Q,0)),"")</f>
        <v/>
      </c>
      <c r="AR555" s="193">
        <f>IFERROR(INDEX(база!D:D, MATCH(F555,база!B:B,0)),"")</f>
        <v>0</v>
      </c>
    </row>
    <row r="556" spans="1:44" ht="15">
      <c r="A556" s="59"/>
      <c r="B556" s="215"/>
      <c r="C556" s="54"/>
      <c r="D556" s="55"/>
      <c r="E556" s="196"/>
      <c r="F556" s="651"/>
      <c r="G556" s="42"/>
      <c r="H556" s="539"/>
      <c r="I556" s="539"/>
      <c r="J556" s="539"/>
      <c r="K556" s="539"/>
      <c r="L556" s="539"/>
      <c r="M556" s="539"/>
      <c r="N556" s="539"/>
      <c r="O556" s="539"/>
      <c r="P556" s="278"/>
      <c r="Q556" s="539"/>
      <c r="R556" s="539"/>
      <c r="S556" s="539"/>
      <c r="T556" s="539"/>
      <c r="U556" s="539"/>
      <c r="V556" s="539"/>
      <c r="W556" s="539"/>
      <c r="X556" s="539"/>
      <c r="Y556" s="539"/>
      <c r="Z556" s="539"/>
      <c r="AA556" s="539"/>
      <c r="AB556" s="539"/>
      <c r="AC556" s="539"/>
      <c r="AD556" s="43"/>
      <c r="AE556" s="43"/>
      <c r="AF556" s="238"/>
      <c r="AG556" s="43"/>
      <c r="AH556" s="43"/>
      <c r="AI556" s="43"/>
      <c r="AJ556" s="43"/>
      <c r="AK556" s="43"/>
      <c r="AL556" s="45"/>
      <c r="AM556" s="197">
        <f>IF(AQ556=1,SUM(H556:I556,L556:O556,R556:U556,X556:AA556,AD556:AG556,AI556:AK556),
IF(AQ556=2,SUM(H556:K556,N556:Q556,T556:W556,Z556:AC556,AF556:AI556),
IF(AQ556=3,SUM(J556:M556,P556:S556,V556:Y556,AB556:AE556,AH556:AK556),SUM(Таблица1[[#This Row],[1]:[31]])-Таблица1[[#This Row],[Столбец1]])))</f>
        <v>0</v>
      </c>
      <c r="AN556" s="269">
        <f t="array" ref="AN556">IF(AQ556=1,SUM(J556:K556,P556:Q556,V556:W556,AB556:AC556,AH556:AI556),
IF(AQ556=2,SUM(L556:M556,R556:S556,X556:Y556,AD556:AE556),
IF(AQ556=3,SUM(H556:I556,N556:O556,T556:U556,Z556:AA556,AF556:AG556),
SUM(IFERROR(WEEKDAY($H$2:$AL$2,2)&gt;5,)*H556:AL556))))</f>
        <v>0</v>
      </c>
      <c r="AO556" s="271" t="b">
        <f>IF(AR556&lt;=3,(IF((G556="5/24"),((база!$M$6*Таблица1[[#This Row],[сумма]]*Таблица1[[#This Row],[коэф]])),
IF((G556="4/24"),((база!$M$5*Таблица1[[#This Row],[сумма]]*Таблица1[[#This Row],[коэф]])),
IF((G556="3/24"),((база!$M$4*Таблица1[[#This Row],[сумма]]*Таблица1[[#This Row],[коэф]])),
IF((G556="5/16"),((база!$L$6*Таблица1[[#This Row],[сумма]]*Таблица1[[#This Row],[коэф]])),
IF((G556="4/16"),((база!$L$5*Таблица1[[#This Row],[сумма]]*Таблица1[[#This Row],[коэф]])),
IF((G556="3/16"),((база!$L$4*Таблица1[[#This Row],[сумма]]*Таблица1[[#This Row],[коэф]])),
IF((G556="4/4"),((база!$I$5*Таблица1[[#This Row],[сумма]]*Таблица1[[#This Row],[коэф]])),
IF(OR(G556="2/4",G556="3/4"),((база!$I$4*Таблица1[[#This Row],[сумма]]*Таблица1[[#This Row],[коэф]])),
IF((G556="5/8"),((база!$J$6*Таблица1[[#This Row],[сумма]]*Таблица1[[#This Row],[коэф]])),
IF((G556="4/8"),((база!$J$5*Таблица1[[#This Row],[сумма]]*Таблица1[[#This Row],[коэф]])),
IF(OR(G556="3/8",G556="2/8"),((база!$J$4*Таблица1[[#This Row],[сумма]]*Таблица1[[#This Row],[коэф]])))))))))))))),
(IF((G556="5/24"),((база!$M$6*Таблица1[[#This Row],[сумма]]*Таблица1[[#This Row],[коэф]])),
IF(OR(G556="4/24",G556="3/24"),((база!$M$5*Таблица1[[#This Row],[сумма]]*Таблица1[[#This Row],[коэф]])),
IF((G556="5/16"),((база!$L$6*Таблица1[[#This Row],[сумма]]*Таблица1[[#This Row],[коэф]])),
IF(OR(G556="4/16",G556="3/16"),((база!$L$5*Таблица1[[#This Row],[сумма]]*Таблица1[[#This Row],[коэф]])),
IF(OR(G556="2/4",G556="3/4",G556="4/4"),((база!$I$5*Таблица1[[#This Row],[сумма]]*Таблица1[[#This Row],[коэф]])),
IF((G556="5/8"),((база!$J$6*Таблица1[[#This Row],[сумма]]*Таблица1[[#This Row],[коэф]])),
IF(OR(G556="4/8",G556="3/8",G556="2/8"),((база!$J$5*Таблица1[[#This Row],[сумма]]*Таблица1[[#This Row],[коэф]])))))))))))</f>
        <v>0</v>
      </c>
      <c r="AP556" s="696" t="b">
        <f>IF(AR556&lt;=3,(IF((G556="5/24"),((база!$M$6*2*Таблица1[[#This Row],[Столбец1]]*Таблица1[[#This Row],[коэф]])),
IF((G556="4/24"),((база!$M$5*2*Таблица1[[#This Row],[Столбец1]]*Таблица1[[#This Row],[коэф]])),
IF((G556="3/24"),((база!$M$4*2*Таблица1[[#This Row],[Столбец1]]*Таблица1[[#This Row],[коэф]])),
IF((G556="5/16"),((база!$L$6*2*Таблица1[[#This Row],[Столбец1]]*Таблица1[[#This Row],[коэф]])),
IF((G556="4/16"),((база!$L$5*2*Таблица1[[#This Row],[Столбец1]]*Таблица1[[#This Row],[коэф]])),
IF((G556="3/16"),((база!$L$4*2*Таблица1[[#This Row],[Столбец1]]*Таблица1[[#This Row],[коэф]])),
IF((G556="4/4"),((база!$I$5*2*Таблица1[[#This Row],[Столбец1]]*Таблица1[[#This Row],[коэф]])),
IF(OR(G556="2/4",G556="3/4"),((база!$I$4*2*Таблица1[[#This Row],[Столбец1]]*Таблица1[[#This Row],[коэф]])),
IF((G556="5/8"),((база!$J$6*2*Таблица1[[#This Row],[Столбец1]]*Таблица1[[#This Row],[коэф]])),
IF((G556="4/8"),((база!$J$5*2*Таблица1[[#This Row],[Столбец1]]*Таблица1[[#This Row],[коэф]])),
IF(OR(G556="3/8",G556="2/8"),((база!$J$4*2*Таблица1[[#This Row],[Столбец1]]*Таблица1[[#This Row],[коэф]])))))))))))))),
(IF((G556="5/24"),((база!$M$6*2*Таблица1[[#This Row],[Столбец1]]*Таблица1[[#This Row],[коэф]])),
IF(OR(G556="4/24",G556="3/24"),((база!$M$5*2*Таблица1[[#This Row],[Столбец1]]*Таблица1[[#This Row],[коэф]])),
IF((G556="5/16"),((база!$L$6*2*Таблица1[[#This Row],[Столбец1]]*Таблица1[[#This Row],[коэф]])),
IF(OR(G556="4/16",G556="3/16"),((база!$L$5*2*Таблица1[[#This Row],[Столбец1]]*Таблица1[[#This Row],[коэф]])),
IF(OR(G556="2/4",G556="3/4",G556="4/4"),((база!$I$5*2*Таблица1[[#This Row],[Столбец1]]*Таблица1[[#This Row],[коэф]])),
IF((G556="5/8"),((база!$J$6*2*Таблица1[[#This Row],[Столбец1]]*Таблица1[[#This Row],[коэф]])),
IF(OR(G556="4/8",G556="3/8",G556="2/8"),((база!$J$5*2*Таблица1[[#This Row],[Столбец1]]*Таблица1[[#This Row],[коэф]])))))))))))</f>
        <v>0</v>
      </c>
      <c r="AQ556" s="678" t="str">
        <f>IFERROR(INDEX(база!T:T, MATCH(F556,база!Q:Q,0)),"")</f>
        <v/>
      </c>
      <c r="AR556" s="193">
        <f>IFERROR(INDEX(база!D:D, MATCH(F556,база!B:B,0)),"")</f>
        <v>0</v>
      </c>
    </row>
    <row r="557" spans="1:44" ht="15">
      <c r="A557" s="59"/>
      <c r="B557" s="215"/>
      <c r="C557" s="277"/>
      <c r="D557" s="55"/>
      <c r="E557" s="196"/>
      <c r="F557" s="651"/>
      <c r="G557" s="42"/>
      <c r="H557" s="539"/>
      <c r="I557" s="539"/>
      <c r="J557" s="539"/>
      <c r="K557" s="539"/>
      <c r="L557" s="539"/>
      <c r="M557" s="539"/>
      <c r="N557" s="539"/>
      <c r="O557" s="539"/>
      <c r="P557" s="278"/>
      <c r="Q557" s="539"/>
      <c r="R557" s="539"/>
      <c r="S557" s="539"/>
      <c r="T557" s="539"/>
      <c r="U557" s="539"/>
      <c r="V557" s="539"/>
      <c r="W557" s="539"/>
      <c r="X557" s="539"/>
      <c r="Y557" s="539"/>
      <c r="Z557" s="539"/>
      <c r="AA557" s="539"/>
      <c r="AB557" s="539"/>
      <c r="AC557" s="539"/>
      <c r="AD557" s="43"/>
      <c r="AE557" s="43"/>
      <c r="AF557" s="238"/>
      <c r="AG557" s="43"/>
      <c r="AH557" s="43"/>
      <c r="AI557" s="238"/>
      <c r="AJ557" s="238"/>
      <c r="AK557" s="238"/>
      <c r="AL557" s="238"/>
      <c r="AM557" s="197">
        <f>IF(AQ557=1,SUM(H557:I557,L557:O557,R557:U557,X557:AA557,AD557:AG557,AI557:AK557),
IF(AQ557=2,SUM(H557:K557,N557:Q557,T557:W557,Z557:AC557,AF557:AI557),
IF(AQ557=3,SUM(J557:M557,P557:S557,V557:Y557,AB557:AE557,AH557:AK557),SUM(Таблица1[[#This Row],[1]:[31]])-Таблица1[[#This Row],[Столбец1]])))</f>
        <v>0</v>
      </c>
      <c r="AN557" s="269">
        <f t="array" ref="AN557">IF(AQ557=1,SUM(J557:K557,P557:Q557,V557:W557,AB557:AC557,AH557:AI557),
IF(AQ557=2,SUM(L557:M557,R557:S557,X557:Y557,AD557:AE557),
IF(AQ557=3,SUM(H557:I557,N557:O557,T557:U557,Z557:AA557,AF557:AG557),
SUM(IFERROR(WEEKDAY($H$2:$AL$2,2)&gt;5,)*H557:AL557))))</f>
        <v>0</v>
      </c>
      <c r="AO557" s="271" t="b">
        <f>IF(AR557&lt;=3,(IF((G557="5/24"),((база!$M$6*Таблица1[[#This Row],[сумма]]*Таблица1[[#This Row],[коэф]])),
IF((G557="4/24"),((база!$M$5*Таблица1[[#This Row],[сумма]]*Таблица1[[#This Row],[коэф]])),
IF((G557="3/24"),((база!$M$4*Таблица1[[#This Row],[сумма]]*Таблица1[[#This Row],[коэф]])),
IF((G557="5/16"),((база!$L$6*Таблица1[[#This Row],[сумма]]*Таблица1[[#This Row],[коэф]])),
IF((G557="4/16"),((база!$L$5*Таблица1[[#This Row],[сумма]]*Таблица1[[#This Row],[коэф]])),
IF((G557="3/16"),((база!$L$4*Таблица1[[#This Row],[сумма]]*Таблица1[[#This Row],[коэф]])),
IF((G557="4/4"),((база!$I$5*Таблица1[[#This Row],[сумма]]*Таблица1[[#This Row],[коэф]])),
IF(OR(G557="2/4",G557="3/4"),((база!$I$4*Таблица1[[#This Row],[сумма]]*Таблица1[[#This Row],[коэф]])),
IF((G557="5/8"),((база!$J$6*Таблица1[[#This Row],[сумма]]*Таблица1[[#This Row],[коэф]])),
IF((G557="4/8"),((база!$J$5*Таблица1[[#This Row],[сумма]]*Таблица1[[#This Row],[коэф]])),
IF(OR(G557="3/8",G557="2/8"),((база!$J$4*Таблица1[[#This Row],[сумма]]*Таблица1[[#This Row],[коэф]])))))))))))))),
(IF((G557="5/24"),((база!$M$6*Таблица1[[#This Row],[сумма]]*Таблица1[[#This Row],[коэф]])),
IF(OR(G557="4/24",G557="3/24"),((база!$M$5*Таблица1[[#This Row],[сумма]]*Таблица1[[#This Row],[коэф]])),
IF((G557="5/16"),((база!$L$6*Таблица1[[#This Row],[сумма]]*Таблица1[[#This Row],[коэф]])),
IF(OR(G557="4/16",G557="3/16"),((база!$L$5*Таблица1[[#This Row],[сумма]]*Таблица1[[#This Row],[коэф]])),
IF(OR(G557="2/4",G557="3/4",G557="4/4"),((база!$I$5*Таблица1[[#This Row],[сумма]]*Таблица1[[#This Row],[коэф]])),
IF((G557="5/8"),((база!$J$6*Таблица1[[#This Row],[сумма]]*Таблица1[[#This Row],[коэф]])),
IF(OR(G557="4/8",G557="3/8",G557="2/8"),((база!$J$5*Таблица1[[#This Row],[сумма]]*Таблица1[[#This Row],[коэф]])))))))))))</f>
        <v>0</v>
      </c>
      <c r="AP557" s="696" t="b">
        <f>IF(AR557&lt;=3,(IF((G557="5/24"),((база!$M$6*2*Таблица1[[#This Row],[Столбец1]]*Таблица1[[#This Row],[коэф]])),
IF((G557="4/24"),((база!$M$5*2*Таблица1[[#This Row],[Столбец1]]*Таблица1[[#This Row],[коэф]])),
IF((G557="3/24"),((база!$M$4*2*Таблица1[[#This Row],[Столбец1]]*Таблица1[[#This Row],[коэф]])),
IF((G557="5/16"),((база!$L$6*2*Таблица1[[#This Row],[Столбец1]]*Таблица1[[#This Row],[коэф]])),
IF((G557="4/16"),((база!$L$5*2*Таблица1[[#This Row],[Столбец1]]*Таблица1[[#This Row],[коэф]])),
IF((G557="3/16"),((база!$L$4*2*Таблица1[[#This Row],[Столбец1]]*Таблица1[[#This Row],[коэф]])),
IF((G557="4/4"),((база!$I$5*2*Таблица1[[#This Row],[Столбец1]]*Таблица1[[#This Row],[коэф]])),
IF(OR(G557="2/4",G557="3/4"),((база!$I$4*2*Таблица1[[#This Row],[Столбец1]]*Таблица1[[#This Row],[коэф]])),
IF((G557="5/8"),((база!$J$6*2*Таблица1[[#This Row],[Столбец1]]*Таблица1[[#This Row],[коэф]])),
IF((G557="4/8"),((база!$J$5*2*Таблица1[[#This Row],[Столбец1]]*Таблица1[[#This Row],[коэф]])),
IF(OR(G557="3/8",G557="2/8"),((база!$J$4*2*Таблица1[[#This Row],[Столбец1]]*Таблица1[[#This Row],[коэф]])))))))))))))),
(IF((G557="5/24"),((база!$M$6*2*Таблица1[[#This Row],[Столбец1]]*Таблица1[[#This Row],[коэф]])),
IF(OR(G557="4/24",G557="3/24"),((база!$M$5*2*Таблица1[[#This Row],[Столбец1]]*Таблица1[[#This Row],[коэф]])),
IF((G557="5/16"),((база!$L$6*2*Таблица1[[#This Row],[Столбец1]]*Таблица1[[#This Row],[коэф]])),
IF(OR(G557="4/16",G557="3/16"),((база!$L$5*2*Таблица1[[#This Row],[Столбец1]]*Таблица1[[#This Row],[коэф]])),
IF(OR(G557="2/4",G557="3/4",G557="4/4"),((база!$I$5*2*Таблица1[[#This Row],[Столбец1]]*Таблица1[[#This Row],[коэф]])),
IF((G557="5/8"),((база!$J$6*2*Таблица1[[#This Row],[Столбец1]]*Таблица1[[#This Row],[коэф]])),
IF(OR(G557="4/8",G557="3/8",G557="2/8"),((база!$J$5*2*Таблица1[[#This Row],[Столбец1]]*Таблица1[[#This Row],[коэф]])))))))))))</f>
        <v>0</v>
      </c>
      <c r="AQ557" s="678" t="str">
        <f>IFERROR(INDEX(база!T:T, MATCH(F557,база!Q:Q,0)),"")</f>
        <v/>
      </c>
      <c r="AR557" s="193">
        <f>IFERROR(INDEX(база!D:D, MATCH(F557,база!B:B,0)),"")</f>
        <v>0</v>
      </c>
    </row>
    <row r="558" spans="1:44" ht="15">
      <c r="A558" s="59"/>
      <c r="B558" s="215"/>
      <c r="C558" s="277"/>
      <c r="D558" s="55"/>
      <c r="E558" s="196"/>
      <c r="F558" s="651"/>
      <c r="G558" s="42"/>
      <c r="H558" s="539"/>
      <c r="I558" s="539"/>
      <c r="J558" s="539"/>
      <c r="K558" s="539"/>
      <c r="L558" s="539"/>
      <c r="M558" s="539"/>
      <c r="N558" s="539"/>
      <c r="O558" s="539"/>
      <c r="P558" s="278"/>
      <c r="Q558" s="539"/>
      <c r="R558" s="539"/>
      <c r="S558" s="539"/>
      <c r="T558" s="539"/>
      <c r="U558" s="539"/>
      <c r="V558" s="539"/>
      <c r="W558" s="539"/>
      <c r="X558" s="539"/>
      <c r="Y558" s="539"/>
      <c r="Z558" s="539"/>
      <c r="AA558" s="539"/>
      <c r="AB558" s="539"/>
      <c r="AC558" s="539"/>
      <c r="AD558" s="43"/>
      <c r="AE558" s="43"/>
      <c r="AF558" s="238"/>
      <c r="AG558" s="43"/>
      <c r="AH558" s="43"/>
      <c r="AI558" s="43"/>
      <c r="AJ558" s="43"/>
      <c r="AK558" s="43"/>
      <c r="AL558" s="45"/>
      <c r="AM558" s="197">
        <f>IF(AQ558=1,SUM(H558:I558,L558:O558,R558:U558,X558:AA558,AD558:AG558,AI558:AK558),
IF(AQ558=2,SUM(H558:K558,N558:Q558,T558:W558,Z558:AC558,AF558:AI558),
IF(AQ558=3,SUM(J558:M558,P558:S558,V558:Y558,AB558:AE558,AH558:AK558),SUM(Таблица1[[#This Row],[1]:[31]])-Таблица1[[#This Row],[Столбец1]])))</f>
        <v>0</v>
      </c>
      <c r="AN558" s="269">
        <f t="array" ref="AN558">IF(AQ558=1,SUM(J558:K558,P558:Q558,V558:W558,AB558:AC558,AH558:AI558),
IF(AQ558=2,SUM(L558:M558,R558:S558,X558:Y558,AD558:AE558),
IF(AQ558=3,SUM(H558:I558,N558:O558,T558:U558,Z558:AA558,AF558:AG558),
SUM(IFERROR(WEEKDAY($H$2:$AL$2,2)&gt;5,)*H558:AL558))))</f>
        <v>0</v>
      </c>
      <c r="AO558" s="271" t="b">
        <f>IF(AR558&lt;=3,(IF((G558="5/24"),((база!$M$6*Таблица1[[#This Row],[сумма]]*Таблица1[[#This Row],[коэф]])),
IF((G558="4/24"),((база!$M$5*Таблица1[[#This Row],[сумма]]*Таблица1[[#This Row],[коэф]])),
IF((G558="3/24"),((база!$M$4*Таблица1[[#This Row],[сумма]]*Таблица1[[#This Row],[коэф]])),
IF((G558="5/16"),((база!$L$6*Таблица1[[#This Row],[сумма]]*Таблица1[[#This Row],[коэф]])),
IF((G558="4/16"),((база!$L$5*Таблица1[[#This Row],[сумма]]*Таблица1[[#This Row],[коэф]])),
IF((G558="3/16"),((база!$L$4*Таблица1[[#This Row],[сумма]]*Таблица1[[#This Row],[коэф]])),
IF((G558="4/4"),((база!$I$5*Таблица1[[#This Row],[сумма]]*Таблица1[[#This Row],[коэф]])),
IF(OR(G558="2/4",G558="3/4"),((база!$I$4*Таблица1[[#This Row],[сумма]]*Таблица1[[#This Row],[коэф]])),
IF((G558="5/8"),((база!$J$6*Таблица1[[#This Row],[сумма]]*Таблица1[[#This Row],[коэф]])),
IF((G558="4/8"),((база!$J$5*Таблица1[[#This Row],[сумма]]*Таблица1[[#This Row],[коэф]])),
IF(OR(G558="3/8",G558="2/8"),((база!$J$4*Таблица1[[#This Row],[сумма]]*Таблица1[[#This Row],[коэф]])))))))))))))),
(IF((G558="5/24"),((база!$M$6*Таблица1[[#This Row],[сумма]]*Таблица1[[#This Row],[коэф]])),
IF(OR(G558="4/24",G558="3/24"),((база!$M$5*Таблица1[[#This Row],[сумма]]*Таблица1[[#This Row],[коэф]])),
IF((G558="5/16"),((база!$L$6*Таблица1[[#This Row],[сумма]]*Таблица1[[#This Row],[коэф]])),
IF(OR(G558="4/16",G558="3/16"),((база!$L$5*Таблица1[[#This Row],[сумма]]*Таблица1[[#This Row],[коэф]])),
IF(OR(G558="2/4",G558="3/4",G558="4/4"),((база!$I$5*Таблица1[[#This Row],[сумма]]*Таблица1[[#This Row],[коэф]])),
IF((G558="5/8"),((база!$J$6*Таблица1[[#This Row],[сумма]]*Таблица1[[#This Row],[коэф]])),
IF(OR(G558="4/8",G558="3/8",G558="2/8"),((база!$J$5*Таблица1[[#This Row],[сумма]]*Таблица1[[#This Row],[коэф]])))))))))))</f>
        <v>0</v>
      </c>
      <c r="AP558" s="696" t="b">
        <f>IF(AR558&lt;=3,(IF((G558="5/24"),((база!$M$6*2*Таблица1[[#This Row],[Столбец1]]*Таблица1[[#This Row],[коэф]])),
IF((G558="4/24"),((база!$M$5*2*Таблица1[[#This Row],[Столбец1]]*Таблица1[[#This Row],[коэф]])),
IF((G558="3/24"),((база!$M$4*2*Таблица1[[#This Row],[Столбец1]]*Таблица1[[#This Row],[коэф]])),
IF((G558="5/16"),((база!$L$6*2*Таблица1[[#This Row],[Столбец1]]*Таблица1[[#This Row],[коэф]])),
IF((G558="4/16"),((база!$L$5*2*Таблица1[[#This Row],[Столбец1]]*Таблица1[[#This Row],[коэф]])),
IF((G558="3/16"),((база!$L$4*2*Таблица1[[#This Row],[Столбец1]]*Таблица1[[#This Row],[коэф]])),
IF((G558="4/4"),((база!$I$5*2*Таблица1[[#This Row],[Столбец1]]*Таблица1[[#This Row],[коэф]])),
IF(OR(G558="2/4",G558="3/4"),((база!$I$4*2*Таблица1[[#This Row],[Столбец1]]*Таблица1[[#This Row],[коэф]])),
IF((G558="5/8"),((база!$J$6*2*Таблица1[[#This Row],[Столбец1]]*Таблица1[[#This Row],[коэф]])),
IF((G558="4/8"),((база!$J$5*2*Таблица1[[#This Row],[Столбец1]]*Таблица1[[#This Row],[коэф]])),
IF(OR(G558="3/8",G558="2/8"),((база!$J$4*2*Таблица1[[#This Row],[Столбец1]]*Таблица1[[#This Row],[коэф]])))))))))))))),
(IF((G558="5/24"),((база!$M$6*2*Таблица1[[#This Row],[Столбец1]]*Таблица1[[#This Row],[коэф]])),
IF(OR(G558="4/24",G558="3/24"),((база!$M$5*2*Таблица1[[#This Row],[Столбец1]]*Таблица1[[#This Row],[коэф]])),
IF((G558="5/16"),((база!$L$6*2*Таблица1[[#This Row],[Столбец1]]*Таблица1[[#This Row],[коэф]])),
IF(OR(G558="4/16",G558="3/16"),((база!$L$5*2*Таблица1[[#This Row],[Столбец1]]*Таблица1[[#This Row],[коэф]])),
IF(OR(G558="2/4",G558="3/4",G558="4/4"),((база!$I$5*2*Таблица1[[#This Row],[Столбец1]]*Таблица1[[#This Row],[коэф]])),
IF((G558="5/8"),((база!$J$6*2*Таблица1[[#This Row],[Столбец1]]*Таблица1[[#This Row],[коэф]])),
IF(OR(G558="4/8",G558="3/8",G558="2/8"),((база!$J$5*2*Таблица1[[#This Row],[Столбец1]]*Таблица1[[#This Row],[коэф]])))))))))))</f>
        <v>0</v>
      </c>
      <c r="AQ558" s="678" t="str">
        <f>IFERROR(INDEX(база!T:T, MATCH(F558,база!Q:Q,0)),"")</f>
        <v/>
      </c>
      <c r="AR558" s="193">
        <f>IFERROR(INDEX(база!D:D, MATCH(F558,база!B:B,0)),"")</f>
        <v>0</v>
      </c>
    </row>
    <row r="559" spans="1:44" ht="15">
      <c r="A559" s="59"/>
      <c r="B559" s="215"/>
      <c r="C559" s="277"/>
      <c r="D559" s="55"/>
      <c r="E559" s="196"/>
      <c r="F559" s="651"/>
      <c r="G559" s="42"/>
      <c r="H559" s="539"/>
      <c r="I559" s="539"/>
      <c r="J559" s="539"/>
      <c r="K559" s="539"/>
      <c r="L559" s="539"/>
      <c r="M559" s="539"/>
      <c r="N559" s="539"/>
      <c r="O559" s="539"/>
      <c r="P559" s="278"/>
      <c r="Q559" s="539"/>
      <c r="R559" s="539"/>
      <c r="S559" s="539"/>
      <c r="T559" s="539"/>
      <c r="U559" s="539"/>
      <c r="V559" s="539"/>
      <c r="W559" s="539"/>
      <c r="X559" s="539"/>
      <c r="Y559" s="539"/>
      <c r="Z559" s="539"/>
      <c r="AA559" s="539"/>
      <c r="AB559" s="539"/>
      <c r="AC559" s="539"/>
      <c r="AD559" s="43"/>
      <c r="AE559" s="43"/>
      <c r="AF559" s="238"/>
      <c r="AG559" s="43"/>
      <c r="AH559" s="43"/>
      <c r="AI559" s="238"/>
      <c r="AJ559" s="238"/>
      <c r="AK559" s="238"/>
      <c r="AL559" s="238"/>
      <c r="AM559" s="197">
        <f>IF(AQ559=1,SUM(H559:I559,L559:O559,R559:U559,X559:AA559,AD559:AG559,AI559:AK559),
IF(AQ559=2,SUM(H559:K559,N559:Q559,T559:W559,Z559:AC559,AF559:AI559),
IF(AQ559=3,SUM(J559:M559,P559:S559,V559:Y559,AB559:AE559,AH559:AK559),SUM(Таблица1[[#This Row],[1]:[31]])-Таблица1[[#This Row],[Столбец1]])))</f>
        <v>0</v>
      </c>
      <c r="AN559" s="269">
        <f t="array" ref="AN559">IF(AQ559=1,SUM(J559:K559,P559:Q559,V559:W559,AB559:AC559,AH559:AI559),
IF(AQ559=2,SUM(L559:M559,R559:S559,X559:Y559,AD559:AE559),
IF(AQ559=3,SUM(H559:I559,N559:O559,T559:U559,Z559:AA559,AF559:AG559),
SUM(IFERROR(WEEKDAY($H$2:$AL$2,2)&gt;5,)*H559:AL559))))</f>
        <v>0</v>
      </c>
      <c r="AO559" s="271" t="b">
        <f>IF(AR559&lt;=3,(IF((G559="5/24"),((база!$M$6*Таблица1[[#This Row],[сумма]]*Таблица1[[#This Row],[коэф]])),
IF((G559="4/24"),((база!$M$5*Таблица1[[#This Row],[сумма]]*Таблица1[[#This Row],[коэф]])),
IF((G559="3/24"),((база!$M$4*Таблица1[[#This Row],[сумма]]*Таблица1[[#This Row],[коэф]])),
IF((G559="5/16"),((база!$L$6*Таблица1[[#This Row],[сумма]]*Таблица1[[#This Row],[коэф]])),
IF((G559="4/16"),((база!$L$5*Таблица1[[#This Row],[сумма]]*Таблица1[[#This Row],[коэф]])),
IF((G559="3/16"),((база!$L$4*Таблица1[[#This Row],[сумма]]*Таблица1[[#This Row],[коэф]])),
IF((G559="4/4"),((база!$I$5*Таблица1[[#This Row],[сумма]]*Таблица1[[#This Row],[коэф]])),
IF(OR(G559="2/4",G559="3/4"),((база!$I$4*Таблица1[[#This Row],[сумма]]*Таблица1[[#This Row],[коэф]])),
IF((G559="5/8"),((база!$J$6*Таблица1[[#This Row],[сумма]]*Таблица1[[#This Row],[коэф]])),
IF((G559="4/8"),((база!$J$5*Таблица1[[#This Row],[сумма]]*Таблица1[[#This Row],[коэф]])),
IF(OR(G559="3/8",G559="2/8"),((база!$J$4*Таблица1[[#This Row],[сумма]]*Таблица1[[#This Row],[коэф]])))))))))))))),
(IF((G559="5/24"),((база!$M$6*Таблица1[[#This Row],[сумма]]*Таблица1[[#This Row],[коэф]])),
IF(OR(G559="4/24",G559="3/24"),((база!$M$5*Таблица1[[#This Row],[сумма]]*Таблица1[[#This Row],[коэф]])),
IF((G559="5/16"),((база!$L$6*Таблица1[[#This Row],[сумма]]*Таблица1[[#This Row],[коэф]])),
IF(OR(G559="4/16",G559="3/16"),((база!$L$5*Таблица1[[#This Row],[сумма]]*Таблица1[[#This Row],[коэф]])),
IF(OR(G559="2/4",G559="3/4",G559="4/4"),((база!$I$5*Таблица1[[#This Row],[сумма]]*Таблица1[[#This Row],[коэф]])),
IF((G559="5/8"),((база!$J$6*Таблица1[[#This Row],[сумма]]*Таблица1[[#This Row],[коэф]])),
IF(OR(G559="4/8",G559="3/8",G559="2/8"),((база!$J$5*Таблица1[[#This Row],[сумма]]*Таблица1[[#This Row],[коэф]])))))))))))</f>
        <v>0</v>
      </c>
      <c r="AP559" s="696" t="b">
        <f>IF(AR559&lt;=3,(IF((G559="5/24"),((база!$M$6*2*Таблица1[[#This Row],[Столбец1]]*Таблица1[[#This Row],[коэф]])),
IF((G559="4/24"),((база!$M$5*2*Таблица1[[#This Row],[Столбец1]]*Таблица1[[#This Row],[коэф]])),
IF((G559="3/24"),((база!$M$4*2*Таблица1[[#This Row],[Столбец1]]*Таблица1[[#This Row],[коэф]])),
IF((G559="5/16"),((база!$L$6*2*Таблица1[[#This Row],[Столбец1]]*Таблица1[[#This Row],[коэф]])),
IF((G559="4/16"),((база!$L$5*2*Таблица1[[#This Row],[Столбец1]]*Таблица1[[#This Row],[коэф]])),
IF((G559="3/16"),((база!$L$4*2*Таблица1[[#This Row],[Столбец1]]*Таблица1[[#This Row],[коэф]])),
IF((G559="4/4"),((база!$I$5*2*Таблица1[[#This Row],[Столбец1]]*Таблица1[[#This Row],[коэф]])),
IF(OR(G559="2/4",G559="3/4"),((база!$I$4*2*Таблица1[[#This Row],[Столбец1]]*Таблица1[[#This Row],[коэф]])),
IF((G559="5/8"),((база!$J$6*2*Таблица1[[#This Row],[Столбец1]]*Таблица1[[#This Row],[коэф]])),
IF((G559="4/8"),((база!$J$5*2*Таблица1[[#This Row],[Столбец1]]*Таблица1[[#This Row],[коэф]])),
IF(OR(G559="3/8",G559="2/8"),((база!$J$4*2*Таблица1[[#This Row],[Столбец1]]*Таблица1[[#This Row],[коэф]])))))))))))))),
(IF((G559="5/24"),((база!$M$6*2*Таблица1[[#This Row],[Столбец1]]*Таблица1[[#This Row],[коэф]])),
IF(OR(G559="4/24",G559="3/24"),((база!$M$5*2*Таблица1[[#This Row],[Столбец1]]*Таблица1[[#This Row],[коэф]])),
IF((G559="5/16"),((база!$L$6*2*Таблица1[[#This Row],[Столбец1]]*Таблица1[[#This Row],[коэф]])),
IF(OR(G559="4/16",G559="3/16"),((база!$L$5*2*Таблица1[[#This Row],[Столбец1]]*Таблица1[[#This Row],[коэф]])),
IF(OR(G559="2/4",G559="3/4",G559="4/4"),((база!$I$5*2*Таблица1[[#This Row],[Столбец1]]*Таблица1[[#This Row],[коэф]])),
IF((G559="5/8"),((база!$J$6*2*Таблица1[[#This Row],[Столбец1]]*Таблица1[[#This Row],[коэф]])),
IF(OR(G559="4/8",G559="3/8",G559="2/8"),((база!$J$5*2*Таблица1[[#This Row],[Столбец1]]*Таблица1[[#This Row],[коэф]])))))))))))</f>
        <v>0</v>
      </c>
      <c r="AQ559" s="678" t="str">
        <f>IFERROR(INDEX(база!T:T, MATCH(F559,база!Q:Q,0)),"")</f>
        <v/>
      </c>
      <c r="AR559" s="193">
        <f>IFERROR(INDEX(база!D:D, MATCH(F559,база!B:B,0)),"")</f>
        <v>0</v>
      </c>
    </row>
    <row r="560" spans="1:44" ht="15">
      <c r="A560" s="59"/>
      <c r="B560" s="215"/>
      <c r="C560" s="277"/>
      <c r="D560" s="55"/>
      <c r="E560" s="196"/>
      <c r="F560" s="651"/>
      <c r="G560" s="42"/>
      <c r="H560" s="539"/>
      <c r="I560" s="539"/>
      <c r="J560" s="539"/>
      <c r="K560" s="539"/>
      <c r="L560" s="539"/>
      <c r="M560" s="539"/>
      <c r="N560" s="539"/>
      <c r="O560" s="539"/>
      <c r="P560" s="278"/>
      <c r="Q560" s="539"/>
      <c r="R560" s="539"/>
      <c r="S560" s="539"/>
      <c r="T560" s="539"/>
      <c r="U560" s="539"/>
      <c r="V560" s="539"/>
      <c r="W560" s="539"/>
      <c r="X560" s="539"/>
      <c r="Y560" s="539"/>
      <c r="Z560" s="539"/>
      <c r="AA560" s="539"/>
      <c r="AB560" s="539"/>
      <c r="AC560" s="539"/>
      <c r="AD560" s="43"/>
      <c r="AE560" s="43"/>
      <c r="AF560" s="238"/>
      <c r="AG560" s="43"/>
      <c r="AH560" s="43"/>
      <c r="AI560" s="43"/>
      <c r="AJ560" s="43"/>
      <c r="AK560" s="43"/>
      <c r="AL560" s="45"/>
      <c r="AM560" s="197">
        <f>IF(AQ560=1,SUM(H560:I560,L560:O560,R560:U560,X560:AA560,AD560:AG560,AI560:AK560),
IF(AQ560=2,SUM(H560:K560,N560:Q560,T560:W560,Z560:AC560,AF560:AI560),
IF(AQ560=3,SUM(J560:M560,P560:S560,V560:Y560,AB560:AE560,AH560:AK560),SUM(Таблица1[[#This Row],[1]:[31]])-Таблица1[[#This Row],[Столбец1]])))</f>
        <v>0</v>
      </c>
      <c r="AN560" s="269">
        <f t="array" ref="AN560">IF(AQ560=1,SUM(J560:K560,P560:Q560,V560:W560,AB560:AC560,AH560:AI560),
IF(AQ560=2,SUM(L560:M560,R560:S560,X560:Y560,AD560:AE560),
IF(AQ560=3,SUM(H560:I560,N560:O560,T560:U560,Z560:AA560,AF560:AG560),
SUM(IFERROR(WEEKDAY($H$2:$AL$2,2)&gt;5,)*H560:AL560))))</f>
        <v>0</v>
      </c>
      <c r="AO560" s="271" t="b">
        <f>IF(AR560&lt;=3,(IF((G560="5/24"),((база!$M$6*Таблица1[[#This Row],[сумма]]*Таблица1[[#This Row],[коэф]])),
IF((G560="4/24"),((база!$M$5*Таблица1[[#This Row],[сумма]]*Таблица1[[#This Row],[коэф]])),
IF((G560="3/24"),((база!$M$4*Таблица1[[#This Row],[сумма]]*Таблица1[[#This Row],[коэф]])),
IF((G560="5/16"),((база!$L$6*Таблица1[[#This Row],[сумма]]*Таблица1[[#This Row],[коэф]])),
IF((G560="4/16"),((база!$L$5*Таблица1[[#This Row],[сумма]]*Таблица1[[#This Row],[коэф]])),
IF((G560="3/16"),((база!$L$4*Таблица1[[#This Row],[сумма]]*Таблица1[[#This Row],[коэф]])),
IF((G560="4/4"),((база!$I$5*Таблица1[[#This Row],[сумма]]*Таблица1[[#This Row],[коэф]])),
IF(OR(G560="2/4",G560="3/4"),((база!$I$4*Таблица1[[#This Row],[сумма]]*Таблица1[[#This Row],[коэф]])),
IF((G560="5/8"),((база!$J$6*Таблица1[[#This Row],[сумма]]*Таблица1[[#This Row],[коэф]])),
IF((G560="4/8"),((база!$J$5*Таблица1[[#This Row],[сумма]]*Таблица1[[#This Row],[коэф]])),
IF(OR(G560="3/8",G560="2/8"),((база!$J$4*Таблица1[[#This Row],[сумма]]*Таблица1[[#This Row],[коэф]])))))))))))))),
(IF((G560="5/24"),((база!$M$6*Таблица1[[#This Row],[сумма]]*Таблица1[[#This Row],[коэф]])),
IF(OR(G560="4/24",G560="3/24"),((база!$M$5*Таблица1[[#This Row],[сумма]]*Таблица1[[#This Row],[коэф]])),
IF((G560="5/16"),((база!$L$6*Таблица1[[#This Row],[сумма]]*Таблица1[[#This Row],[коэф]])),
IF(OR(G560="4/16",G560="3/16"),((база!$L$5*Таблица1[[#This Row],[сумма]]*Таблица1[[#This Row],[коэф]])),
IF(OR(G560="2/4",G560="3/4",G560="4/4"),((база!$I$5*Таблица1[[#This Row],[сумма]]*Таблица1[[#This Row],[коэф]])),
IF((G560="5/8"),((база!$J$6*Таблица1[[#This Row],[сумма]]*Таблица1[[#This Row],[коэф]])),
IF(OR(G560="4/8",G560="3/8",G560="2/8"),((база!$J$5*Таблица1[[#This Row],[сумма]]*Таблица1[[#This Row],[коэф]])))))))))))</f>
        <v>0</v>
      </c>
      <c r="AP560" s="696" t="b">
        <f>IF(AR560&lt;=3,(IF((G560="5/24"),((база!$M$6*2*Таблица1[[#This Row],[Столбец1]]*Таблица1[[#This Row],[коэф]])),
IF((G560="4/24"),((база!$M$5*2*Таблица1[[#This Row],[Столбец1]]*Таблица1[[#This Row],[коэф]])),
IF((G560="3/24"),((база!$M$4*2*Таблица1[[#This Row],[Столбец1]]*Таблица1[[#This Row],[коэф]])),
IF((G560="5/16"),((база!$L$6*2*Таблица1[[#This Row],[Столбец1]]*Таблица1[[#This Row],[коэф]])),
IF((G560="4/16"),((база!$L$5*2*Таблица1[[#This Row],[Столбец1]]*Таблица1[[#This Row],[коэф]])),
IF((G560="3/16"),((база!$L$4*2*Таблица1[[#This Row],[Столбец1]]*Таблица1[[#This Row],[коэф]])),
IF((G560="4/4"),((база!$I$5*2*Таблица1[[#This Row],[Столбец1]]*Таблица1[[#This Row],[коэф]])),
IF(OR(G560="2/4",G560="3/4"),((база!$I$4*2*Таблица1[[#This Row],[Столбец1]]*Таблица1[[#This Row],[коэф]])),
IF((G560="5/8"),((база!$J$6*2*Таблица1[[#This Row],[Столбец1]]*Таблица1[[#This Row],[коэф]])),
IF((G560="4/8"),((база!$J$5*2*Таблица1[[#This Row],[Столбец1]]*Таблица1[[#This Row],[коэф]])),
IF(OR(G560="3/8",G560="2/8"),((база!$J$4*2*Таблица1[[#This Row],[Столбец1]]*Таблица1[[#This Row],[коэф]])))))))))))))),
(IF((G560="5/24"),((база!$M$6*2*Таблица1[[#This Row],[Столбец1]]*Таблица1[[#This Row],[коэф]])),
IF(OR(G560="4/24",G560="3/24"),((база!$M$5*2*Таблица1[[#This Row],[Столбец1]]*Таблица1[[#This Row],[коэф]])),
IF((G560="5/16"),((база!$L$6*2*Таблица1[[#This Row],[Столбец1]]*Таблица1[[#This Row],[коэф]])),
IF(OR(G560="4/16",G560="3/16"),((база!$L$5*2*Таблица1[[#This Row],[Столбец1]]*Таблица1[[#This Row],[коэф]])),
IF(OR(G560="2/4",G560="3/4",G560="4/4"),((база!$I$5*2*Таблица1[[#This Row],[Столбец1]]*Таблица1[[#This Row],[коэф]])),
IF((G560="5/8"),((база!$J$6*2*Таблица1[[#This Row],[Столбец1]]*Таблица1[[#This Row],[коэф]])),
IF(OR(G560="4/8",G560="3/8",G560="2/8"),((база!$J$5*2*Таблица1[[#This Row],[Столбец1]]*Таблица1[[#This Row],[коэф]])))))))))))</f>
        <v>0</v>
      </c>
      <c r="AQ560" s="678" t="str">
        <f>IFERROR(INDEX(база!T:T, MATCH(F560,база!Q:Q,0)),"")</f>
        <v/>
      </c>
      <c r="AR560" s="193">
        <f>IFERROR(INDEX(база!D:D, MATCH(F560,база!B:B,0)),"")</f>
        <v>0</v>
      </c>
    </row>
    <row r="561" spans="1:44" ht="15">
      <c r="A561" s="59"/>
      <c r="B561" s="215"/>
      <c r="C561" s="277"/>
      <c r="D561" s="55"/>
      <c r="E561" s="196"/>
      <c r="F561" s="651"/>
      <c r="G561" s="42"/>
      <c r="H561" s="539"/>
      <c r="I561" s="539"/>
      <c r="J561" s="539"/>
      <c r="K561" s="539"/>
      <c r="L561" s="539"/>
      <c r="M561" s="539"/>
      <c r="N561" s="539"/>
      <c r="O561" s="539"/>
      <c r="P561" s="278"/>
      <c r="Q561" s="539"/>
      <c r="R561" s="539"/>
      <c r="S561" s="539"/>
      <c r="T561" s="539"/>
      <c r="U561" s="539"/>
      <c r="V561" s="539"/>
      <c r="W561" s="539"/>
      <c r="X561" s="539"/>
      <c r="Y561" s="539"/>
      <c r="Z561" s="539"/>
      <c r="AA561" s="539"/>
      <c r="AB561" s="539"/>
      <c r="AC561" s="539"/>
      <c r="AD561" s="43"/>
      <c r="AE561" s="43"/>
      <c r="AF561" s="238"/>
      <c r="AG561" s="43"/>
      <c r="AH561" s="43"/>
      <c r="AI561" s="238"/>
      <c r="AJ561" s="238"/>
      <c r="AK561" s="238"/>
      <c r="AL561" s="238"/>
      <c r="AM561" s="197">
        <f>IF(AQ561=1,SUM(H561:I561,L561:O561,R561:U561,X561:AA561,AD561:AG561,AI561:AK561),
IF(AQ561=2,SUM(H561:K561,N561:Q561,T561:W561,Z561:AC561,AF561:AI561),
IF(AQ561=3,SUM(J561:M561,P561:S561,V561:Y561,AB561:AE561,AH561:AK561),SUM(Таблица1[[#This Row],[1]:[31]])-Таблица1[[#This Row],[Столбец1]])))</f>
        <v>0</v>
      </c>
      <c r="AN561" s="269">
        <f t="array" ref="AN561">IF(AQ561=1,SUM(J561:K561,P561:Q561,V561:W561,AB561:AC561,AH561:AI561),
IF(AQ561=2,SUM(L561:M561,R561:S561,X561:Y561,AD561:AE561),
IF(AQ561=3,SUM(H561:I561,N561:O561,T561:U561,Z561:AA561,AF561:AG561),
SUM(IFERROR(WEEKDAY($H$2:$AL$2,2)&gt;5,)*H561:AL561))))</f>
        <v>0</v>
      </c>
      <c r="AO561" s="271" t="b">
        <f>IF(AR561&lt;=3,(IF((G561="5/24"),((база!$M$6*Таблица1[[#This Row],[сумма]]*Таблица1[[#This Row],[коэф]])),
IF((G561="4/24"),((база!$M$5*Таблица1[[#This Row],[сумма]]*Таблица1[[#This Row],[коэф]])),
IF((G561="3/24"),((база!$M$4*Таблица1[[#This Row],[сумма]]*Таблица1[[#This Row],[коэф]])),
IF((G561="5/16"),((база!$L$6*Таблица1[[#This Row],[сумма]]*Таблица1[[#This Row],[коэф]])),
IF((G561="4/16"),((база!$L$5*Таблица1[[#This Row],[сумма]]*Таблица1[[#This Row],[коэф]])),
IF((G561="3/16"),((база!$L$4*Таблица1[[#This Row],[сумма]]*Таблица1[[#This Row],[коэф]])),
IF((G561="4/4"),((база!$I$5*Таблица1[[#This Row],[сумма]]*Таблица1[[#This Row],[коэф]])),
IF(OR(G561="2/4",G561="3/4"),((база!$I$4*Таблица1[[#This Row],[сумма]]*Таблица1[[#This Row],[коэф]])),
IF((G561="5/8"),((база!$J$6*Таблица1[[#This Row],[сумма]]*Таблица1[[#This Row],[коэф]])),
IF((G561="4/8"),((база!$J$5*Таблица1[[#This Row],[сумма]]*Таблица1[[#This Row],[коэф]])),
IF(OR(G561="3/8",G561="2/8"),((база!$J$4*Таблица1[[#This Row],[сумма]]*Таблица1[[#This Row],[коэф]])))))))))))))),
(IF((G561="5/24"),((база!$M$6*Таблица1[[#This Row],[сумма]]*Таблица1[[#This Row],[коэф]])),
IF(OR(G561="4/24",G561="3/24"),((база!$M$5*Таблица1[[#This Row],[сумма]]*Таблица1[[#This Row],[коэф]])),
IF((G561="5/16"),((база!$L$6*Таблица1[[#This Row],[сумма]]*Таблица1[[#This Row],[коэф]])),
IF(OR(G561="4/16",G561="3/16"),((база!$L$5*Таблица1[[#This Row],[сумма]]*Таблица1[[#This Row],[коэф]])),
IF(OR(G561="2/4",G561="3/4",G561="4/4"),((база!$I$5*Таблица1[[#This Row],[сумма]]*Таблица1[[#This Row],[коэф]])),
IF((G561="5/8"),((база!$J$6*Таблица1[[#This Row],[сумма]]*Таблица1[[#This Row],[коэф]])),
IF(OR(G561="4/8",G561="3/8",G561="2/8"),((база!$J$5*Таблица1[[#This Row],[сумма]]*Таблица1[[#This Row],[коэф]])))))))))))</f>
        <v>0</v>
      </c>
      <c r="AP561" s="696" t="b">
        <f>IF(AR561&lt;=3,(IF((G561="5/24"),((база!$M$6*2*Таблица1[[#This Row],[Столбец1]]*Таблица1[[#This Row],[коэф]])),
IF((G561="4/24"),((база!$M$5*2*Таблица1[[#This Row],[Столбец1]]*Таблица1[[#This Row],[коэф]])),
IF((G561="3/24"),((база!$M$4*2*Таблица1[[#This Row],[Столбец1]]*Таблица1[[#This Row],[коэф]])),
IF((G561="5/16"),((база!$L$6*2*Таблица1[[#This Row],[Столбец1]]*Таблица1[[#This Row],[коэф]])),
IF((G561="4/16"),((база!$L$5*2*Таблица1[[#This Row],[Столбец1]]*Таблица1[[#This Row],[коэф]])),
IF((G561="3/16"),((база!$L$4*2*Таблица1[[#This Row],[Столбец1]]*Таблица1[[#This Row],[коэф]])),
IF((G561="4/4"),((база!$I$5*2*Таблица1[[#This Row],[Столбец1]]*Таблица1[[#This Row],[коэф]])),
IF(OR(G561="2/4",G561="3/4"),((база!$I$4*2*Таблица1[[#This Row],[Столбец1]]*Таблица1[[#This Row],[коэф]])),
IF((G561="5/8"),((база!$J$6*2*Таблица1[[#This Row],[Столбец1]]*Таблица1[[#This Row],[коэф]])),
IF((G561="4/8"),((база!$J$5*2*Таблица1[[#This Row],[Столбец1]]*Таблица1[[#This Row],[коэф]])),
IF(OR(G561="3/8",G561="2/8"),((база!$J$4*2*Таблица1[[#This Row],[Столбец1]]*Таблица1[[#This Row],[коэф]])))))))))))))),
(IF((G561="5/24"),((база!$M$6*2*Таблица1[[#This Row],[Столбец1]]*Таблица1[[#This Row],[коэф]])),
IF(OR(G561="4/24",G561="3/24"),((база!$M$5*2*Таблица1[[#This Row],[Столбец1]]*Таблица1[[#This Row],[коэф]])),
IF((G561="5/16"),((база!$L$6*2*Таблица1[[#This Row],[Столбец1]]*Таблица1[[#This Row],[коэф]])),
IF(OR(G561="4/16",G561="3/16"),((база!$L$5*2*Таблица1[[#This Row],[Столбец1]]*Таблица1[[#This Row],[коэф]])),
IF(OR(G561="2/4",G561="3/4",G561="4/4"),((база!$I$5*2*Таблица1[[#This Row],[Столбец1]]*Таблица1[[#This Row],[коэф]])),
IF((G561="5/8"),((база!$J$6*2*Таблица1[[#This Row],[Столбец1]]*Таблица1[[#This Row],[коэф]])),
IF(OR(G561="4/8",G561="3/8",G561="2/8"),((база!$J$5*2*Таблица1[[#This Row],[Столбец1]]*Таблица1[[#This Row],[коэф]])))))))))))</f>
        <v>0</v>
      </c>
      <c r="AQ561" s="678" t="str">
        <f>IFERROR(INDEX(база!T:T, MATCH(F561,база!Q:Q,0)),"")</f>
        <v/>
      </c>
      <c r="AR561" s="193">
        <f>IFERROR(INDEX(база!D:D, MATCH(F561,база!B:B,0)),"")</f>
        <v>0</v>
      </c>
    </row>
    <row r="562" spans="1:44" ht="15">
      <c r="A562" s="59"/>
      <c r="B562" s="215"/>
      <c r="C562" s="277"/>
      <c r="D562" s="55"/>
      <c r="E562" s="196"/>
      <c r="F562" s="651"/>
      <c r="G562" s="42"/>
      <c r="H562" s="539"/>
      <c r="I562" s="539"/>
      <c r="J562" s="539"/>
      <c r="K562" s="539"/>
      <c r="L562" s="539"/>
      <c r="M562" s="539"/>
      <c r="N562" s="539"/>
      <c r="O562" s="539"/>
      <c r="P562" s="278"/>
      <c r="Q562" s="539"/>
      <c r="R562" s="539"/>
      <c r="S562" s="539"/>
      <c r="T562" s="539"/>
      <c r="U562" s="539"/>
      <c r="V562" s="539"/>
      <c r="W562" s="539"/>
      <c r="X562" s="539"/>
      <c r="Y562" s="539"/>
      <c r="Z562" s="539"/>
      <c r="AA562" s="539"/>
      <c r="AB562" s="539"/>
      <c r="AC562" s="539"/>
      <c r="AD562" s="43"/>
      <c r="AE562" s="43"/>
      <c r="AF562" s="238"/>
      <c r="AG562" s="43"/>
      <c r="AH562" s="43"/>
      <c r="AI562" s="43"/>
      <c r="AJ562" s="43"/>
      <c r="AK562" s="43"/>
      <c r="AL562" s="45"/>
      <c r="AM562" s="197">
        <f>IF(AQ562=1,SUM(H562:I562,L562:O562,R562:U562,X562:AA562,AD562:AG562,AI562:AK562),
IF(AQ562=2,SUM(H562:K562,N562:Q562,T562:W562,Z562:AC562,AF562:AI562),
IF(AQ562=3,SUM(J562:M562,P562:S562,V562:Y562,AB562:AE562,AH562:AK562),SUM(Таблица1[[#This Row],[1]:[31]])-Таблица1[[#This Row],[Столбец1]])))</f>
        <v>0</v>
      </c>
      <c r="AN562" s="269">
        <f t="array" ref="AN562">IF(AQ562=1,SUM(J562:K562,P562:Q562,V562:W562,AB562:AC562,AH562:AI562),
IF(AQ562=2,SUM(L562:M562,R562:S562,X562:Y562,AD562:AE562),
IF(AQ562=3,SUM(H562:I562,N562:O562,T562:U562,Z562:AA562,AF562:AG562),
SUM(IFERROR(WEEKDAY($H$2:$AL$2,2)&gt;5,)*H562:AL562))))</f>
        <v>0</v>
      </c>
      <c r="AO562" s="271" t="b">
        <f>IF(AR562&lt;=3,(IF((G562="5/24"),((база!$M$6*Таблица1[[#This Row],[сумма]]*Таблица1[[#This Row],[коэф]])),
IF((G562="4/24"),((база!$M$5*Таблица1[[#This Row],[сумма]]*Таблица1[[#This Row],[коэф]])),
IF((G562="3/24"),((база!$M$4*Таблица1[[#This Row],[сумма]]*Таблица1[[#This Row],[коэф]])),
IF((G562="5/16"),((база!$L$6*Таблица1[[#This Row],[сумма]]*Таблица1[[#This Row],[коэф]])),
IF((G562="4/16"),((база!$L$5*Таблица1[[#This Row],[сумма]]*Таблица1[[#This Row],[коэф]])),
IF((G562="3/16"),((база!$L$4*Таблица1[[#This Row],[сумма]]*Таблица1[[#This Row],[коэф]])),
IF((G562="4/4"),((база!$I$5*Таблица1[[#This Row],[сумма]]*Таблица1[[#This Row],[коэф]])),
IF(OR(G562="2/4",G562="3/4"),((база!$I$4*Таблица1[[#This Row],[сумма]]*Таблица1[[#This Row],[коэф]])),
IF((G562="5/8"),((база!$J$6*Таблица1[[#This Row],[сумма]]*Таблица1[[#This Row],[коэф]])),
IF((G562="4/8"),((база!$J$5*Таблица1[[#This Row],[сумма]]*Таблица1[[#This Row],[коэф]])),
IF(OR(G562="3/8",G562="2/8"),((база!$J$4*Таблица1[[#This Row],[сумма]]*Таблица1[[#This Row],[коэф]])))))))))))))),
(IF((G562="5/24"),((база!$M$6*Таблица1[[#This Row],[сумма]]*Таблица1[[#This Row],[коэф]])),
IF(OR(G562="4/24",G562="3/24"),((база!$M$5*Таблица1[[#This Row],[сумма]]*Таблица1[[#This Row],[коэф]])),
IF((G562="5/16"),((база!$L$6*Таблица1[[#This Row],[сумма]]*Таблица1[[#This Row],[коэф]])),
IF(OR(G562="4/16",G562="3/16"),((база!$L$5*Таблица1[[#This Row],[сумма]]*Таблица1[[#This Row],[коэф]])),
IF(OR(G562="2/4",G562="3/4",G562="4/4"),((база!$I$5*Таблица1[[#This Row],[сумма]]*Таблица1[[#This Row],[коэф]])),
IF((G562="5/8"),((база!$J$6*Таблица1[[#This Row],[сумма]]*Таблица1[[#This Row],[коэф]])),
IF(OR(G562="4/8",G562="3/8",G562="2/8"),((база!$J$5*Таблица1[[#This Row],[сумма]]*Таблица1[[#This Row],[коэф]])))))))))))</f>
        <v>0</v>
      </c>
      <c r="AP562" s="696" t="b">
        <f>IF(AR562&lt;=3,(IF((G562="5/24"),((база!$M$6*2*Таблица1[[#This Row],[Столбец1]]*Таблица1[[#This Row],[коэф]])),
IF((G562="4/24"),((база!$M$5*2*Таблица1[[#This Row],[Столбец1]]*Таблица1[[#This Row],[коэф]])),
IF((G562="3/24"),((база!$M$4*2*Таблица1[[#This Row],[Столбец1]]*Таблица1[[#This Row],[коэф]])),
IF((G562="5/16"),((база!$L$6*2*Таблица1[[#This Row],[Столбец1]]*Таблица1[[#This Row],[коэф]])),
IF((G562="4/16"),((база!$L$5*2*Таблица1[[#This Row],[Столбец1]]*Таблица1[[#This Row],[коэф]])),
IF((G562="3/16"),((база!$L$4*2*Таблица1[[#This Row],[Столбец1]]*Таблица1[[#This Row],[коэф]])),
IF((G562="4/4"),((база!$I$5*2*Таблица1[[#This Row],[Столбец1]]*Таблица1[[#This Row],[коэф]])),
IF(OR(G562="2/4",G562="3/4"),((база!$I$4*2*Таблица1[[#This Row],[Столбец1]]*Таблица1[[#This Row],[коэф]])),
IF((G562="5/8"),((база!$J$6*2*Таблица1[[#This Row],[Столбец1]]*Таблица1[[#This Row],[коэф]])),
IF((G562="4/8"),((база!$J$5*2*Таблица1[[#This Row],[Столбец1]]*Таблица1[[#This Row],[коэф]])),
IF(OR(G562="3/8",G562="2/8"),((база!$J$4*2*Таблица1[[#This Row],[Столбец1]]*Таблица1[[#This Row],[коэф]])))))))))))))),
(IF((G562="5/24"),((база!$M$6*2*Таблица1[[#This Row],[Столбец1]]*Таблица1[[#This Row],[коэф]])),
IF(OR(G562="4/24",G562="3/24"),((база!$M$5*2*Таблица1[[#This Row],[Столбец1]]*Таблица1[[#This Row],[коэф]])),
IF((G562="5/16"),((база!$L$6*2*Таблица1[[#This Row],[Столбец1]]*Таблица1[[#This Row],[коэф]])),
IF(OR(G562="4/16",G562="3/16"),((база!$L$5*2*Таблица1[[#This Row],[Столбец1]]*Таблица1[[#This Row],[коэф]])),
IF(OR(G562="2/4",G562="3/4",G562="4/4"),((база!$I$5*2*Таблица1[[#This Row],[Столбец1]]*Таблица1[[#This Row],[коэф]])),
IF((G562="5/8"),((база!$J$6*2*Таблица1[[#This Row],[Столбец1]]*Таблица1[[#This Row],[коэф]])),
IF(OR(G562="4/8",G562="3/8",G562="2/8"),((база!$J$5*2*Таблица1[[#This Row],[Столбец1]]*Таблица1[[#This Row],[коэф]])))))))))))</f>
        <v>0</v>
      </c>
      <c r="AQ562" s="678" t="str">
        <f>IFERROR(INDEX(база!T:T, MATCH(F562,база!Q:Q,0)),"")</f>
        <v/>
      </c>
      <c r="AR562" s="193">
        <f>IFERROR(INDEX(база!D:D, MATCH(F562,база!B:B,0)),"")</f>
        <v>0</v>
      </c>
    </row>
    <row r="563" spans="1:44" ht="15">
      <c r="A563" s="59"/>
      <c r="B563" s="215"/>
      <c r="C563" s="277"/>
      <c r="D563" s="55"/>
      <c r="E563" s="196"/>
      <c r="F563" s="651"/>
      <c r="G563" s="42"/>
      <c r="H563" s="539"/>
      <c r="I563" s="539"/>
      <c r="J563" s="539"/>
      <c r="K563" s="539"/>
      <c r="L563" s="539"/>
      <c r="M563" s="539"/>
      <c r="N563" s="539"/>
      <c r="O563" s="539"/>
      <c r="P563" s="278"/>
      <c r="Q563" s="539"/>
      <c r="R563" s="539"/>
      <c r="S563" s="539"/>
      <c r="T563" s="539"/>
      <c r="U563" s="539"/>
      <c r="V563" s="539"/>
      <c r="W563" s="539"/>
      <c r="X563" s="539"/>
      <c r="Y563" s="539"/>
      <c r="Z563" s="539"/>
      <c r="AA563" s="539"/>
      <c r="AB563" s="539"/>
      <c r="AC563" s="539"/>
      <c r="AD563" s="43"/>
      <c r="AE563" s="43"/>
      <c r="AF563" s="238"/>
      <c r="AG563" s="43"/>
      <c r="AH563" s="43"/>
      <c r="AI563" s="238"/>
      <c r="AJ563" s="238"/>
      <c r="AK563" s="238"/>
      <c r="AL563" s="238"/>
      <c r="AM563" s="197">
        <f>IF(AQ563=1,SUM(H563:I563,L563:O563,R563:U563,X563:AA563,AD563:AG563,AI563:AK563),
IF(AQ563=2,SUM(H563:K563,N563:Q563,T563:W563,Z563:AC563,AF563:AI563),
IF(AQ563=3,SUM(J563:M563,P563:S563,V563:Y563,AB563:AE563,AH563:AK563),SUM(Таблица1[[#This Row],[1]:[31]])-Таблица1[[#This Row],[Столбец1]])))</f>
        <v>0</v>
      </c>
      <c r="AN563" s="269">
        <f t="array" ref="AN563">IF(AQ563=1,SUM(J563:K563,P563:Q563,V563:W563,AB563:AC563,AH563:AI563),
IF(AQ563=2,SUM(L563:M563,R563:S563,X563:Y563,AD563:AE563),
IF(AQ563=3,SUM(H563:I563,N563:O563,T563:U563,Z563:AA563,AF563:AG563),
SUM(IFERROR(WEEKDAY($H$2:$AL$2,2)&gt;5,)*H563:AL563))))</f>
        <v>0</v>
      </c>
      <c r="AO563" s="271" t="b">
        <f>IF(AR563&lt;=3,(IF((G563="5/24"),((база!$M$6*Таблица1[[#This Row],[сумма]]*Таблица1[[#This Row],[коэф]])),
IF((G563="4/24"),((база!$M$5*Таблица1[[#This Row],[сумма]]*Таблица1[[#This Row],[коэф]])),
IF((G563="3/24"),((база!$M$4*Таблица1[[#This Row],[сумма]]*Таблица1[[#This Row],[коэф]])),
IF((G563="5/16"),((база!$L$6*Таблица1[[#This Row],[сумма]]*Таблица1[[#This Row],[коэф]])),
IF((G563="4/16"),((база!$L$5*Таблица1[[#This Row],[сумма]]*Таблица1[[#This Row],[коэф]])),
IF((G563="3/16"),((база!$L$4*Таблица1[[#This Row],[сумма]]*Таблица1[[#This Row],[коэф]])),
IF((G563="4/4"),((база!$I$5*Таблица1[[#This Row],[сумма]]*Таблица1[[#This Row],[коэф]])),
IF(OR(G563="2/4",G563="3/4"),((база!$I$4*Таблица1[[#This Row],[сумма]]*Таблица1[[#This Row],[коэф]])),
IF((G563="5/8"),((база!$J$6*Таблица1[[#This Row],[сумма]]*Таблица1[[#This Row],[коэф]])),
IF((G563="4/8"),((база!$J$5*Таблица1[[#This Row],[сумма]]*Таблица1[[#This Row],[коэф]])),
IF(OR(G563="3/8",G563="2/8"),((база!$J$4*Таблица1[[#This Row],[сумма]]*Таблица1[[#This Row],[коэф]])))))))))))))),
(IF((G563="5/24"),((база!$M$6*Таблица1[[#This Row],[сумма]]*Таблица1[[#This Row],[коэф]])),
IF(OR(G563="4/24",G563="3/24"),((база!$M$5*Таблица1[[#This Row],[сумма]]*Таблица1[[#This Row],[коэф]])),
IF((G563="5/16"),((база!$L$6*Таблица1[[#This Row],[сумма]]*Таблица1[[#This Row],[коэф]])),
IF(OR(G563="4/16",G563="3/16"),((база!$L$5*Таблица1[[#This Row],[сумма]]*Таблица1[[#This Row],[коэф]])),
IF(OR(G563="2/4",G563="3/4",G563="4/4"),((база!$I$5*Таблица1[[#This Row],[сумма]]*Таблица1[[#This Row],[коэф]])),
IF((G563="5/8"),((база!$J$6*Таблица1[[#This Row],[сумма]]*Таблица1[[#This Row],[коэф]])),
IF(OR(G563="4/8",G563="3/8",G563="2/8"),((база!$J$5*Таблица1[[#This Row],[сумма]]*Таблица1[[#This Row],[коэф]])))))))))))</f>
        <v>0</v>
      </c>
      <c r="AP563" s="696" t="b">
        <f>IF(AR563&lt;=3,(IF((G563="5/24"),((база!$M$6*2*Таблица1[[#This Row],[Столбец1]]*Таблица1[[#This Row],[коэф]])),
IF((G563="4/24"),((база!$M$5*2*Таблица1[[#This Row],[Столбец1]]*Таблица1[[#This Row],[коэф]])),
IF((G563="3/24"),((база!$M$4*2*Таблица1[[#This Row],[Столбец1]]*Таблица1[[#This Row],[коэф]])),
IF((G563="5/16"),((база!$L$6*2*Таблица1[[#This Row],[Столбец1]]*Таблица1[[#This Row],[коэф]])),
IF((G563="4/16"),((база!$L$5*2*Таблица1[[#This Row],[Столбец1]]*Таблица1[[#This Row],[коэф]])),
IF((G563="3/16"),((база!$L$4*2*Таблица1[[#This Row],[Столбец1]]*Таблица1[[#This Row],[коэф]])),
IF((G563="4/4"),((база!$I$5*2*Таблица1[[#This Row],[Столбец1]]*Таблица1[[#This Row],[коэф]])),
IF(OR(G563="2/4",G563="3/4"),((база!$I$4*2*Таблица1[[#This Row],[Столбец1]]*Таблица1[[#This Row],[коэф]])),
IF((G563="5/8"),((база!$J$6*2*Таблица1[[#This Row],[Столбец1]]*Таблица1[[#This Row],[коэф]])),
IF((G563="4/8"),((база!$J$5*2*Таблица1[[#This Row],[Столбец1]]*Таблица1[[#This Row],[коэф]])),
IF(OR(G563="3/8",G563="2/8"),((база!$J$4*2*Таблица1[[#This Row],[Столбец1]]*Таблица1[[#This Row],[коэф]])))))))))))))),
(IF((G563="5/24"),((база!$M$6*2*Таблица1[[#This Row],[Столбец1]]*Таблица1[[#This Row],[коэф]])),
IF(OR(G563="4/24",G563="3/24"),((база!$M$5*2*Таблица1[[#This Row],[Столбец1]]*Таблица1[[#This Row],[коэф]])),
IF((G563="5/16"),((база!$L$6*2*Таблица1[[#This Row],[Столбец1]]*Таблица1[[#This Row],[коэф]])),
IF(OR(G563="4/16",G563="3/16"),((база!$L$5*2*Таблица1[[#This Row],[Столбец1]]*Таблица1[[#This Row],[коэф]])),
IF(OR(G563="2/4",G563="3/4",G563="4/4"),((база!$I$5*2*Таблица1[[#This Row],[Столбец1]]*Таблица1[[#This Row],[коэф]])),
IF((G563="5/8"),((база!$J$6*2*Таблица1[[#This Row],[Столбец1]]*Таблица1[[#This Row],[коэф]])),
IF(OR(G563="4/8",G563="3/8",G563="2/8"),((база!$J$5*2*Таблица1[[#This Row],[Столбец1]]*Таблица1[[#This Row],[коэф]])))))))))))</f>
        <v>0</v>
      </c>
      <c r="AQ563" s="678" t="str">
        <f>IFERROR(INDEX(база!T:T, MATCH(F563,база!Q:Q,0)),"")</f>
        <v/>
      </c>
      <c r="AR563" s="193">
        <f>IFERROR(INDEX(база!D:D, MATCH(F563,база!B:B,0)),"")</f>
        <v>0</v>
      </c>
    </row>
    <row r="564" spans="1:44" ht="15">
      <c r="A564" s="59"/>
      <c r="B564" s="215"/>
      <c r="C564" s="277"/>
      <c r="D564" s="55"/>
      <c r="E564" s="196"/>
      <c r="F564" s="651"/>
      <c r="G564" s="42"/>
      <c r="H564" s="539"/>
      <c r="I564" s="539"/>
      <c r="J564" s="539"/>
      <c r="K564" s="539"/>
      <c r="L564" s="539"/>
      <c r="M564" s="539"/>
      <c r="N564" s="539"/>
      <c r="O564" s="539"/>
      <c r="P564" s="278"/>
      <c r="Q564" s="539"/>
      <c r="R564" s="539"/>
      <c r="S564" s="539"/>
      <c r="T564" s="539"/>
      <c r="U564" s="539"/>
      <c r="V564" s="539"/>
      <c r="W564" s="539"/>
      <c r="X564" s="539"/>
      <c r="Y564" s="539"/>
      <c r="Z564" s="539"/>
      <c r="AA564" s="539"/>
      <c r="AB564" s="539"/>
      <c r="AC564" s="539"/>
      <c r="AD564" s="43"/>
      <c r="AE564" s="43"/>
      <c r="AF564" s="238"/>
      <c r="AG564" s="43"/>
      <c r="AH564" s="43"/>
      <c r="AI564" s="43"/>
      <c r="AJ564" s="43"/>
      <c r="AK564" s="43"/>
      <c r="AL564" s="45"/>
      <c r="AM564" s="197">
        <f>IF(AQ564=1,SUM(H564:I564,L564:O564,R564:U564,X564:AA564,AD564:AG564,AI564:AK564),
IF(AQ564=2,SUM(H564:K564,N564:Q564,T564:W564,Z564:AC564,AF564:AI564),
IF(AQ564=3,SUM(J564:M564,P564:S564,V564:Y564,AB564:AE564,AH564:AK564),SUM(Таблица1[[#This Row],[1]:[31]])-Таблица1[[#This Row],[Столбец1]])))</f>
        <v>0</v>
      </c>
      <c r="AN564" s="269">
        <f t="array" ref="AN564">IF(AQ564=1,SUM(J564:K564,P564:Q564,V564:W564,AB564:AC564,AH564:AI564),
IF(AQ564=2,SUM(L564:M564,R564:S564,X564:Y564,AD564:AE564),
IF(AQ564=3,SUM(H564:I564,N564:O564,T564:U564,Z564:AA564,AF564:AG564),
SUM(IFERROR(WEEKDAY($H$2:$AL$2,2)&gt;5,)*H564:AL564))))</f>
        <v>0</v>
      </c>
      <c r="AO564" s="271" t="b">
        <f>IF(AR564&lt;=3,(IF((G564="5/24"),((база!$M$6*Таблица1[[#This Row],[сумма]]*Таблица1[[#This Row],[коэф]])),
IF((G564="4/24"),((база!$M$5*Таблица1[[#This Row],[сумма]]*Таблица1[[#This Row],[коэф]])),
IF((G564="3/24"),((база!$M$4*Таблица1[[#This Row],[сумма]]*Таблица1[[#This Row],[коэф]])),
IF((G564="5/16"),((база!$L$6*Таблица1[[#This Row],[сумма]]*Таблица1[[#This Row],[коэф]])),
IF((G564="4/16"),((база!$L$5*Таблица1[[#This Row],[сумма]]*Таблица1[[#This Row],[коэф]])),
IF((G564="3/16"),((база!$L$4*Таблица1[[#This Row],[сумма]]*Таблица1[[#This Row],[коэф]])),
IF((G564="4/4"),((база!$I$5*Таблица1[[#This Row],[сумма]]*Таблица1[[#This Row],[коэф]])),
IF(OR(G564="2/4",G564="3/4"),((база!$I$4*Таблица1[[#This Row],[сумма]]*Таблица1[[#This Row],[коэф]])),
IF((G564="5/8"),((база!$J$6*Таблица1[[#This Row],[сумма]]*Таблица1[[#This Row],[коэф]])),
IF((G564="4/8"),((база!$J$5*Таблица1[[#This Row],[сумма]]*Таблица1[[#This Row],[коэф]])),
IF(OR(G564="3/8",G564="2/8"),((база!$J$4*Таблица1[[#This Row],[сумма]]*Таблица1[[#This Row],[коэф]])))))))))))))),
(IF((G564="5/24"),((база!$M$6*Таблица1[[#This Row],[сумма]]*Таблица1[[#This Row],[коэф]])),
IF(OR(G564="4/24",G564="3/24"),((база!$M$5*Таблица1[[#This Row],[сумма]]*Таблица1[[#This Row],[коэф]])),
IF((G564="5/16"),((база!$L$6*Таблица1[[#This Row],[сумма]]*Таблица1[[#This Row],[коэф]])),
IF(OR(G564="4/16",G564="3/16"),((база!$L$5*Таблица1[[#This Row],[сумма]]*Таблица1[[#This Row],[коэф]])),
IF(OR(G564="2/4",G564="3/4",G564="4/4"),((база!$I$5*Таблица1[[#This Row],[сумма]]*Таблица1[[#This Row],[коэф]])),
IF((G564="5/8"),((база!$J$6*Таблица1[[#This Row],[сумма]]*Таблица1[[#This Row],[коэф]])),
IF(OR(G564="4/8",G564="3/8",G564="2/8"),((база!$J$5*Таблица1[[#This Row],[сумма]]*Таблица1[[#This Row],[коэф]])))))))))))</f>
        <v>0</v>
      </c>
      <c r="AP564" s="696" t="b">
        <f>IF(AR564&lt;=3,(IF((G564="5/24"),((база!$M$6*2*Таблица1[[#This Row],[Столбец1]]*Таблица1[[#This Row],[коэф]])),
IF((G564="4/24"),((база!$M$5*2*Таблица1[[#This Row],[Столбец1]]*Таблица1[[#This Row],[коэф]])),
IF((G564="3/24"),((база!$M$4*2*Таблица1[[#This Row],[Столбец1]]*Таблица1[[#This Row],[коэф]])),
IF((G564="5/16"),((база!$L$6*2*Таблица1[[#This Row],[Столбец1]]*Таблица1[[#This Row],[коэф]])),
IF((G564="4/16"),((база!$L$5*2*Таблица1[[#This Row],[Столбец1]]*Таблица1[[#This Row],[коэф]])),
IF((G564="3/16"),((база!$L$4*2*Таблица1[[#This Row],[Столбец1]]*Таблица1[[#This Row],[коэф]])),
IF((G564="4/4"),((база!$I$5*2*Таблица1[[#This Row],[Столбец1]]*Таблица1[[#This Row],[коэф]])),
IF(OR(G564="2/4",G564="3/4"),((база!$I$4*2*Таблица1[[#This Row],[Столбец1]]*Таблица1[[#This Row],[коэф]])),
IF((G564="5/8"),((база!$J$6*2*Таблица1[[#This Row],[Столбец1]]*Таблица1[[#This Row],[коэф]])),
IF((G564="4/8"),((база!$J$5*2*Таблица1[[#This Row],[Столбец1]]*Таблица1[[#This Row],[коэф]])),
IF(OR(G564="3/8",G564="2/8"),((база!$J$4*2*Таблица1[[#This Row],[Столбец1]]*Таблица1[[#This Row],[коэф]])))))))))))))),
(IF((G564="5/24"),((база!$M$6*2*Таблица1[[#This Row],[Столбец1]]*Таблица1[[#This Row],[коэф]])),
IF(OR(G564="4/24",G564="3/24"),((база!$M$5*2*Таблица1[[#This Row],[Столбец1]]*Таблица1[[#This Row],[коэф]])),
IF((G564="5/16"),((база!$L$6*2*Таблица1[[#This Row],[Столбец1]]*Таблица1[[#This Row],[коэф]])),
IF(OR(G564="4/16",G564="3/16"),((база!$L$5*2*Таблица1[[#This Row],[Столбец1]]*Таблица1[[#This Row],[коэф]])),
IF(OR(G564="2/4",G564="3/4",G564="4/4"),((база!$I$5*2*Таблица1[[#This Row],[Столбец1]]*Таблица1[[#This Row],[коэф]])),
IF((G564="5/8"),((база!$J$6*2*Таблица1[[#This Row],[Столбец1]]*Таблица1[[#This Row],[коэф]])),
IF(OR(G564="4/8",G564="3/8",G564="2/8"),((база!$J$5*2*Таблица1[[#This Row],[Столбец1]]*Таблица1[[#This Row],[коэф]])))))))))))</f>
        <v>0</v>
      </c>
      <c r="AQ564" s="678" t="str">
        <f>IFERROR(INDEX(база!T:T, MATCH(F564,база!Q:Q,0)),"")</f>
        <v/>
      </c>
      <c r="AR564" s="193">
        <f>IFERROR(INDEX(база!D:D, MATCH(F564,база!B:B,0)),"")</f>
        <v>0</v>
      </c>
    </row>
    <row r="565" spans="1:44" ht="15">
      <c r="A565" s="59"/>
      <c r="B565" s="215"/>
      <c r="C565" s="277"/>
      <c r="D565" s="55"/>
      <c r="E565" s="196"/>
      <c r="F565" s="651"/>
      <c r="G565" s="42"/>
      <c r="H565" s="539"/>
      <c r="I565" s="539"/>
      <c r="J565" s="539"/>
      <c r="K565" s="539"/>
      <c r="L565" s="539"/>
      <c r="M565" s="539"/>
      <c r="N565" s="539"/>
      <c r="O565" s="539"/>
      <c r="P565" s="278"/>
      <c r="Q565" s="539"/>
      <c r="R565" s="539"/>
      <c r="S565" s="539"/>
      <c r="T565" s="539"/>
      <c r="U565" s="539"/>
      <c r="V565" s="539"/>
      <c r="W565" s="539"/>
      <c r="X565" s="539"/>
      <c r="Y565" s="539"/>
      <c r="Z565" s="539"/>
      <c r="AA565" s="539"/>
      <c r="AB565" s="539"/>
      <c r="AC565" s="539"/>
      <c r="AD565" s="43"/>
      <c r="AE565" s="43"/>
      <c r="AF565" s="238"/>
      <c r="AG565" s="43"/>
      <c r="AH565" s="43"/>
      <c r="AI565" s="238"/>
      <c r="AJ565" s="238"/>
      <c r="AK565" s="238"/>
      <c r="AL565" s="238"/>
      <c r="AM565" s="197">
        <f>IF(AQ565=1,SUM(H565:I565,L565:O565,R565:U565,X565:AA565,AD565:AG565,AI565:AK565),
IF(AQ565=2,SUM(H565:K565,N565:Q565,T565:W565,Z565:AC565,AF565:AI565),
IF(AQ565=3,SUM(J565:M565,P565:S565,V565:Y565,AB565:AE565,AH565:AK565),SUM(Таблица1[[#This Row],[1]:[31]])-Таблица1[[#This Row],[Столбец1]])))</f>
        <v>0</v>
      </c>
      <c r="AN565" s="269">
        <f t="array" ref="AN565">IF(AQ565=1,SUM(J565:K565,P565:Q565,V565:W565,AB565:AC565,AH565:AI565),
IF(AQ565=2,SUM(L565:M565,R565:S565,X565:Y565,AD565:AE565),
IF(AQ565=3,SUM(H565:I565,N565:O565,T565:U565,Z565:AA565,AF565:AG565),
SUM(IFERROR(WEEKDAY($H$2:$AL$2,2)&gt;5,)*H565:AL565))))</f>
        <v>0</v>
      </c>
      <c r="AO565" s="271" t="b">
        <f>IF(AR565&lt;=3,(IF((G565="5/24"),((база!$M$6*Таблица1[[#This Row],[сумма]]*Таблица1[[#This Row],[коэф]])),
IF((G565="4/24"),((база!$M$5*Таблица1[[#This Row],[сумма]]*Таблица1[[#This Row],[коэф]])),
IF((G565="3/24"),((база!$M$4*Таблица1[[#This Row],[сумма]]*Таблица1[[#This Row],[коэф]])),
IF((G565="5/16"),((база!$L$6*Таблица1[[#This Row],[сумма]]*Таблица1[[#This Row],[коэф]])),
IF((G565="4/16"),((база!$L$5*Таблица1[[#This Row],[сумма]]*Таблица1[[#This Row],[коэф]])),
IF((G565="3/16"),((база!$L$4*Таблица1[[#This Row],[сумма]]*Таблица1[[#This Row],[коэф]])),
IF((G565="4/4"),((база!$I$5*Таблица1[[#This Row],[сумма]]*Таблица1[[#This Row],[коэф]])),
IF(OR(G565="2/4",G565="3/4"),((база!$I$4*Таблица1[[#This Row],[сумма]]*Таблица1[[#This Row],[коэф]])),
IF((G565="5/8"),((база!$J$6*Таблица1[[#This Row],[сумма]]*Таблица1[[#This Row],[коэф]])),
IF((G565="4/8"),((база!$J$5*Таблица1[[#This Row],[сумма]]*Таблица1[[#This Row],[коэф]])),
IF(OR(G565="3/8",G565="2/8"),((база!$J$4*Таблица1[[#This Row],[сумма]]*Таблица1[[#This Row],[коэф]])))))))))))))),
(IF((G565="5/24"),((база!$M$6*Таблица1[[#This Row],[сумма]]*Таблица1[[#This Row],[коэф]])),
IF(OR(G565="4/24",G565="3/24"),((база!$M$5*Таблица1[[#This Row],[сумма]]*Таблица1[[#This Row],[коэф]])),
IF((G565="5/16"),((база!$L$6*Таблица1[[#This Row],[сумма]]*Таблица1[[#This Row],[коэф]])),
IF(OR(G565="4/16",G565="3/16"),((база!$L$5*Таблица1[[#This Row],[сумма]]*Таблица1[[#This Row],[коэф]])),
IF(OR(G565="2/4",G565="3/4",G565="4/4"),((база!$I$5*Таблица1[[#This Row],[сумма]]*Таблица1[[#This Row],[коэф]])),
IF((G565="5/8"),((база!$J$6*Таблица1[[#This Row],[сумма]]*Таблица1[[#This Row],[коэф]])),
IF(OR(G565="4/8",G565="3/8",G565="2/8"),((база!$J$5*Таблица1[[#This Row],[сумма]]*Таблица1[[#This Row],[коэф]])))))))))))</f>
        <v>0</v>
      </c>
      <c r="AP565" s="696" t="b">
        <f>IF(AR565&lt;=3,(IF((G565="5/24"),((база!$M$6*2*Таблица1[[#This Row],[Столбец1]]*Таблица1[[#This Row],[коэф]])),
IF((G565="4/24"),((база!$M$5*2*Таблица1[[#This Row],[Столбец1]]*Таблица1[[#This Row],[коэф]])),
IF((G565="3/24"),((база!$M$4*2*Таблица1[[#This Row],[Столбец1]]*Таблица1[[#This Row],[коэф]])),
IF((G565="5/16"),((база!$L$6*2*Таблица1[[#This Row],[Столбец1]]*Таблица1[[#This Row],[коэф]])),
IF((G565="4/16"),((база!$L$5*2*Таблица1[[#This Row],[Столбец1]]*Таблица1[[#This Row],[коэф]])),
IF((G565="3/16"),((база!$L$4*2*Таблица1[[#This Row],[Столбец1]]*Таблица1[[#This Row],[коэф]])),
IF((G565="4/4"),((база!$I$5*2*Таблица1[[#This Row],[Столбец1]]*Таблица1[[#This Row],[коэф]])),
IF(OR(G565="2/4",G565="3/4"),((база!$I$4*2*Таблица1[[#This Row],[Столбец1]]*Таблица1[[#This Row],[коэф]])),
IF((G565="5/8"),((база!$J$6*2*Таблица1[[#This Row],[Столбец1]]*Таблица1[[#This Row],[коэф]])),
IF((G565="4/8"),((база!$J$5*2*Таблица1[[#This Row],[Столбец1]]*Таблица1[[#This Row],[коэф]])),
IF(OR(G565="3/8",G565="2/8"),((база!$J$4*2*Таблица1[[#This Row],[Столбец1]]*Таблица1[[#This Row],[коэф]])))))))))))))),
(IF((G565="5/24"),((база!$M$6*2*Таблица1[[#This Row],[Столбец1]]*Таблица1[[#This Row],[коэф]])),
IF(OR(G565="4/24",G565="3/24"),((база!$M$5*2*Таблица1[[#This Row],[Столбец1]]*Таблица1[[#This Row],[коэф]])),
IF((G565="5/16"),((база!$L$6*2*Таблица1[[#This Row],[Столбец1]]*Таблица1[[#This Row],[коэф]])),
IF(OR(G565="4/16",G565="3/16"),((база!$L$5*2*Таблица1[[#This Row],[Столбец1]]*Таблица1[[#This Row],[коэф]])),
IF(OR(G565="2/4",G565="3/4",G565="4/4"),((база!$I$5*2*Таблица1[[#This Row],[Столбец1]]*Таблица1[[#This Row],[коэф]])),
IF((G565="5/8"),((база!$J$6*2*Таблица1[[#This Row],[Столбец1]]*Таблица1[[#This Row],[коэф]])),
IF(OR(G565="4/8",G565="3/8",G565="2/8"),((база!$J$5*2*Таблица1[[#This Row],[Столбец1]]*Таблица1[[#This Row],[коэф]])))))))))))</f>
        <v>0</v>
      </c>
      <c r="AQ565" s="678" t="str">
        <f>IFERROR(INDEX(база!T:T, MATCH(F565,база!Q:Q,0)),"")</f>
        <v/>
      </c>
      <c r="AR565" s="193">
        <f>IFERROR(INDEX(база!D:D, MATCH(F565,база!B:B,0)),"")</f>
        <v>0</v>
      </c>
    </row>
    <row r="566" spans="1:44" ht="15">
      <c r="A566" s="59"/>
      <c r="B566" s="215"/>
      <c r="C566" s="277"/>
      <c r="D566" s="55"/>
      <c r="E566" s="196"/>
      <c r="F566" s="651"/>
      <c r="G566" s="42"/>
      <c r="H566" s="539"/>
      <c r="I566" s="539"/>
      <c r="J566" s="539"/>
      <c r="K566" s="539"/>
      <c r="L566" s="539"/>
      <c r="M566" s="539"/>
      <c r="N566" s="539"/>
      <c r="O566" s="539"/>
      <c r="P566" s="278"/>
      <c r="Q566" s="539"/>
      <c r="R566" s="539"/>
      <c r="S566" s="539"/>
      <c r="T566" s="539"/>
      <c r="U566" s="539"/>
      <c r="V566" s="539"/>
      <c r="W566" s="539"/>
      <c r="X566" s="539"/>
      <c r="Y566" s="539"/>
      <c r="Z566" s="539"/>
      <c r="AA566" s="539"/>
      <c r="AB566" s="539"/>
      <c r="AC566" s="539"/>
      <c r="AD566" s="43"/>
      <c r="AE566" s="43"/>
      <c r="AF566" s="238"/>
      <c r="AG566" s="43"/>
      <c r="AH566" s="43"/>
      <c r="AI566" s="43"/>
      <c r="AJ566" s="43"/>
      <c r="AK566" s="43"/>
      <c r="AL566" s="45"/>
      <c r="AM566" s="197">
        <f>IF(AQ566=1,SUM(H566:I566,L566:O566,R566:U566,X566:AA566,AD566:AG566,AI566:AK566),
IF(AQ566=2,SUM(H566:K566,N566:Q566,T566:W566,Z566:AC566,AF566:AI566),
IF(AQ566=3,SUM(J566:M566,P566:S566,V566:Y566,AB566:AE566,AH566:AK566),SUM(Таблица1[[#This Row],[1]:[31]])-Таблица1[[#This Row],[Столбец1]])))</f>
        <v>0</v>
      </c>
      <c r="AN566" s="269">
        <f t="array" ref="AN566">IF(AQ566=1,SUM(J566:K566,P566:Q566,V566:W566,AB566:AC566,AH566:AI566),
IF(AQ566=2,SUM(L566:M566,R566:S566,X566:Y566,AD566:AE566),
IF(AQ566=3,SUM(H566:I566,N566:O566,T566:U566,Z566:AA566,AF566:AG566),
SUM(IFERROR(WEEKDAY($H$2:$AL$2,2)&gt;5,)*H566:AL566))))</f>
        <v>0</v>
      </c>
      <c r="AO566" s="271" t="b">
        <f>IF(AR566&lt;=3,(IF((G566="5/24"),((база!$M$6*Таблица1[[#This Row],[сумма]]*Таблица1[[#This Row],[коэф]])),
IF((G566="4/24"),((база!$M$5*Таблица1[[#This Row],[сумма]]*Таблица1[[#This Row],[коэф]])),
IF((G566="3/24"),((база!$M$4*Таблица1[[#This Row],[сумма]]*Таблица1[[#This Row],[коэф]])),
IF((G566="5/16"),((база!$L$6*Таблица1[[#This Row],[сумма]]*Таблица1[[#This Row],[коэф]])),
IF((G566="4/16"),((база!$L$5*Таблица1[[#This Row],[сумма]]*Таблица1[[#This Row],[коэф]])),
IF((G566="3/16"),((база!$L$4*Таблица1[[#This Row],[сумма]]*Таблица1[[#This Row],[коэф]])),
IF((G566="4/4"),((база!$I$5*Таблица1[[#This Row],[сумма]]*Таблица1[[#This Row],[коэф]])),
IF(OR(G566="2/4",G566="3/4"),((база!$I$4*Таблица1[[#This Row],[сумма]]*Таблица1[[#This Row],[коэф]])),
IF((G566="5/8"),((база!$J$6*Таблица1[[#This Row],[сумма]]*Таблица1[[#This Row],[коэф]])),
IF((G566="4/8"),((база!$J$5*Таблица1[[#This Row],[сумма]]*Таблица1[[#This Row],[коэф]])),
IF(OR(G566="3/8",G566="2/8"),((база!$J$4*Таблица1[[#This Row],[сумма]]*Таблица1[[#This Row],[коэф]])))))))))))))),
(IF((G566="5/24"),((база!$M$6*Таблица1[[#This Row],[сумма]]*Таблица1[[#This Row],[коэф]])),
IF(OR(G566="4/24",G566="3/24"),((база!$M$5*Таблица1[[#This Row],[сумма]]*Таблица1[[#This Row],[коэф]])),
IF((G566="5/16"),((база!$L$6*Таблица1[[#This Row],[сумма]]*Таблица1[[#This Row],[коэф]])),
IF(OR(G566="4/16",G566="3/16"),((база!$L$5*Таблица1[[#This Row],[сумма]]*Таблица1[[#This Row],[коэф]])),
IF(OR(G566="2/4",G566="3/4",G566="4/4"),((база!$I$5*Таблица1[[#This Row],[сумма]]*Таблица1[[#This Row],[коэф]])),
IF((G566="5/8"),((база!$J$6*Таблица1[[#This Row],[сумма]]*Таблица1[[#This Row],[коэф]])),
IF(OR(G566="4/8",G566="3/8",G566="2/8"),((база!$J$5*Таблица1[[#This Row],[сумма]]*Таблица1[[#This Row],[коэф]])))))))))))</f>
        <v>0</v>
      </c>
      <c r="AP566" s="696" t="b">
        <f>IF(AR566&lt;=3,(IF((G566="5/24"),((база!$M$6*2*Таблица1[[#This Row],[Столбец1]]*Таблица1[[#This Row],[коэф]])),
IF((G566="4/24"),((база!$M$5*2*Таблица1[[#This Row],[Столбец1]]*Таблица1[[#This Row],[коэф]])),
IF((G566="3/24"),((база!$M$4*2*Таблица1[[#This Row],[Столбец1]]*Таблица1[[#This Row],[коэф]])),
IF((G566="5/16"),((база!$L$6*2*Таблица1[[#This Row],[Столбец1]]*Таблица1[[#This Row],[коэф]])),
IF((G566="4/16"),((база!$L$5*2*Таблица1[[#This Row],[Столбец1]]*Таблица1[[#This Row],[коэф]])),
IF((G566="3/16"),((база!$L$4*2*Таблица1[[#This Row],[Столбец1]]*Таблица1[[#This Row],[коэф]])),
IF((G566="4/4"),((база!$I$5*2*Таблица1[[#This Row],[Столбец1]]*Таблица1[[#This Row],[коэф]])),
IF(OR(G566="2/4",G566="3/4"),((база!$I$4*2*Таблица1[[#This Row],[Столбец1]]*Таблица1[[#This Row],[коэф]])),
IF((G566="5/8"),((база!$J$6*2*Таблица1[[#This Row],[Столбец1]]*Таблица1[[#This Row],[коэф]])),
IF((G566="4/8"),((база!$J$5*2*Таблица1[[#This Row],[Столбец1]]*Таблица1[[#This Row],[коэф]])),
IF(OR(G566="3/8",G566="2/8"),((база!$J$4*2*Таблица1[[#This Row],[Столбец1]]*Таблица1[[#This Row],[коэф]])))))))))))))),
(IF((G566="5/24"),((база!$M$6*2*Таблица1[[#This Row],[Столбец1]]*Таблица1[[#This Row],[коэф]])),
IF(OR(G566="4/24",G566="3/24"),((база!$M$5*2*Таблица1[[#This Row],[Столбец1]]*Таблица1[[#This Row],[коэф]])),
IF((G566="5/16"),((база!$L$6*2*Таблица1[[#This Row],[Столбец1]]*Таблица1[[#This Row],[коэф]])),
IF(OR(G566="4/16",G566="3/16"),((база!$L$5*2*Таблица1[[#This Row],[Столбец1]]*Таблица1[[#This Row],[коэф]])),
IF(OR(G566="2/4",G566="3/4",G566="4/4"),((база!$I$5*2*Таблица1[[#This Row],[Столбец1]]*Таблица1[[#This Row],[коэф]])),
IF((G566="5/8"),((база!$J$6*2*Таблица1[[#This Row],[Столбец1]]*Таблица1[[#This Row],[коэф]])),
IF(OR(G566="4/8",G566="3/8",G566="2/8"),((база!$J$5*2*Таблица1[[#This Row],[Столбец1]]*Таблица1[[#This Row],[коэф]])))))))))))</f>
        <v>0</v>
      </c>
      <c r="AQ566" s="678" t="str">
        <f>IFERROR(INDEX(база!T:T, MATCH(F566,база!Q:Q,0)),"")</f>
        <v/>
      </c>
      <c r="AR566" s="193">
        <f>IFERROR(INDEX(база!D:D, MATCH(F566,база!B:B,0)),"")</f>
        <v>0</v>
      </c>
    </row>
    <row r="567" spans="1:44" ht="15">
      <c r="A567" s="59"/>
      <c r="B567" s="215"/>
      <c r="C567" s="277"/>
      <c r="D567" s="55"/>
      <c r="E567" s="196"/>
      <c r="F567" s="651"/>
      <c r="G567" s="42"/>
      <c r="H567" s="539"/>
      <c r="I567" s="539"/>
      <c r="J567" s="539"/>
      <c r="K567" s="539"/>
      <c r="L567" s="539"/>
      <c r="M567" s="539"/>
      <c r="N567" s="539"/>
      <c r="O567" s="539"/>
      <c r="P567" s="278"/>
      <c r="Q567" s="539"/>
      <c r="R567" s="539"/>
      <c r="S567" s="539"/>
      <c r="T567" s="539"/>
      <c r="U567" s="539"/>
      <c r="V567" s="539"/>
      <c r="W567" s="539"/>
      <c r="X567" s="539"/>
      <c r="Y567" s="539"/>
      <c r="Z567" s="539"/>
      <c r="AA567" s="539"/>
      <c r="AB567" s="539"/>
      <c r="AC567" s="539"/>
      <c r="AD567" s="43"/>
      <c r="AE567" s="43"/>
      <c r="AF567" s="238"/>
      <c r="AG567" s="43"/>
      <c r="AH567" s="43"/>
      <c r="AI567" s="238"/>
      <c r="AJ567" s="238"/>
      <c r="AK567" s="238"/>
      <c r="AL567" s="238"/>
      <c r="AM567" s="197">
        <f>IF(AQ567=1,SUM(H567:I567,L567:O567,R567:U567,X567:AA567,AD567:AG567,AI567:AK567),
IF(AQ567=2,SUM(H567:K567,N567:Q567,T567:W567,Z567:AC567,AF567:AI567),
IF(AQ567=3,SUM(J567:M567,P567:S567,V567:Y567,AB567:AE567,AH567:AK567),SUM(Таблица1[[#This Row],[1]:[31]])-Таблица1[[#This Row],[Столбец1]])))</f>
        <v>0</v>
      </c>
      <c r="AN567" s="269">
        <f t="array" ref="AN567">IF(AQ567=1,SUM(J567:K567,P567:Q567,V567:W567,AB567:AC567,AH567:AI567),
IF(AQ567=2,SUM(L567:M567,R567:S567,X567:Y567,AD567:AE567),
IF(AQ567=3,SUM(H567:I567,N567:O567,T567:U567,Z567:AA567,AF567:AG567),
SUM(IFERROR(WEEKDAY($H$2:$AL$2,2)&gt;5,)*H567:AL567))))</f>
        <v>0</v>
      </c>
      <c r="AO567" s="271" t="b">
        <f>IF(AR567&lt;=3,(IF((G567="5/24"),((база!$M$6*Таблица1[[#This Row],[сумма]]*Таблица1[[#This Row],[коэф]])),
IF((G567="4/24"),((база!$M$5*Таблица1[[#This Row],[сумма]]*Таблица1[[#This Row],[коэф]])),
IF((G567="3/24"),((база!$M$4*Таблица1[[#This Row],[сумма]]*Таблица1[[#This Row],[коэф]])),
IF((G567="5/16"),((база!$L$6*Таблица1[[#This Row],[сумма]]*Таблица1[[#This Row],[коэф]])),
IF((G567="4/16"),((база!$L$5*Таблица1[[#This Row],[сумма]]*Таблица1[[#This Row],[коэф]])),
IF((G567="3/16"),((база!$L$4*Таблица1[[#This Row],[сумма]]*Таблица1[[#This Row],[коэф]])),
IF((G567="4/4"),((база!$I$5*Таблица1[[#This Row],[сумма]]*Таблица1[[#This Row],[коэф]])),
IF(OR(G567="2/4",G567="3/4"),((база!$I$4*Таблица1[[#This Row],[сумма]]*Таблица1[[#This Row],[коэф]])),
IF((G567="5/8"),((база!$J$6*Таблица1[[#This Row],[сумма]]*Таблица1[[#This Row],[коэф]])),
IF((G567="4/8"),((база!$J$5*Таблица1[[#This Row],[сумма]]*Таблица1[[#This Row],[коэф]])),
IF(OR(G567="3/8",G567="2/8"),((база!$J$4*Таблица1[[#This Row],[сумма]]*Таблица1[[#This Row],[коэф]])))))))))))))),
(IF((G567="5/24"),((база!$M$6*Таблица1[[#This Row],[сумма]]*Таблица1[[#This Row],[коэф]])),
IF(OR(G567="4/24",G567="3/24"),((база!$M$5*Таблица1[[#This Row],[сумма]]*Таблица1[[#This Row],[коэф]])),
IF((G567="5/16"),((база!$L$6*Таблица1[[#This Row],[сумма]]*Таблица1[[#This Row],[коэф]])),
IF(OR(G567="4/16",G567="3/16"),((база!$L$5*Таблица1[[#This Row],[сумма]]*Таблица1[[#This Row],[коэф]])),
IF(OR(G567="2/4",G567="3/4",G567="4/4"),((база!$I$5*Таблица1[[#This Row],[сумма]]*Таблица1[[#This Row],[коэф]])),
IF((G567="5/8"),((база!$J$6*Таблица1[[#This Row],[сумма]]*Таблица1[[#This Row],[коэф]])),
IF(OR(G567="4/8",G567="3/8",G567="2/8"),((база!$J$5*Таблица1[[#This Row],[сумма]]*Таблица1[[#This Row],[коэф]])))))))))))</f>
        <v>0</v>
      </c>
      <c r="AP567" s="696" t="b">
        <f>IF(AR567&lt;=3,(IF((G567="5/24"),((база!$M$6*2*Таблица1[[#This Row],[Столбец1]]*Таблица1[[#This Row],[коэф]])),
IF((G567="4/24"),((база!$M$5*2*Таблица1[[#This Row],[Столбец1]]*Таблица1[[#This Row],[коэф]])),
IF((G567="3/24"),((база!$M$4*2*Таблица1[[#This Row],[Столбец1]]*Таблица1[[#This Row],[коэф]])),
IF((G567="5/16"),((база!$L$6*2*Таблица1[[#This Row],[Столбец1]]*Таблица1[[#This Row],[коэф]])),
IF((G567="4/16"),((база!$L$5*2*Таблица1[[#This Row],[Столбец1]]*Таблица1[[#This Row],[коэф]])),
IF((G567="3/16"),((база!$L$4*2*Таблица1[[#This Row],[Столбец1]]*Таблица1[[#This Row],[коэф]])),
IF((G567="4/4"),((база!$I$5*2*Таблица1[[#This Row],[Столбец1]]*Таблица1[[#This Row],[коэф]])),
IF(OR(G567="2/4",G567="3/4"),((база!$I$4*2*Таблица1[[#This Row],[Столбец1]]*Таблица1[[#This Row],[коэф]])),
IF((G567="5/8"),((база!$J$6*2*Таблица1[[#This Row],[Столбец1]]*Таблица1[[#This Row],[коэф]])),
IF((G567="4/8"),((база!$J$5*2*Таблица1[[#This Row],[Столбец1]]*Таблица1[[#This Row],[коэф]])),
IF(OR(G567="3/8",G567="2/8"),((база!$J$4*2*Таблица1[[#This Row],[Столбец1]]*Таблица1[[#This Row],[коэф]])))))))))))))),
(IF((G567="5/24"),((база!$M$6*2*Таблица1[[#This Row],[Столбец1]]*Таблица1[[#This Row],[коэф]])),
IF(OR(G567="4/24",G567="3/24"),((база!$M$5*2*Таблица1[[#This Row],[Столбец1]]*Таблица1[[#This Row],[коэф]])),
IF((G567="5/16"),((база!$L$6*2*Таблица1[[#This Row],[Столбец1]]*Таблица1[[#This Row],[коэф]])),
IF(OR(G567="4/16",G567="3/16"),((база!$L$5*2*Таблица1[[#This Row],[Столбец1]]*Таблица1[[#This Row],[коэф]])),
IF(OR(G567="2/4",G567="3/4",G567="4/4"),((база!$I$5*2*Таблица1[[#This Row],[Столбец1]]*Таблица1[[#This Row],[коэф]])),
IF((G567="5/8"),((база!$J$6*2*Таблица1[[#This Row],[Столбец1]]*Таблица1[[#This Row],[коэф]])),
IF(OR(G567="4/8",G567="3/8",G567="2/8"),((база!$J$5*2*Таблица1[[#This Row],[Столбец1]]*Таблица1[[#This Row],[коэф]])))))))))))</f>
        <v>0</v>
      </c>
      <c r="AQ567" s="678" t="str">
        <f>IFERROR(INDEX(база!T:T, MATCH(F567,база!Q:Q,0)),"")</f>
        <v/>
      </c>
      <c r="AR567" s="193">
        <f>IFERROR(INDEX(база!D:D, MATCH(F567,база!B:B,0)),"")</f>
        <v>0</v>
      </c>
    </row>
    <row r="568" spans="1:44" ht="15">
      <c r="A568" s="59"/>
      <c r="B568" s="215"/>
      <c r="C568" s="277"/>
      <c r="D568" s="55"/>
      <c r="E568" s="196"/>
      <c r="F568" s="651"/>
      <c r="G568" s="42"/>
      <c r="H568" s="539"/>
      <c r="I568" s="539"/>
      <c r="J568" s="539"/>
      <c r="K568" s="539"/>
      <c r="L568" s="539"/>
      <c r="M568" s="539"/>
      <c r="N568" s="539"/>
      <c r="O568" s="539"/>
      <c r="P568" s="278"/>
      <c r="Q568" s="539"/>
      <c r="R568" s="539"/>
      <c r="S568" s="539"/>
      <c r="T568" s="539"/>
      <c r="U568" s="539"/>
      <c r="V568" s="539"/>
      <c r="W568" s="539"/>
      <c r="X568" s="539"/>
      <c r="Y568" s="539"/>
      <c r="Z568" s="539"/>
      <c r="AA568" s="539"/>
      <c r="AB568" s="539"/>
      <c r="AC568" s="539"/>
      <c r="AD568" s="43"/>
      <c r="AE568" s="43"/>
      <c r="AF568" s="238"/>
      <c r="AG568" s="43"/>
      <c r="AH568" s="43"/>
      <c r="AI568" s="43"/>
      <c r="AJ568" s="43"/>
      <c r="AK568" s="43"/>
      <c r="AL568" s="45"/>
      <c r="AM568" s="197">
        <f>IF(AQ568=1,SUM(H568:I568,L568:O568,R568:U568,X568:AA568,AD568:AG568,AI568:AK568),
IF(AQ568=2,SUM(H568:K568,N568:Q568,T568:W568,Z568:AC568,AF568:AI568),
IF(AQ568=3,SUM(J568:M568,P568:S568,V568:Y568,AB568:AE568,AH568:AK568),SUM(Таблица1[[#This Row],[1]:[31]])-Таблица1[[#This Row],[Столбец1]])))</f>
        <v>0</v>
      </c>
      <c r="AN568" s="269">
        <f t="array" ref="AN568">IF(AQ568=1,SUM(J568:K568,P568:Q568,V568:W568,AB568:AC568,AH568:AI568),
IF(AQ568=2,SUM(L568:M568,R568:S568,X568:Y568,AD568:AE568),
IF(AQ568=3,SUM(H568:I568,N568:O568,T568:U568,Z568:AA568,AF568:AG568),
SUM(IFERROR(WEEKDAY($H$2:$AL$2,2)&gt;5,)*H568:AL568))))</f>
        <v>0</v>
      </c>
      <c r="AO568" s="271" t="b">
        <f>IF(AR568&lt;=3,(IF((G568="5/24"),((база!$M$6*Таблица1[[#This Row],[сумма]]*Таблица1[[#This Row],[коэф]])),
IF((G568="4/24"),((база!$M$5*Таблица1[[#This Row],[сумма]]*Таблица1[[#This Row],[коэф]])),
IF((G568="3/24"),((база!$M$4*Таблица1[[#This Row],[сумма]]*Таблица1[[#This Row],[коэф]])),
IF((G568="5/16"),((база!$L$6*Таблица1[[#This Row],[сумма]]*Таблица1[[#This Row],[коэф]])),
IF((G568="4/16"),((база!$L$5*Таблица1[[#This Row],[сумма]]*Таблица1[[#This Row],[коэф]])),
IF((G568="3/16"),((база!$L$4*Таблица1[[#This Row],[сумма]]*Таблица1[[#This Row],[коэф]])),
IF((G568="4/4"),((база!$I$5*Таблица1[[#This Row],[сумма]]*Таблица1[[#This Row],[коэф]])),
IF(OR(G568="2/4",G568="3/4"),((база!$I$4*Таблица1[[#This Row],[сумма]]*Таблица1[[#This Row],[коэф]])),
IF((G568="5/8"),((база!$J$6*Таблица1[[#This Row],[сумма]]*Таблица1[[#This Row],[коэф]])),
IF((G568="4/8"),((база!$J$5*Таблица1[[#This Row],[сумма]]*Таблица1[[#This Row],[коэф]])),
IF(OR(G568="3/8",G568="2/8"),((база!$J$4*Таблица1[[#This Row],[сумма]]*Таблица1[[#This Row],[коэф]])))))))))))))),
(IF((G568="5/24"),((база!$M$6*Таблица1[[#This Row],[сумма]]*Таблица1[[#This Row],[коэф]])),
IF(OR(G568="4/24",G568="3/24"),((база!$M$5*Таблица1[[#This Row],[сумма]]*Таблица1[[#This Row],[коэф]])),
IF((G568="5/16"),((база!$L$6*Таблица1[[#This Row],[сумма]]*Таблица1[[#This Row],[коэф]])),
IF(OR(G568="4/16",G568="3/16"),((база!$L$5*Таблица1[[#This Row],[сумма]]*Таблица1[[#This Row],[коэф]])),
IF(OR(G568="2/4",G568="3/4",G568="4/4"),((база!$I$5*Таблица1[[#This Row],[сумма]]*Таблица1[[#This Row],[коэф]])),
IF((G568="5/8"),((база!$J$6*Таблица1[[#This Row],[сумма]]*Таблица1[[#This Row],[коэф]])),
IF(OR(G568="4/8",G568="3/8",G568="2/8"),((база!$J$5*Таблица1[[#This Row],[сумма]]*Таблица1[[#This Row],[коэф]])))))))))))</f>
        <v>0</v>
      </c>
      <c r="AP568" s="696" t="b">
        <f>IF(AR568&lt;=3,(IF((G568="5/24"),((база!$M$6*2*Таблица1[[#This Row],[Столбец1]]*Таблица1[[#This Row],[коэф]])),
IF((G568="4/24"),((база!$M$5*2*Таблица1[[#This Row],[Столбец1]]*Таблица1[[#This Row],[коэф]])),
IF((G568="3/24"),((база!$M$4*2*Таблица1[[#This Row],[Столбец1]]*Таблица1[[#This Row],[коэф]])),
IF((G568="5/16"),((база!$L$6*2*Таблица1[[#This Row],[Столбец1]]*Таблица1[[#This Row],[коэф]])),
IF((G568="4/16"),((база!$L$5*2*Таблица1[[#This Row],[Столбец1]]*Таблица1[[#This Row],[коэф]])),
IF((G568="3/16"),((база!$L$4*2*Таблица1[[#This Row],[Столбец1]]*Таблица1[[#This Row],[коэф]])),
IF((G568="4/4"),((база!$I$5*2*Таблица1[[#This Row],[Столбец1]]*Таблица1[[#This Row],[коэф]])),
IF(OR(G568="2/4",G568="3/4"),((база!$I$4*2*Таблица1[[#This Row],[Столбец1]]*Таблица1[[#This Row],[коэф]])),
IF((G568="5/8"),((база!$J$6*2*Таблица1[[#This Row],[Столбец1]]*Таблица1[[#This Row],[коэф]])),
IF((G568="4/8"),((база!$J$5*2*Таблица1[[#This Row],[Столбец1]]*Таблица1[[#This Row],[коэф]])),
IF(OR(G568="3/8",G568="2/8"),((база!$J$4*2*Таблица1[[#This Row],[Столбец1]]*Таблица1[[#This Row],[коэф]])))))))))))))),
(IF((G568="5/24"),((база!$M$6*2*Таблица1[[#This Row],[Столбец1]]*Таблица1[[#This Row],[коэф]])),
IF(OR(G568="4/24",G568="3/24"),((база!$M$5*2*Таблица1[[#This Row],[Столбец1]]*Таблица1[[#This Row],[коэф]])),
IF((G568="5/16"),((база!$L$6*2*Таблица1[[#This Row],[Столбец1]]*Таблица1[[#This Row],[коэф]])),
IF(OR(G568="4/16",G568="3/16"),((база!$L$5*2*Таблица1[[#This Row],[Столбец1]]*Таблица1[[#This Row],[коэф]])),
IF(OR(G568="2/4",G568="3/4",G568="4/4"),((база!$I$5*2*Таблица1[[#This Row],[Столбец1]]*Таблица1[[#This Row],[коэф]])),
IF((G568="5/8"),((база!$J$6*2*Таблица1[[#This Row],[Столбец1]]*Таблица1[[#This Row],[коэф]])),
IF(OR(G568="4/8",G568="3/8",G568="2/8"),((база!$J$5*2*Таблица1[[#This Row],[Столбец1]]*Таблица1[[#This Row],[коэф]])))))))))))</f>
        <v>0</v>
      </c>
      <c r="AQ568" s="678" t="str">
        <f>IFERROR(INDEX(база!T:T, MATCH(F568,база!Q:Q,0)),"")</f>
        <v/>
      </c>
      <c r="AR568" s="193">
        <f>IFERROR(INDEX(база!D:D, MATCH(F568,база!B:B,0)),"")</f>
        <v>0</v>
      </c>
    </row>
    <row r="569" spans="1:44" ht="15">
      <c r="A569" s="59"/>
      <c r="B569" s="215"/>
      <c r="C569" s="277"/>
      <c r="D569" s="55"/>
      <c r="E569" s="196"/>
      <c r="F569" s="651"/>
      <c r="G569" s="42"/>
      <c r="H569" s="539"/>
      <c r="I569" s="539"/>
      <c r="J569" s="539"/>
      <c r="K569" s="539"/>
      <c r="L569" s="539"/>
      <c r="M569" s="539"/>
      <c r="N569" s="539"/>
      <c r="O569" s="539"/>
      <c r="P569" s="278"/>
      <c r="Q569" s="539"/>
      <c r="R569" s="539"/>
      <c r="S569" s="539"/>
      <c r="T569" s="539"/>
      <c r="U569" s="539"/>
      <c r="V569" s="539"/>
      <c r="W569" s="539"/>
      <c r="X569" s="539"/>
      <c r="Y569" s="539"/>
      <c r="Z569" s="539"/>
      <c r="AA569" s="539"/>
      <c r="AB569" s="539"/>
      <c r="AC569" s="539"/>
      <c r="AD569" s="43"/>
      <c r="AE569" s="43"/>
      <c r="AF569" s="238"/>
      <c r="AG569" s="43"/>
      <c r="AH569" s="43"/>
      <c r="AI569" s="238"/>
      <c r="AJ569" s="238"/>
      <c r="AK569" s="238"/>
      <c r="AL569" s="238"/>
      <c r="AM569" s="197">
        <f>IF(AQ569=1,SUM(H569:I569,L569:O569,R569:U569,X569:AA569,AD569:AG569,AI569:AK569),
IF(AQ569=2,SUM(H569:K569,N569:Q569,T569:W569,Z569:AC569,AF569:AI569),
IF(AQ569=3,SUM(J569:M569,P569:S569,V569:Y569,AB569:AE569,AH569:AK569),SUM(Таблица1[[#This Row],[1]:[31]])-Таблица1[[#This Row],[Столбец1]])))</f>
        <v>0</v>
      </c>
      <c r="AN569" s="269">
        <f t="array" ref="AN569">IF(AQ569=1,SUM(J569:K569,P569:Q569,V569:W569,AB569:AC569,AH569:AI569),
IF(AQ569=2,SUM(L569:M569,R569:S569,X569:Y569,AD569:AE569),
IF(AQ569=3,SUM(H569:I569,N569:O569,T569:U569,Z569:AA569,AF569:AG569),
SUM(IFERROR(WEEKDAY($H$2:$AL$2,2)&gt;5,)*H569:AL569))))</f>
        <v>0</v>
      </c>
      <c r="AO569" s="271" t="b">
        <f>IF(AR569&lt;=3,(IF((G569="5/24"),((база!$M$6*Таблица1[[#This Row],[сумма]]*Таблица1[[#This Row],[коэф]])),
IF((G569="4/24"),((база!$M$5*Таблица1[[#This Row],[сумма]]*Таблица1[[#This Row],[коэф]])),
IF((G569="3/24"),((база!$M$4*Таблица1[[#This Row],[сумма]]*Таблица1[[#This Row],[коэф]])),
IF((G569="5/16"),((база!$L$6*Таблица1[[#This Row],[сумма]]*Таблица1[[#This Row],[коэф]])),
IF((G569="4/16"),((база!$L$5*Таблица1[[#This Row],[сумма]]*Таблица1[[#This Row],[коэф]])),
IF((G569="3/16"),((база!$L$4*Таблица1[[#This Row],[сумма]]*Таблица1[[#This Row],[коэф]])),
IF((G569="4/4"),((база!$I$5*Таблица1[[#This Row],[сумма]]*Таблица1[[#This Row],[коэф]])),
IF(OR(G569="2/4",G569="3/4"),((база!$I$4*Таблица1[[#This Row],[сумма]]*Таблица1[[#This Row],[коэф]])),
IF((G569="5/8"),((база!$J$6*Таблица1[[#This Row],[сумма]]*Таблица1[[#This Row],[коэф]])),
IF((G569="4/8"),((база!$J$5*Таблица1[[#This Row],[сумма]]*Таблица1[[#This Row],[коэф]])),
IF(OR(G569="3/8",G569="2/8"),((база!$J$4*Таблица1[[#This Row],[сумма]]*Таблица1[[#This Row],[коэф]])))))))))))))),
(IF((G569="5/24"),((база!$M$6*Таблица1[[#This Row],[сумма]]*Таблица1[[#This Row],[коэф]])),
IF(OR(G569="4/24",G569="3/24"),((база!$M$5*Таблица1[[#This Row],[сумма]]*Таблица1[[#This Row],[коэф]])),
IF((G569="5/16"),((база!$L$6*Таблица1[[#This Row],[сумма]]*Таблица1[[#This Row],[коэф]])),
IF(OR(G569="4/16",G569="3/16"),((база!$L$5*Таблица1[[#This Row],[сумма]]*Таблица1[[#This Row],[коэф]])),
IF(OR(G569="2/4",G569="3/4",G569="4/4"),((база!$I$5*Таблица1[[#This Row],[сумма]]*Таблица1[[#This Row],[коэф]])),
IF((G569="5/8"),((база!$J$6*Таблица1[[#This Row],[сумма]]*Таблица1[[#This Row],[коэф]])),
IF(OR(G569="4/8",G569="3/8",G569="2/8"),((база!$J$5*Таблица1[[#This Row],[сумма]]*Таблица1[[#This Row],[коэф]])))))))))))</f>
        <v>0</v>
      </c>
      <c r="AP569" s="696" t="b">
        <f>IF(AR569&lt;=3,(IF((G569="5/24"),((база!$M$6*2*Таблица1[[#This Row],[Столбец1]]*Таблица1[[#This Row],[коэф]])),
IF((G569="4/24"),((база!$M$5*2*Таблица1[[#This Row],[Столбец1]]*Таблица1[[#This Row],[коэф]])),
IF((G569="3/24"),((база!$M$4*2*Таблица1[[#This Row],[Столбец1]]*Таблица1[[#This Row],[коэф]])),
IF((G569="5/16"),((база!$L$6*2*Таблица1[[#This Row],[Столбец1]]*Таблица1[[#This Row],[коэф]])),
IF((G569="4/16"),((база!$L$5*2*Таблица1[[#This Row],[Столбец1]]*Таблица1[[#This Row],[коэф]])),
IF((G569="3/16"),((база!$L$4*2*Таблица1[[#This Row],[Столбец1]]*Таблица1[[#This Row],[коэф]])),
IF((G569="4/4"),((база!$I$5*2*Таблица1[[#This Row],[Столбец1]]*Таблица1[[#This Row],[коэф]])),
IF(OR(G569="2/4",G569="3/4"),((база!$I$4*2*Таблица1[[#This Row],[Столбец1]]*Таблица1[[#This Row],[коэф]])),
IF((G569="5/8"),((база!$J$6*2*Таблица1[[#This Row],[Столбец1]]*Таблица1[[#This Row],[коэф]])),
IF((G569="4/8"),((база!$J$5*2*Таблица1[[#This Row],[Столбец1]]*Таблица1[[#This Row],[коэф]])),
IF(OR(G569="3/8",G569="2/8"),((база!$J$4*2*Таблица1[[#This Row],[Столбец1]]*Таблица1[[#This Row],[коэф]])))))))))))))),
(IF((G569="5/24"),((база!$M$6*2*Таблица1[[#This Row],[Столбец1]]*Таблица1[[#This Row],[коэф]])),
IF(OR(G569="4/24",G569="3/24"),((база!$M$5*2*Таблица1[[#This Row],[Столбец1]]*Таблица1[[#This Row],[коэф]])),
IF((G569="5/16"),((база!$L$6*2*Таблица1[[#This Row],[Столбец1]]*Таблица1[[#This Row],[коэф]])),
IF(OR(G569="4/16",G569="3/16"),((база!$L$5*2*Таблица1[[#This Row],[Столбец1]]*Таблица1[[#This Row],[коэф]])),
IF(OR(G569="2/4",G569="3/4",G569="4/4"),((база!$I$5*2*Таблица1[[#This Row],[Столбец1]]*Таблица1[[#This Row],[коэф]])),
IF((G569="5/8"),((база!$J$6*2*Таблица1[[#This Row],[Столбец1]]*Таблица1[[#This Row],[коэф]])),
IF(OR(G569="4/8",G569="3/8",G569="2/8"),((база!$J$5*2*Таблица1[[#This Row],[Столбец1]]*Таблица1[[#This Row],[коэф]])))))))))))</f>
        <v>0</v>
      </c>
      <c r="AQ569" s="678" t="str">
        <f>IFERROR(INDEX(база!T:T, MATCH(F569,база!Q:Q,0)),"")</f>
        <v/>
      </c>
      <c r="AR569" s="193">
        <f>IFERROR(INDEX(база!D:D, MATCH(F569,база!B:B,0)),"")</f>
        <v>0</v>
      </c>
    </row>
    <row r="570" spans="1:44" ht="15">
      <c r="A570" s="59"/>
      <c r="B570" s="215"/>
      <c r="C570" s="277"/>
      <c r="D570" s="55"/>
      <c r="E570" s="196"/>
      <c r="F570" s="651"/>
      <c r="G570" s="42"/>
      <c r="H570" s="539"/>
      <c r="I570" s="539"/>
      <c r="J570" s="539"/>
      <c r="K570" s="539"/>
      <c r="L570" s="539"/>
      <c r="M570" s="539"/>
      <c r="N570" s="539"/>
      <c r="O570" s="539"/>
      <c r="P570" s="278"/>
      <c r="Q570" s="539"/>
      <c r="R570" s="539"/>
      <c r="S570" s="539"/>
      <c r="T570" s="539"/>
      <c r="U570" s="539"/>
      <c r="V570" s="539"/>
      <c r="W570" s="539"/>
      <c r="X570" s="539"/>
      <c r="Y570" s="539"/>
      <c r="Z570" s="539"/>
      <c r="AA570" s="539"/>
      <c r="AB570" s="539"/>
      <c r="AC570" s="539"/>
      <c r="AD570" s="43"/>
      <c r="AE570" s="43"/>
      <c r="AF570" s="238"/>
      <c r="AG570" s="43"/>
      <c r="AH570" s="43"/>
      <c r="AI570" s="43"/>
      <c r="AJ570" s="43"/>
      <c r="AK570" s="43"/>
      <c r="AL570" s="45"/>
      <c r="AM570" s="197">
        <f>IF(AQ570=1,SUM(H570:I570,L570:O570,R570:U570,X570:AA570,AD570:AG570,AI570:AK570),
IF(AQ570=2,SUM(H570:K570,N570:Q570,T570:W570,Z570:AC570,AF570:AI570),
IF(AQ570=3,SUM(J570:M570,P570:S570,V570:Y570,AB570:AE570,AH570:AK570),SUM(Таблица1[[#This Row],[1]:[31]])-Таблица1[[#This Row],[Столбец1]])))</f>
        <v>0</v>
      </c>
      <c r="AN570" s="269">
        <f t="array" ref="AN570">IF(AQ570=1,SUM(J570:K570,P570:Q570,V570:W570,AB570:AC570,AH570:AI570),
IF(AQ570=2,SUM(L570:M570,R570:S570,X570:Y570,AD570:AE570),
IF(AQ570=3,SUM(H570:I570,N570:O570,T570:U570,Z570:AA570,AF570:AG570),
SUM(IFERROR(WEEKDAY($H$2:$AL$2,2)&gt;5,)*H570:AL570))))</f>
        <v>0</v>
      </c>
      <c r="AO570" s="271" t="b">
        <f>IF(AR570&lt;=3,(IF((G570="5/24"),((база!$M$6*Таблица1[[#This Row],[сумма]]*Таблица1[[#This Row],[коэф]])),
IF((G570="4/24"),((база!$M$5*Таблица1[[#This Row],[сумма]]*Таблица1[[#This Row],[коэф]])),
IF((G570="3/24"),((база!$M$4*Таблица1[[#This Row],[сумма]]*Таблица1[[#This Row],[коэф]])),
IF((G570="5/16"),((база!$L$6*Таблица1[[#This Row],[сумма]]*Таблица1[[#This Row],[коэф]])),
IF((G570="4/16"),((база!$L$5*Таблица1[[#This Row],[сумма]]*Таблица1[[#This Row],[коэф]])),
IF((G570="3/16"),((база!$L$4*Таблица1[[#This Row],[сумма]]*Таблица1[[#This Row],[коэф]])),
IF((G570="4/4"),((база!$I$5*Таблица1[[#This Row],[сумма]]*Таблица1[[#This Row],[коэф]])),
IF(OR(G570="2/4",G570="3/4"),((база!$I$4*Таблица1[[#This Row],[сумма]]*Таблица1[[#This Row],[коэф]])),
IF((G570="5/8"),((база!$J$6*Таблица1[[#This Row],[сумма]]*Таблица1[[#This Row],[коэф]])),
IF((G570="4/8"),((база!$J$5*Таблица1[[#This Row],[сумма]]*Таблица1[[#This Row],[коэф]])),
IF(OR(G570="3/8",G570="2/8"),((база!$J$4*Таблица1[[#This Row],[сумма]]*Таблица1[[#This Row],[коэф]])))))))))))))),
(IF((G570="5/24"),((база!$M$6*Таблица1[[#This Row],[сумма]]*Таблица1[[#This Row],[коэф]])),
IF(OR(G570="4/24",G570="3/24"),((база!$M$5*Таблица1[[#This Row],[сумма]]*Таблица1[[#This Row],[коэф]])),
IF((G570="5/16"),((база!$L$6*Таблица1[[#This Row],[сумма]]*Таблица1[[#This Row],[коэф]])),
IF(OR(G570="4/16",G570="3/16"),((база!$L$5*Таблица1[[#This Row],[сумма]]*Таблица1[[#This Row],[коэф]])),
IF(OR(G570="2/4",G570="3/4",G570="4/4"),((база!$I$5*Таблица1[[#This Row],[сумма]]*Таблица1[[#This Row],[коэф]])),
IF((G570="5/8"),((база!$J$6*Таблица1[[#This Row],[сумма]]*Таблица1[[#This Row],[коэф]])),
IF(OR(G570="4/8",G570="3/8",G570="2/8"),((база!$J$5*Таблица1[[#This Row],[сумма]]*Таблица1[[#This Row],[коэф]])))))))))))</f>
        <v>0</v>
      </c>
      <c r="AP570" s="696" t="b">
        <f>IF(AR570&lt;=3,(IF((G570="5/24"),((база!$M$6*2*Таблица1[[#This Row],[Столбец1]]*Таблица1[[#This Row],[коэф]])),
IF((G570="4/24"),((база!$M$5*2*Таблица1[[#This Row],[Столбец1]]*Таблица1[[#This Row],[коэф]])),
IF((G570="3/24"),((база!$M$4*2*Таблица1[[#This Row],[Столбец1]]*Таблица1[[#This Row],[коэф]])),
IF((G570="5/16"),((база!$L$6*2*Таблица1[[#This Row],[Столбец1]]*Таблица1[[#This Row],[коэф]])),
IF((G570="4/16"),((база!$L$5*2*Таблица1[[#This Row],[Столбец1]]*Таблица1[[#This Row],[коэф]])),
IF((G570="3/16"),((база!$L$4*2*Таблица1[[#This Row],[Столбец1]]*Таблица1[[#This Row],[коэф]])),
IF((G570="4/4"),((база!$I$5*2*Таблица1[[#This Row],[Столбец1]]*Таблица1[[#This Row],[коэф]])),
IF(OR(G570="2/4",G570="3/4"),((база!$I$4*2*Таблица1[[#This Row],[Столбец1]]*Таблица1[[#This Row],[коэф]])),
IF((G570="5/8"),((база!$J$6*2*Таблица1[[#This Row],[Столбец1]]*Таблица1[[#This Row],[коэф]])),
IF((G570="4/8"),((база!$J$5*2*Таблица1[[#This Row],[Столбец1]]*Таблица1[[#This Row],[коэф]])),
IF(OR(G570="3/8",G570="2/8"),((база!$J$4*2*Таблица1[[#This Row],[Столбец1]]*Таблица1[[#This Row],[коэф]])))))))))))))),
(IF((G570="5/24"),((база!$M$6*2*Таблица1[[#This Row],[Столбец1]]*Таблица1[[#This Row],[коэф]])),
IF(OR(G570="4/24",G570="3/24"),((база!$M$5*2*Таблица1[[#This Row],[Столбец1]]*Таблица1[[#This Row],[коэф]])),
IF((G570="5/16"),((база!$L$6*2*Таблица1[[#This Row],[Столбец1]]*Таблица1[[#This Row],[коэф]])),
IF(OR(G570="4/16",G570="3/16"),((база!$L$5*2*Таблица1[[#This Row],[Столбец1]]*Таблица1[[#This Row],[коэф]])),
IF(OR(G570="2/4",G570="3/4",G570="4/4"),((база!$I$5*2*Таблица1[[#This Row],[Столбец1]]*Таблица1[[#This Row],[коэф]])),
IF((G570="5/8"),((база!$J$6*2*Таблица1[[#This Row],[Столбец1]]*Таблица1[[#This Row],[коэф]])),
IF(OR(G570="4/8",G570="3/8",G570="2/8"),((база!$J$5*2*Таблица1[[#This Row],[Столбец1]]*Таблица1[[#This Row],[коэф]])))))))))))</f>
        <v>0</v>
      </c>
      <c r="AQ570" s="678" t="str">
        <f>IFERROR(INDEX(база!T:T, MATCH(F570,база!Q:Q,0)),"")</f>
        <v/>
      </c>
      <c r="AR570" s="193">
        <f>IFERROR(INDEX(база!D:D, MATCH(F570,база!B:B,0)),"")</f>
        <v>0</v>
      </c>
    </row>
    <row r="571" spans="1:44" ht="15">
      <c r="A571" s="59"/>
      <c r="B571" s="215"/>
      <c r="C571" s="277"/>
      <c r="D571" s="55"/>
      <c r="E571" s="196"/>
      <c r="F571" s="651"/>
      <c r="G571" s="42"/>
      <c r="H571" s="539"/>
      <c r="I571" s="539"/>
      <c r="J571" s="539"/>
      <c r="K571" s="539"/>
      <c r="L571" s="539"/>
      <c r="M571" s="539"/>
      <c r="N571" s="539"/>
      <c r="O571" s="539"/>
      <c r="P571" s="278"/>
      <c r="Q571" s="539"/>
      <c r="R571" s="539"/>
      <c r="S571" s="539"/>
      <c r="T571" s="539"/>
      <c r="U571" s="539"/>
      <c r="V571" s="539"/>
      <c r="W571" s="539"/>
      <c r="X571" s="539"/>
      <c r="Y571" s="539"/>
      <c r="Z571" s="539"/>
      <c r="AA571" s="539"/>
      <c r="AB571" s="539"/>
      <c r="AC571" s="539"/>
      <c r="AD571" s="43"/>
      <c r="AE571" s="43"/>
      <c r="AF571" s="238"/>
      <c r="AG571" s="43"/>
      <c r="AH571" s="43"/>
      <c r="AI571" s="238"/>
      <c r="AJ571" s="238"/>
      <c r="AK571" s="238"/>
      <c r="AL571" s="238"/>
      <c r="AM571" s="197">
        <f>IF(AQ571=1,SUM(H571:I571,L571:O571,R571:U571,X571:AA571,AD571:AG571,AI571:AK571),
IF(AQ571=2,SUM(H571:K571,N571:Q571,T571:W571,Z571:AC571,AF571:AI571),
IF(AQ571=3,SUM(J571:M571,P571:S571,V571:Y571,AB571:AE571,AH571:AK571),SUM(Таблица1[[#This Row],[1]:[31]])-Таблица1[[#This Row],[Столбец1]])))</f>
        <v>0</v>
      </c>
      <c r="AN571" s="269">
        <f t="array" ref="AN571">IF(AQ571=1,SUM(J571:K571,P571:Q571,V571:W571,AB571:AC571,AH571:AI571),
IF(AQ571=2,SUM(L571:M571,R571:S571,X571:Y571,AD571:AE571),
IF(AQ571=3,SUM(H571:I571,N571:O571,T571:U571,Z571:AA571,AF571:AG571),
SUM(IFERROR(WEEKDAY($H$2:$AL$2,2)&gt;5,)*H571:AL571))))</f>
        <v>0</v>
      </c>
      <c r="AO571" s="271" t="b">
        <f>IF(AR571&lt;=3,(IF((G571="5/24"),((база!$M$6*Таблица1[[#This Row],[сумма]]*Таблица1[[#This Row],[коэф]])),
IF((G571="4/24"),((база!$M$5*Таблица1[[#This Row],[сумма]]*Таблица1[[#This Row],[коэф]])),
IF((G571="3/24"),((база!$M$4*Таблица1[[#This Row],[сумма]]*Таблица1[[#This Row],[коэф]])),
IF((G571="5/16"),((база!$L$6*Таблица1[[#This Row],[сумма]]*Таблица1[[#This Row],[коэф]])),
IF((G571="4/16"),((база!$L$5*Таблица1[[#This Row],[сумма]]*Таблица1[[#This Row],[коэф]])),
IF((G571="3/16"),((база!$L$4*Таблица1[[#This Row],[сумма]]*Таблица1[[#This Row],[коэф]])),
IF((G571="4/4"),((база!$I$5*Таблица1[[#This Row],[сумма]]*Таблица1[[#This Row],[коэф]])),
IF(OR(G571="2/4",G571="3/4"),((база!$I$4*Таблица1[[#This Row],[сумма]]*Таблица1[[#This Row],[коэф]])),
IF((G571="5/8"),((база!$J$6*Таблица1[[#This Row],[сумма]]*Таблица1[[#This Row],[коэф]])),
IF((G571="4/8"),((база!$J$5*Таблица1[[#This Row],[сумма]]*Таблица1[[#This Row],[коэф]])),
IF(OR(G571="3/8",G571="2/8"),((база!$J$4*Таблица1[[#This Row],[сумма]]*Таблица1[[#This Row],[коэф]])))))))))))))),
(IF((G571="5/24"),((база!$M$6*Таблица1[[#This Row],[сумма]]*Таблица1[[#This Row],[коэф]])),
IF(OR(G571="4/24",G571="3/24"),((база!$M$5*Таблица1[[#This Row],[сумма]]*Таблица1[[#This Row],[коэф]])),
IF((G571="5/16"),((база!$L$6*Таблица1[[#This Row],[сумма]]*Таблица1[[#This Row],[коэф]])),
IF(OR(G571="4/16",G571="3/16"),((база!$L$5*Таблица1[[#This Row],[сумма]]*Таблица1[[#This Row],[коэф]])),
IF(OR(G571="2/4",G571="3/4",G571="4/4"),((база!$I$5*Таблица1[[#This Row],[сумма]]*Таблица1[[#This Row],[коэф]])),
IF((G571="5/8"),((база!$J$6*Таблица1[[#This Row],[сумма]]*Таблица1[[#This Row],[коэф]])),
IF(OR(G571="4/8",G571="3/8",G571="2/8"),((база!$J$5*Таблица1[[#This Row],[сумма]]*Таблица1[[#This Row],[коэф]])))))))))))</f>
        <v>0</v>
      </c>
      <c r="AP571" s="696" t="b">
        <f>IF(AR571&lt;=3,(IF((G571="5/24"),((база!$M$6*2*Таблица1[[#This Row],[Столбец1]]*Таблица1[[#This Row],[коэф]])),
IF((G571="4/24"),((база!$M$5*2*Таблица1[[#This Row],[Столбец1]]*Таблица1[[#This Row],[коэф]])),
IF((G571="3/24"),((база!$M$4*2*Таблица1[[#This Row],[Столбец1]]*Таблица1[[#This Row],[коэф]])),
IF((G571="5/16"),((база!$L$6*2*Таблица1[[#This Row],[Столбец1]]*Таблица1[[#This Row],[коэф]])),
IF((G571="4/16"),((база!$L$5*2*Таблица1[[#This Row],[Столбец1]]*Таблица1[[#This Row],[коэф]])),
IF((G571="3/16"),((база!$L$4*2*Таблица1[[#This Row],[Столбец1]]*Таблица1[[#This Row],[коэф]])),
IF((G571="4/4"),((база!$I$5*2*Таблица1[[#This Row],[Столбец1]]*Таблица1[[#This Row],[коэф]])),
IF(OR(G571="2/4",G571="3/4"),((база!$I$4*2*Таблица1[[#This Row],[Столбец1]]*Таблица1[[#This Row],[коэф]])),
IF((G571="5/8"),((база!$J$6*2*Таблица1[[#This Row],[Столбец1]]*Таблица1[[#This Row],[коэф]])),
IF((G571="4/8"),((база!$J$5*2*Таблица1[[#This Row],[Столбец1]]*Таблица1[[#This Row],[коэф]])),
IF(OR(G571="3/8",G571="2/8"),((база!$J$4*2*Таблица1[[#This Row],[Столбец1]]*Таблица1[[#This Row],[коэф]])))))))))))))),
(IF((G571="5/24"),((база!$M$6*2*Таблица1[[#This Row],[Столбец1]]*Таблица1[[#This Row],[коэф]])),
IF(OR(G571="4/24",G571="3/24"),((база!$M$5*2*Таблица1[[#This Row],[Столбец1]]*Таблица1[[#This Row],[коэф]])),
IF((G571="5/16"),((база!$L$6*2*Таблица1[[#This Row],[Столбец1]]*Таблица1[[#This Row],[коэф]])),
IF(OR(G571="4/16",G571="3/16"),((база!$L$5*2*Таблица1[[#This Row],[Столбец1]]*Таблица1[[#This Row],[коэф]])),
IF(OR(G571="2/4",G571="3/4",G571="4/4"),((база!$I$5*2*Таблица1[[#This Row],[Столбец1]]*Таблица1[[#This Row],[коэф]])),
IF((G571="5/8"),((база!$J$6*2*Таблица1[[#This Row],[Столбец1]]*Таблица1[[#This Row],[коэф]])),
IF(OR(G571="4/8",G571="3/8",G571="2/8"),((база!$J$5*2*Таблица1[[#This Row],[Столбец1]]*Таблица1[[#This Row],[коэф]])))))))))))</f>
        <v>0</v>
      </c>
      <c r="AQ571" s="678" t="str">
        <f>IFERROR(INDEX(база!T:T, MATCH(F571,база!Q:Q,0)),"")</f>
        <v/>
      </c>
      <c r="AR571" s="193">
        <f>IFERROR(INDEX(база!D:D, MATCH(F571,база!B:B,0)),"")</f>
        <v>0</v>
      </c>
    </row>
    <row r="572" spans="1:44" ht="15">
      <c r="A572" s="59"/>
      <c r="B572" s="215"/>
      <c r="C572" s="277"/>
      <c r="D572" s="55"/>
      <c r="E572" s="196"/>
      <c r="F572" s="651"/>
      <c r="G572" s="42"/>
      <c r="H572" s="539"/>
      <c r="I572" s="539"/>
      <c r="J572" s="539"/>
      <c r="K572" s="539"/>
      <c r="L572" s="539"/>
      <c r="M572" s="539"/>
      <c r="N572" s="539"/>
      <c r="O572" s="539"/>
      <c r="P572" s="278"/>
      <c r="Q572" s="539"/>
      <c r="R572" s="539"/>
      <c r="S572" s="539"/>
      <c r="T572" s="539"/>
      <c r="U572" s="539"/>
      <c r="V572" s="539"/>
      <c r="W572" s="539"/>
      <c r="X572" s="539"/>
      <c r="Y572" s="539"/>
      <c r="Z572" s="539"/>
      <c r="AA572" s="539"/>
      <c r="AB572" s="539"/>
      <c r="AC572" s="539"/>
      <c r="AD572" s="43"/>
      <c r="AE572" s="43"/>
      <c r="AF572" s="238"/>
      <c r="AG572" s="43"/>
      <c r="AH572" s="43"/>
      <c r="AI572" s="43"/>
      <c r="AJ572" s="43"/>
      <c r="AK572" s="43"/>
      <c r="AL572" s="45"/>
      <c r="AM572" s="197">
        <f>IF(AQ572=1,SUM(H572:I572,L572:O572,R572:U572,X572:AA572,AD572:AG572,AI572:AK572),
IF(AQ572=2,SUM(H572:K572,N572:Q572,T572:W572,Z572:AC572,AF572:AI572),
IF(AQ572=3,SUM(J572:M572,P572:S572,V572:Y572,AB572:AE572,AH572:AK572),SUM(Таблица1[[#This Row],[1]:[31]])-Таблица1[[#This Row],[Столбец1]])))</f>
        <v>0</v>
      </c>
      <c r="AN572" s="269">
        <f t="array" ref="AN572">IF(AQ572=1,SUM(J572:K572,P572:Q572,V572:W572,AB572:AC572,AH572:AI572),
IF(AQ572=2,SUM(L572:M572,R572:S572,X572:Y572,AD572:AE572),
IF(AQ572=3,SUM(H572:I572,N572:O572,T572:U572,Z572:AA572,AF572:AG572),
SUM(IFERROR(WEEKDAY($H$2:$AL$2,2)&gt;5,)*H572:AL572))))</f>
        <v>0</v>
      </c>
      <c r="AO572" s="271" t="b">
        <f>IF(AR572&lt;=3,(IF((G572="5/24"),((база!$M$6*Таблица1[[#This Row],[сумма]]*Таблица1[[#This Row],[коэф]])),
IF((G572="4/24"),((база!$M$5*Таблица1[[#This Row],[сумма]]*Таблица1[[#This Row],[коэф]])),
IF((G572="3/24"),((база!$M$4*Таблица1[[#This Row],[сумма]]*Таблица1[[#This Row],[коэф]])),
IF((G572="5/16"),((база!$L$6*Таблица1[[#This Row],[сумма]]*Таблица1[[#This Row],[коэф]])),
IF((G572="4/16"),((база!$L$5*Таблица1[[#This Row],[сумма]]*Таблица1[[#This Row],[коэф]])),
IF((G572="3/16"),((база!$L$4*Таблица1[[#This Row],[сумма]]*Таблица1[[#This Row],[коэф]])),
IF((G572="4/4"),((база!$I$5*Таблица1[[#This Row],[сумма]]*Таблица1[[#This Row],[коэф]])),
IF(OR(G572="2/4",G572="3/4"),((база!$I$4*Таблица1[[#This Row],[сумма]]*Таблица1[[#This Row],[коэф]])),
IF((G572="5/8"),((база!$J$6*Таблица1[[#This Row],[сумма]]*Таблица1[[#This Row],[коэф]])),
IF((G572="4/8"),((база!$J$5*Таблица1[[#This Row],[сумма]]*Таблица1[[#This Row],[коэф]])),
IF(OR(G572="3/8",G572="2/8"),((база!$J$4*Таблица1[[#This Row],[сумма]]*Таблица1[[#This Row],[коэф]])))))))))))))),
(IF((G572="5/24"),((база!$M$6*Таблица1[[#This Row],[сумма]]*Таблица1[[#This Row],[коэф]])),
IF(OR(G572="4/24",G572="3/24"),((база!$M$5*Таблица1[[#This Row],[сумма]]*Таблица1[[#This Row],[коэф]])),
IF((G572="5/16"),((база!$L$6*Таблица1[[#This Row],[сумма]]*Таблица1[[#This Row],[коэф]])),
IF(OR(G572="4/16",G572="3/16"),((база!$L$5*Таблица1[[#This Row],[сумма]]*Таблица1[[#This Row],[коэф]])),
IF(OR(G572="2/4",G572="3/4",G572="4/4"),((база!$I$5*Таблица1[[#This Row],[сумма]]*Таблица1[[#This Row],[коэф]])),
IF((G572="5/8"),((база!$J$6*Таблица1[[#This Row],[сумма]]*Таблица1[[#This Row],[коэф]])),
IF(OR(G572="4/8",G572="3/8",G572="2/8"),((база!$J$5*Таблица1[[#This Row],[сумма]]*Таблица1[[#This Row],[коэф]])))))))))))</f>
        <v>0</v>
      </c>
      <c r="AP572" s="696" t="b">
        <f>IF(AR572&lt;=3,(IF((G572="5/24"),((база!$M$6*2*Таблица1[[#This Row],[Столбец1]]*Таблица1[[#This Row],[коэф]])),
IF((G572="4/24"),((база!$M$5*2*Таблица1[[#This Row],[Столбец1]]*Таблица1[[#This Row],[коэф]])),
IF((G572="3/24"),((база!$M$4*2*Таблица1[[#This Row],[Столбец1]]*Таблица1[[#This Row],[коэф]])),
IF((G572="5/16"),((база!$L$6*2*Таблица1[[#This Row],[Столбец1]]*Таблица1[[#This Row],[коэф]])),
IF((G572="4/16"),((база!$L$5*2*Таблица1[[#This Row],[Столбец1]]*Таблица1[[#This Row],[коэф]])),
IF((G572="3/16"),((база!$L$4*2*Таблица1[[#This Row],[Столбец1]]*Таблица1[[#This Row],[коэф]])),
IF((G572="4/4"),((база!$I$5*2*Таблица1[[#This Row],[Столбец1]]*Таблица1[[#This Row],[коэф]])),
IF(OR(G572="2/4",G572="3/4"),((база!$I$4*2*Таблица1[[#This Row],[Столбец1]]*Таблица1[[#This Row],[коэф]])),
IF((G572="5/8"),((база!$J$6*2*Таблица1[[#This Row],[Столбец1]]*Таблица1[[#This Row],[коэф]])),
IF((G572="4/8"),((база!$J$5*2*Таблица1[[#This Row],[Столбец1]]*Таблица1[[#This Row],[коэф]])),
IF(OR(G572="3/8",G572="2/8"),((база!$J$4*2*Таблица1[[#This Row],[Столбец1]]*Таблица1[[#This Row],[коэф]])))))))))))))),
(IF((G572="5/24"),((база!$M$6*2*Таблица1[[#This Row],[Столбец1]]*Таблица1[[#This Row],[коэф]])),
IF(OR(G572="4/24",G572="3/24"),((база!$M$5*2*Таблица1[[#This Row],[Столбец1]]*Таблица1[[#This Row],[коэф]])),
IF((G572="5/16"),((база!$L$6*2*Таблица1[[#This Row],[Столбец1]]*Таблица1[[#This Row],[коэф]])),
IF(OR(G572="4/16",G572="3/16"),((база!$L$5*2*Таблица1[[#This Row],[Столбец1]]*Таблица1[[#This Row],[коэф]])),
IF(OR(G572="2/4",G572="3/4",G572="4/4"),((база!$I$5*2*Таблица1[[#This Row],[Столбец1]]*Таблица1[[#This Row],[коэф]])),
IF((G572="5/8"),((база!$J$6*2*Таблица1[[#This Row],[Столбец1]]*Таблица1[[#This Row],[коэф]])),
IF(OR(G572="4/8",G572="3/8",G572="2/8"),((база!$J$5*2*Таблица1[[#This Row],[Столбец1]]*Таблица1[[#This Row],[коэф]])))))))))))</f>
        <v>0</v>
      </c>
      <c r="AQ572" s="678" t="str">
        <f>IFERROR(INDEX(база!T:T, MATCH(F572,база!Q:Q,0)),"")</f>
        <v/>
      </c>
      <c r="AR572" s="193">
        <f>IFERROR(INDEX(база!D:D, MATCH(F572,база!B:B,0)),"")</f>
        <v>0</v>
      </c>
    </row>
    <row r="573" spans="1:44" ht="15">
      <c r="A573" s="59"/>
      <c r="B573" s="215"/>
      <c r="C573" s="54"/>
      <c r="D573" s="55"/>
      <c r="E573" s="196"/>
      <c r="F573" s="651"/>
      <c r="G573" s="42"/>
      <c r="H573" s="539"/>
      <c r="I573" s="539"/>
      <c r="J573" s="539"/>
      <c r="K573" s="539"/>
      <c r="L573" s="539"/>
      <c r="M573" s="539"/>
      <c r="N573" s="539"/>
      <c r="O573" s="539"/>
      <c r="P573" s="278"/>
      <c r="Q573" s="539"/>
      <c r="R573" s="539"/>
      <c r="S573" s="539"/>
      <c r="T573" s="539"/>
      <c r="U573" s="539"/>
      <c r="V573" s="539"/>
      <c r="W573" s="539"/>
      <c r="X573" s="539"/>
      <c r="Y573" s="539"/>
      <c r="Z573" s="539"/>
      <c r="AA573" s="539"/>
      <c r="AB573" s="539"/>
      <c r="AC573" s="539"/>
      <c r="AD573" s="43"/>
      <c r="AE573" s="43"/>
      <c r="AF573" s="238"/>
      <c r="AG573" s="43"/>
      <c r="AH573" s="43"/>
      <c r="AI573" s="238"/>
      <c r="AJ573" s="238"/>
      <c r="AK573" s="238"/>
      <c r="AL573" s="238"/>
      <c r="AM573" s="197">
        <f>IF(AQ573=1,SUM(H573:I573,L573:O573,R573:U573,X573:AA573,AD573:AG573,AI573:AK573),
IF(AQ573=2,SUM(H573:K573,N573:Q573,T573:W573,Z573:AC573,AF573:AI573),
IF(AQ573=3,SUM(J573:M573,P573:S573,V573:Y573,AB573:AE573,AH573:AK573),SUM(Таблица1[[#This Row],[1]:[31]])-Таблица1[[#This Row],[Столбец1]])))</f>
        <v>0</v>
      </c>
      <c r="AN573" s="269">
        <f t="array" ref="AN573">IF(AQ573=1,SUM(J573:K573,P573:Q573,V573:W573,AB573:AC573,AH573:AI573),
IF(AQ573=2,SUM(L573:M573,R573:S573,X573:Y573,AD573:AE573),
IF(AQ573=3,SUM(H573:I573,N573:O573,T573:U573,Z573:AA573,AF573:AG573),
SUM(IFERROR(WEEKDAY($H$2:$AL$2,2)&gt;5,)*H573:AL573))))</f>
        <v>0</v>
      </c>
      <c r="AO573" s="271" t="b">
        <f>IF(AR573&lt;=3,(IF((G573="5/24"),((база!$M$6*Таблица1[[#This Row],[сумма]]*Таблица1[[#This Row],[коэф]])),
IF((G573="4/24"),((база!$M$5*Таблица1[[#This Row],[сумма]]*Таблица1[[#This Row],[коэф]])),
IF((G573="3/24"),((база!$M$4*Таблица1[[#This Row],[сумма]]*Таблица1[[#This Row],[коэф]])),
IF((G573="5/16"),((база!$L$6*Таблица1[[#This Row],[сумма]]*Таблица1[[#This Row],[коэф]])),
IF((G573="4/16"),((база!$L$5*Таблица1[[#This Row],[сумма]]*Таблица1[[#This Row],[коэф]])),
IF((G573="3/16"),((база!$L$4*Таблица1[[#This Row],[сумма]]*Таблица1[[#This Row],[коэф]])),
IF((G573="4/4"),((база!$I$5*Таблица1[[#This Row],[сумма]]*Таблица1[[#This Row],[коэф]])),
IF(OR(G573="2/4",G573="3/4"),((база!$I$4*Таблица1[[#This Row],[сумма]]*Таблица1[[#This Row],[коэф]])),
IF((G573="5/8"),((база!$J$6*Таблица1[[#This Row],[сумма]]*Таблица1[[#This Row],[коэф]])),
IF((G573="4/8"),((база!$J$5*Таблица1[[#This Row],[сумма]]*Таблица1[[#This Row],[коэф]])),
IF(OR(G573="3/8",G573="2/8"),((база!$J$4*Таблица1[[#This Row],[сумма]]*Таблица1[[#This Row],[коэф]])))))))))))))),
(IF((G573="5/24"),((база!$M$6*Таблица1[[#This Row],[сумма]]*Таблица1[[#This Row],[коэф]])),
IF(OR(G573="4/24",G573="3/24"),((база!$M$5*Таблица1[[#This Row],[сумма]]*Таблица1[[#This Row],[коэф]])),
IF((G573="5/16"),((база!$L$6*Таблица1[[#This Row],[сумма]]*Таблица1[[#This Row],[коэф]])),
IF(OR(G573="4/16",G573="3/16"),((база!$L$5*Таблица1[[#This Row],[сумма]]*Таблица1[[#This Row],[коэф]])),
IF(OR(G573="2/4",G573="3/4",G573="4/4"),((база!$I$5*Таблица1[[#This Row],[сумма]]*Таблица1[[#This Row],[коэф]])),
IF((G573="5/8"),((база!$J$6*Таблица1[[#This Row],[сумма]]*Таблица1[[#This Row],[коэф]])),
IF(OR(G573="4/8",G573="3/8",G573="2/8"),((база!$J$5*Таблица1[[#This Row],[сумма]]*Таблица1[[#This Row],[коэф]])))))))))))</f>
        <v>0</v>
      </c>
      <c r="AP573" s="696" t="b">
        <f>IF(AR573&lt;=3,(IF((G573="5/24"),((база!$M$6*2*Таблица1[[#This Row],[Столбец1]]*Таблица1[[#This Row],[коэф]])),
IF((G573="4/24"),((база!$M$5*2*Таблица1[[#This Row],[Столбец1]]*Таблица1[[#This Row],[коэф]])),
IF((G573="3/24"),((база!$M$4*2*Таблица1[[#This Row],[Столбец1]]*Таблица1[[#This Row],[коэф]])),
IF((G573="5/16"),((база!$L$6*2*Таблица1[[#This Row],[Столбец1]]*Таблица1[[#This Row],[коэф]])),
IF((G573="4/16"),((база!$L$5*2*Таблица1[[#This Row],[Столбец1]]*Таблица1[[#This Row],[коэф]])),
IF((G573="3/16"),((база!$L$4*2*Таблица1[[#This Row],[Столбец1]]*Таблица1[[#This Row],[коэф]])),
IF((G573="4/4"),((база!$I$5*2*Таблица1[[#This Row],[Столбец1]]*Таблица1[[#This Row],[коэф]])),
IF(OR(G573="2/4",G573="3/4"),((база!$I$4*2*Таблица1[[#This Row],[Столбец1]]*Таблица1[[#This Row],[коэф]])),
IF((G573="5/8"),((база!$J$6*2*Таблица1[[#This Row],[Столбец1]]*Таблица1[[#This Row],[коэф]])),
IF((G573="4/8"),((база!$J$5*2*Таблица1[[#This Row],[Столбец1]]*Таблица1[[#This Row],[коэф]])),
IF(OR(G573="3/8",G573="2/8"),((база!$J$4*2*Таблица1[[#This Row],[Столбец1]]*Таблица1[[#This Row],[коэф]])))))))))))))),
(IF((G573="5/24"),((база!$M$6*2*Таблица1[[#This Row],[Столбец1]]*Таблица1[[#This Row],[коэф]])),
IF(OR(G573="4/24",G573="3/24"),((база!$M$5*2*Таблица1[[#This Row],[Столбец1]]*Таблица1[[#This Row],[коэф]])),
IF((G573="5/16"),((база!$L$6*2*Таблица1[[#This Row],[Столбец1]]*Таблица1[[#This Row],[коэф]])),
IF(OR(G573="4/16",G573="3/16"),((база!$L$5*2*Таблица1[[#This Row],[Столбец1]]*Таблица1[[#This Row],[коэф]])),
IF(OR(G573="2/4",G573="3/4",G573="4/4"),((база!$I$5*2*Таблица1[[#This Row],[Столбец1]]*Таблица1[[#This Row],[коэф]])),
IF((G573="5/8"),((база!$J$6*2*Таблица1[[#This Row],[Столбец1]]*Таблица1[[#This Row],[коэф]])),
IF(OR(G573="4/8",G573="3/8",G573="2/8"),((база!$J$5*2*Таблица1[[#This Row],[Столбец1]]*Таблица1[[#This Row],[коэф]])))))))))))</f>
        <v>0</v>
      </c>
      <c r="AQ573" s="678" t="str">
        <f>IFERROR(INDEX(база!T:T, MATCH(F573,база!Q:Q,0)),"")</f>
        <v/>
      </c>
      <c r="AR573" s="193">
        <f>IFERROR(INDEX(база!D:D, MATCH(F573,база!B:B,0)),"")</f>
        <v>0</v>
      </c>
    </row>
    <row r="574" spans="1:44" ht="15">
      <c r="A574" s="59"/>
      <c r="B574" s="215"/>
      <c r="C574" s="277"/>
      <c r="D574" s="55"/>
      <c r="E574" s="196"/>
      <c r="F574" s="651"/>
      <c r="G574" s="42"/>
      <c r="H574" s="539"/>
      <c r="I574" s="539"/>
      <c r="J574" s="539"/>
      <c r="K574" s="539"/>
      <c r="L574" s="539"/>
      <c r="M574" s="539"/>
      <c r="N574" s="539"/>
      <c r="O574" s="539"/>
      <c r="P574" s="278"/>
      <c r="Q574" s="539"/>
      <c r="R574" s="539"/>
      <c r="S574" s="539"/>
      <c r="T574" s="539"/>
      <c r="U574" s="539"/>
      <c r="V574" s="539"/>
      <c r="W574" s="539"/>
      <c r="X574" s="539"/>
      <c r="Y574" s="539"/>
      <c r="Z574" s="539"/>
      <c r="AA574" s="539"/>
      <c r="AB574" s="539"/>
      <c r="AC574" s="539"/>
      <c r="AD574" s="43"/>
      <c r="AE574" s="43"/>
      <c r="AF574" s="238"/>
      <c r="AG574" s="43"/>
      <c r="AH574" s="43"/>
      <c r="AI574" s="43"/>
      <c r="AJ574" s="43"/>
      <c r="AK574" s="43"/>
      <c r="AL574" s="45"/>
      <c r="AM574" s="197">
        <f>IF(AQ574=1,SUM(H574:I574,L574:O574,R574:U574,X574:AA574,AD574:AG574,AI574:AK574),
IF(AQ574=2,SUM(H574:K574,N574:Q574,T574:W574,Z574:AC574,AF574:AI574),
IF(AQ574=3,SUM(J574:M574,P574:S574,V574:Y574,AB574:AE574,AH574:AK574),SUM(Таблица1[[#This Row],[1]:[31]])-Таблица1[[#This Row],[Столбец1]])))</f>
        <v>0</v>
      </c>
      <c r="AN574" s="269">
        <f t="array" ref="AN574">IF(AQ574=1,SUM(J574:K574,P574:Q574,V574:W574,AB574:AC574,AH574:AI574),
IF(AQ574=2,SUM(L574:M574,R574:S574,X574:Y574,AD574:AE574),
IF(AQ574=3,SUM(H574:I574,N574:O574,T574:U574,Z574:AA574,AF574:AG574),
SUM(IFERROR(WEEKDAY($H$2:$AL$2,2)&gt;5,)*H574:AL574))))</f>
        <v>0</v>
      </c>
      <c r="AO574" s="271" t="b">
        <f>IF(AR574&lt;=3,(IF((G574="5/24"),((база!$M$6*Таблица1[[#This Row],[сумма]]*Таблица1[[#This Row],[коэф]])),
IF((G574="4/24"),((база!$M$5*Таблица1[[#This Row],[сумма]]*Таблица1[[#This Row],[коэф]])),
IF((G574="3/24"),((база!$M$4*Таблица1[[#This Row],[сумма]]*Таблица1[[#This Row],[коэф]])),
IF((G574="5/16"),((база!$L$6*Таблица1[[#This Row],[сумма]]*Таблица1[[#This Row],[коэф]])),
IF((G574="4/16"),((база!$L$5*Таблица1[[#This Row],[сумма]]*Таблица1[[#This Row],[коэф]])),
IF((G574="3/16"),((база!$L$4*Таблица1[[#This Row],[сумма]]*Таблица1[[#This Row],[коэф]])),
IF((G574="4/4"),((база!$I$5*Таблица1[[#This Row],[сумма]]*Таблица1[[#This Row],[коэф]])),
IF(OR(G574="2/4",G574="3/4"),((база!$I$4*Таблица1[[#This Row],[сумма]]*Таблица1[[#This Row],[коэф]])),
IF((G574="5/8"),((база!$J$6*Таблица1[[#This Row],[сумма]]*Таблица1[[#This Row],[коэф]])),
IF((G574="4/8"),((база!$J$5*Таблица1[[#This Row],[сумма]]*Таблица1[[#This Row],[коэф]])),
IF(OR(G574="3/8",G574="2/8"),((база!$J$4*Таблица1[[#This Row],[сумма]]*Таблица1[[#This Row],[коэф]])))))))))))))),
(IF((G574="5/24"),((база!$M$6*Таблица1[[#This Row],[сумма]]*Таблица1[[#This Row],[коэф]])),
IF(OR(G574="4/24",G574="3/24"),((база!$M$5*Таблица1[[#This Row],[сумма]]*Таблица1[[#This Row],[коэф]])),
IF((G574="5/16"),((база!$L$6*Таблица1[[#This Row],[сумма]]*Таблица1[[#This Row],[коэф]])),
IF(OR(G574="4/16",G574="3/16"),((база!$L$5*Таблица1[[#This Row],[сумма]]*Таблица1[[#This Row],[коэф]])),
IF(OR(G574="2/4",G574="3/4",G574="4/4"),((база!$I$5*Таблица1[[#This Row],[сумма]]*Таблица1[[#This Row],[коэф]])),
IF((G574="5/8"),((база!$J$6*Таблица1[[#This Row],[сумма]]*Таблица1[[#This Row],[коэф]])),
IF(OR(G574="4/8",G574="3/8",G574="2/8"),((база!$J$5*Таблица1[[#This Row],[сумма]]*Таблица1[[#This Row],[коэф]])))))))))))</f>
        <v>0</v>
      </c>
      <c r="AP574" s="696" t="b">
        <f>IF(AR574&lt;=3,(IF((G574="5/24"),((база!$M$6*2*Таблица1[[#This Row],[Столбец1]]*Таблица1[[#This Row],[коэф]])),
IF((G574="4/24"),((база!$M$5*2*Таблица1[[#This Row],[Столбец1]]*Таблица1[[#This Row],[коэф]])),
IF((G574="3/24"),((база!$M$4*2*Таблица1[[#This Row],[Столбец1]]*Таблица1[[#This Row],[коэф]])),
IF((G574="5/16"),((база!$L$6*2*Таблица1[[#This Row],[Столбец1]]*Таблица1[[#This Row],[коэф]])),
IF((G574="4/16"),((база!$L$5*2*Таблица1[[#This Row],[Столбец1]]*Таблица1[[#This Row],[коэф]])),
IF((G574="3/16"),((база!$L$4*2*Таблица1[[#This Row],[Столбец1]]*Таблица1[[#This Row],[коэф]])),
IF((G574="4/4"),((база!$I$5*2*Таблица1[[#This Row],[Столбец1]]*Таблица1[[#This Row],[коэф]])),
IF(OR(G574="2/4",G574="3/4"),((база!$I$4*2*Таблица1[[#This Row],[Столбец1]]*Таблица1[[#This Row],[коэф]])),
IF((G574="5/8"),((база!$J$6*2*Таблица1[[#This Row],[Столбец1]]*Таблица1[[#This Row],[коэф]])),
IF((G574="4/8"),((база!$J$5*2*Таблица1[[#This Row],[Столбец1]]*Таблица1[[#This Row],[коэф]])),
IF(OR(G574="3/8",G574="2/8"),((база!$J$4*2*Таблица1[[#This Row],[Столбец1]]*Таблица1[[#This Row],[коэф]])))))))))))))),
(IF((G574="5/24"),((база!$M$6*2*Таблица1[[#This Row],[Столбец1]]*Таблица1[[#This Row],[коэф]])),
IF(OR(G574="4/24",G574="3/24"),((база!$M$5*2*Таблица1[[#This Row],[Столбец1]]*Таблица1[[#This Row],[коэф]])),
IF((G574="5/16"),((база!$L$6*2*Таблица1[[#This Row],[Столбец1]]*Таблица1[[#This Row],[коэф]])),
IF(OR(G574="4/16",G574="3/16"),((база!$L$5*2*Таблица1[[#This Row],[Столбец1]]*Таблица1[[#This Row],[коэф]])),
IF(OR(G574="2/4",G574="3/4",G574="4/4"),((база!$I$5*2*Таблица1[[#This Row],[Столбец1]]*Таблица1[[#This Row],[коэф]])),
IF((G574="5/8"),((база!$J$6*2*Таблица1[[#This Row],[Столбец1]]*Таблица1[[#This Row],[коэф]])),
IF(OR(G574="4/8",G574="3/8",G574="2/8"),((база!$J$5*2*Таблица1[[#This Row],[Столбец1]]*Таблица1[[#This Row],[коэф]])))))))))))</f>
        <v>0</v>
      </c>
      <c r="AQ574" s="678" t="str">
        <f>IFERROR(INDEX(база!T:T, MATCH(F574,база!Q:Q,0)),"")</f>
        <v/>
      </c>
      <c r="AR574" s="193">
        <f>IFERROR(INDEX(база!D:D, MATCH(F574,база!B:B,0)),"")</f>
        <v>0</v>
      </c>
    </row>
    <row r="575" spans="1:44" ht="15">
      <c r="A575" s="59"/>
      <c r="B575" s="215"/>
      <c r="C575" s="277"/>
      <c r="D575" s="55"/>
      <c r="E575" s="196"/>
      <c r="F575" s="651"/>
      <c r="G575" s="42"/>
      <c r="H575" s="539"/>
      <c r="I575" s="539"/>
      <c r="J575" s="539"/>
      <c r="K575" s="539"/>
      <c r="L575" s="539"/>
      <c r="M575" s="539"/>
      <c r="N575" s="539"/>
      <c r="O575" s="539"/>
      <c r="P575" s="278"/>
      <c r="Q575" s="539"/>
      <c r="R575" s="539"/>
      <c r="S575" s="539"/>
      <c r="T575" s="539"/>
      <c r="U575" s="539"/>
      <c r="V575" s="539"/>
      <c r="W575" s="539"/>
      <c r="X575" s="539"/>
      <c r="Y575" s="539"/>
      <c r="Z575" s="539"/>
      <c r="AA575" s="539"/>
      <c r="AB575" s="539"/>
      <c r="AC575" s="539"/>
      <c r="AD575" s="43"/>
      <c r="AE575" s="43"/>
      <c r="AF575" s="238"/>
      <c r="AG575" s="43"/>
      <c r="AH575" s="43"/>
      <c r="AI575" s="238"/>
      <c r="AJ575" s="238"/>
      <c r="AK575" s="238"/>
      <c r="AL575" s="238"/>
      <c r="AM575" s="197">
        <f>IF(AQ575=1,SUM(H575:I575,L575:O575,R575:U575,X575:AA575,AD575:AG575,AI575:AK575),
IF(AQ575=2,SUM(H575:K575,N575:Q575,T575:W575,Z575:AC575,AF575:AI575),
IF(AQ575=3,SUM(J575:M575,P575:S575,V575:Y575,AB575:AE575,AH575:AK575),SUM(Таблица1[[#This Row],[1]:[31]])-Таблица1[[#This Row],[Столбец1]])))</f>
        <v>0</v>
      </c>
      <c r="AN575" s="269">
        <f t="array" ref="AN575">IF(AQ575=1,SUM(J575:K575,P575:Q575,V575:W575,AB575:AC575,AH575:AI575),
IF(AQ575=2,SUM(L575:M575,R575:S575,X575:Y575,AD575:AE575),
IF(AQ575=3,SUM(H575:I575,N575:O575,T575:U575,Z575:AA575,AF575:AG575),
SUM(IFERROR(WEEKDAY($H$2:$AL$2,2)&gt;5,)*H575:AL575))))</f>
        <v>0</v>
      </c>
      <c r="AO575" s="271" t="b">
        <f>IF(AR575&lt;=3,(IF((G575="5/24"),((база!$M$6*Таблица1[[#This Row],[сумма]]*Таблица1[[#This Row],[коэф]])),
IF((G575="4/24"),((база!$M$5*Таблица1[[#This Row],[сумма]]*Таблица1[[#This Row],[коэф]])),
IF((G575="3/24"),((база!$M$4*Таблица1[[#This Row],[сумма]]*Таблица1[[#This Row],[коэф]])),
IF((G575="5/16"),((база!$L$6*Таблица1[[#This Row],[сумма]]*Таблица1[[#This Row],[коэф]])),
IF((G575="4/16"),((база!$L$5*Таблица1[[#This Row],[сумма]]*Таблица1[[#This Row],[коэф]])),
IF((G575="3/16"),((база!$L$4*Таблица1[[#This Row],[сумма]]*Таблица1[[#This Row],[коэф]])),
IF((G575="4/4"),((база!$I$5*Таблица1[[#This Row],[сумма]]*Таблица1[[#This Row],[коэф]])),
IF(OR(G575="2/4",G575="3/4"),((база!$I$4*Таблица1[[#This Row],[сумма]]*Таблица1[[#This Row],[коэф]])),
IF((G575="5/8"),((база!$J$6*Таблица1[[#This Row],[сумма]]*Таблица1[[#This Row],[коэф]])),
IF((G575="4/8"),((база!$J$5*Таблица1[[#This Row],[сумма]]*Таблица1[[#This Row],[коэф]])),
IF(OR(G575="3/8",G575="2/8"),((база!$J$4*Таблица1[[#This Row],[сумма]]*Таблица1[[#This Row],[коэф]])))))))))))))),
(IF((G575="5/24"),((база!$M$6*Таблица1[[#This Row],[сумма]]*Таблица1[[#This Row],[коэф]])),
IF(OR(G575="4/24",G575="3/24"),((база!$M$5*Таблица1[[#This Row],[сумма]]*Таблица1[[#This Row],[коэф]])),
IF((G575="5/16"),((база!$L$6*Таблица1[[#This Row],[сумма]]*Таблица1[[#This Row],[коэф]])),
IF(OR(G575="4/16",G575="3/16"),((база!$L$5*Таблица1[[#This Row],[сумма]]*Таблица1[[#This Row],[коэф]])),
IF(OR(G575="2/4",G575="3/4",G575="4/4"),((база!$I$5*Таблица1[[#This Row],[сумма]]*Таблица1[[#This Row],[коэф]])),
IF((G575="5/8"),((база!$J$6*Таблица1[[#This Row],[сумма]]*Таблица1[[#This Row],[коэф]])),
IF(OR(G575="4/8",G575="3/8",G575="2/8"),((база!$J$5*Таблица1[[#This Row],[сумма]]*Таблица1[[#This Row],[коэф]])))))))))))</f>
        <v>0</v>
      </c>
      <c r="AP575" s="696" t="b">
        <f>IF(AR575&lt;=3,(IF((G575="5/24"),((база!$M$6*2*Таблица1[[#This Row],[Столбец1]]*Таблица1[[#This Row],[коэф]])),
IF((G575="4/24"),((база!$M$5*2*Таблица1[[#This Row],[Столбец1]]*Таблица1[[#This Row],[коэф]])),
IF((G575="3/24"),((база!$M$4*2*Таблица1[[#This Row],[Столбец1]]*Таблица1[[#This Row],[коэф]])),
IF((G575="5/16"),((база!$L$6*2*Таблица1[[#This Row],[Столбец1]]*Таблица1[[#This Row],[коэф]])),
IF((G575="4/16"),((база!$L$5*2*Таблица1[[#This Row],[Столбец1]]*Таблица1[[#This Row],[коэф]])),
IF((G575="3/16"),((база!$L$4*2*Таблица1[[#This Row],[Столбец1]]*Таблица1[[#This Row],[коэф]])),
IF((G575="4/4"),((база!$I$5*2*Таблица1[[#This Row],[Столбец1]]*Таблица1[[#This Row],[коэф]])),
IF(OR(G575="2/4",G575="3/4"),((база!$I$4*2*Таблица1[[#This Row],[Столбец1]]*Таблица1[[#This Row],[коэф]])),
IF((G575="5/8"),((база!$J$6*2*Таблица1[[#This Row],[Столбец1]]*Таблица1[[#This Row],[коэф]])),
IF((G575="4/8"),((база!$J$5*2*Таблица1[[#This Row],[Столбец1]]*Таблица1[[#This Row],[коэф]])),
IF(OR(G575="3/8",G575="2/8"),((база!$J$4*2*Таблица1[[#This Row],[Столбец1]]*Таблица1[[#This Row],[коэф]])))))))))))))),
(IF((G575="5/24"),((база!$M$6*2*Таблица1[[#This Row],[Столбец1]]*Таблица1[[#This Row],[коэф]])),
IF(OR(G575="4/24",G575="3/24"),((база!$M$5*2*Таблица1[[#This Row],[Столбец1]]*Таблица1[[#This Row],[коэф]])),
IF((G575="5/16"),((база!$L$6*2*Таблица1[[#This Row],[Столбец1]]*Таблица1[[#This Row],[коэф]])),
IF(OR(G575="4/16",G575="3/16"),((база!$L$5*2*Таблица1[[#This Row],[Столбец1]]*Таблица1[[#This Row],[коэф]])),
IF(OR(G575="2/4",G575="3/4",G575="4/4"),((база!$I$5*2*Таблица1[[#This Row],[Столбец1]]*Таблица1[[#This Row],[коэф]])),
IF((G575="5/8"),((база!$J$6*2*Таблица1[[#This Row],[Столбец1]]*Таблица1[[#This Row],[коэф]])),
IF(OR(G575="4/8",G575="3/8",G575="2/8"),((база!$J$5*2*Таблица1[[#This Row],[Столбец1]]*Таблица1[[#This Row],[коэф]])))))))))))</f>
        <v>0</v>
      </c>
      <c r="AQ575" s="678" t="str">
        <f>IFERROR(INDEX(база!T:T, MATCH(F575,база!Q:Q,0)),"")</f>
        <v/>
      </c>
      <c r="AR575" s="193">
        <f>IFERROR(INDEX(база!D:D, MATCH(F575,база!B:B,0)),"")</f>
        <v>0</v>
      </c>
    </row>
    <row r="576" spans="1:44" ht="15">
      <c r="A576" s="59"/>
      <c r="B576" s="215"/>
      <c r="C576" s="277"/>
      <c r="D576" s="55"/>
      <c r="E576" s="196"/>
      <c r="F576" s="651"/>
      <c r="G576" s="42"/>
      <c r="H576" s="539"/>
      <c r="I576" s="539"/>
      <c r="J576" s="539"/>
      <c r="K576" s="539"/>
      <c r="L576" s="539"/>
      <c r="M576" s="539"/>
      <c r="N576" s="539"/>
      <c r="O576" s="539"/>
      <c r="P576" s="278"/>
      <c r="Q576" s="539"/>
      <c r="R576" s="539"/>
      <c r="S576" s="539"/>
      <c r="T576" s="539"/>
      <c r="U576" s="539"/>
      <c r="V576" s="539"/>
      <c r="W576" s="539"/>
      <c r="X576" s="539"/>
      <c r="Y576" s="539"/>
      <c r="Z576" s="539"/>
      <c r="AA576" s="539"/>
      <c r="AB576" s="539"/>
      <c r="AC576" s="539"/>
      <c r="AD576" s="43"/>
      <c r="AE576" s="43"/>
      <c r="AF576" s="238"/>
      <c r="AG576" s="43"/>
      <c r="AH576" s="43"/>
      <c r="AI576" s="43"/>
      <c r="AJ576" s="43"/>
      <c r="AK576" s="43"/>
      <c r="AL576" s="45"/>
      <c r="AM576" s="197">
        <f>IF(AQ576=1,SUM(H576:I576,L576:O576,R576:U576,X576:AA576,AD576:AG576,AI576:AK576),
IF(AQ576=2,SUM(H576:K576,N576:Q576,T576:W576,Z576:AC576,AF576:AI576),
IF(AQ576=3,SUM(J576:M576,P576:S576,V576:Y576,AB576:AE576,AH576:AK576),SUM(Таблица1[[#This Row],[1]:[31]])-Таблица1[[#This Row],[Столбец1]])))</f>
        <v>0</v>
      </c>
      <c r="AN576" s="269">
        <f t="array" ref="AN576">IF(AQ576=1,SUM(J576:K576,P576:Q576,V576:W576,AB576:AC576,AH576:AI576),
IF(AQ576=2,SUM(L576:M576,R576:S576,X576:Y576,AD576:AE576),
IF(AQ576=3,SUM(H576:I576,N576:O576,T576:U576,Z576:AA576,AF576:AG576),
SUM(IFERROR(WEEKDAY($H$2:$AL$2,2)&gt;5,)*H576:AL576))))</f>
        <v>0</v>
      </c>
      <c r="AO576" s="271" t="b">
        <f>IF(AR576&lt;=3,(IF((G576="5/24"),((база!$M$6*Таблица1[[#This Row],[сумма]]*Таблица1[[#This Row],[коэф]])),
IF((G576="4/24"),((база!$M$5*Таблица1[[#This Row],[сумма]]*Таблица1[[#This Row],[коэф]])),
IF((G576="3/24"),((база!$M$4*Таблица1[[#This Row],[сумма]]*Таблица1[[#This Row],[коэф]])),
IF((G576="5/16"),((база!$L$6*Таблица1[[#This Row],[сумма]]*Таблица1[[#This Row],[коэф]])),
IF((G576="4/16"),((база!$L$5*Таблица1[[#This Row],[сумма]]*Таблица1[[#This Row],[коэф]])),
IF((G576="3/16"),((база!$L$4*Таблица1[[#This Row],[сумма]]*Таблица1[[#This Row],[коэф]])),
IF((G576="4/4"),((база!$I$5*Таблица1[[#This Row],[сумма]]*Таблица1[[#This Row],[коэф]])),
IF(OR(G576="2/4",G576="3/4"),((база!$I$4*Таблица1[[#This Row],[сумма]]*Таблица1[[#This Row],[коэф]])),
IF((G576="5/8"),((база!$J$6*Таблица1[[#This Row],[сумма]]*Таблица1[[#This Row],[коэф]])),
IF((G576="4/8"),((база!$J$5*Таблица1[[#This Row],[сумма]]*Таблица1[[#This Row],[коэф]])),
IF(OR(G576="3/8",G576="2/8"),((база!$J$4*Таблица1[[#This Row],[сумма]]*Таблица1[[#This Row],[коэф]])))))))))))))),
(IF((G576="5/24"),((база!$M$6*Таблица1[[#This Row],[сумма]]*Таблица1[[#This Row],[коэф]])),
IF(OR(G576="4/24",G576="3/24"),((база!$M$5*Таблица1[[#This Row],[сумма]]*Таблица1[[#This Row],[коэф]])),
IF((G576="5/16"),((база!$L$6*Таблица1[[#This Row],[сумма]]*Таблица1[[#This Row],[коэф]])),
IF(OR(G576="4/16",G576="3/16"),((база!$L$5*Таблица1[[#This Row],[сумма]]*Таблица1[[#This Row],[коэф]])),
IF(OR(G576="2/4",G576="3/4",G576="4/4"),((база!$I$5*Таблица1[[#This Row],[сумма]]*Таблица1[[#This Row],[коэф]])),
IF((G576="5/8"),((база!$J$6*Таблица1[[#This Row],[сумма]]*Таблица1[[#This Row],[коэф]])),
IF(OR(G576="4/8",G576="3/8",G576="2/8"),((база!$J$5*Таблица1[[#This Row],[сумма]]*Таблица1[[#This Row],[коэф]])))))))))))</f>
        <v>0</v>
      </c>
      <c r="AP576" s="696" t="b">
        <f>IF(AR576&lt;=3,(IF((G576="5/24"),((база!$M$6*2*Таблица1[[#This Row],[Столбец1]]*Таблица1[[#This Row],[коэф]])),
IF((G576="4/24"),((база!$M$5*2*Таблица1[[#This Row],[Столбец1]]*Таблица1[[#This Row],[коэф]])),
IF((G576="3/24"),((база!$M$4*2*Таблица1[[#This Row],[Столбец1]]*Таблица1[[#This Row],[коэф]])),
IF((G576="5/16"),((база!$L$6*2*Таблица1[[#This Row],[Столбец1]]*Таблица1[[#This Row],[коэф]])),
IF((G576="4/16"),((база!$L$5*2*Таблица1[[#This Row],[Столбец1]]*Таблица1[[#This Row],[коэф]])),
IF((G576="3/16"),((база!$L$4*2*Таблица1[[#This Row],[Столбец1]]*Таблица1[[#This Row],[коэф]])),
IF((G576="4/4"),((база!$I$5*2*Таблица1[[#This Row],[Столбец1]]*Таблица1[[#This Row],[коэф]])),
IF(OR(G576="2/4",G576="3/4"),((база!$I$4*2*Таблица1[[#This Row],[Столбец1]]*Таблица1[[#This Row],[коэф]])),
IF((G576="5/8"),((база!$J$6*2*Таблица1[[#This Row],[Столбец1]]*Таблица1[[#This Row],[коэф]])),
IF((G576="4/8"),((база!$J$5*2*Таблица1[[#This Row],[Столбец1]]*Таблица1[[#This Row],[коэф]])),
IF(OR(G576="3/8",G576="2/8"),((база!$J$4*2*Таблица1[[#This Row],[Столбец1]]*Таблица1[[#This Row],[коэф]])))))))))))))),
(IF((G576="5/24"),((база!$M$6*2*Таблица1[[#This Row],[Столбец1]]*Таблица1[[#This Row],[коэф]])),
IF(OR(G576="4/24",G576="3/24"),((база!$M$5*2*Таблица1[[#This Row],[Столбец1]]*Таблица1[[#This Row],[коэф]])),
IF((G576="5/16"),((база!$L$6*2*Таблица1[[#This Row],[Столбец1]]*Таблица1[[#This Row],[коэф]])),
IF(OR(G576="4/16",G576="3/16"),((база!$L$5*2*Таблица1[[#This Row],[Столбец1]]*Таблица1[[#This Row],[коэф]])),
IF(OR(G576="2/4",G576="3/4",G576="4/4"),((база!$I$5*2*Таблица1[[#This Row],[Столбец1]]*Таблица1[[#This Row],[коэф]])),
IF((G576="5/8"),((база!$J$6*2*Таблица1[[#This Row],[Столбец1]]*Таблица1[[#This Row],[коэф]])),
IF(OR(G576="4/8",G576="3/8",G576="2/8"),((база!$J$5*2*Таблица1[[#This Row],[Столбец1]]*Таблица1[[#This Row],[коэф]])))))))))))</f>
        <v>0</v>
      </c>
      <c r="AQ576" s="678" t="str">
        <f>IFERROR(INDEX(база!T:T, MATCH(F576,база!Q:Q,0)),"")</f>
        <v/>
      </c>
      <c r="AR576" s="193">
        <f>IFERROR(INDEX(база!D:D, MATCH(F576,база!B:B,0)),"")</f>
        <v>0</v>
      </c>
    </row>
    <row r="577" spans="1:44" ht="15">
      <c r="A577" s="59"/>
      <c r="B577" s="215"/>
      <c r="C577" s="277"/>
      <c r="D577" s="55"/>
      <c r="E577" s="196"/>
      <c r="F577" s="651"/>
      <c r="G577" s="42"/>
      <c r="H577" s="539"/>
      <c r="I577" s="539"/>
      <c r="J577" s="539"/>
      <c r="K577" s="539"/>
      <c r="L577" s="539"/>
      <c r="M577" s="539"/>
      <c r="N577" s="539"/>
      <c r="O577" s="539"/>
      <c r="P577" s="278"/>
      <c r="Q577" s="539"/>
      <c r="R577" s="539"/>
      <c r="S577" s="539"/>
      <c r="T577" s="539"/>
      <c r="U577" s="539"/>
      <c r="V577" s="539"/>
      <c r="W577" s="539"/>
      <c r="X577" s="539"/>
      <c r="Y577" s="539"/>
      <c r="Z577" s="539"/>
      <c r="AA577" s="539"/>
      <c r="AB577" s="539"/>
      <c r="AC577" s="539"/>
      <c r="AD577" s="43"/>
      <c r="AE577" s="43"/>
      <c r="AF577" s="238"/>
      <c r="AG577" s="43"/>
      <c r="AH577" s="43"/>
      <c r="AI577" s="238"/>
      <c r="AJ577" s="238"/>
      <c r="AK577" s="238"/>
      <c r="AL577" s="238"/>
      <c r="AM577" s="197">
        <f>IF(AQ577=1,SUM(H577:I577,L577:O577,R577:U577,X577:AA577,AD577:AG577,AI577:AK577),
IF(AQ577=2,SUM(H577:K577,N577:Q577,T577:W577,Z577:AC577,AF577:AI577),
IF(AQ577=3,SUM(J577:M577,P577:S577,V577:Y577,AB577:AE577,AH577:AK577),SUM(Таблица1[[#This Row],[1]:[31]])-Таблица1[[#This Row],[Столбец1]])))</f>
        <v>0</v>
      </c>
      <c r="AN577" s="269">
        <f t="array" ref="AN577">IF(AQ577=1,SUM(J577:K577,P577:Q577,V577:W577,AB577:AC577,AH577:AI577),
IF(AQ577=2,SUM(L577:M577,R577:S577,X577:Y577,AD577:AE577),
IF(AQ577=3,SUM(H577:I577,N577:O577,T577:U577,Z577:AA577,AF577:AG577),
SUM(IFERROR(WEEKDAY($H$2:$AL$2,2)&gt;5,)*H577:AL577))))</f>
        <v>0</v>
      </c>
      <c r="AO577" s="271" t="b">
        <f>IF(AR577&lt;=3,(IF((G577="5/24"),((база!$M$6*Таблица1[[#This Row],[сумма]]*Таблица1[[#This Row],[коэф]])),
IF((G577="4/24"),((база!$M$5*Таблица1[[#This Row],[сумма]]*Таблица1[[#This Row],[коэф]])),
IF((G577="3/24"),((база!$M$4*Таблица1[[#This Row],[сумма]]*Таблица1[[#This Row],[коэф]])),
IF((G577="5/16"),((база!$L$6*Таблица1[[#This Row],[сумма]]*Таблица1[[#This Row],[коэф]])),
IF((G577="4/16"),((база!$L$5*Таблица1[[#This Row],[сумма]]*Таблица1[[#This Row],[коэф]])),
IF((G577="3/16"),((база!$L$4*Таблица1[[#This Row],[сумма]]*Таблица1[[#This Row],[коэф]])),
IF((G577="4/4"),((база!$I$5*Таблица1[[#This Row],[сумма]]*Таблица1[[#This Row],[коэф]])),
IF(OR(G577="2/4",G577="3/4"),((база!$I$4*Таблица1[[#This Row],[сумма]]*Таблица1[[#This Row],[коэф]])),
IF((G577="5/8"),((база!$J$6*Таблица1[[#This Row],[сумма]]*Таблица1[[#This Row],[коэф]])),
IF((G577="4/8"),((база!$J$5*Таблица1[[#This Row],[сумма]]*Таблица1[[#This Row],[коэф]])),
IF(OR(G577="3/8",G577="2/8"),((база!$J$4*Таблица1[[#This Row],[сумма]]*Таблица1[[#This Row],[коэф]])))))))))))))),
(IF((G577="5/24"),((база!$M$6*Таблица1[[#This Row],[сумма]]*Таблица1[[#This Row],[коэф]])),
IF(OR(G577="4/24",G577="3/24"),((база!$M$5*Таблица1[[#This Row],[сумма]]*Таблица1[[#This Row],[коэф]])),
IF((G577="5/16"),((база!$L$6*Таблица1[[#This Row],[сумма]]*Таблица1[[#This Row],[коэф]])),
IF(OR(G577="4/16",G577="3/16"),((база!$L$5*Таблица1[[#This Row],[сумма]]*Таблица1[[#This Row],[коэф]])),
IF(OR(G577="2/4",G577="3/4",G577="4/4"),((база!$I$5*Таблица1[[#This Row],[сумма]]*Таблица1[[#This Row],[коэф]])),
IF((G577="5/8"),((база!$J$6*Таблица1[[#This Row],[сумма]]*Таблица1[[#This Row],[коэф]])),
IF(OR(G577="4/8",G577="3/8",G577="2/8"),((база!$J$5*Таблица1[[#This Row],[сумма]]*Таблица1[[#This Row],[коэф]])))))))))))</f>
        <v>0</v>
      </c>
      <c r="AP577" s="696" t="b">
        <f>IF(AR577&lt;=3,(IF((G577="5/24"),((база!$M$6*2*Таблица1[[#This Row],[Столбец1]]*Таблица1[[#This Row],[коэф]])),
IF((G577="4/24"),((база!$M$5*2*Таблица1[[#This Row],[Столбец1]]*Таблица1[[#This Row],[коэф]])),
IF((G577="3/24"),((база!$M$4*2*Таблица1[[#This Row],[Столбец1]]*Таблица1[[#This Row],[коэф]])),
IF((G577="5/16"),((база!$L$6*2*Таблица1[[#This Row],[Столбец1]]*Таблица1[[#This Row],[коэф]])),
IF((G577="4/16"),((база!$L$5*2*Таблица1[[#This Row],[Столбец1]]*Таблица1[[#This Row],[коэф]])),
IF((G577="3/16"),((база!$L$4*2*Таблица1[[#This Row],[Столбец1]]*Таблица1[[#This Row],[коэф]])),
IF((G577="4/4"),((база!$I$5*2*Таблица1[[#This Row],[Столбец1]]*Таблица1[[#This Row],[коэф]])),
IF(OR(G577="2/4",G577="3/4"),((база!$I$4*2*Таблица1[[#This Row],[Столбец1]]*Таблица1[[#This Row],[коэф]])),
IF((G577="5/8"),((база!$J$6*2*Таблица1[[#This Row],[Столбец1]]*Таблица1[[#This Row],[коэф]])),
IF((G577="4/8"),((база!$J$5*2*Таблица1[[#This Row],[Столбец1]]*Таблица1[[#This Row],[коэф]])),
IF(OR(G577="3/8",G577="2/8"),((база!$J$4*2*Таблица1[[#This Row],[Столбец1]]*Таблица1[[#This Row],[коэф]])))))))))))))),
(IF((G577="5/24"),((база!$M$6*2*Таблица1[[#This Row],[Столбец1]]*Таблица1[[#This Row],[коэф]])),
IF(OR(G577="4/24",G577="3/24"),((база!$M$5*2*Таблица1[[#This Row],[Столбец1]]*Таблица1[[#This Row],[коэф]])),
IF((G577="5/16"),((база!$L$6*2*Таблица1[[#This Row],[Столбец1]]*Таблица1[[#This Row],[коэф]])),
IF(OR(G577="4/16",G577="3/16"),((база!$L$5*2*Таблица1[[#This Row],[Столбец1]]*Таблица1[[#This Row],[коэф]])),
IF(OR(G577="2/4",G577="3/4",G577="4/4"),((база!$I$5*2*Таблица1[[#This Row],[Столбец1]]*Таблица1[[#This Row],[коэф]])),
IF((G577="5/8"),((база!$J$6*2*Таблица1[[#This Row],[Столбец1]]*Таблица1[[#This Row],[коэф]])),
IF(OR(G577="4/8",G577="3/8",G577="2/8"),((база!$J$5*2*Таблица1[[#This Row],[Столбец1]]*Таблица1[[#This Row],[коэф]])))))))))))</f>
        <v>0</v>
      </c>
      <c r="AQ577" s="678" t="str">
        <f>IFERROR(INDEX(база!T:T, MATCH(F577,база!Q:Q,0)),"")</f>
        <v/>
      </c>
      <c r="AR577" s="193">
        <f>IFERROR(INDEX(база!D:D, MATCH(F577,база!B:B,0)),"")</f>
        <v>0</v>
      </c>
    </row>
    <row r="578" spans="1:44" ht="15">
      <c r="A578" s="59"/>
      <c r="B578" s="215"/>
      <c r="C578" s="277"/>
      <c r="D578" s="55"/>
      <c r="E578" s="196"/>
      <c r="F578" s="651"/>
      <c r="G578" s="42"/>
      <c r="H578" s="539"/>
      <c r="I578" s="539"/>
      <c r="J578" s="539"/>
      <c r="K578" s="539"/>
      <c r="L578" s="539"/>
      <c r="M578" s="539"/>
      <c r="N578" s="539"/>
      <c r="O578" s="539"/>
      <c r="P578" s="278"/>
      <c r="Q578" s="539"/>
      <c r="R578" s="539"/>
      <c r="S578" s="539"/>
      <c r="T578" s="539"/>
      <c r="U578" s="539"/>
      <c r="V578" s="539"/>
      <c r="W578" s="539"/>
      <c r="X578" s="539"/>
      <c r="Y578" s="539"/>
      <c r="Z578" s="539"/>
      <c r="AA578" s="539"/>
      <c r="AB578" s="539"/>
      <c r="AC578" s="539"/>
      <c r="AD578" s="43"/>
      <c r="AE578" s="43"/>
      <c r="AF578" s="238"/>
      <c r="AG578" s="43"/>
      <c r="AH578" s="43"/>
      <c r="AI578" s="43"/>
      <c r="AJ578" s="43"/>
      <c r="AK578" s="43"/>
      <c r="AL578" s="45"/>
      <c r="AM578" s="197">
        <f>IF(AQ578=1,SUM(H578:I578,L578:O578,R578:U578,X578:AA578,AD578:AG578,AI578:AK578),
IF(AQ578=2,SUM(H578:K578,N578:Q578,T578:W578,Z578:AC578,AF578:AI578),
IF(AQ578=3,SUM(J578:M578,P578:S578,V578:Y578,AB578:AE578,AH578:AK578),SUM(Таблица1[[#This Row],[1]:[31]])-Таблица1[[#This Row],[Столбец1]])))</f>
        <v>0</v>
      </c>
      <c r="AN578" s="269">
        <f t="array" ref="AN578">IF(AQ578=1,SUM(J578:K578,P578:Q578,V578:W578,AB578:AC578,AH578:AI578),
IF(AQ578=2,SUM(L578:M578,R578:S578,X578:Y578,AD578:AE578),
IF(AQ578=3,SUM(H578:I578,N578:O578,T578:U578,Z578:AA578,AF578:AG578),
SUM(IFERROR(WEEKDAY($H$2:$AL$2,2)&gt;5,)*H578:AL578))))</f>
        <v>0</v>
      </c>
      <c r="AO578" s="271" t="b">
        <f>IF(AR578&lt;=3,(IF((G578="5/24"),((база!$M$6*Таблица1[[#This Row],[сумма]]*Таблица1[[#This Row],[коэф]])),
IF((G578="4/24"),((база!$M$5*Таблица1[[#This Row],[сумма]]*Таблица1[[#This Row],[коэф]])),
IF((G578="3/24"),((база!$M$4*Таблица1[[#This Row],[сумма]]*Таблица1[[#This Row],[коэф]])),
IF((G578="5/16"),((база!$L$6*Таблица1[[#This Row],[сумма]]*Таблица1[[#This Row],[коэф]])),
IF((G578="4/16"),((база!$L$5*Таблица1[[#This Row],[сумма]]*Таблица1[[#This Row],[коэф]])),
IF((G578="3/16"),((база!$L$4*Таблица1[[#This Row],[сумма]]*Таблица1[[#This Row],[коэф]])),
IF((G578="4/4"),((база!$I$5*Таблица1[[#This Row],[сумма]]*Таблица1[[#This Row],[коэф]])),
IF(OR(G578="2/4",G578="3/4"),((база!$I$4*Таблица1[[#This Row],[сумма]]*Таблица1[[#This Row],[коэф]])),
IF((G578="5/8"),((база!$J$6*Таблица1[[#This Row],[сумма]]*Таблица1[[#This Row],[коэф]])),
IF((G578="4/8"),((база!$J$5*Таблица1[[#This Row],[сумма]]*Таблица1[[#This Row],[коэф]])),
IF(OR(G578="3/8",G578="2/8"),((база!$J$4*Таблица1[[#This Row],[сумма]]*Таблица1[[#This Row],[коэф]])))))))))))))),
(IF((G578="5/24"),((база!$M$6*Таблица1[[#This Row],[сумма]]*Таблица1[[#This Row],[коэф]])),
IF(OR(G578="4/24",G578="3/24"),((база!$M$5*Таблица1[[#This Row],[сумма]]*Таблица1[[#This Row],[коэф]])),
IF((G578="5/16"),((база!$L$6*Таблица1[[#This Row],[сумма]]*Таблица1[[#This Row],[коэф]])),
IF(OR(G578="4/16",G578="3/16"),((база!$L$5*Таблица1[[#This Row],[сумма]]*Таблица1[[#This Row],[коэф]])),
IF(OR(G578="2/4",G578="3/4",G578="4/4"),((база!$I$5*Таблица1[[#This Row],[сумма]]*Таблица1[[#This Row],[коэф]])),
IF((G578="5/8"),((база!$J$6*Таблица1[[#This Row],[сумма]]*Таблица1[[#This Row],[коэф]])),
IF(OR(G578="4/8",G578="3/8",G578="2/8"),((база!$J$5*Таблица1[[#This Row],[сумма]]*Таблица1[[#This Row],[коэф]])))))))))))</f>
        <v>0</v>
      </c>
      <c r="AP578" s="696" t="b">
        <f>IF(AR578&lt;=3,(IF((G578="5/24"),((база!$M$6*2*Таблица1[[#This Row],[Столбец1]]*Таблица1[[#This Row],[коэф]])),
IF((G578="4/24"),((база!$M$5*2*Таблица1[[#This Row],[Столбец1]]*Таблица1[[#This Row],[коэф]])),
IF((G578="3/24"),((база!$M$4*2*Таблица1[[#This Row],[Столбец1]]*Таблица1[[#This Row],[коэф]])),
IF((G578="5/16"),((база!$L$6*2*Таблица1[[#This Row],[Столбец1]]*Таблица1[[#This Row],[коэф]])),
IF((G578="4/16"),((база!$L$5*2*Таблица1[[#This Row],[Столбец1]]*Таблица1[[#This Row],[коэф]])),
IF((G578="3/16"),((база!$L$4*2*Таблица1[[#This Row],[Столбец1]]*Таблица1[[#This Row],[коэф]])),
IF((G578="4/4"),((база!$I$5*2*Таблица1[[#This Row],[Столбец1]]*Таблица1[[#This Row],[коэф]])),
IF(OR(G578="2/4",G578="3/4"),((база!$I$4*2*Таблица1[[#This Row],[Столбец1]]*Таблица1[[#This Row],[коэф]])),
IF((G578="5/8"),((база!$J$6*2*Таблица1[[#This Row],[Столбец1]]*Таблица1[[#This Row],[коэф]])),
IF((G578="4/8"),((база!$J$5*2*Таблица1[[#This Row],[Столбец1]]*Таблица1[[#This Row],[коэф]])),
IF(OR(G578="3/8",G578="2/8"),((база!$J$4*2*Таблица1[[#This Row],[Столбец1]]*Таблица1[[#This Row],[коэф]])))))))))))))),
(IF((G578="5/24"),((база!$M$6*2*Таблица1[[#This Row],[Столбец1]]*Таблица1[[#This Row],[коэф]])),
IF(OR(G578="4/24",G578="3/24"),((база!$M$5*2*Таблица1[[#This Row],[Столбец1]]*Таблица1[[#This Row],[коэф]])),
IF((G578="5/16"),((база!$L$6*2*Таблица1[[#This Row],[Столбец1]]*Таблица1[[#This Row],[коэф]])),
IF(OR(G578="4/16",G578="3/16"),((база!$L$5*2*Таблица1[[#This Row],[Столбец1]]*Таблица1[[#This Row],[коэф]])),
IF(OR(G578="2/4",G578="3/4",G578="4/4"),((база!$I$5*2*Таблица1[[#This Row],[Столбец1]]*Таблица1[[#This Row],[коэф]])),
IF((G578="5/8"),((база!$J$6*2*Таблица1[[#This Row],[Столбец1]]*Таблица1[[#This Row],[коэф]])),
IF(OR(G578="4/8",G578="3/8",G578="2/8"),((база!$J$5*2*Таблица1[[#This Row],[Столбец1]]*Таблица1[[#This Row],[коэф]])))))))))))</f>
        <v>0</v>
      </c>
      <c r="AQ578" s="678" t="str">
        <f>IFERROR(INDEX(база!T:T, MATCH(F578,база!Q:Q,0)),"")</f>
        <v/>
      </c>
      <c r="AR578" s="193">
        <f>IFERROR(INDEX(база!D:D, MATCH(F578,база!B:B,0)),"")</f>
        <v>0</v>
      </c>
    </row>
    <row r="579" spans="1:44" ht="15">
      <c r="A579" s="59"/>
      <c r="B579" s="215"/>
      <c r="C579" s="54"/>
      <c r="D579" s="55"/>
      <c r="E579" s="196"/>
      <c r="F579" s="651"/>
      <c r="G579" s="42"/>
      <c r="H579" s="539"/>
      <c r="I579" s="539"/>
      <c r="J579" s="539"/>
      <c r="K579" s="539"/>
      <c r="L579" s="539"/>
      <c r="M579" s="539"/>
      <c r="N579" s="539"/>
      <c r="O579" s="539"/>
      <c r="P579" s="278"/>
      <c r="Q579" s="539"/>
      <c r="R579" s="539"/>
      <c r="S579" s="539"/>
      <c r="T579" s="539"/>
      <c r="U579" s="539"/>
      <c r="V579" s="539"/>
      <c r="W579" s="539"/>
      <c r="X579" s="539"/>
      <c r="Y579" s="539"/>
      <c r="Z579" s="539"/>
      <c r="AA579" s="539"/>
      <c r="AB579" s="539"/>
      <c r="AC579" s="539"/>
      <c r="AD579" s="43"/>
      <c r="AE579" s="43"/>
      <c r="AF579" s="238"/>
      <c r="AG579" s="43"/>
      <c r="AH579" s="43"/>
      <c r="AI579" s="238"/>
      <c r="AJ579" s="238"/>
      <c r="AK579" s="238"/>
      <c r="AL579" s="238"/>
      <c r="AM579" s="197">
        <f>IF(AQ579=1,SUM(H579:I579,L579:O579,R579:U579,X579:AA579,AD579:AG579,AI579:AK579),
IF(AQ579=2,SUM(H579:K579,N579:Q579,T579:W579,Z579:AC579,AF579:AI579),
IF(AQ579=3,SUM(J579:M579,P579:S579,V579:Y579,AB579:AE579,AH579:AK579),SUM(Таблица1[[#This Row],[1]:[31]])-Таблица1[[#This Row],[Столбец1]])))</f>
        <v>0</v>
      </c>
      <c r="AN579" s="269">
        <f t="array" ref="AN579">IF(AQ579=1,SUM(J579:K579,P579:Q579,V579:W579,AB579:AC579,AH579:AI579),
IF(AQ579=2,SUM(L579:M579,R579:S579,X579:Y579,AD579:AE579),
IF(AQ579=3,SUM(H579:I579,N579:O579,T579:U579,Z579:AA579,AF579:AG579),
SUM(IFERROR(WEEKDAY($H$2:$AL$2,2)&gt;5,)*H579:AL579))))</f>
        <v>0</v>
      </c>
      <c r="AO579" s="271" t="b">
        <f>IF(AR579&lt;=3,(IF((G579="5/24"),((база!$M$6*Таблица1[[#This Row],[сумма]]*Таблица1[[#This Row],[коэф]])),
IF((G579="4/24"),((база!$M$5*Таблица1[[#This Row],[сумма]]*Таблица1[[#This Row],[коэф]])),
IF((G579="3/24"),((база!$M$4*Таблица1[[#This Row],[сумма]]*Таблица1[[#This Row],[коэф]])),
IF((G579="5/16"),((база!$L$6*Таблица1[[#This Row],[сумма]]*Таблица1[[#This Row],[коэф]])),
IF((G579="4/16"),((база!$L$5*Таблица1[[#This Row],[сумма]]*Таблица1[[#This Row],[коэф]])),
IF((G579="3/16"),((база!$L$4*Таблица1[[#This Row],[сумма]]*Таблица1[[#This Row],[коэф]])),
IF((G579="4/4"),((база!$I$5*Таблица1[[#This Row],[сумма]]*Таблица1[[#This Row],[коэф]])),
IF(OR(G579="2/4",G579="3/4"),((база!$I$4*Таблица1[[#This Row],[сумма]]*Таблица1[[#This Row],[коэф]])),
IF((G579="5/8"),((база!$J$6*Таблица1[[#This Row],[сумма]]*Таблица1[[#This Row],[коэф]])),
IF((G579="4/8"),((база!$J$5*Таблица1[[#This Row],[сумма]]*Таблица1[[#This Row],[коэф]])),
IF(OR(G579="3/8",G579="2/8"),((база!$J$4*Таблица1[[#This Row],[сумма]]*Таблица1[[#This Row],[коэф]])))))))))))))),
(IF((G579="5/24"),((база!$M$6*Таблица1[[#This Row],[сумма]]*Таблица1[[#This Row],[коэф]])),
IF(OR(G579="4/24",G579="3/24"),((база!$M$5*Таблица1[[#This Row],[сумма]]*Таблица1[[#This Row],[коэф]])),
IF((G579="5/16"),((база!$L$6*Таблица1[[#This Row],[сумма]]*Таблица1[[#This Row],[коэф]])),
IF(OR(G579="4/16",G579="3/16"),((база!$L$5*Таблица1[[#This Row],[сумма]]*Таблица1[[#This Row],[коэф]])),
IF(OR(G579="2/4",G579="3/4",G579="4/4"),((база!$I$5*Таблица1[[#This Row],[сумма]]*Таблица1[[#This Row],[коэф]])),
IF((G579="5/8"),((база!$J$6*Таблица1[[#This Row],[сумма]]*Таблица1[[#This Row],[коэф]])),
IF(OR(G579="4/8",G579="3/8",G579="2/8"),((база!$J$5*Таблица1[[#This Row],[сумма]]*Таблица1[[#This Row],[коэф]])))))))))))</f>
        <v>0</v>
      </c>
      <c r="AP579" s="696" t="b">
        <f>IF(AR579&lt;=3,(IF((G579="5/24"),((база!$M$6*2*Таблица1[[#This Row],[Столбец1]]*Таблица1[[#This Row],[коэф]])),
IF((G579="4/24"),((база!$M$5*2*Таблица1[[#This Row],[Столбец1]]*Таблица1[[#This Row],[коэф]])),
IF((G579="3/24"),((база!$M$4*2*Таблица1[[#This Row],[Столбец1]]*Таблица1[[#This Row],[коэф]])),
IF((G579="5/16"),((база!$L$6*2*Таблица1[[#This Row],[Столбец1]]*Таблица1[[#This Row],[коэф]])),
IF((G579="4/16"),((база!$L$5*2*Таблица1[[#This Row],[Столбец1]]*Таблица1[[#This Row],[коэф]])),
IF((G579="3/16"),((база!$L$4*2*Таблица1[[#This Row],[Столбец1]]*Таблица1[[#This Row],[коэф]])),
IF((G579="4/4"),((база!$I$5*2*Таблица1[[#This Row],[Столбец1]]*Таблица1[[#This Row],[коэф]])),
IF(OR(G579="2/4",G579="3/4"),((база!$I$4*2*Таблица1[[#This Row],[Столбец1]]*Таблица1[[#This Row],[коэф]])),
IF((G579="5/8"),((база!$J$6*2*Таблица1[[#This Row],[Столбец1]]*Таблица1[[#This Row],[коэф]])),
IF((G579="4/8"),((база!$J$5*2*Таблица1[[#This Row],[Столбец1]]*Таблица1[[#This Row],[коэф]])),
IF(OR(G579="3/8",G579="2/8"),((база!$J$4*2*Таблица1[[#This Row],[Столбец1]]*Таблица1[[#This Row],[коэф]])))))))))))))),
(IF((G579="5/24"),((база!$M$6*2*Таблица1[[#This Row],[Столбец1]]*Таблица1[[#This Row],[коэф]])),
IF(OR(G579="4/24",G579="3/24"),((база!$M$5*2*Таблица1[[#This Row],[Столбец1]]*Таблица1[[#This Row],[коэф]])),
IF((G579="5/16"),((база!$L$6*2*Таблица1[[#This Row],[Столбец1]]*Таблица1[[#This Row],[коэф]])),
IF(OR(G579="4/16",G579="3/16"),((база!$L$5*2*Таблица1[[#This Row],[Столбец1]]*Таблица1[[#This Row],[коэф]])),
IF(OR(G579="2/4",G579="3/4",G579="4/4"),((база!$I$5*2*Таблица1[[#This Row],[Столбец1]]*Таблица1[[#This Row],[коэф]])),
IF((G579="5/8"),((база!$J$6*2*Таблица1[[#This Row],[Столбец1]]*Таблица1[[#This Row],[коэф]])),
IF(OR(G579="4/8",G579="3/8",G579="2/8"),((база!$J$5*2*Таблица1[[#This Row],[Столбец1]]*Таблица1[[#This Row],[коэф]])))))))))))</f>
        <v>0</v>
      </c>
      <c r="AQ579" s="678" t="str">
        <f>IFERROR(INDEX(база!T:T, MATCH(F579,база!Q:Q,0)),"")</f>
        <v/>
      </c>
      <c r="AR579" s="193">
        <f>IFERROR(INDEX(база!D:D, MATCH(F579,база!B:B,0)),"")</f>
        <v>0</v>
      </c>
    </row>
    <row r="580" spans="1:44" ht="15">
      <c r="A580" s="59"/>
      <c r="B580" s="215"/>
      <c r="C580" s="277"/>
      <c r="D580" s="55"/>
      <c r="E580" s="196"/>
      <c r="F580" s="651"/>
      <c r="G580" s="42"/>
      <c r="H580" s="539"/>
      <c r="I580" s="539"/>
      <c r="J580" s="539"/>
      <c r="K580" s="539"/>
      <c r="L580" s="539"/>
      <c r="M580" s="539"/>
      <c r="N580" s="539"/>
      <c r="O580" s="539"/>
      <c r="P580" s="278"/>
      <c r="Q580" s="539"/>
      <c r="R580" s="539"/>
      <c r="S580" s="539"/>
      <c r="T580" s="539"/>
      <c r="U580" s="539"/>
      <c r="V580" s="539"/>
      <c r="W580" s="539"/>
      <c r="X580" s="539"/>
      <c r="Y580" s="539"/>
      <c r="Z580" s="539"/>
      <c r="AA580" s="539"/>
      <c r="AB580" s="539"/>
      <c r="AC580" s="539"/>
      <c r="AD580" s="43"/>
      <c r="AE580" s="43"/>
      <c r="AF580" s="238"/>
      <c r="AG580" s="43"/>
      <c r="AH580" s="43"/>
      <c r="AI580" s="43"/>
      <c r="AJ580" s="43"/>
      <c r="AK580" s="43"/>
      <c r="AL580" s="45"/>
      <c r="AM580" s="197">
        <f>IF(AQ580=1,SUM(H580:I580,L580:O580,R580:U580,X580:AA580,AD580:AG580,AI580:AK580),
IF(AQ580=2,SUM(H580:K580,N580:Q580,T580:W580,Z580:AC580,AF580:AI580),
IF(AQ580=3,SUM(J580:M580,P580:S580,V580:Y580,AB580:AE580,AH580:AK580),SUM(Таблица1[[#This Row],[1]:[31]])-Таблица1[[#This Row],[Столбец1]])))</f>
        <v>0</v>
      </c>
      <c r="AN580" s="269">
        <f t="array" ref="AN580">IF(AQ580=1,SUM(J580:K580,P580:Q580,V580:W580,AB580:AC580,AH580:AI580),
IF(AQ580=2,SUM(L580:M580,R580:S580,X580:Y580,AD580:AE580),
IF(AQ580=3,SUM(H580:I580,N580:O580,T580:U580,Z580:AA580,AF580:AG580),
SUM(IFERROR(WEEKDAY($H$2:$AL$2,2)&gt;5,)*H580:AL580))))</f>
        <v>0</v>
      </c>
      <c r="AO580" s="271" t="b">
        <f>IF(AR580&lt;=3,(IF((G580="5/24"),((база!$M$6*Таблица1[[#This Row],[сумма]]*Таблица1[[#This Row],[коэф]])),
IF((G580="4/24"),((база!$M$5*Таблица1[[#This Row],[сумма]]*Таблица1[[#This Row],[коэф]])),
IF((G580="3/24"),((база!$M$4*Таблица1[[#This Row],[сумма]]*Таблица1[[#This Row],[коэф]])),
IF((G580="5/16"),((база!$L$6*Таблица1[[#This Row],[сумма]]*Таблица1[[#This Row],[коэф]])),
IF((G580="4/16"),((база!$L$5*Таблица1[[#This Row],[сумма]]*Таблица1[[#This Row],[коэф]])),
IF((G580="3/16"),((база!$L$4*Таблица1[[#This Row],[сумма]]*Таблица1[[#This Row],[коэф]])),
IF((G580="4/4"),((база!$I$5*Таблица1[[#This Row],[сумма]]*Таблица1[[#This Row],[коэф]])),
IF(OR(G580="2/4",G580="3/4"),((база!$I$4*Таблица1[[#This Row],[сумма]]*Таблица1[[#This Row],[коэф]])),
IF((G580="5/8"),((база!$J$6*Таблица1[[#This Row],[сумма]]*Таблица1[[#This Row],[коэф]])),
IF((G580="4/8"),((база!$J$5*Таблица1[[#This Row],[сумма]]*Таблица1[[#This Row],[коэф]])),
IF(OR(G580="3/8",G580="2/8"),((база!$J$4*Таблица1[[#This Row],[сумма]]*Таблица1[[#This Row],[коэф]])))))))))))))),
(IF((G580="5/24"),((база!$M$6*Таблица1[[#This Row],[сумма]]*Таблица1[[#This Row],[коэф]])),
IF(OR(G580="4/24",G580="3/24"),((база!$M$5*Таблица1[[#This Row],[сумма]]*Таблица1[[#This Row],[коэф]])),
IF((G580="5/16"),((база!$L$6*Таблица1[[#This Row],[сумма]]*Таблица1[[#This Row],[коэф]])),
IF(OR(G580="4/16",G580="3/16"),((база!$L$5*Таблица1[[#This Row],[сумма]]*Таблица1[[#This Row],[коэф]])),
IF(OR(G580="2/4",G580="3/4",G580="4/4"),((база!$I$5*Таблица1[[#This Row],[сумма]]*Таблица1[[#This Row],[коэф]])),
IF((G580="5/8"),((база!$J$6*Таблица1[[#This Row],[сумма]]*Таблица1[[#This Row],[коэф]])),
IF(OR(G580="4/8",G580="3/8",G580="2/8"),((база!$J$5*Таблица1[[#This Row],[сумма]]*Таблица1[[#This Row],[коэф]])))))))))))</f>
        <v>0</v>
      </c>
      <c r="AP580" s="696" t="b">
        <f>IF(AR580&lt;=3,(IF((G580="5/24"),((база!$M$6*2*Таблица1[[#This Row],[Столбец1]]*Таблица1[[#This Row],[коэф]])),
IF((G580="4/24"),((база!$M$5*2*Таблица1[[#This Row],[Столбец1]]*Таблица1[[#This Row],[коэф]])),
IF((G580="3/24"),((база!$M$4*2*Таблица1[[#This Row],[Столбец1]]*Таблица1[[#This Row],[коэф]])),
IF((G580="5/16"),((база!$L$6*2*Таблица1[[#This Row],[Столбец1]]*Таблица1[[#This Row],[коэф]])),
IF((G580="4/16"),((база!$L$5*2*Таблица1[[#This Row],[Столбец1]]*Таблица1[[#This Row],[коэф]])),
IF((G580="3/16"),((база!$L$4*2*Таблица1[[#This Row],[Столбец1]]*Таблица1[[#This Row],[коэф]])),
IF((G580="4/4"),((база!$I$5*2*Таблица1[[#This Row],[Столбец1]]*Таблица1[[#This Row],[коэф]])),
IF(OR(G580="2/4",G580="3/4"),((база!$I$4*2*Таблица1[[#This Row],[Столбец1]]*Таблица1[[#This Row],[коэф]])),
IF((G580="5/8"),((база!$J$6*2*Таблица1[[#This Row],[Столбец1]]*Таблица1[[#This Row],[коэф]])),
IF((G580="4/8"),((база!$J$5*2*Таблица1[[#This Row],[Столбец1]]*Таблица1[[#This Row],[коэф]])),
IF(OR(G580="3/8",G580="2/8"),((база!$J$4*2*Таблица1[[#This Row],[Столбец1]]*Таблица1[[#This Row],[коэф]])))))))))))))),
(IF((G580="5/24"),((база!$M$6*2*Таблица1[[#This Row],[Столбец1]]*Таблица1[[#This Row],[коэф]])),
IF(OR(G580="4/24",G580="3/24"),((база!$M$5*2*Таблица1[[#This Row],[Столбец1]]*Таблица1[[#This Row],[коэф]])),
IF((G580="5/16"),((база!$L$6*2*Таблица1[[#This Row],[Столбец1]]*Таблица1[[#This Row],[коэф]])),
IF(OR(G580="4/16",G580="3/16"),((база!$L$5*2*Таблица1[[#This Row],[Столбец1]]*Таблица1[[#This Row],[коэф]])),
IF(OR(G580="2/4",G580="3/4",G580="4/4"),((база!$I$5*2*Таблица1[[#This Row],[Столбец1]]*Таблица1[[#This Row],[коэф]])),
IF((G580="5/8"),((база!$J$6*2*Таблица1[[#This Row],[Столбец1]]*Таблица1[[#This Row],[коэф]])),
IF(OR(G580="4/8",G580="3/8",G580="2/8"),((база!$J$5*2*Таблица1[[#This Row],[Столбец1]]*Таблица1[[#This Row],[коэф]])))))))))))</f>
        <v>0</v>
      </c>
      <c r="AQ580" s="678" t="str">
        <f>IFERROR(INDEX(база!T:T, MATCH(F580,база!Q:Q,0)),"")</f>
        <v/>
      </c>
      <c r="AR580" s="193">
        <f>IFERROR(INDEX(база!D:D, MATCH(F580,база!B:B,0)),"")</f>
        <v>0</v>
      </c>
    </row>
    <row r="581" spans="1:44" ht="15">
      <c r="A581" s="59"/>
      <c r="B581" s="215"/>
      <c r="C581" s="277"/>
      <c r="D581" s="55"/>
      <c r="E581" s="196"/>
      <c r="F581" s="651"/>
      <c r="G581" s="42"/>
      <c r="H581" s="539"/>
      <c r="I581" s="539"/>
      <c r="J581" s="539"/>
      <c r="K581" s="539"/>
      <c r="L581" s="539"/>
      <c r="M581" s="539"/>
      <c r="N581" s="539"/>
      <c r="O581" s="539"/>
      <c r="P581" s="278"/>
      <c r="Q581" s="539"/>
      <c r="R581" s="539"/>
      <c r="S581" s="539"/>
      <c r="T581" s="539"/>
      <c r="U581" s="539"/>
      <c r="V581" s="539"/>
      <c r="W581" s="539"/>
      <c r="X581" s="539"/>
      <c r="Y581" s="539"/>
      <c r="Z581" s="539"/>
      <c r="AA581" s="539"/>
      <c r="AB581" s="539"/>
      <c r="AC581" s="539"/>
      <c r="AD581" s="43"/>
      <c r="AE581" s="43"/>
      <c r="AF581" s="238"/>
      <c r="AG581" s="43"/>
      <c r="AH581" s="43"/>
      <c r="AI581" s="238"/>
      <c r="AJ581" s="238"/>
      <c r="AK581" s="238"/>
      <c r="AL581" s="238"/>
      <c r="AM581" s="197">
        <f>IF(AQ581=1,SUM(H581:I581,L581:O581,R581:U581,X581:AA581,AD581:AG581,AI581:AK581),
IF(AQ581=2,SUM(H581:K581,N581:Q581,T581:W581,Z581:AC581,AF581:AI581),
IF(AQ581=3,SUM(J581:M581,P581:S581,V581:Y581,AB581:AE581,AH581:AK581),SUM(Таблица1[[#This Row],[1]:[31]])-Таблица1[[#This Row],[Столбец1]])))</f>
        <v>0</v>
      </c>
      <c r="AN581" s="269">
        <f t="array" ref="AN581">IF(AQ581=1,SUM(J581:K581,P581:Q581,V581:W581,AB581:AC581,AH581:AI581),
IF(AQ581=2,SUM(L581:M581,R581:S581,X581:Y581,AD581:AE581),
IF(AQ581=3,SUM(H581:I581,N581:O581,T581:U581,Z581:AA581,AF581:AG581),
SUM(IFERROR(WEEKDAY($H$2:$AL$2,2)&gt;5,)*H581:AL581))))</f>
        <v>0</v>
      </c>
      <c r="AO581" s="271" t="b">
        <f>IF(AR581&lt;=3,(IF((G581="5/24"),((база!$M$6*Таблица1[[#This Row],[сумма]]*Таблица1[[#This Row],[коэф]])),
IF((G581="4/24"),((база!$M$5*Таблица1[[#This Row],[сумма]]*Таблица1[[#This Row],[коэф]])),
IF((G581="3/24"),((база!$M$4*Таблица1[[#This Row],[сумма]]*Таблица1[[#This Row],[коэф]])),
IF((G581="5/16"),((база!$L$6*Таблица1[[#This Row],[сумма]]*Таблица1[[#This Row],[коэф]])),
IF((G581="4/16"),((база!$L$5*Таблица1[[#This Row],[сумма]]*Таблица1[[#This Row],[коэф]])),
IF((G581="3/16"),((база!$L$4*Таблица1[[#This Row],[сумма]]*Таблица1[[#This Row],[коэф]])),
IF((G581="4/4"),((база!$I$5*Таблица1[[#This Row],[сумма]]*Таблица1[[#This Row],[коэф]])),
IF(OR(G581="2/4",G581="3/4"),((база!$I$4*Таблица1[[#This Row],[сумма]]*Таблица1[[#This Row],[коэф]])),
IF((G581="5/8"),((база!$J$6*Таблица1[[#This Row],[сумма]]*Таблица1[[#This Row],[коэф]])),
IF((G581="4/8"),((база!$J$5*Таблица1[[#This Row],[сумма]]*Таблица1[[#This Row],[коэф]])),
IF(OR(G581="3/8",G581="2/8"),((база!$J$4*Таблица1[[#This Row],[сумма]]*Таблица1[[#This Row],[коэф]])))))))))))))),
(IF((G581="5/24"),((база!$M$6*Таблица1[[#This Row],[сумма]]*Таблица1[[#This Row],[коэф]])),
IF(OR(G581="4/24",G581="3/24"),((база!$M$5*Таблица1[[#This Row],[сумма]]*Таблица1[[#This Row],[коэф]])),
IF((G581="5/16"),((база!$L$6*Таблица1[[#This Row],[сумма]]*Таблица1[[#This Row],[коэф]])),
IF(OR(G581="4/16",G581="3/16"),((база!$L$5*Таблица1[[#This Row],[сумма]]*Таблица1[[#This Row],[коэф]])),
IF(OR(G581="2/4",G581="3/4",G581="4/4"),((база!$I$5*Таблица1[[#This Row],[сумма]]*Таблица1[[#This Row],[коэф]])),
IF((G581="5/8"),((база!$J$6*Таблица1[[#This Row],[сумма]]*Таблица1[[#This Row],[коэф]])),
IF(OR(G581="4/8",G581="3/8",G581="2/8"),((база!$J$5*Таблица1[[#This Row],[сумма]]*Таблица1[[#This Row],[коэф]])))))))))))</f>
        <v>0</v>
      </c>
      <c r="AP581" s="696" t="b">
        <f>IF(AR581&lt;=3,(IF((G581="5/24"),((база!$M$6*2*Таблица1[[#This Row],[Столбец1]]*Таблица1[[#This Row],[коэф]])),
IF((G581="4/24"),((база!$M$5*2*Таблица1[[#This Row],[Столбец1]]*Таблица1[[#This Row],[коэф]])),
IF((G581="3/24"),((база!$M$4*2*Таблица1[[#This Row],[Столбец1]]*Таблица1[[#This Row],[коэф]])),
IF((G581="5/16"),((база!$L$6*2*Таблица1[[#This Row],[Столбец1]]*Таблица1[[#This Row],[коэф]])),
IF((G581="4/16"),((база!$L$5*2*Таблица1[[#This Row],[Столбец1]]*Таблица1[[#This Row],[коэф]])),
IF((G581="3/16"),((база!$L$4*2*Таблица1[[#This Row],[Столбец1]]*Таблица1[[#This Row],[коэф]])),
IF((G581="4/4"),((база!$I$5*2*Таблица1[[#This Row],[Столбец1]]*Таблица1[[#This Row],[коэф]])),
IF(OR(G581="2/4",G581="3/4"),((база!$I$4*2*Таблица1[[#This Row],[Столбец1]]*Таблица1[[#This Row],[коэф]])),
IF((G581="5/8"),((база!$J$6*2*Таблица1[[#This Row],[Столбец1]]*Таблица1[[#This Row],[коэф]])),
IF((G581="4/8"),((база!$J$5*2*Таблица1[[#This Row],[Столбец1]]*Таблица1[[#This Row],[коэф]])),
IF(OR(G581="3/8",G581="2/8"),((база!$J$4*2*Таблица1[[#This Row],[Столбец1]]*Таблица1[[#This Row],[коэф]])))))))))))))),
(IF((G581="5/24"),((база!$M$6*2*Таблица1[[#This Row],[Столбец1]]*Таблица1[[#This Row],[коэф]])),
IF(OR(G581="4/24",G581="3/24"),((база!$M$5*2*Таблица1[[#This Row],[Столбец1]]*Таблица1[[#This Row],[коэф]])),
IF((G581="5/16"),((база!$L$6*2*Таблица1[[#This Row],[Столбец1]]*Таблица1[[#This Row],[коэф]])),
IF(OR(G581="4/16",G581="3/16"),((база!$L$5*2*Таблица1[[#This Row],[Столбец1]]*Таблица1[[#This Row],[коэф]])),
IF(OR(G581="2/4",G581="3/4",G581="4/4"),((база!$I$5*2*Таблица1[[#This Row],[Столбец1]]*Таблица1[[#This Row],[коэф]])),
IF((G581="5/8"),((база!$J$6*2*Таблица1[[#This Row],[Столбец1]]*Таблица1[[#This Row],[коэф]])),
IF(OR(G581="4/8",G581="3/8",G581="2/8"),((база!$J$5*2*Таблица1[[#This Row],[Столбец1]]*Таблица1[[#This Row],[коэф]])))))))))))</f>
        <v>0</v>
      </c>
      <c r="AQ581" s="678" t="str">
        <f>IFERROR(INDEX(база!T:T, MATCH(F581,база!Q:Q,0)),"")</f>
        <v/>
      </c>
      <c r="AR581" s="193">
        <f>IFERROR(INDEX(база!D:D, MATCH(F581,база!B:B,0)),"")</f>
        <v>0</v>
      </c>
    </row>
    <row r="582" spans="1:44" ht="15">
      <c r="A582" s="59"/>
      <c r="B582" s="215"/>
      <c r="C582" s="277"/>
      <c r="D582" s="55"/>
      <c r="E582" s="196"/>
      <c r="F582" s="651"/>
      <c r="G582" s="42"/>
      <c r="H582" s="539"/>
      <c r="I582" s="539"/>
      <c r="J582" s="539"/>
      <c r="K582" s="539"/>
      <c r="L582" s="539"/>
      <c r="M582" s="539"/>
      <c r="N582" s="539"/>
      <c r="O582" s="539"/>
      <c r="P582" s="278"/>
      <c r="Q582" s="539"/>
      <c r="R582" s="539"/>
      <c r="S582" s="539"/>
      <c r="T582" s="539"/>
      <c r="U582" s="539"/>
      <c r="V582" s="539"/>
      <c r="W582" s="539"/>
      <c r="X582" s="539"/>
      <c r="Y582" s="539"/>
      <c r="Z582" s="539"/>
      <c r="AA582" s="539"/>
      <c r="AB582" s="539"/>
      <c r="AC582" s="539"/>
      <c r="AD582" s="43"/>
      <c r="AE582" s="43"/>
      <c r="AF582" s="238"/>
      <c r="AG582" s="43"/>
      <c r="AH582" s="43"/>
      <c r="AI582" s="43"/>
      <c r="AJ582" s="43"/>
      <c r="AK582" s="43"/>
      <c r="AL582" s="45"/>
      <c r="AM582" s="197">
        <f>IF(AQ582=1,SUM(H582:I582,L582:O582,R582:U582,X582:AA582,AD582:AG582,AI582:AK582),
IF(AQ582=2,SUM(H582:K582,N582:Q582,T582:W582,Z582:AC582,AF582:AI582),
IF(AQ582=3,SUM(J582:M582,P582:S582,V582:Y582,AB582:AE582,AH582:AK582),SUM(Таблица1[[#This Row],[1]:[31]])-Таблица1[[#This Row],[Столбец1]])))</f>
        <v>0</v>
      </c>
      <c r="AN582" s="269">
        <f t="array" ref="AN582">IF(AQ582=1,SUM(J582:K582,P582:Q582,V582:W582,AB582:AC582,AH582:AI582),
IF(AQ582=2,SUM(L582:M582,R582:S582,X582:Y582,AD582:AE582),
IF(AQ582=3,SUM(H582:I582,N582:O582,T582:U582,Z582:AA582,AF582:AG582),
SUM(IFERROR(WEEKDAY($H$2:$AL$2,2)&gt;5,)*H582:AL582))))</f>
        <v>0</v>
      </c>
      <c r="AO582" s="271" t="b">
        <f>IF(AR582&lt;=3,(IF((G582="5/24"),((база!$M$6*Таблица1[[#This Row],[сумма]]*Таблица1[[#This Row],[коэф]])),
IF((G582="4/24"),((база!$M$5*Таблица1[[#This Row],[сумма]]*Таблица1[[#This Row],[коэф]])),
IF((G582="3/24"),((база!$M$4*Таблица1[[#This Row],[сумма]]*Таблица1[[#This Row],[коэф]])),
IF((G582="5/16"),((база!$L$6*Таблица1[[#This Row],[сумма]]*Таблица1[[#This Row],[коэф]])),
IF((G582="4/16"),((база!$L$5*Таблица1[[#This Row],[сумма]]*Таблица1[[#This Row],[коэф]])),
IF((G582="3/16"),((база!$L$4*Таблица1[[#This Row],[сумма]]*Таблица1[[#This Row],[коэф]])),
IF((G582="4/4"),((база!$I$5*Таблица1[[#This Row],[сумма]]*Таблица1[[#This Row],[коэф]])),
IF(OR(G582="2/4",G582="3/4"),((база!$I$4*Таблица1[[#This Row],[сумма]]*Таблица1[[#This Row],[коэф]])),
IF((G582="5/8"),((база!$J$6*Таблица1[[#This Row],[сумма]]*Таблица1[[#This Row],[коэф]])),
IF((G582="4/8"),((база!$J$5*Таблица1[[#This Row],[сумма]]*Таблица1[[#This Row],[коэф]])),
IF(OR(G582="3/8",G582="2/8"),((база!$J$4*Таблица1[[#This Row],[сумма]]*Таблица1[[#This Row],[коэф]])))))))))))))),
(IF((G582="5/24"),((база!$M$6*Таблица1[[#This Row],[сумма]]*Таблица1[[#This Row],[коэф]])),
IF(OR(G582="4/24",G582="3/24"),((база!$M$5*Таблица1[[#This Row],[сумма]]*Таблица1[[#This Row],[коэф]])),
IF((G582="5/16"),((база!$L$6*Таблица1[[#This Row],[сумма]]*Таблица1[[#This Row],[коэф]])),
IF(OR(G582="4/16",G582="3/16"),((база!$L$5*Таблица1[[#This Row],[сумма]]*Таблица1[[#This Row],[коэф]])),
IF(OR(G582="2/4",G582="3/4",G582="4/4"),((база!$I$5*Таблица1[[#This Row],[сумма]]*Таблица1[[#This Row],[коэф]])),
IF((G582="5/8"),((база!$J$6*Таблица1[[#This Row],[сумма]]*Таблица1[[#This Row],[коэф]])),
IF(OR(G582="4/8",G582="3/8",G582="2/8"),((база!$J$5*Таблица1[[#This Row],[сумма]]*Таблица1[[#This Row],[коэф]])))))))))))</f>
        <v>0</v>
      </c>
      <c r="AP582" s="696" t="b">
        <f>IF(AR582&lt;=3,(IF((G582="5/24"),((база!$M$6*2*Таблица1[[#This Row],[Столбец1]]*Таблица1[[#This Row],[коэф]])),
IF((G582="4/24"),((база!$M$5*2*Таблица1[[#This Row],[Столбец1]]*Таблица1[[#This Row],[коэф]])),
IF((G582="3/24"),((база!$M$4*2*Таблица1[[#This Row],[Столбец1]]*Таблица1[[#This Row],[коэф]])),
IF((G582="5/16"),((база!$L$6*2*Таблица1[[#This Row],[Столбец1]]*Таблица1[[#This Row],[коэф]])),
IF((G582="4/16"),((база!$L$5*2*Таблица1[[#This Row],[Столбец1]]*Таблица1[[#This Row],[коэф]])),
IF((G582="3/16"),((база!$L$4*2*Таблица1[[#This Row],[Столбец1]]*Таблица1[[#This Row],[коэф]])),
IF((G582="4/4"),((база!$I$5*2*Таблица1[[#This Row],[Столбец1]]*Таблица1[[#This Row],[коэф]])),
IF(OR(G582="2/4",G582="3/4"),((база!$I$4*2*Таблица1[[#This Row],[Столбец1]]*Таблица1[[#This Row],[коэф]])),
IF((G582="5/8"),((база!$J$6*2*Таблица1[[#This Row],[Столбец1]]*Таблица1[[#This Row],[коэф]])),
IF((G582="4/8"),((база!$J$5*2*Таблица1[[#This Row],[Столбец1]]*Таблица1[[#This Row],[коэф]])),
IF(OR(G582="3/8",G582="2/8"),((база!$J$4*2*Таблица1[[#This Row],[Столбец1]]*Таблица1[[#This Row],[коэф]])))))))))))))),
(IF((G582="5/24"),((база!$M$6*2*Таблица1[[#This Row],[Столбец1]]*Таблица1[[#This Row],[коэф]])),
IF(OR(G582="4/24",G582="3/24"),((база!$M$5*2*Таблица1[[#This Row],[Столбец1]]*Таблица1[[#This Row],[коэф]])),
IF((G582="5/16"),((база!$L$6*2*Таблица1[[#This Row],[Столбец1]]*Таблица1[[#This Row],[коэф]])),
IF(OR(G582="4/16",G582="3/16"),((база!$L$5*2*Таблица1[[#This Row],[Столбец1]]*Таблица1[[#This Row],[коэф]])),
IF(OR(G582="2/4",G582="3/4",G582="4/4"),((база!$I$5*2*Таблица1[[#This Row],[Столбец1]]*Таблица1[[#This Row],[коэф]])),
IF((G582="5/8"),((база!$J$6*2*Таблица1[[#This Row],[Столбец1]]*Таблица1[[#This Row],[коэф]])),
IF(OR(G582="4/8",G582="3/8",G582="2/8"),((база!$J$5*2*Таблица1[[#This Row],[Столбец1]]*Таблица1[[#This Row],[коэф]])))))))))))</f>
        <v>0</v>
      </c>
      <c r="AQ582" s="678" t="str">
        <f>IFERROR(INDEX(база!T:T, MATCH(F582,база!Q:Q,0)),"")</f>
        <v/>
      </c>
      <c r="AR582" s="193">
        <f>IFERROR(INDEX(база!D:D, MATCH(F582,база!B:B,0)),"")</f>
        <v>0</v>
      </c>
    </row>
    <row r="583" spans="1:44" ht="15">
      <c r="A583" s="59"/>
      <c r="B583" s="215"/>
      <c r="C583" s="277"/>
      <c r="D583" s="55"/>
      <c r="E583" s="196"/>
      <c r="F583" s="651"/>
      <c r="G583" s="42"/>
      <c r="H583" s="539"/>
      <c r="I583" s="539"/>
      <c r="J583" s="539"/>
      <c r="K583" s="539"/>
      <c r="L583" s="539"/>
      <c r="M583" s="539"/>
      <c r="N583" s="539"/>
      <c r="O583" s="539"/>
      <c r="P583" s="278"/>
      <c r="Q583" s="539"/>
      <c r="R583" s="539"/>
      <c r="S583" s="539"/>
      <c r="T583" s="539"/>
      <c r="U583" s="539"/>
      <c r="V583" s="539"/>
      <c r="W583" s="539"/>
      <c r="X583" s="539"/>
      <c r="Y583" s="539"/>
      <c r="Z583" s="539"/>
      <c r="AA583" s="539"/>
      <c r="AB583" s="539"/>
      <c r="AC583" s="539"/>
      <c r="AD583" s="43"/>
      <c r="AE583" s="43"/>
      <c r="AF583" s="238"/>
      <c r="AG583" s="43"/>
      <c r="AH583" s="43"/>
      <c r="AI583" s="238"/>
      <c r="AJ583" s="238"/>
      <c r="AK583" s="238"/>
      <c r="AL583" s="238"/>
      <c r="AM583" s="197">
        <f>IF(AQ583=1,SUM(H583:I583,L583:O583,R583:U583,X583:AA583,AD583:AG583,AI583:AK583),
IF(AQ583=2,SUM(H583:K583,N583:Q583,T583:W583,Z583:AC583,AF583:AI583),
IF(AQ583=3,SUM(J583:M583,P583:S583,V583:Y583,AB583:AE583,AH583:AK583),SUM(Таблица1[[#This Row],[1]:[31]])-Таблица1[[#This Row],[Столбец1]])))</f>
        <v>0</v>
      </c>
      <c r="AN583" s="269">
        <f t="array" ref="AN583">IF(AQ583=1,SUM(J583:K583,P583:Q583,V583:W583,AB583:AC583,AH583:AI583),
IF(AQ583=2,SUM(L583:M583,R583:S583,X583:Y583,AD583:AE583),
IF(AQ583=3,SUM(H583:I583,N583:O583,T583:U583,Z583:AA583,AF583:AG583),
SUM(IFERROR(WEEKDAY($H$2:$AL$2,2)&gt;5,)*H583:AL583))))</f>
        <v>0</v>
      </c>
      <c r="AO583" s="271" t="b">
        <f>IF(AR583&lt;=3,(IF((G583="5/24"),((база!$M$6*Таблица1[[#This Row],[сумма]]*Таблица1[[#This Row],[коэф]])),
IF((G583="4/24"),((база!$M$5*Таблица1[[#This Row],[сумма]]*Таблица1[[#This Row],[коэф]])),
IF((G583="3/24"),((база!$M$4*Таблица1[[#This Row],[сумма]]*Таблица1[[#This Row],[коэф]])),
IF((G583="5/16"),((база!$L$6*Таблица1[[#This Row],[сумма]]*Таблица1[[#This Row],[коэф]])),
IF((G583="4/16"),((база!$L$5*Таблица1[[#This Row],[сумма]]*Таблица1[[#This Row],[коэф]])),
IF((G583="3/16"),((база!$L$4*Таблица1[[#This Row],[сумма]]*Таблица1[[#This Row],[коэф]])),
IF((G583="4/4"),((база!$I$5*Таблица1[[#This Row],[сумма]]*Таблица1[[#This Row],[коэф]])),
IF(OR(G583="2/4",G583="3/4"),((база!$I$4*Таблица1[[#This Row],[сумма]]*Таблица1[[#This Row],[коэф]])),
IF((G583="5/8"),((база!$J$6*Таблица1[[#This Row],[сумма]]*Таблица1[[#This Row],[коэф]])),
IF((G583="4/8"),((база!$J$5*Таблица1[[#This Row],[сумма]]*Таблица1[[#This Row],[коэф]])),
IF(OR(G583="3/8",G583="2/8"),((база!$J$4*Таблица1[[#This Row],[сумма]]*Таблица1[[#This Row],[коэф]])))))))))))))),
(IF((G583="5/24"),((база!$M$6*Таблица1[[#This Row],[сумма]]*Таблица1[[#This Row],[коэф]])),
IF(OR(G583="4/24",G583="3/24"),((база!$M$5*Таблица1[[#This Row],[сумма]]*Таблица1[[#This Row],[коэф]])),
IF((G583="5/16"),((база!$L$6*Таблица1[[#This Row],[сумма]]*Таблица1[[#This Row],[коэф]])),
IF(OR(G583="4/16",G583="3/16"),((база!$L$5*Таблица1[[#This Row],[сумма]]*Таблица1[[#This Row],[коэф]])),
IF(OR(G583="2/4",G583="3/4",G583="4/4"),((база!$I$5*Таблица1[[#This Row],[сумма]]*Таблица1[[#This Row],[коэф]])),
IF((G583="5/8"),((база!$J$6*Таблица1[[#This Row],[сумма]]*Таблица1[[#This Row],[коэф]])),
IF(OR(G583="4/8",G583="3/8",G583="2/8"),((база!$J$5*Таблица1[[#This Row],[сумма]]*Таблица1[[#This Row],[коэф]])))))))))))</f>
        <v>0</v>
      </c>
      <c r="AP583" s="696" t="b">
        <f>IF(AR583&lt;=3,(IF((G583="5/24"),((база!$M$6*2*Таблица1[[#This Row],[Столбец1]]*Таблица1[[#This Row],[коэф]])),
IF((G583="4/24"),((база!$M$5*2*Таблица1[[#This Row],[Столбец1]]*Таблица1[[#This Row],[коэф]])),
IF((G583="3/24"),((база!$M$4*2*Таблица1[[#This Row],[Столбец1]]*Таблица1[[#This Row],[коэф]])),
IF((G583="5/16"),((база!$L$6*2*Таблица1[[#This Row],[Столбец1]]*Таблица1[[#This Row],[коэф]])),
IF((G583="4/16"),((база!$L$5*2*Таблица1[[#This Row],[Столбец1]]*Таблица1[[#This Row],[коэф]])),
IF((G583="3/16"),((база!$L$4*2*Таблица1[[#This Row],[Столбец1]]*Таблица1[[#This Row],[коэф]])),
IF((G583="4/4"),((база!$I$5*2*Таблица1[[#This Row],[Столбец1]]*Таблица1[[#This Row],[коэф]])),
IF(OR(G583="2/4",G583="3/4"),((база!$I$4*2*Таблица1[[#This Row],[Столбец1]]*Таблица1[[#This Row],[коэф]])),
IF((G583="5/8"),((база!$J$6*2*Таблица1[[#This Row],[Столбец1]]*Таблица1[[#This Row],[коэф]])),
IF((G583="4/8"),((база!$J$5*2*Таблица1[[#This Row],[Столбец1]]*Таблица1[[#This Row],[коэф]])),
IF(OR(G583="3/8",G583="2/8"),((база!$J$4*2*Таблица1[[#This Row],[Столбец1]]*Таблица1[[#This Row],[коэф]])))))))))))))),
(IF((G583="5/24"),((база!$M$6*2*Таблица1[[#This Row],[Столбец1]]*Таблица1[[#This Row],[коэф]])),
IF(OR(G583="4/24",G583="3/24"),((база!$M$5*2*Таблица1[[#This Row],[Столбец1]]*Таблица1[[#This Row],[коэф]])),
IF((G583="5/16"),((база!$L$6*2*Таблица1[[#This Row],[Столбец1]]*Таблица1[[#This Row],[коэф]])),
IF(OR(G583="4/16",G583="3/16"),((база!$L$5*2*Таблица1[[#This Row],[Столбец1]]*Таблица1[[#This Row],[коэф]])),
IF(OR(G583="2/4",G583="3/4",G583="4/4"),((база!$I$5*2*Таблица1[[#This Row],[Столбец1]]*Таблица1[[#This Row],[коэф]])),
IF((G583="5/8"),((база!$J$6*2*Таблица1[[#This Row],[Столбец1]]*Таблица1[[#This Row],[коэф]])),
IF(OR(G583="4/8",G583="3/8",G583="2/8"),((база!$J$5*2*Таблица1[[#This Row],[Столбец1]]*Таблица1[[#This Row],[коэф]])))))))))))</f>
        <v>0</v>
      </c>
      <c r="AQ583" s="678" t="str">
        <f>IFERROR(INDEX(база!T:T, MATCH(F583,база!Q:Q,0)),"")</f>
        <v/>
      </c>
      <c r="AR583" s="193">
        <f>IFERROR(INDEX(база!D:D, MATCH(F583,база!B:B,0)),"")</f>
        <v>0</v>
      </c>
    </row>
    <row r="584" spans="1:44" ht="15">
      <c r="A584" s="59"/>
      <c r="B584" s="215"/>
      <c r="C584" s="277"/>
      <c r="D584" s="55"/>
      <c r="E584" s="196"/>
      <c r="F584" s="651"/>
      <c r="G584" s="42"/>
      <c r="H584" s="539"/>
      <c r="I584" s="539"/>
      <c r="J584" s="539"/>
      <c r="K584" s="539"/>
      <c r="L584" s="539"/>
      <c r="M584" s="539"/>
      <c r="N584" s="539"/>
      <c r="O584" s="539"/>
      <c r="P584" s="278"/>
      <c r="Q584" s="539"/>
      <c r="R584" s="539"/>
      <c r="S584" s="539"/>
      <c r="T584" s="539"/>
      <c r="U584" s="539"/>
      <c r="V584" s="539"/>
      <c r="W584" s="539"/>
      <c r="X584" s="539"/>
      <c r="Y584" s="539"/>
      <c r="Z584" s="539"/>
      <c r="AA584" s="539"/>
      <c r="AB584" s="539"/>
      <c r="AC584" s="539"/>
      <c r="AD584" s="43"/>
      <c r="AE584" s="43"/>
      <c r="AF584" s="238"/>
      <c r="AG584" s="43"/>
      <c r="AH584" s="43"/>
      <c r="AI584" s="43"/>
      <c r="AJ584" s="43"/>
      <c r="AK584" s="43"/>
      <c r="AL584" s="45"/>
      <c r="AM584" s="197">
        <f>IF(AQ584=1,SUM(H584:I584,L584:O584,R584:U584,X584:AA584,AD584:AG584,AI584:AK584),
IF(AQ584=2,SUM(H584:K584,N584:Q584,T584:W584,Z584:AC584,AF584:AI584),
IF(AQ584=3,SUM(J584:M584,P584:S584,V584:Y584,AB584:AE584,AH584:AK584),SUM(Таблица1[[#This Row],[1]:[31]])-Таблица1[[#This Row],[Столбец1]])))</f>
        <v>0</v>
      </c>
      <c r="AN584" s="269">
        <f t="array" ref="AN584">IF(AQ584=1,SUM(J584:K584,P584:Q584,V584:W584,AB584:AC584,AH584:AI584),
IF(AQ584=2,SUM(L584:M584,R584:S584,X584:Y584,AD584:AE584),
IF(AQ584=3,SUM(H584:I584,N584:O584,T584:U584,Z584:AA584,AF584:AG584),
SUM(IFERROR(WEEKDAY($H$2:$AL$2,2)&gt;5,)*H584:AL584))))</f>
        <v>0</v>
      </c>
      <c r="AO584" s="271" t="b">
        <f>IF(AR584&lt;=3,(IF((G584="5/24"),((база!$M$6*Таблица1[[#This Row],[сумма]]*Таблица1[[#This Row],[коэф]])),
IF((G584="4/24"),((база!$M$5*Таблица1[[#This Row],[сумма]]*Таблица1[[#This Row],[коэф]])),
IF((G584="3/24"),((база!$M$4*Таблица1[[#This Row],[сумма]]*Таблица1[[#This Row],[коэф]])),
IF((G584="5/16"),((база!$L$6*Таблица1[[#This Row],[сумма]]*Таблица1[[#This Row],[коэф]])),
IF((G584="4/16"),((база!$L$5*Таблица1[[#This Row],[сумма]]*Таблица1[[#This Row],[коэф]])),
IF((G584="3/16"),((база!$L$4*Таблица1[[#This Row],[сумма]]*Таблица1[[#This Row],[коэф]])),
IF((G584="4/4"),((база!$I$5*Таблица1[[#This Row],[сумма]]*Таблица1[[#This Row],[коэф]])),
IF(OR(G584="2/4",G584="3/4"),((база!$I$4*Таблица1[[#This Row],[сумма]]*Таблица1[[#This Row],[коэф]])),
IF((G584="5/8"),((база!$J$6*Таблица1[[#This Row],[сумма]]*Таблица1[[#This Row],[коэф]])),
IF((G584="4/8"),((база!$J$5*Таблица1[[#This Row],[сумма]]*Таблица1[[#This Row],[коэф]])),
IF(OR(G584="3/8",G584="2/8"),((база!$J$4*Таблица1[[#This Row],[сумма]]*Таблица1[[#This Row],[коэф]])))))))))))))),
(IF((G584="5/24"),((база!$M$6*Таблица1[[#This Row],[сумма]]*Таблица1[[#This Row],[коэф]])),
IF(OR(G584="4/24",G584="3/24"),((база!$M$5*Таблица1[[#This Row],[сумма]]*Таблица1[[#This Row],[коэф]])),
IF((G584="5/16"),((база!$L$6*Таблица1[[#This Row],[сумма]]*Таблица1[[#This Row],[коэф]])),
IF(OR(G584="4/16",G584="3/16"),((база!$L$5*Таблица1[[#This Row],[сумма]]*Таблица1[[#This Row],[коэф]])),
IF(OR(G584="2/4",G584="3/4",G584="4/4"),((база!$I$5*Таблица1[[#This Row],[сумма]]*Таблица1[[#This Row],[коэф]])),
IF((G584="5/8"),((база!$J$6*Таблица1[[#This Row],[сумма]]*Таблица1[[#This Row],[коэф]])),
IF(OR(G584="4/8",G584="3/8",G584="2/8"),((база!$J$5*Таблица1[[#This Row],[сумма]]*Таблица1[[#This Row],[коэф]])))))))))))</f>
        <v>0</v>
      </c>
      <c r="AP584" s="696" t="b">
        <f>IF(AR584&lt;=3,(IF((G584="5/24"),((база!$M$6*2*Таблица1[[#This Row],[Столбец1]]*Таблица1[[#This Row],[коэф]])),
IF((G584="4/24"),((база!$M$5*2*Таблица1[[#This Row],[Столбец1]]*Таблица1[[#This Row],[коэф]])),
IF((G584="3/24"),((база!$M$4*2*Таблица1[[#This Row],[Столбец1]]*Таблица1[[#This Row],[коэф]])),
IF((G584="5/16"),((база!$L$6*2*Таблица1[[#This Row],[Столбец1]]*Таблица1[[#This Row],[коэф]])),
IF((G584="4/16"),((база!$L$5*2*Таблица1[[#This Row],[Столбец1]]*Таблица1[[#This Row],[коэф]])),
IF((G584="3/16"),((база!$L$4*2*Таблица1[[#This Row],[Столбец1]]*Таблица1[[#This Row],[коэф]])),
IF((G584="4/4"),((база!$I$5*2*Таблица1[[#This Row],[Столбец1]]*Таблица1[[#This Row],[коэф]])),
IF(OR(G584="2/4",G584="3/4"),((база!$I$4*2*Таблица1[[#This Row],[Столбец1]]*Таблица1[[#This Row],[коэф]])),
IF((G584="5/8"),((база!$J$6*2*Таблица1[[#This Row],[Столбец1]]*Таблица1[[#This Row],[коэф]])),
IF((G584="4/8"),((база!$J$5*2*Таблица1[[#This Row],[Столбец1]]*Таблица1[[#This Row],[коэф]])),
IF(OR(G584="3/8",G584="2/8"),((база!$J$4*2*Таблица1[[#This Row],[Столбец1]]*Таблица1[[#This Row],[коэф]])))))))))))))),
(IF((G584="5/24"),((база!$M$6*2*Таблица1[[#This Row],[Столбец1]]*Таблица1[[#This Row],[коэф]])),
IF(OR(G584="4/24",G584="3/24"),((база!$M$5*2*Таблица1[[#This Row],[Столбец1]]*Таблица1[[#This Row],[коэф]])),
IF((G584="5/16"),((база!$L$6*2*Таблица1[[#This Row],[Столбец1]]*Таблица1[[#This Row],[коэф]])),
IF(OR(G584="4/16",G584="3/16"),((база!$L$5*2*Таблица1[[#This Row],[Столбец1]]*Таблица1[[#This Row],[коэф]])),
IF(OR(G584="2/4",G584="3/4",G584="4/4"),((база!$I$5*2*Таблица1[[#This Row],[Столбец1]]*Таблица1[[#This Row],[коэф]])),
IF((G584="5/8"),((база!$J$6*2*Таблица1[[#This Row],[Столбец1]]*Таблица1[[#This Row],[коэф]])),
IF(OR(G584="4/8",G584="3/8",G584="2/8"),((база!$J$5*2*Таблица1[[#This Row],[Столбец1]]*Таблица1[[#This Row],[коэф]])))))))))))</f>
        <v>0</v>
      </c>
      <c r="AQ584" s="678" t="str">
        <f>IFERROR(INDEX(база!T:T, MATCH(F584,база!Q:Q,0)),"")</f>
        <v/>
      </c>
      <c r="AR584" s="193">
        <f>IFERROR(INDEX(база!D:D, MATCH(F584,база!B:B,0)),"")</f>
        <v>0</v>
      </c>
    </row>
    <row r="585" spans="1:44" ht="15">
      <c r="A585" s="59"/>
      <c r="B585" s="215"/>
      <c r="C585" s="277"/>
      <c r="D585" s="55"/>
      <c r="E585" s="196"/>
      <c r="F585" s="651"/>
      <c r="G585" s="42"/>
      <c r="H585" s="539"/>
      <c r="I585" s="539"/>
      <c r="J585" s="539"/>
      <c r="K585" s="539"/>
      <c r="L585" s="539"/>
      <c r="M585" s="539"/>
      <c r="N585" s="539"/>
      <c r="O585" s="539"/>
      <c r="P585" s="278"/>
      <c r="Q585" s="539"/>
      <c r="R585" s="539"/>
      <c r="S585" s="539"/>
      <c r="T585" s="539"/>
      <c r="U585" s="539"/>
      <c r="V585" s="539"/>
      <c r="W585" s="539"/>
      <c r="X585" s="539"/>
      <c r="Y585" s="539"/>
      <c r="Z585" s="539"/>
      <c r="AA585" s="539"/>
      <c r="AB585" s="539"/>
      <c r="AC585" s="539"/>
      <c r="AD585" s="43"/>
      <c r="AE585" s="43"/>
      <c r="AF585" s="238"/>
      <c r="AG585" s="43"/>
      <c r="AH585" s="43"/>
      <c r="AI585" s="238"/>
      <c r="AJ585" s="238"/>
      <c r="AK585" s="238"/>
      <c r="AL585" s="238"/>
      <c r="AM585" s="197">
        <f>IF(AQ585=1,SUM(H585:I585,L585:O585,R585:U585,X585:AA585,AD585:AG585,AI585:AK585),
IF(AQ585=2,SUM(H585:K585,N585:Q585,T585:W585,Z585:AC585,AF585:AI585),
IF(AQ585=3,SUM(J585:M585,P585:S585,V585:Y585,AB585:AE585,AH585:AK585),SUM(Таблица1[[#This Row],[1]:[31]])-Таблица1[[#This Row],[Столбец1]])))</f>
        <v>0</v>
      </c>
      <c r="AN585" s="269">
        <f t="array" ref="AN585">IF(AQ585=1,SUM(J585:K585,P585:Q585,V585:W585,AB585:AC585,AH585:AI585),
IF(AQ585=2,SUM(L585:M585,R585:S585,X585:Y585,AD585:AE585),
IF(AQ585=3,SUM(H585:I585,N585:O585,T585:U585,Z585:AA585,AF585:AG585),
SUM(IFERROR(WEEKDAY($H$2:$AL$2,2)&gt;5,)*H585:AL585))))</f>
        <v>0</v>
      </c>
      <c r="AO585" s="271" t="b">
        <f>IF(AR585&lt;=3,(IF((G585="5/24"),((база!$M$6*Таблица1[[#This Row],[сумма]]*Таблица1[[#This Row],[коэф]])),
IF((G585="4/24"),((база!$M$5*Таблица1[[#This Row],[сумма]]*Таблица1[[#This Row],[коэф]])),
IF((G585="3/24"),((база!$M$4*Таблица1[[#This Row],[сумма]]*Таблица1[[#This Row],[коэф]])),
IF((G585="5/16"),((база!$L$6*Таблица1[[#This Row],[сумма]]*Таблица1[[#This Row],[коэф]])),
IF((G585="4/16"),((база!$L$5*Таблица1[[#This Row],[сумма]]*Таблица1[[#This Row],[коэф]])),
IF((G585="3/16"),((база!$L$4*Таблица1[[#This Row],[сумма]]*Таблица1[[#This Row],[коэф]])),
IF((G585="4/4"),((база!$I$5*Таблица1[[#This Row],[сумма]]*Таблица1[[#This Row],[коэф]])),
IF(OR(G585="2/4",G585="3/4"),((база!$I$4*Таблица1[[#This Row],[сумма]]*Таблица1[[#This Row],[коэф]])),
IF((G585="5/8"),((база!$J$6*Таблица1[[#This Row],[сумма]]*Таблица1[[#This Row],[коэф]])),
IF((G585="4/8"),((база!$J$5*Таблица1[[#This Row],[сумма]]*Таблица1[[#This Row],[коэф]])),
IF(OR(G585="3/8",G585="2/8"),((база!$J$4*Таблица1[[#This Row],[сумма]]*Таблица1[[#This Row],[коэф]])))))))))))))),
(IF((G585="5/24"),((база!$M$6*Таблица1[[#This Row],[сумма]]*Таблица1[[#This Row],[коэф]])),
IF(OR(G585="4/24",G585="3/24"),((база!$M$5*Таблица1[[#This Row],[сумма]]*Таблица1[[#This Row],[коэф]])),
IF((G585="5/16"),((база!$L$6*Таблица1[[#This Row],[сумма]]*Таблица1[[#This Row],[коэф]])),
IF(OR(G585="4/16",G585="3/16"),((база!$L$5*Таблица1[[#This Row],[сумма]]*Таблица1[[#This Row],[коэф]])),
IF(OR(G585="2/4",G585="3/4",G585="4/4"),((база!$I$5*Таблица1[[#This Row],[сумма]]*Таблица1[[#This Row],[коэф]])),
IF((G585="5/8"),((база!$J$6*Таблица1[[#This Row],[сумма]]*Таблица1[[#This Row],[коэф]])),
IF(OR(G585="4/8",G585="3/8",G585="2/8"),((база!$J$5*Таблица1[[#This Row],[сумма]]*Таблица1[[#This Row],[коэф]])))))))))))</f>
        <v>0</v>
      </c>
      <c r="AP585" s="696" t="b">
        <f>IF(AR585&lt;=3,(IF((G585="5/24"),((база!$M$6*2*Таблица1[[#This Row],[Столбец1]]*Таблица1[[#This Row],[коэф]])),
IF((G585="4/24"),((база!$M$5*2*Таблица1[[#This Row],[Столбец1]]*Таблица1[[#This Row],[коэф]])),
IF((G585="3/24"),((база!$M$4*2*Таблица1[[#This Row],[Столбец1]]*Таблица1[[#This Row],[коэф]])),
IF((G585="5/16"),((база!$L$6*2*Таблица1[[#This Row],[Столбец1]]*Таблица1[[#This Row],[коэф]])),
IF((G585="4/16"),((база!$L$5*2*Таблица1[[#This Row],[Столбец1]]*Таблица1[[#This Row],[коэф]])),
IF((G585="3/16"),((база!$L$4*2*Таблица1[[#This Row],[Столбец1]]*Таблица1[[#This Row],[коэф]])),
IF((G585="4/4"),((база!$I$5*2*Таблица1[[#This Row],[Столбец1]]*Таблица1[[#This Row],[коэф]])),
IF(OR(G585="2/4",G585="3/4"),((база!$I$4*2*Таблица1[[#This Row],[Столбец1]]*Таблица1[[#This Row],[коэф]])),
IF((G585="5/8"),((база!$J$6*2*Таблица1[[#This Row],[Столбец1]]*Таблица1[[#This Row],[коэф]])),
IF((G585="4/8"),((база!$J$5*2*Таблица1[[#This Row],[Столбец1]]*Таблица1[[#This Row],[коэф]])),
IF(OR(G585="3/8",G585="2/8"),((база!$J$4*2*Таблица1[[#This Row],[Столбец1]]*Таблица1[[#This Row],[коэф]])))))))))))))),
(IF((G585="5/24"),((база!$M$6*2*Таблица1[[#This Row],[Столбец1]]*Таблица1[[#This Row],[коэф]])),
IF(OR(G585="4/24",G585="3/24"),((база!$M$5*2*Таблица1[[#This Row],[Столбец1]]*Таблица1[[#This Row],[коэф]])),
IF((G585="5/16"),((база!$L$6*2*Таблица1[[#This Row],[Столбец1]]*Таблица1[[#This Row],[коэф]])),
IF(OR(G585="4/16",G585="3/16"),((база!$L$5*2*Таблица1[[#This Row],[Столбец1]]*Таблица1[[#This Row],[коэф]])),
IF(OR(G585="2/4",G585="3/4",G585="4/4"),((база!$I$5*2*Таблица1[[#This Row],[Столбец1]]*Таблица1[[#This Row],[коэф]])),
IF((G585="5/8"),((база!$J$6*2*Таблица1[[#This Row],[Столбец1]]*Таблица1[[#This Row],[коэф]])),
IF(OR(G585="4/8",G585="3/8",G585="2/8"),((база!$J$5*2*Таблица1[[#This Row],[Столбец1]]*Таблица1[[#This Row],[коэф]])))))))))))</f>
        <v>0</v>
      </c>
      <c r="AQ585" s="678" t="str">
        <f>IFERROR(INDEX(база!T:T, MATCH(F585,база!Q:Q,0)),"")</f>
        <v/>
      </c>
      <c r="AR585" s="193">
        <f>IFERROR(INDEX(база!D:D, MATCH(F585,база!B:B,0)),"")</f>
        <v>0</v>
      </c>
    </row>
    <row r="586" spans="1:44" ht="15">
      <c r="A586" s="59"/>
      <c r="B586" s="215"/>
      <c r="C586" s="277"/>
      <c r="D586" s="55"/>
      <c r="E586" s="196"/>
      <c r="F586" s="651"/>
      <c r="G586" s="42"/>
      <c r="H586" s="539"/>
      <c r="I586" s="539"/>
      <c r="J586" s="539"/>
      <c r="K586" s="539"/>
      <c r="L586" s="539"/>
      <c r="M586" s="539"/>
      <c r="N586" s="539"/>
      <c r="O586" s="539"/>
      <c r="P586" s="278"/>
      <c r="Q586" s="539"/>
      <c r="R586" s="539"/>
      <c r="S586" s="539"/>
      <c r="T586" s="539"/>
      <c r="U586" s="539"/>
      <c r="V586" s="539"/>
      <c r="W586" s="539"/>
      <c r="X586" s="539"/>
      <c r="Y586" s="539"/>
      <c r="Z586" s="539"/>
      <c r="AA586" s="539"/>
      <c r="AB586" s="539"/>
      <c r="AC586" s="539"/>
      <c r="AD586" s="43"/>
      <c r="AE586" s="43"/>
      <c r="AF586" s="238"/>
      <c r="AG586" s="43"/>
      <c r="AH586" s="43"/>
      <c r="AI586" s="43"/>
      <c r="AJ586" s="43"/>
      <c r="AK586" s="43"/>
      <c r="AL586" s="45"/>
      <c r="AM586" s="197">
        <f>IF(AQ586=1,SUM(H586:I586,L586:O586,R586:U586,X586:AA586,AD586:AG586,AI586:AK586),
IF(AQ586=2,SUM(H586:K586,N586:Q586,T586:W586,Z586:AC586,AF586:AI586),
IF(AQ586=3,SUM(J586:M586,P586:S586,V586:Y586,AB586:AE586,AH586:AK586),SUM(Таблица1[[#This Row],[1]:[31]])-Таблица1[[#This Row],[Столбец1]])))</f>
        <v>0</v>
      </c>
      <c r="AN586" s="269">
        <f t="array" ref="AN586">IF(AQ586=1,SUM(J586:K586,P586:Q586,V586:W586,AB586:AC586,AH586:AI586),
IF(AQ586=2,SUM(L586:M586,R586:S586,X586:Y586,AD586:AE586),
IF(AQ586=3,SUM(H586:I586,N586:O586,T586:U586,Z586:AA586,AF586:AG586),
SUM(IFERROR(WEEKDAY($H$2:$AL$2,2)&gt;5,)*H586:AL586))))</f>
        <v>0</v>
      </c>
      <c r="AO586" s="271" t="b">
        <f>IF(AR586&lt;=3,(IF((G586="5/24"),((база!$M$6*Таблица1[[#This Row],[сумма]]*Таблица1[[#This Row],[коэф]])),
IF((G586="4/24"),((база!$M$5*Таблица1[[#This Row],[сумма]]*Таблица1[[#This Row],[коэф]])),
IF((G586="3/24"),((база!$M$4*Таблица1[[#This Row],[сумма]]*Таблица1[[#This Row],[коэф]])),
IF((G586="5/16"),((база!$L$6*Таблица1[[#This Row],[сумма]]*Таблица1[[#This Row],[коэф]])),
IF((G586="4/16"),((база!$L$5*Таблица1[[#This Row],[сумма]]*Таблица1[[#This Row],[коэф]])),
IF((G586="3/16"),((база!$L$4*Таблица1[[#This Row],[сумма]]*Таблица1[[#This Row],[коэф]])),
IF((G586="4/4"),((база!$I$5*Таблица1[[#This Row],[сумма]]*Таблица1[[#This Row],[коэф]])),
IF(OR(G586="2/4",G586="3/4"),((база!$I$4*Таблица1[[#This Row],[сумма]]*Таблица1[[#This Row],[коэф]])),
IF((G586="5/8"),((база!$J$6*Таблица1[[#This Row],[сумма]]*Таблица1[[#This Row],[коэф]])),
IF((G586="4/8"),((база!$J$5*Таблица1[[#This Row],[сумма]]*Таблица1[[#This Row],[коэф]])),
IF(OR(G586="3/8",G586="2/8"),((база!$J$4*Таблица1[[#This Row],[сумма]]*Таблица1[[#This Row],[коэф]])))))))))))))),
(IF((G586="5/24"),((база!$M$6*Таблица1[[#This Row],[сумма]]*Таблица1[[#This Row],[коэф]])),
IF(OR(G586="4/24",G586="3/24"),((база!$M$5*Таблица1[[#This Row],[сумма]]*Таблица1[[#This Row],[коэф]])),
IF((G586="5/16"),((база!$L$6*Таблица1[[#This Row],[сумма]]*Таблица1[[#This Row],[коэф]])),
IF(OR(G586="4/16",G586="3/16"),((база!$L$5*Таблица1[[#This Row],[сумма]]*Таблица1[[#This Row],[коэф]])),
IF(OR(G586="2/4",G586="3/4",G586="4/4"),((база!$I$5*Таблица1[[#This Row],[сумма]]*Таблица1[[#This Row],[коэф]])),
IF((G586="5/8"),((база!$J$6*Таблица1[[#This Row],[сумма]]*Таблица1[[#This Row],[коэф]])),
IF(OR(G586="4/8",G586="3/8",G586="2/8"),((база!$J$5*Таблица1[[#This Row],[сумма]]*Таблица1[[#This Row],[коэф]])))))))))))</f>
        <v>0</v>
      </c>
      <c r="AP586" s="696" t="b">
        <f>IF(AR586&lt;=3,(IF((G586="5/24"),((база!$M$6*2*Таблица1[[#This Row],[Столбец1]]*Таблица1[[#This Row],[коэф]])),
IF((G586="4/24"),((база!$M$5*2*Таблица1[[#This Row],[Столбец1]]*Таблица1[[#This Row],[коэф]])),
IF((G586="3/24"),((база!$M$4*2*Таблица1[[#This Row],[Столбец1]]*Таблица1[[#This Row],[коэф]])),
IF((G586="5/16"),((база!$L$6*2*Таблица1[[#This Row],[Столбец1]]*Таблица1[[#This Row],[коэф]])),
IF((G586="4/16"),((база!$L$5*2*Таблица1[[#This Row],[Столбец1]]*Таблица1[[#This Row],[коэф]])),
IF((G586="3/16"),((база!$L$4*2*Таблица1[[#This Row],[Столбец1]]*Таблица1[[#This Row],[коэф]])),
IF((G586="4/4"),((база!$I$5*2*Таблица1[[#This Row],[Столбец1]]*Таблица1[[#This Row],[коэф]])),
IF(OR(G586="2/4",G586="3/4"),((база!$I$4*2*Таблица1[[#This Row],[Столбец1]]*Таблица1[[#This Row],[коэф]])),
IF((G586="5/8"),((база!$J$6*2*Таблица1[[#This Row],[Столбец1]]*Таблица1[[#This Row],[коэф]])),
IF((G586="4/8"),((база!$J$5*2*Таблица1[[#This Row],[Столбец1]]*Таблица1[[#This Row],[коэф]])),
IF(OR(G586="3/8",G586="2/8"),((база!$J$4*2*Таблица1[[#This Row],[Столбец1]]*Таблица1[[#This Row],[коэф]])))))))))))))),
(IF((G586="5/24"),((база!$M$6*2*Таблица1[[#This Row],[Столбец1]]*Таблица1[[#This Row],[коэф]])),
IF(OR(G586="4/24",G586="3/24"),((база!$M$5*2*Таблица1[[#This Row],[Столбец1]]*Таблица1[[#This Row],[коэф]])),
IF((G586="5/16"),((база!$L$6*2*Таблица1[[#This Row],[Столбец1]]*Таблица1[[#This Row],[коэф]])),
IF(OR(G586="4/16",G586="3/16"),((база!$L$5*2*Таблица1[[#This Row],[Столбец1]]*Таблица1[[#This Row],[коэф]])),
IF(OR(G586="2/4",G586="3/4",G586="4/4"),((база!$I$5*2*Таблица1[[#This Row],[Столбец1]]*Таблица1[[#This Row],[коэф]])),
IF((G586="5/8"),((база!$J$6*2*Таблица1[[#This Row],[Столбец1]]*Таблица1[[#This Row],[коэф]])),
IF(OR(G586="4/8",G586="3/8",G586="2/8"),((база!$J$5*2*Таблица1[[#This Row],[Столбец1]]*Таблица1[[#This Row],[коэф]])))))))))))</f>
        <v>0</v>
      </c>
      <c r="AQ586" s="678" t="str">
        <f>IFERROR(INDEX(база!T:T, MATCH(F586,база!Q:Q,0)),"")</f>
        <v/>
      </c>
      <c r="AR586" s="193">
        <f>IFERROR(INDEX(база!D:D, MATCH(F586,база!B:B,0)),"")</f>
        <v>0</v>
      </c>
    </row>
    <row r="587" spans="1:44" ht="15">
      <c r="A587" s="59"/>
      <c r="B587" s="215"/>
      <c r="C587" s="277"/>
      <c r="D587" s="55"/>
      <c r="E587" s="196"/>
      <c r="F587" s="651"/>
      <c r="G587" s="42"/>
      <c r="H587" s="539"/>
      <c r="I587" s="539"/>
      <c r="J587" s="539"/>
      <c r="K587" s="539"/>
      <c r="L587" s="539"/>
      <c r="M587" s="539"/>
      <c r="N587" s="539"/>
      <c r="O587" s="539"/>
      <c r="P587" s="278"/>
      <c r="Q587" s="539"/>
      <c r="R587" s="539"/>
      <c r="S587" s="539"/>
      <c r="T587" s="539"/>
      <c r="U587" s="539"/>
      <c r="V587" s="539"/>
      <c r="W587" s="539"/>
      <c r="X587" s="539"/>
      <c r="Y587" s="539"/>
      <c r="Z587" s="539"/>
      <c r="AA587" s="539"/>
      <c r="AB587" s="539"/>
      <c r="AC587" s="539"/>
      <c r="AD587" s="43"/>
      <c r="AE587" s="43"/>
      <c r="AF587" s="238"/>
      <c r="AG587" s="43"/>
      <c r="AH587" s="43"/>
      <c r="AI587" s="238"/>
      <c r="AJ587" s="238"/>
      <c r="AK587" s="238"/>
      <c r="AL587" s="238"/>
      <c r="AM587" s="197">
        <f>IF(AQ587=1,SUM(H587:I587,L587:O587,R587:U587,X587:AA587,AD587:AG587,AI587:AK587),
IF(AQ587=2,SUM(H587:K587,N587:Q587,T587:W587,Z587:AC587,AF587:AI587),
IF(AQ587=3,SUM(J587:M587,P587:S587,V587:Y587,AB587:AE587,AH587:AK587),SUM(Таблица1[[#This Row],[1]:[31]])-Таблица1[[#This Row],[Столбец1]])))</f>
        <v>0</v>
      </c>
      <c r="AN587" s="269">
        <f t="array" ref="AN587">IF(AQ587=1,SUM(J587:K587,P587:Q587,V587:W587,AB587:AC587,AH587:AI587),
IF(AQ587=2,SUM(L587:M587,R587:S587,X587:Y587,AD587:AE587),
IF(AQ587=3,SUM(H587:I587,N587:O587,T587:U587,Z587:AA587,AF587:AG587),
SUM(IFERROR(WEEKDAY($H$2:$AL$2,2)&gt;5,)*H587:AL587))))</f>
        <v>0</v>
      </c>
      <c r="AO587" s="271" t="b">
        <f>IF(AR587&lt;=3,(IF((G587="5/24"),((база!$M$6*Таблица1[[#This Row],[сумма]]*Таблица1[[#This Row],[коэф]])),
IF((G587="4/24"),((база!$M$5*Таблица1[[#This Row],[сумма]]*Таблица1[[#This Row],[коэф]])),
IF((G587="3/24"),((база!$M$4*Таблица1[[#This Row],[сумма]]*Таблица1[[#This Row],[коэф]])),
IF((G587="5/16"),((база!$L$6*Таблица1[[#This Row],[сумма]]*Таблица1[[#This Row],[коэф]])),
IF((G587="4/16"),((база!$L$5*Таблица1[[#This Row],[сумма]]*Таблица1[[#This Row],[коэф]])),
IF((G587="3/16"),((база!$L$4*Таблица1[[#This Row],[сумма]]*Таблица1[[#This Row],[коэф]])),
IF((G587="4/4"),((база!$I$5*Таблица1[[#This Row],[сумма]]*Таблица1[[#This Row],[коэф]])),
IF(OR(G587="2/4",G587="3/4"),((база!$I$4*Таблица1[[#This Row],[сумма]]*Таблица1[[#This Row],[коэф]])),
IF((G587="5/8"),((база!$J$6*Таблица1[[#This Row],[сумма]]*Таблица1[[#This Row],[коэф]])),
IF((G587="4/8"),((база!$J$5*Таблица1[[#This Row],[сумма]]*Таблица1[[#This Row],[коэф]])),
IF(OR(G587="3/8",G587="2/8"),((база!$J$4*Таблица1[[#This Row],[сумма]]*Таблица1[[#This Row],[коэф]])))))))))))))),
(IF((G587="5/24"),((база!$M$6*Таблица1[[#This Row],[сумма]]*Таблица1[[#This Row],[коэф]])),
IF(OR(G587="4/24",G587="3/24"),((база!$M$5*Таблица1[[#This Row],[сумма]]*Таблица1[[#This Row],[коэф]])),
IF((G587="5/16"),((база!$L$6*Таблица1[[#This Row],[сумма]]*Таблица1[[#This Row],[коэф]])),
IF(OR(G587="4/16",G587="3/16"),((база!$L$5*Таблица1[[#This Row],[сумма]]*Таблица1[[#This Row],[коэф]])),
IF(OR(G587="2/4",G587="3/4",G587="4/4"),((база!$I$5*Таблица1[[#This Row],[сумма]]*Таблица1[[#This Row],[коэф]])),
IF((G587="5/8"),((база!$J$6*Таблица1[[#This Row],[сумма]]*Таблица1[[#This Row],[коэф]])),
IF(OR(G587="4/8",G587="3/8",G587="2/8"),((база!$J$5*Таблица1[[#This Row],[сумма]]*Таблица1[[#This Row],[коэф]])))))))))))</f>
        <v>0</v>
      </c>
      <c r="AP587" s="696" t="b">
        <f>IF(AR587&lt;=3,(IF((G587="5/24"),((база!$M$6*2*Таблица1[[#This Row],[Столбец1]]*Таблица1[[#This Row],[коэф]])),
IF((G587="4/24"),((база!$M$5*2*Таблица1[[#This Row],[Столбец1]]*Таблица1[[#This Row],[коэф]])),
IF((G587="3/24"),((база!$M$4*2*Таблица1[[#This Row],[Столбец1]]*Таблица1[[#This Row],[коэф]])),
IF((G587="5/16"),((база!$L$6*2*Таблица1[[#This Row],[Столбец1]]*Таблица1[[#This Row],[коэф]])),
IF((G587="4/16"),((база!$L$5*2*Таблица1[[#This Row],[Столбец1]]*Таблица1[[#This Row],[коэф]])),
IF((G587="3/16"),((база!$L$4*2*Таблица1[[#This Row],[Столбец1]]*Таблица1[[#This Row],[коэф]])),
IF((G587="4/4"),((база!$I$5*2*Таблица1[[#This Row],[Столбец1]]*Таблица1[[#This Row],[коэф]])),
IF(OR(G587="2/4",G587="3/4"),((база!$I$4*2*Таблица1[[#This Row],[Столбец1]]*Таблица1[[#This Row],[коэф]])),
IF((G587="5/8"),((база!$J$6*2*Таблица1[[#This Row],[Столбец1]]*Таблица1[[#This Row],[коэф]])),
IF((G587="4/8"),((база!$J$5*2*Таблица1[[#This Row],[Столбец1]]*Таблица1[[#This Row],[коэф]])),
IF(OR(G587="3/8",G587="2/8"),((база!$J$4*2*Таблица1[[#This Row],[Столбец1]]*Таблица1[[#This Row],[коэф]])))))))))))))),
(IF((G587="5/24"),((база!$M$6*2*Таблица1[[#This Row],[Столбец1]]*Таблица1[[#This Row],[коэф]])),
IF(OR(G587="4/24",G587="3/24"),((база!$M$5*2*Таблица1[[#This Row],[Столбец1]]*Таблица1[[#This Row],[коэф]])),
IF((G587="5/16"),((база!$L$6*2*Таблица1[[#This Row],[Столбец1]]*Таблица1[[#This Row],[коэф]])),
IF(OR(G587="4/16",G587="3/16"),((база!$L$5*2*Таблица1[[#This Row],[Столбец1]]*Таблица1[[#This Row],[коэф]])),
IF(OR(G587="2/4",G587="3/4",G587="4/4"),((база!$I$5*2*Таблица1[[#This Row],[Столбец1]]*Таблица1[[#This Row],[коэф]])),
IF((G587="5/8"),((база!$J$6*2*Таблица1[[#This Row],[Столбец1]]*Таблица1[[#This Row],[коэф]])),
IF(OR(G587="4/8",G587="3/8",G587="2/8"),((база!$J$5*2*Таблица1[[#This Row],[Столбец1]]*Таблица1[[#This Row],[коэф]])))))))))))</f>
        <v>0</v>
      </c>
      <c r="AQ587" s="678" t="str">
        <f>IFERROR(INDEX(база!T:T, MATCH(F587,база!Q:Q,0)),"")</f>
        <v/>
      </c>
      <c r="AR587" s="193">
        <f>IFERROR(INDEX(база!D:D, MATCH(F587,база!B:B,0)),"")</f>
        <v>0</v>
      </c>
    </row>
    <row r="588" spans="1:44" ht="15">
      <c r="A588" s="59"/>
      <c r="B588" s="215"/>
      <c r="C588" s="277"/>
      <c r="D588" s="55"/>
      <c r="E588" s="196"/>
      <c r="F588" s="651"/>
      <c r="G588" s="42"/>
      <c r="H588" s="539"/>
      <c r="I588" s="539"/>
      <c r="J588" s="539"/>
      <c r="K588" s="539"/>
      <c r="L588" s="539"/>
      <c r="M588" s="539"/>
      <c r="N588" s="539"/>
      <c r="O588" s="539"/>
      <c r="P588" s="278"/>
      <c r="Q588" s="539"/>
      <c r="R588" s="539"/>
      <c r="S588" s="539"/>
      <c r="T588" s="539"/>
      <c r="U588" s="539"/>
      <c r="V588" s="539"/>
      <c r="W588" s="539"/>
      <c r="X588" s="539"/>
      <c r="Y588" s="539"/>
      <c r="Z588" s="539"/>
      <c r="AA588" s="539"/>
      <c r="AB588" s="539"/>
      <c r="AC588" s="539"/>
      <c r="AD588" s="43"/>
      <c r="AE588" s="43"/>
      <c r="AF588" s="238"/>
      <c r="AG588" s="43"/>
      <c r="AH588" s="43"/>
      <c r="AI588" s="43"/>
      <c r="AJ588" s="43"/>
      <c r="AK588" s="43"/>
      <c r="AL588" s="45"/>
      <c r="AM588" s="197">
        <f>IF(AQ588=1,SUM(H588:I588,L588:O588,R588:U588,X588:AA588,AD588:AG588,AI588:AK588),
IF(AQ588=2,SUM(H588:K588,N588:Q588,T588:W588,Z588:AC588,AF588:AI588),
IF(AQ588=3,SUM(J588:M588,P588:S588,V588:Y588,AB588:AE588,AH588:AK588),SUM(Таблица1[[#This Row],[1]:[31]])-Таблица1[[#This Row],[Столбец1]])))</f>
        <v>0</v>
      </c>
      <c r="AN588" s="269">
        <f t="array" ref="AN588">IF(AQ588=1,SUM(J588:K588,P588:Q588,V588:W588,AB588:AC588,AH588:AI588),
IF(AQ588=2,SUM(L588:M588,R588:S588,X588:Y588,AD588:AE588),
IF(AQ588=3,SUM(H588:I588,N588:O588,T588:U588,Z588:AA588,AF588:AG588),
SUM(IFERROR(WEEKDAY($H$2:$AL$2,2)&gt;5,)*H588:AL588))))</f>
        <v>0</v>
      </c>
      <c r="AO588" s="271" t="b">
        <f>IF(AR588&lt;=3,(IF((G588="5/24"),((база!$M$6*Таблица1[[#This Row],[сумма]]*Таблица1[[#This Row],[коэф]])),
IF((G588="4/24"),((база!$M$5*Таблица1[[#This Row],[сумма]]*Таблица1[[#This Row],[коэф]])),
IF((G588="3/24"),((база!$M$4*Таблица1[[#This Row],[сумма]]*Таблица1[[#This Row],[коэф]])),
IF((G588="5/16"),((база!$L$6*Таблица1[[#This Row],[сумма]]*Таблица1[[#This Row],[коэф]])),
IF((G588="4/16"),((база!$L$5*Таблица1[[#This Row],[сумма]]*Таблица1[[#This Row],[коэф]])),
IF((G588="3/16"),((база!$L$4*Таблица1[[#This Row],[сумма]]*Таблица1[[#This Row],[коэф]])),
IF((G588="4/4"),((база!$I$5*Таблица1[[#This Row],[сумма]]*Таблица1[[#This Row],[коэф]])),
IF(OR(G588="2/4",G588="3/4"),((база!$I$4*Таблица1[[#This Row],[сумма]]*Таблица1[[#This Row],[коэф]])),
IF((G588="5/8"),((база!$J$6*Таблица1[[#This Row],[сумма]]*Таблица1[[#This Row],[коэф]])),
IF((G588="4/8"),((база!$J$5*Таблица1[[#This Row],[сумма]]*Таблица1[[#This Row],[коэф]])),
IF(OR(G588="3/8",G588="2/8"),((база!$J$4*Таблица1[[#This Row],[сумма]]*Таблица1[[#This Row],[коэф]])))))))))))))),
(IF((G588="5/24"),((база!$M$6*Таблица1[[#This Row],[сумма]]*Таблица1[[#This Row],[коэф]])),
IF(OR(G588="4/24",G588="3/24"),((база!$M$5*Таблица1[[#This Row],[сумма]]*Таблица1[[#This Row],[коэф]])),
IF((G588="5/16"),((база!$L$6*Таблица1[[#This Row],[сумма]]*Таблица1[[#This Row],[коэф]])),
IF(OR(G588="4/16",G588="3/16"),((база!$L$5*Таблица1[[#This Row],[сумма]]*Таблица1[[#This Row],[коэф]])),
IF(OR(G588="2/4",G588="3/4",G588="4/4"),((база!$I$5*Таблица1[[#This Row],[сумма]]*Таблица1[[#This Row],[коэф]])),
IF((G588="5/8"),((база!$J$6*Таблица1[[#This Row],[сумма]]*Таблица1[[#This Row],[коэф]])),
IF(OR(G588="4/8",G588="3/8",G588="2/8"),((база!$J$5*Таблица1[[#This Row],[сумма]]*Таблица1[[#This Row],[коэф]])))))))))))</f>
        <v>0</v>
      </c>
      <c r="AP588" s="696" t="b">
        <f>IF(AR588&lt;=3,(IF((G588="5/24"),((база!$M$6*2*Таблица1[[#This Row],[Столбец1]]*Таблица1[[#This Row],[коэф]])),
IF((G588="4/24"),((база!$M$5*2*Таблица1[[#This Row],[Столбец1]]*Таблица1[[#This Row],[коэф]])),
IF((G588="3/24"),((база!$M$4*2*Таблица1[[#This Row],[Столбец1]]*Таблица1[[#This Row],[коэф]])),
IF((G588="5/16"),((база!$L$6*2*Таблица1[[#This Row],[Столбец1]]*Таблица1[[#This Row],[коэф]])),
IF((G588="4/16"),((база!$L$5*2*Таблица1[[#This Row],[Столбец1]]*Таблица1[[#This Row],[коэф]])),
IF((G588="3/16"),((база!$L$4*2*Таблица1[[#This Row],[Столбец1]]*Таблица1[[#This Row],[коэф]])),
IF((G588="4/4"),((база!$I$5*2*Таблица1[[#This Row],[Столбец1]]*Таблица1[[#This Row],[коэф]])),
IF(OR(G588="2/4",G588="3/4"),((база!$I$4*2*Таблица1[[#This Row],[Столбец1]]*Таблица1[[#This Row],[коэф]])),
IF((G588="5/8"),((база!$J$6*2*Таблица1[[#This Row],[Столбец1]]*Таблица1[[#This Row],[коэф]])),
IF((G588="4/8"),((база!$J$5*2*Таблица1[[#This Row],[Столбец1]]*Таблица1[[#This Row],[коэф]])),
IF(OR(G588="3/8",G588="2/8"),((база!$J$4*2*Таблица1[[#This Row],[Столбец1]]*Таблица1[[#This Row],[коэф]])))))))))))))),
(IF((G588="5/24"),((база!$M$6*2*Таблица1[[#This Row],[Столбец1]]*Таблица1[[#This Row],[коэф]])),
IF(OR(G588="4/24",G588="3/24"),((база!$M$5*2*Таблица1[[#This Row],[Столбец1]]*Таблица1[[#This Row],[коэф]])),
IF((G588="5/16"),((база!$L$6*2*Таблица1[[#This Row],[Столбец1]]*Таблица1[[#This Row],[коэф]])),
IF(OR(G588="4/16",G588="3/16"),((база!$L$5*2*Таблица1[[#This Row],[Столбец1]]*Таблица1[[#This Row],[коэф]])),
IF(OR(G588="2/4",G588="3/4",G588="4/4"),((база!$I$5*2*Таблица1[[#This Row],[Столбец1]]*Таблица1[[#This Row],[коэф]])),
IF((G588="5/8"),((база!$J$6*2*Таблица1[[#This Row],[Столбец1]]*Таблица1[[#This Row],[коэф]])),
IF(OR(G588="4/8",G588="3/8",G588="2/8"),((база!$J$5*2*Таблица1[[#This Row],[Столбец1]]*Таблица1[[#This Row],[коэф]])))))))))))</f>
        <v>0</v>
      </c>
      <c r="AQ588" s="678" t="str">
        <f>IFERROR(INDEX(база!T:T, MATCH(F588,база!Q:Q,0)),"")</f>
        <v/>
      </c>
      <c r="AR588" s="193">
        <f>IFERROR(INDEX(база!D:D, MATCH(F588,база!B:B,0)),"")</f>
        <v>0</v>
      </c>
    </row>
    <row r="589" spans="1:44" ht="15">
      <c r="A589" s="59"/>
      <c r="B589" s="215"/>
      <c r="C589" s="277"/>
      <c r="D589" s="55"/>
      <c r="E589" s="196"/>
      <c r="F589" s="651"/>
      <c r="G589" s="42"/>
      <c r="H589" s="539"/>
      <c r="I589" s="539"/>
      <c r="J589" s="539"/>
      <c r="K589" s="539"/>
      <c r="L589" s="539"/>
      <c r="M589" s="539"/>
      <c r="N589" s="539"/>
      <c r="O589" s="539"/>
      <c r="P589" s="278"/>
      <c r="Q589" s="539"/>
      <c r="R589" s="539"/>
      <c r="S589" s="539"/>
      <c r="T589" s="539"/>
      <c r="U589" s="539"/>
      <c r="V589" s="539"/>
      <c r="W589" s="539"/>
      <c r="X589" s="539"/>
      <c r="Y589" s="539"/>
      <c r="Z589" s="539"/>
      <c r="AA589" s="539"/>
      <c r="AB589" s="539"/>
      <c r="AC589" s="539"/>
      <c r="AD589" s="43"/>
      <c r="AE589" s="43"/>
      <c r="AF589" s="238"/>
      <c r="AG589" s="43"/>
      <c r="AH589" s="43"/>
      <c r="AI589" s="238"/>
      <c r="AJ589" s="238"/>
      <c r="AK589" s="238"/>
      <c r="AL589" s="238"/>
      <c r="AM589" s="197">
        <f>IF(AQ589=1,SUM(H589:I589,L589:O589,R589:U589,X589:AA589,AD589:AG589,AI589:AK589),
IF(AQ589=2,SUM(H589:K589,N589:Q589,T589:W589,Z589:AC589,AF589:AI589),
IF(AQ589=3,SUM(J589:M589,P589:S589,V589:Y589,AB589:AE589,AH589:AK589),SUM(Таблица1[[#This Row],[1]:[31]])-Таблица1[[#This Row],[Столбец1]])))</f>
        <v>0</v>
      </c>
      <c r="AN589" s="269">
        <f t="array" ref="AN589">IF(AQ589=1,SUM(J589:K589,P589:Q589,V589:W589,AB589:AC589,AH589:AI589),
IF(AQ589=2,SUM(L589:M589,R589:S589,X589:Y589,AD589:AE589),
IF(AQ589=3,SUM(H589:I589,N589:O589,T589:U589,Z589:AA589,AF589:AG589),
SUM(IFERROR(WEEKDAY($H$2:$AL$2,2)&gt;5,)*H589:AL589))))</f>
        <v>0</v>
      </c>
      <c r="AO589" s="271" t="b">
        <f>IF(AR589&lt;=3,(IF((G589="5/24"),((база!$M$6*Таблица1[[#This Row],[сумма]]*Таблица1[[#This Row],[коэф]])),
IF((G589="4/24"),((база!$M$5*Таблица1[[#This Row],[сумма]]*Таблица1[[#This Row],[коэф]])),
IF((G589="3/24"),((база!$M$4*Таблица1[[#This Row],[сумма]]*Таблица1[[#This Row],[коэф]])),
IF((G589="5/16"),((база!$L$6*Таблица1[[#This Row],[сумма]]*Таблица1[[#This Row],[коэф]])),
IF((G589="4/16"),((база!$L$5*Таблица1[[#This Row],[сумма]]*Таблица1[[#This Row],[коэф]])),
IF((G589="3/16"),((база!$L$4*Таблица1[[#This Row],[сумма]]*Таблица1[[#This Row],[коэф]])),
IF((G589="4/4"),((база!$I$5*Таблица1[[#This Row],[сумма]]*Таблица1[[#This Row],[коэф]])),
IF(OR(G589="2/4",G589="3/4"),((база!$I$4*Таблица1[[#This Row],[сумма]]*Таблица1[[#This Row],[коэф]])),
IF((G589="5/8"),((база!$J$6*Таблица1[[#This Row],[сумма]]*Таблица1[[#This Row],[коэф]])),
IF((G589="4/8"),((база!$J$5*Таблица1[[#This Row],[сумма]]*Таблица1[[#This Row],[коэф]])),
IF(OR(G589="3/8",G589="2/8"),((база!$J$4*Таблица1[[#This Row],[сумма]]*Таблица1[[#This Row],[коэф]])))))))))))))),
(IF((G589="5/24"),((база!$M$6*Таблица1[[#This Row],[сумма]]*Таблица1[[#This Row],[коэф]])),
IF(OR(G589="4/24",G589="3/24"),((база!$M$5*Таблица1[[#This Row],[сумма]]*Таблица1[[#This Row],[коэф]])),
IF((G589="5/16"),((база!$L$6*Таблица1[[#This Row],[сумма]]*Таблица1[[#This Row],[коэф]])),
IF(OR(G589="4/16",G589="3/16"),((база!$L$5*Таблица1[[#This Row],[сумма]]*Таблица1[[#This Row],[коэф]])),
IF(OR(G589="2/4",G589="3/4",G589="4/4"),((база!$I$5*Таблица1[[#This Row],[сумма]]*Таблица1[[#This Row],[коэф]])),
IF((G589="5/8"),((база!$J$6*Таблица1[[#This Row],[сумма]]*Таблица1[[#This Row],[коэф]])),
IF(OR(G589="4/8",G589="3/8",G589="2/8"),((база!$J$5*Таблица1[[#This Row],[сумма]]*Таблица1[[#This Row],[коэф]])))))))))))</f>
        <v>0</v>
      </c>
      <c r="AP589" s="696" t="b">
        <f>IF(AR589&lt;=3,(IF((G589="5/24"),((база!$M$6*2*Таблица1[[#This Row],[Столбец1]]*Таблица1[[#This Row],[коэф]])),
IF((G589="4/24"),((база!$M$5*2*Таблица1[[#This Row],[Столбец1]]*Таблица1[[#This Row],[коэф]])),
IF((G589="3/24"),((база!$M$4*2*Таблица1[[#This Row],[Столбец1]]*Таблица1[[#This Row],[коэф]])),
IF((G589="5/16"),((база!$L$6*2*Таблица1[[#This Row],[Столбец1]]*Таблица1[[#This Row],[коэф]])),
IF((G589="4/16"),((база!$L$5*2*Таблица1[[#This Row],[Столбец1]]*Таблица1[[#This Row],[коэф]])),
IF((G589="3/16"),((база!$L$4*2*Таблица1[[#This Row],[Столбец1]]*Таблица1[[#This Row],[коэф]])),
IF((G589="4/4"),((база!$I$5*2*Таблица1[[#This Row],[Столбец1]]*Таблица1[[#This Row],[коэф]])),
IF(OR(G589="2/4",G589="3/4"),((база!$I$4*2*Таблица1[[#This Row],[Столбец1]]*Таблица1[[#This Row],[коэф]])),
IF((G589="5/8"),((база!$J$6*2*Таблица1[[#This Row],[Столбец1]]*Таблица1[[#This Row],[коэф]])),
IF((G589="4/8"),((база!$J$5*2*Таблица1[[#This Row],[Столбец1]]*Таблица1[[#This Row],[коэф]])),
IF(OR(G589="3/8",G589="2/8"),((база!$J$4*2*Таблица1[[#This Row],[Столбец1]]*Таблица1[[#This Row],[коэф]])))))))))))))),
(IF((G589="5/24"),((база!$M$6*2*Таблица1[[#This Row],[Столбец1]]*Таблица1[[#This Row],[коэф]])),
IF(OR(G589="4/24",G589="3/24"),((база!$M$5*2*Таблица1[[#This Row],[Столбец1]]*Таблица1[[#This Row],[коэф]])),
IF((G589="5/16"),((база!$L$6*2*Таблица1[[#This Row],[Столбец1]]*Таблица1[[#This Row],[коэф]])),
IF(OR(G589="4/16",G589="3/16"),((база!$L$5*2*Таблица1[[#This Row],[Столбец1]]*Таблица1[[#This Row],[коэф]])),
IF(OR(G589="2/4",G589="3/4",G589="4/4"),((база!$I$5*2*Таблица1[[#This Row],[Столбец1]]*Таблица1[[#This Row],[коэф]])),
IF((G589="5/8"),((база!$J$6*2*Таблица1[[#This Row],[Столбец1]]*Таблица1[[#This Row],[коэф]])),
IF(OR(G589="4/8",G589="3/8",G589="2/8"),((база!$J$5*2*Таблица1[[#This Row],[Столбец1]]*Таблица1[[#This Row],[коэф]])))))))))))</f>
        <v>0</v>
      </c>
      <c r="AQ589" s="678" t="str">
        <f>IFERROR(INDEX(база!T:T, MATCH(F589,база!Q:Q,0)),"")</f>
        <v/>
      </c>
      <c r="AR589" s="193">
        <f>IFERROR(INDEX(база!D:D, MATCH(F589,база!B:B,0)),"")</f>
        <v>0</v>
      </c>
    </row>
    <row r="590" spans="1:44" ht="15">
      <c r="A590" s="59"/>
      <c r="B590" s="215"/>
      <c r="C590" s="277"/>
      <c r="D590" s="55"/>
      <c r="E590" s="196"/>
      <c r="F590" s="651"/>
      <c r="G590" s="42"/>
      <c r="H590" s="539"/>
      <c r="I590" s="539"/>
      <c r="J590" s="539"/>
      <c r="K590" s="539"/>
      <c r="L590" s="539"/>
      <c r="M590" s="539"/>
      <c r="N590" s="539"/>
      <c r="O590" s="539"/>
      <c r="P590" s="278"/>
      <c r="Q590" s="539"/>
      <c r="R590" s="539"/>
      <c r="S590" s="539"/>
      <c r="T590" s="539"/>
      <c r="U590" s="539"/>
      <c r="V590" s="539"/>
      <c r="W590" s="539"/>
      <c r="X590" s="539"/>
      <c r="Y590" s="539"/>
      <c r="Z590" s="539"/>
      <c r="AA590" s="539"/>
      <c r="AB590" s="539"/>
      <c r="AC590" s="539"/>
      <c r="AD590" s="43"/>
      <c r="AE590" s="43"/>
      <c r="AF590" s="238"/>
      <c r="AG590" s="43"/>
      <c r="AH590" s="43"/>
      <c r="AI590" s="43"/>
      <c r="AJ590" s="43"/>
      <c r="AK590" s="43"/>
      <c r="AL590" s="45"/>
      <c r="AM590" s="197">
        <f>IF(AQ590=1,SUM(H590:I590,L590:O590,R590:U590,X590:AA590,AD590:AG590,AI590:AK590),
IF(AQ590=2,SUM(H590:K590,N590:Q590,T590:W590,Z590:AC590,AF590:AI590),
IF(AQ590=3,SUM(J590:M590,P590:S590,V590:Y590,AB590:AE590,AH590:AK590),SUM(Таблица1[[#This Row],[1]:[31]])-Таблица1[[#This Row],[Столбец1]])))</f>
        <v>0</v>
      </c>
      <c r="AN590" s="269">
        <f t="array" ref="AN590">IF(AQ590=1,SUM(J590:K590,P590:Q590,V590:W590,AB590:AC590,AH590:AI590),
IF(AQ590=2,SUM(L590:M590,R590:S590,X590:Y590,AD590:AE590),
IF(AQ590=3,SUM(H590:I590,N590:O590,T590:U590,Z590:AA590,AF590:AG590),
SUM(IFERROR(WEEKDAY($H$2:$AL$2,2)&gt;5,)*H590:AL590))))</f>
        <v>0</v>
      </c>
      <c r="AO590" s="271" t="b">
        <f>IF(AR590&lt;=3,(IF((G590="5/24"),((база!$M$6*Таблица1[[#This Row],[сумма]]*Таблица1[[#This Row],[коэф]])),
IF((G590="4/24"),((база!$M$5*Таблица1[[#This Row],[сумма]]*Таблица1[[#This Row],[коэф]])),
IF((G590="3/24"),((база!$M$4*Таблица1[[#This Row],[сумма]]*Таблица1[[#This Row],[коэф]])),
IF((G590="5/16"),((база!$L$6*Таблица1[[#This Row],[сумма]]*Таблица1[[#This Row],[коэф]])),
IF((G590="4/16"),((база!$L$5*Таблица1[[#This Row],[сумма]]*Таблица1[[#This Row],[коэф]])),
IF((G590="3/16"),((база!$L$4*Таблица1[[#This Row],[сумма]]*Таблица1[[#This Row],[коэф]])),
IF((G590="4/4"),((база!$I$5*Таблица1[[#This Row],[сумма]]*Таблица1[[#This Row],[коэф]])),
IF(OR(G590="2/4",G590="3/4"),((база!$I$4*Таблица1[[#This Row],[сумма]]*Таблица1[[#This Row],[коэф]])),
IF((G590="5/8"),((база!$J$6*Таблица1[[#This Row],[сумма]]*Таблица1[[#This Row],[коэф]])),
IF((G590="4/8"),((база!$J$5*Таблица1[[#This Row],[сумма]]*Таблица1[[#This Row],[коэф]])),
IF(OR(G590="3/8",G590="2/8"),((база!$J$4*Таблица1[[#This Row],[сумма]]*Таблица1[[#This Row],[коэф]])))))))))))))),
(IF((G590="5/24"),((база!$M$6*Таблица1[[#This Row],[сумма]]*Таблица1[[#This Row],[коэф]])),
IF(OR(G590="4/24",G590="3/24"),((база!$M$5*Таблица1[[#This Row],[сумма]]*Таблица1[[#This Row],[коэф]])),
IF((G590="5/16"),((база!$L$6*Таблица1[[#This Row],[сумма]]*Таблица1[[#This Row],[коэф]])),
IF(OR(G590="4/16",G590="3/16"),((база!$L$5*Таблица1[[#This Row],[сумма]]*Таблица1[[#This Row],[коэф]])),
IF(OR(G590="2/4",G590="3/4",G590="4/4"),((база!$I$5*Таблица1[[#This Row],[сумма]]*Таблица1[[#This Row],[коэф]])),
IF((G590="5/8"),((база!$J$6*Таблица1[[#This Row],[сумма]]*Таблица1[[#This Row],[коэф]])),
IF(OR(G590="4/8",G590="3/8",G590="2/8"),((база!$J$5*Таблица1[[#This Row],[сумма]]*Таблица1[[#This Row],[коэф]])))))))))))</f>
        <v>0</v>
      </c>
      <c r="AP590" s="696" t="b">
        <f>IF(AR590&lt;=3,(IF((G590="5/24"),((база!$M$6*2*Таблица1[[#This Row],[Столбец1]]*Таблица1[[#This Row],[коэф]])),
IF((G590="4/24"),((база!$M$5*2*Таблица1[[#This Row],[Столбец1]]*Таблица1[[#This Row],[коэф]])),
IF((G590="3/24"),((база!$M$4*2*Таблица1[[#This Row],[Столбец1]]*Таблица1[[#This Row],[коэф]])),
IF((G590="5/16"),((база!$L$6*2*Таблица1[[#This Row],[Столбец1]]*Таблица1[[#This Row],[коэф]])),
IF((G590="4/16"),((база!$L$5*2*Таблица1[[#This Row],[Столбец1]]*Таблица1[[#This Row],[коэф]])),
IF((G590="3/16"),((база!$L$4*2*Таблица1[[#This Row],[Столбец1]]*Таблица1[[#This Row],[коэф]])),
IF((G590="4/4"),((база!$I$5*2*Таблица1[[#This Row],[Столбец1]]*Таблица1[[#This Row],[коэф]])),
IF(OR(G590="2/4",G590="3/4"),((база!$I$4*2*Таблица1[[#This Row],[Столбец1]]*Таблица1[[#This Row],[коэф]])),
IF((G590="5/8"),((база!$J$6*2*Таблица1[[#This Row],[Столбец1]]*Таблица1[[#This Row],[коэф]])),
IF((G590="4/8"),((база!$J$5*2*Таблица1[[#This Row],[Столбец1]]*Таблица1[[#This Row],[коэф]])),
IF(OR(G590="3/8",G590="2/8"),((база!$J$4*2*Таблица1[[#This Row],[Столбец1]]*Таблица1[[#This Row],[коэф]])))))))))))))),
(IF((G590="5/24"),((база!$M$6*2*Таблица1[[#This Row],[Столбец1]]*Таблица1[[#This Row],[коэф]])),
IF(OR(G590="4/24",G590="3/24"),((база!$M$5*2*Таблица1[[#This Row],[Столбец1]]*Таблица1[[#This Row],[коэф]])),
IF((G590="5/16"),((база!$L$6*2*Таблица1[[#This Row],[Столбец1]]*Таблица1[[#This Row],[коэф]])),
IF(OR(G590="4/16",G590="3/16"),((база!$L$5*2*Таблица1[[#This Row],[Столбец1]]*Таблица1[[#This Row],[коэф]])),
IF(OR(G590="2/4",G590="3/4",G590="4/4"),((база!$I$5*2*Таблица1[[#This Row],[Столбец1]]*Таблица1[[#This Row],[коэф]])),
IF((G590="5/8"),((база!$J$6*2*Таблица1[[#This Row],[Столбец1]]*Таблица1[[#This Row],[коэф]])),
IF(OR(G590="4/8",G590="3/8",G590="2/8"),((база!$J$5*2*Таблица1[[#This Row],[Столбец1]]*Таблица1[[#This Row],[коэф]])))))))))))</f>
        <v>0</v>
      </c>
      <c r="AQ590" s="678" t="str">
        <f>IFERROR(INDEX(база!T:T, MATCH(F590,база!Q:Q,0)),"")</f>
        <v/>
      </c>
      <c r="AR590" s="193">
        <f>IFERROR(INDEX(база!D:D, MATCH(F590,база!B:B,0)),"")</f>
        <v>0</v>
      </c>
    </row>
    <row r="591" spans="1:44" ht="15">
      <c r="A591" s="59"/>
      <c r="B591" s="215"/>
      <c r="C591" s="277"/>
      <c r="D591" s="55"/>
      <c r="E591" s="196"/>
      <c r="F591" s="651"/>
      <c r="G591" s="42"/>
      <c r="H591" s="539"/>
      <c r="I591" s="539"/>
      <c r="J591" s="539"/>
      <c r="K591" s="539"/>
      <c r="L591" s="539"/>
      <c r="M591" s="539"/>
      <c r="N591" s="539"/>
      <c r="O591" s="539"/>
      <c r="P591" s="278"/>
      <c r="Q591" s="539"/>
      <c r="R591" s="539"/>
      <c r="S591" s="539"/>
      <c r="T591" s="539"/>
      <c r="U591" s="539"/>
      <c r="V591" s="539"/>
      <c r="W591" s="539"/>
      <c r="X591" s="539"/>
      <c r="Y591" s="539"/>
      <c r="Z591" s="539"/>
      <c r="AA591" s="539"/>
      <c r="AB591" s="539"/>
      <c r="AC591" s="539"/>
      <c r="AD591" s="43"/>
      <c r="AE591" s="43"/>
      <c r="AF591" s="238"/>
      <c r="AG591" s="43"/>
      <c r="AH591" s="43"/>
      <c r="AI591" s="238"/>
      <c r="AJ591" s="238"/>
      <c r="AK591" s="238"/>
      <c r="AL591" s="238"/>
      <c r="AM591" s="197">
        <f>IF(AQ591=1,SUM(H591:I591,L591:O591,R591:U591,X591:AA591,AD591:AG591,AI591:AK591),
IF(AQ591=2,SUM(H591:K591,N591:Q591,T591:W591,Z591:AC591,AF591:AI591),
IF(AQ591=3,SUM(J591:M591,P591:S591,V591:Y591,AB591:AE591,AH591:AK591),SUM(Таблица1[[#This Row],[1]:[31]])-Таблица1[[#This Row],[Столбец1]])))</f>
        <v>0</v>
      </c>
      <c r="AN591" s="269">
        <f t="array" ref="AN591">IF(AQ591=1,SUM(J591:K591,P591:Q591,V591:W591,AB591:AC591,AH591:AI591),
IF(AQ591=2,SUM(L591:M591,R591:S591,X591:Y591,AD591:AE591),
IF(AQ591=3,SUM(H591:I591,N591:O591,T591:U591,Z591:AA591,AF591:AG591),
SUM(IFERROR(WEEKDAY($H$2:$AL$2,2)&gt;5,)*H591:AL591))))</f>
        <v>0</v>
      </c>
      <c r="AO591" s="271" t="b">
        <f>IF(AR591&lt;=3,(IF((G591="5/24"),((база!$M$6*Таблица1[[#This Row],[сумма]]*Таблица1[[#This Row],[коэф]])),
IF((G591="4/24"),((база!$M$5*Таблица1[[#This Row],[сумма]]*Таблица1[[#This Row],[коэф]])),
IF((G591="3/24"),((база!$M$4*Таблица1[[#This Row],[сумма]]*Таблица1[[#This Row],[коэф]])),
IF((G591="5/16"),((база!$L$6*Таблица1[[#This Row],[сумма]]*Таблица1[[#This Row],[коэф]])),
IF((G591="4/16"),((база!$L$5*Таблица1[[#This Row],[сумма]]*Таблица1[[#This Row],[коэф]])),
IF((G591="3/16"),((база!$L$4*Таблица1[[#This Row],[сумма]]*Таблица1[[#This Row],[коэф]])),
IF((G591="4/4"),((база!$I$5*Таблица1[[#This Row],[сумма]]*Таблица1[[#This Row],[коэф]])),
IF(OR(G591="2/4",G591="3/4"),((база!$I$4*Таблица1[[#This Row],[сумма]]*Таблица1[[#This Row],[коэф]])),
IF((G591="5/8"),((база!$J$6*Таблица1[[#This Row],[сумма]]*Таблица1[[#This Row],[коэф]])),
IF((G591="4/8"),((база!$J$5*Таблица1[[#This Row],[сумма]]*Таблица1[[#This Row],[коэф]])),
IF(OR(G591="3/8",G591="2/8"),((база!$J$4*Таблица1[[#This Row],[сумма]]*Таблица1[[#This Row],[коэф]])))))))))))))),
(IF((G591="5/24"),((база!$M$6*Таблица1[[#This Row],[сумма]]*Таблица1[[#This Row],[коэф]])),
IF(OR(G591="4/24",G591="3/24"),((база!$M$5*Таблица1[[#This Row],[сумма]]*Таблица1[[#This Row],[коэф]])),
IF((G591="5/16"),((база!$L$6*Таблица1[[#This Row],[сумма]]*Таблица1[[#This Row],[коэф]])),
IF(OR(G591="4/16",G591="3/16"),((база!$L$5*Таблица1[[#This Row],[сумма]]*Таблица1[[#This Row],[коэф]])),
IF(OR(G591="2/4",G591="3/4",G591="4/4"),((база!$I$5*Таблица1[[#This Row],[сумма]]*Таблица1[[#This Row],[коэф]])),
IF((G591="5/8"),((база!$J$6*Таблица1[[#This Row],[сумма]]*Таблица1[[#This Row],[коэф]])),
IF(OR(G591="4/8",G591="3/8",G591="2/8"),((база!$J$5*Таблица1[[#This Row],[сумма]]*Таблица1[[#This Row],[коэф]])))))))))))</f>
        <v>0</v>
      </c>
      <c r="AP591" s="696" t="b">
        <f>IF(AR591&lt;=3,(IF((G591="5/24"),((база!$M$6*2*Таблица1[[#This Row],[Столбец1]]*Таблица1[[#This Row],[коэф]])),
IF((G591="4/24"),((база!$M$5*2*Таблица1[[#This Row],[Столбец1]]*Таблица1[[#This Row],[коэф]])),
IF((G591="3/24"),((база!$M$4*2*Таблица1[[#This Row],[Столбец1]]*Таблица1[[#This Row],[коэф]])),
IF((G591="5/16"),((база!$L$6*2*Таблица1[[#This Row],[Столбец1]]*Таблица1[[#This Row],[коэф]])),
IF((G591="4/16"),((база!$L$5*2*Таблица1[[#This Row],[Столбец1]]*Таблица1[[#This Row],[коэф]])),
IF((G591="3/16"),((база!$L$4*2*Таблица1[[#This Row],[Столбец1]]*Таблица1[[#This Row],[коэф]])),
IF((G591="4/4"),((база!$I$5*2*Таблица1[[#This Row],[Столбец1]]*Таблица1[[#This Row],[коэф]])),
IF(OR(G591="2/4",G591="3/4"),((база!$I$4*2*Таблица1[[#This Row],[Столбец1]]*Таблица1[[#This Row],[коэф]])),
IF((G591="5/8"),((база!$J$6*2*Таблица1[[#This Row],[Столбец1]]*Таблица1[[#This Row],[коэф]])),
IF((G591="4/8"),((база!$J$5*2*Таблица1[[#This Row],[Столбец1]]*Таблица1[[#This Row],[коэф]])),
IF(OR(G591="3/8",G591="2/8"),((база!$J$4*2*Таблица1[[#This Row],[Столбец1]]*Таблица1[[#This Row],[коэф]])))))))))))))),
(IF((G591="5/24"),((база!$M$6*2*Таблица1[[#This Row],[Столбец1]]*Таблица1[[#This Row],[коэф]])),
IF(OR(G591="4/24",G591="3/24"),((база!$M$5*2*Таблица1[[#This Row],[Столбец1]]*Таблица1[[#This Row],[коэф]])),
IF((G591="5/16"),((база!$L$6*2*Таблица1[[#This Row],[Столбец1]]*Таблица1[[#This Row],[коэф]])),
IF(OR(G591="4/16",G591="3/16"),((база!$L$5*2*Таблица1[[#This Row],[Столбец1]]*Таблица1[[#This Row],[коэф]])),
IF(OR(G591="2/4",G591="3/4",G591="4/4"),((база!$I$5*2*Таблица1[[#This Row],[Столбец1]]*Таблица1[[#This Row],[коэф]])),
IF((G591="5/8"),((база!$J$6*2*Таблица1[[#This Row],[Столбец1]]*Таблица1[[#This Row],[коэф]])),
IF(OR(G591="4/8",G591="3/8",G591="2/8"),((база!$J$5*2*Таблица1[[#This Row],[Столбец1]]*Таблица1[[#This Row],[коэф]])))))))))))</f>
        <v>0</v>
      </c>
      <c r="AQ591" s="678" t="str">
        <f>IFERROR(INDEX(база!T:T, MATCH(F591,база!Q:Q,0)),"")</f>
        <v/>
      </c>
      <c r="AR591" s="193">
        <f>IFERROR(INDEX(база!D:D, MATCH(F591,база!B:B,0)),"")</f>
        <v>0</v>
      </c>
    </row>
    <row r="592" spans="1:44" ht="15">
      <c r="A592" s="59"/>
      <c r="B592" s="215"/>
      <c r="C592" s="277"/>
      <c r="D592" s="55"/>
      <c r="E592" s="196"/>
      <c r="F592" s="651"/>
      <c r="G592" s="42"/>
      <c r="H592" s="539"/>
      <c r="I592" s="539"/>
      <c r="J592" s="539"/>
      <c r="K592" s="539"/>
      <c r="L592" s="539"/>
      <c r="M592" s="539"/>
      <c r="N592" s="539"/>
      <c r="O592" s="539"/>
      <c r="P592" s="278"/>
      <c r="Q592" s="539"/>
      <c r="R592" s="539"/>
      <c r="S592" s="539"/>
      <c r="T592" s="539"/>
      <c r="U592" s="539"/>
      <c r="V592" s="539"/>
      <c r="W592" s="539"/>
      <c r="X592" s="539"/>
      <c r="Y592" s="539"/>
      <c r="Z592" s="539"/>
      <c r="AA592" s="539"/>
      <c r="AB592" s="539"/>
      <c r="AC592" s="539"/>
      <c r="AD592" s="43"/>
      <c r="AE592" s="43"/>
      <c r="AF592" s="238"/>
      <c r="AG592" s="43"/>
      <c r="AH592" s="43"/>
      <c r="AI592" s="43"/>
      <c r="AJ592" s="43"/>
      <c r="AK592" s="43"/>
      <c r="AL592" s="45"/>
      <c r="AM592" s="197">
        <f>IF(AQ592=1,SUM(H592:I592,L592:O592,R592:U592,X592:AA592,AD592:AG592,AI592:AK592),
IF(AQ592=2,SUM(H592:K592,N592:Q592,T592:W592,Z592:AC592,AF592:AI592),
IF(AQ592=3,SUM(J592:M592,P592:S592,V592:Y592,AB592:AE592,AH592:AK592),SUM(Таблица1[[#This Row],[1]:[31]])-Таблица1[[#This Row],[Столбец1]])))</f>
        <v>0</v>
      </c>
      <c r="AN592" s="269">
        <f t="array" ref="AN592">IF(AQ592=1,SUM(J592:K592,P592:Q592,V592:W592,AB592:AC592,AH592:AI592),
IF(AQ592=2,SUM(L592:M592,R592:S592,X592:Y592,AD592:AE592),
IF(AQ592=3,SUM(H592:I592,N592:O592,T592:U592,Z592:AA592,AF592:AG592),
SUM(IFERROR(WEEKDAY($H$2:$AL$2,2)&gt;5,)*H592:AL592))))</f>
        <v>0</v>
      </c>
      <c r="AO592" s="271" t="b">
        <f>IF(AR592&lt;=3,(IF((G592="5/24"),((база!$M$6*Таблица1[[#This Row],[сумма]]*Таблица1[[#This Row],[коэф]])),
IF((G592="4/24"),((база!$M$5*Таблица1[[#This Row],[сумма]]*Таблица1[[#This Row],[коэф]])),
IF((G592="3/24"),((база!$M$4*Таблица1[[#This Row],[сумма]]*Таблица1[[#This Row],[коэф]])),
IF((G592="5/16"),((база!$L$6*Таблица1[[#This Row],[сумма]]*Таблица1[[#This Row],[коэф]])),
IF((G592="4/16"),((база!$L$5*Таблица1[[#This Row],[сумма]]*Таблица1[[#This Row],[коэф]])),
IF((G592="3/16"),((база!$L$4*Таблица1[[#This Row],[сумма]]*Таблица1[[#This Row],[коэф]])),
IF((G592="4/4"),((база!$I$5*Таблица1[[#This Row],[сумма]]*Таблица1[[#This Row],[коэф]])),
IF(OR(G592="2/4",G592="3/4"),((база!$I$4*Таблица1[[#This Row],[сумма]]*Таблица1[[#This Row],[коэф]])),
IF((G592="5/8"),((база!$J$6*Таблица1[[#This Row],[сумма]]*Таблица1[[#This Row],[коэф]])),
IF((G592="4/8"),((база!$J$5*Таблица1[[#This Row],[сумма]]*Таблица1[[#This Row],[коэф]])),
IF(OR(G592="3/8",G592="2/8"),((база!$J$4*Таблица1[[#This Row],[сумма]]*Таблица1[[#This Row],[коэф]])))))))))))))),
(IF((G592="5/24"),((база!$M$6*Таблица1[[#This Row],[сумма]]*Таблица1[[#This Row],[коэф]])),
IF(OR(G592="4/24",G592="3/24"),((база!$M$5*Таблица1[[#This Row],[сумма]]*Таблица1[[#This Row],[коэф]])),
IF((G592="5/16"),((база!$L$6*Таблица1[[#This Row],[сумма]]*Таблица1[[#This Row],[коэф]])),
IF(OR(G592="4/16",G592="3/16"),((база!$L$5*Таблица1[[#This Row],[сумма]]*Таблица1[[#This Row],[коэф]])),
IF(OR(G592="2/4",G592="3/4",G592="4/4"),((база!$I$5*Таблица1[[#This Row],[сумма]]*Таблица1[[#This Row],[коэф]])),
IF((G592="5/8"),((база!$J$6*Таблица1[[#This Row],[сумма]]*Таблица1[[#This Row],[коэф]])),
IF(OR(G592="4/8",G592="3/8",G592="2/8"),((база!$J$5*Таблица1[[#This Row],[сумма]]*Таблица1[[#This Row],[коэф]])))))))))))</f>
        <v>0</v>
      </c>
      <c r="AP592" s="696" t="b">
        <f>IF(AR592&lt;=3,(IF((G592="5/24"),((база!$M$6*2*Таблица1[[#This Row],[Столбец1]]*Таблица1[[#This Row],[коэф]])),
IF((G592="4/24"),((база!$M$5*2*Таблица1[[#This Row],[Столбец1]]*Таблица1[[#This Row],[коэф]])),
IF((G592="3/24"),((база!$M$4*2*Таблица1[[#This Row],[Столбец1]]*Таблица1[[#This Row],[коэф]])),
IF((G592="5/16"),((база!$L$6*2*Таблица1[[#This Row],[Столбец1]]*Таблица1[[#This Row],[коэф]])),
IF((G592="4/16"),((база!$L$5*2*Таблица1[[#This Row],[Столбец1]]*Таблица1[[#This Row],[коэф]])),
IF((G592="3/16"),((база!$L$4*2*Таблица1[[#This Row],[Столбец1]]*Таблица1[[#This Row],[коэф]])),
IF((G592="4/4"),((база!$I$5*2*Таблица1[[#This Row],[Столбец1]]*Таблица1[[#This Row],[коэф]])),
IF(OR(G592="2/4",G592="3/4"),((база!$I$4*2*Таблица1[[#This Row],[Столбец1]]*Таблица1[[#This Row],[коэф]])),
IF((G592="5/8"),((база!$J$6*2*Таблица1[[#This Row],[Столбец1]]*Таблица1[[#This Row],[коэф]])),
IF((G592="4/8"),((база!$J$5*2*Таблица1[[#This Row],[Столбец1]]*Таблица1[[#This Row],[коэф]])),
IF(OR(G592="3/8",G592="2/8"),((база!$J$4*2*Таблица1[[#This Row],[Столбец1]]*Таблица1[[#This Row],[коэф]])))))))))))))),
(IF((G592="5/24"),((база!$M$6*2*Таблица1[[#This Row],[Столбец1]]*Таблица1[[#This Row],[коэф]])),
IF(OR(G592="4/24",G592="3/24"),((база!$M$5*2*Таблица1[[#This Row],[Столбец1]]*Таблица1[[#This Row],[коэф]])),
IF((G592="5/16"),((база!$L$6*2*Таблица1[[#This Row],[Столбец1]]*Таблица1[[#This Row],[коэф]])),
IF(OR(G592="4/16",G592="3/16"),((база!$L$5*2*Таблица1[[#This Row],[Столбец1]]*Таблица1[[#This Row],[коэф]])),
IF(OR(G592="2/4",G592="3/4",G592="4/4"),((база!$I$5*2*Таблица1[[#This Row],[Столбец1]]*Таблица1[[#This Row],[коэф]])),
IF((G592="5/8"),((база!$J$6*2*Таблица1[[#This Row],[Столбец1]]*Таблица1[[#This Row],[коэф]])),
IF(OR(G592="4/8",G592="3/8",G592="2/8"),((база!$J$5*2*Таблица1[[#This Row],[Столбец1]]*Таблица1[[#This Row],[коэф]])))))))))))</f>
        <v>0</v>
      </c>
      <c r="AQ592" s="678" t="str">
        <f>IFERROR(INDEX(база!T:T, MATCH(F592,база!Q:Q,0)),"")</f>
        <v/>
      </c>
      <c r="AR592" s="193">
        <f>IFERROR(INDEX(база!D:D, MATCH(F592,база!B:B,0)),"")</f>
        <v>0</v>
      </c>
    </row>
    <row r="593" spans="1:44" ht="15">
      <c r="A593" s="59"/>
      <c r="B593" s="215"/>
      <c r="C593" s="54"/>
      <c r="D593" s="55"/>
      <c r="E593" s="196"/>
      <c r="F593" s="651"/>
      <c r="G593" s="42"/>
      <c r="H593" s="539"/>
      <c r="I593" s="539"/>
      <c r="J593" s="539"/>
      <c r="K593" s="539"/>
      <c r="L593" s="539"/>
      <c r="M593" s="539"/>
      <c r="N593" s="539"/>
      <c r="O593" s="539"/>
      <c r="P593" s="278"/>
      <c r="Q593" s="539"/>
      <c r="R593" s="539"/>
      <c r="S593" s="539"/>
      <c r="T593" s="539"/>
      <c r="U593" s="539"/>
      <c r="V593" s="539"/>
      <c r="W593" s="539"/>
      <c r="X593" s="539"/>
      <c r="Y593" s="539"/>
      <c r="Z593" s="539"/>
      <c r="AA593" s="539"/>
      <c r="AB593" s="539"/>
      <c r="AC593" s="539"/>
      <c r="AD593" s="43"/>
      <c r="AE593" s="43"/>
      <c r="AF593" s="238"/>
      <c r="AG593" s="43"/>
      <c r="AH593" s="43"/>
      <c r="AI593" s="238"/>
      <c r="AJ593" s="238"/>
      <c r="AK593" s="238"/>
      <c r="AL593" s="238"/>
      <c r="AM593" s="197">
        <f>IF(AQ593=1,SUM(H593:I593,L593:O593,R593:U593,X593:AA593,AD593:AG593,AI593:AK593),
IF(AQ593=2,SUM(H593:K593,N593:Q593,T593:W593,Z593:AC593,AF593:AI593),
IF(AQ593=3,SUM(J593:M593,P593:S593,V593:Y593,AB593:AE593,AH593:AK593),SUM(Таблица1[[#This Row],[1]:[31]])-Таблица1[[#This Row],[Столбец1]])))</f>
        <v>0</v>
      </c>
      <c r="AN593" s="269">
        <f t="array" ref="AN593">IF(AQ593=1,SUM(J593:K593,P593:Q593,V593:W593,AB593:AC593,AH593:AI593),
IF(AQ593=2,SUM(L593:M593,R593:S593,X593:Y593,AD593:AE593),
IF(AQ593=3,SUM(H593:I593,N593:O593,T593:U593,Z593:AA593,AF593:AG593),
SUM(IFERROR(WEEKDAY($H$2:$AL$2,2)&gt;5,)*H593:AL593))))</f>
        <v>0</v>
      </c>
      <c r="AO593" s="271" t="b">
        <f>IF(AR593&lt;=3,(IF((G593="5/24"),((база!$M$6*Таблица1[[#This Row],[сумма]]*Таблица1[[#This Row],[коэф]])),
IF((G593="4/24"),((база!$M$5*Таблица1[[#This Row],[сумма]]*Таблица1[[#This Row],[коэф]])),
IF((G593="3/24"),((база!$M$4*Таблица1[[#This Row],[сумма]]*Таблица1[[#This Row],[коэф]])),
IF((G593="5/16"),((база!$L$6*Таблица1[[#This Row],[сумма]]*Таблица1[[#This Row],[коэф]])),
IF((G593="4/16"),((база!$L$5*Таблица1[[#This Row],[сумма]]*Таблица1[[#This Row],[коэф]])),
IF((G593="3/16"),((база!$L$4*Таблица1[[#This Row],[сумма]]*Таблица1[[#This Row],[коэф]])),
IF((G593="4/4"),((база!$I$5*Таблица1[[#This Row],[сумма]]*Таблица1[[#This Row],[коэф]])),
IF(OR(G593="2/4",G593="3/4"),((база!$I$4*Таблица1[[#This Row],[сумма]]*Таблица1[[#This Row],[коэф]])),
IF((G593="5/8"),((база!$J$6*Таблица1[[#This Row],[сумма]]*Таблица1[[#This Row],[коэф]])),
IF((G593="4/8"),((база!$J$5*Таблица1[[#This Row],[сумма]]*Таблица1[[#This Row],[коэф]])),
IF(OR(G593="3/8",G593="2/8"),((база!$J$4*Таблица1[[#This Row],[сумма]]*Таблица1[[#This Row],[коэф]])))))))))))))),
(IF((G593="5/24"),((база!$M$6*Таблица1[[#This Row],[сумма]]*Таблица1[[#This Row],[коэф]])),
IF(OR(G593="4/24",G593="3/24"),((база!$M$5*Таблица1[[#This Row],[сумма]]*Таблица1[[#This Row],[коэф]])),
IF((G593="5/16"),((база!$L$6*Таблица1[[#This Row],[сумма]]*Таблица1[[#This Row],[коэф]])),
IF(OR(G593="4/16",G593="3/16"),((база!$L$5*Таблица1[[#This Row],[сумма]]*Таблица1[[#This Row],[коэф]])),
IF(OR(G593="2/4",G593="3/4",G593="4/4"),((база!$I$5*Таблица1[[#This Row],[сумма]]*Таблица1[[#This Row],[коэф]])),
IF((G593="5/8"),((база!$J$6*Таблица1[[#This Row],[сумма]]*Таблица1[[#This Row],[коэф]])),
IF(OR(G593="4/8",G593="3/8",G593="2/8"),((база!$J$5*Таблица1[[#This Row],[сумма]]*Таблица1[[#This Row],[коэф]])))))))))))</f>
        <v>0</v>
      </c>
      <c r="AP593" s="696" t="b">
        <f>IF(AR593&lt;=3,(IF((G593="5/24"),((база!$M$6*2*Таблица1[[#This Row],[Столбец1]]*Таблица1[[#This Row],[коэф]])),
IF((G593="4/24"),((база!$M$5*2*Таблица1[[#This Row],[Столбец1]]*Таблица1[[#This Row],[коэф]])),
IF((G593="3/24"),((база!$M$4*2*Таблица1[[#This Row],[Столбец1]]*Таблица1[[#This Row],[коэф]])),
IF((G593="5/16"),((база!$L$6*2*Таблица1[[#This Row],[Столбец1]]*Таблица1[[#This Row],[коэф]])),
IF((G593="4/16"),((база!$L$5*2*Таблица1[[#This Row],[Столбец1]]*Таблица1[[#This Row],[коэф]])),
IF((G593="3/16"),((база!$L$4*2*Таблица1[[#This Row],[Столбец1]]*Таблица1[[#This Row],[коэф]])),
IF((G593="4/4"),((база!$I$5*2*Таблица1[[#This Row],[Столбец1]]*Таблица1[[#This Row],[коэф]])),
IF(OR(G593="2/4",G593="3/4"),((база!$I$4*2*Таблица1[[#This Row],[Столбец1]]*Таблица1[[#This Row],[коэф]])),
IF((G593="5/8"),((база!$J$6*2*Таблица1[[#This Row],[Столбец1]]*Таблица1[[#This Row],[коэф]])),
IF((G593="4/8"),((база!$J$5*2*Таблица1[[#This Row],[Столбец1]]*Таблица1[[#This Row],[коэф]])),
IF(OR(G593="3/8",G593="2/8"),((база!$J$4*2*Таблица1[[#This Row],[Столбец1]]*Таблица1[[#This Row],[коэф]])))))))))))))),
(IF((G593="5/24"),((база!$M$6*2*Таблица1[[#This Row],[Столбец1]]*Таблица1[[#This Row],[коэф]])),
IF(OR(G593="4/24",G593="3/24"),((база!$M$5*2*Таблица1[[#This Row],[Столбец1]]*Таблица1[[#This Row],[коэф]])),
IF((G593="5/16"),((база!$L$6*2*Таблица1[[#This Row],[Столбец1]]*Таблица1[[#This Row],[коэф]])),
IF(OR(G593="4/16",G593="3/16"),((база!$L$5*2*Таблица1[[#This Row],[Столбец1]]*Таблица1[[#This Row],[коэф]])),
IF(OR(G593="2/4",G593="3/4",G593="4/4"),((база!$I$5*2*Таблица1[[#This Row],[Столбец1]]*Таблица1[[#This Row],[коэф]])),
IF((G593="5/8"),((база!$J$6*2*Таблица1[[#This Row],[Столбец1]]*Таблица1[[#This Row],[коэф]])),
IF(OR(G593="4/8",G593="3/8",G593="2/8"),((база!$J$5*2*Таблица1[[#This Row],[Столбец1]]*Таблица1[[#This Row],[коэф]])))))))))))</f>
        <v>0</v>
      </c>
      <c r="AQ593" s="678" t="str">
        <f>IFERROR(INDEX(база!T:T, MATCH(F593,база!Q:Q,0)),"")</f>
        <v/>
      </c>
      <c r="AR593" s="193">
        <f>IFERROR(INDEX(база!D:D, MATCH(F593,база!B:B,0)),"")</f>
        <v>0</v>
      </c>
    </row>
    <row r="594" spans="1:44" ht="15">
      <c r="A594" s="59"/>
      <c r="B594" s="215"/>
      <c r="C594" s="277"/>
      <c r="D594" s="55"/>
      <c r="E594" s="196"/>
      <c r="F594" s="651"/>
      <c r="G594" s="42"/>
      <c r="H594" s="539"/>
      <c r="I594" s="539"/>
      <c r="J594" s="539"/>
      <c r="K594" s="539"/>
      <c r="L594" s="539"/>
      <c r="M594" s="539"/>
      <c r="N594" s="539"/>
      <c r="O594" s="539"/>
      <c r="P594" s="278"/>
      <c r="Q594" s="539"/>
      <c r="R594" s="539"/>
      <c r="S594" s="539"/>
      <c r="T594" s="539"/>
      <c r="U594" s="539"/>
      <c r="V594" s="539"/>
      <c r="W594" s="539"/>
      <c r="X594" s="539"/>
      <c r="Y594" s="539"/>
      <c r="Z594" s="539"/>
      <c r="AA594" s="539"/>
      <c r="AB594" s="539"/>
      <c r="AC594" s="539"/>
      <c r="AD594" s="43"/>
      <c r="AE594" s="43"/>
      <c r="AF594" s="238"/>
      <c r="AG594" s="43"/>
      <c r="AH594" s="43"/>
      <c r="AI594" s="43"/>
      <c r="AJ594" s="43"/>
      <c r="AK594" s="43"/>
      <c r="AL594" s="45"/>
      <c r="AM594" s="197">
        <f>IF(AQ594=1,SUM(H594:I594,L594:O594,R594:U594,X594:AA594,AD594:AG594,AI594:AK594),
IF(AQ594=2,SUM(H594:K594,N594:Q594,T594:W594,Z594:AC594,AF594:AI594),
IF(AQ594=3,SUM(J594:M594,P594:S594,V594:Y594,AB594:AE594,AH594:AK594),SUM(Таблица1[[#This Row],[1]:[31]])-Таблица1[[#This Row],[Столбец1]])))</f>
        <v>0</v>
      </c>
      <c r="AN594" s="269">
        <f t="array" ref="AN594">IF(AQ594=1,SUM(J594:K594,P594:Q594,V594:W594,AB594:AC594,AH594:AI594),
IF(AQ594=2,SUM(L594:M594,R594:S594,X594:Y594,AD594:AE594),
IF(AQ594=3,SUM(H594:I594,N594:O594,T594:U594,Z594:AA594,AF594:AG594),
SUM(IFERROR(WEEKDAY($H$2:$AL$2,2)&gt;5,)*H594:AL594))))</f>
        <v>0</v>
      </c>
      <c r="AO594" s="271" t="b">
        <f>IF(AR594&lt;=3,(IF((G594="5/24"),((база!$M$6*Таблица1[[#This Row],[сумма]]*Таблица1[[#This Row],[коэф]])),
IF((G594="4/24"),((база!$M$5*Таблица1[[#This Row],[сумма]]*Таблица1[[#This Row],[коэф]])),
IF((G594="3/24"),((база!$M$4*Таблица1[[#This Row],[сумма]]*Таблица1[[#This Row],[коэф]])),
IF((G594="5/16"),((база!$L$6*Таблица1[[#This Row],[сумма]]*Таблица1[[#This Row],[коэф]])),
IF((G594="4/16"),((база!$L$5*Таблица1[[#This Row],[сумма]]*Таблица1[[#This Row],[коэф]])),
IF((G594="3/16"),((база!$L$4*Таблица1[[#This Row],[сумма]]*Таблица1[[#This Row],[коэф]])),
IF((G594="4/4"),((база!$I$5*Таблица1[[#This Row],[сумма]]*Таблица1[[#This Row],[коэф]])),
IF(OR(G594="2/4",G594="3/4"),((база!$I$4*Таблица1[[#This Row],[сумма]]*Таблица1[[#This Row],[коэф]])),
IF((G594="5/8"),((база!$J$6*Таблица1[[#This Row],[сумма]]*Таблица1[[#This Row],[коэф]])),
IF((G594="4/8"),((база!$J$5*Таблица1[[#This Row],[сумма]]*Таблица1[[#This Row],[коэф]])),
IF(OR(G594="3/8",G594="2/8"),((база!$J$4*Таблица1[[#This Row],[сумма]]*Таблица1[[#This Row],[коэф]])))))))))))))),
(IF((G594="5/24"),((база!$M$6*Таблица1[[#This Row],[сумма]]*Таблица1[[#This Row],[коэф]])),
IF(OR(G594="4/24",G594="3/24"),((база!$M$5*Таблица1[[#This Row],[сумма]]*Таблица1[[#This Row],[коэф]])),
IF((G594="5/16"),((база!$L$6*Таблица1[[#This Row],[сумма]]*Таблица1[[#This Row],[коэф]])),
IF(OR(G594="4/16",G594="3/16"),((база!$L$5*Таблица1[[#This Row],[сумма]]*Таблица1[[#This Row],[коэф]])),
IF(OR(G594="2/4",G594="3/4",G594="4/4"),((база!$I$5*Таблица1[[#This Row],[сумма]]*Таблица1[[#This Row],[коэф]])),
IF((G594="5/8"),((база!$J$6*Таблица1[[#This Row],[сумма]]*Таблица1[[#This Row],[коэф]])),
IF(OR(G594="4/8",G594="3/8",G594="2/8"),((база!$J$5*Таблица1[[#This Row],[сумма]]*Таблица1[[#This Row],[коэф]])))))))))))</f>
        <v>0</v>
      </c>
      <c r="AP594" s="696" t="b">
        <f>IF(AR594&lt;=3,(IF((G594="5/24"),((база!$M$6*2*Таблица1[[#This Row],[Столбец1]]*Таблица1[[#This Row],[коэф]])),
IF((G594="4/24"),((база!$M$5*2*Таблица1[[#This Row],[Столбец1]]*Таблица1[[#This Row],[коэф]])),
IF((G594="3/24"),((база!$M$4*2*Таблица1[[#This Row],[Столбец1]]*Таблица1[[#This Row],[коэф]])),
IF((G594="5/16"),((база!$L$6*2*Таблица1[[#This Row],[Столбец1]]*Таблица1[[#This Row],[коэф]])),
IF((G594="4/16"),((база!$L$5*2*Таблица1[[#This Row],[Столбец1]]*Таблица1[[#This Row],[коэф]])),
IF((G594="3/16"),((база!$L$4*2*Таблица1[[#This Row],[Столбец1]]*Таблица1[[#This Row],[коэф]])),
IF((G594="4/4"),((база!$I$5*2*Таблица1[[#This Row],[Столбец1]]*Таблица1[[#This Row],[коэф]])),
IF(OR(G594="2/4",G594="3/4"),((база!$I$4*2*Таблица1[[#This Row],[Столбец1]]*Таблица1[[#This Row],[коэф]])),
IF((G594="5/8"),((база!$J$6*2*Таблица1[[#This Row],[Столбец1]]*Таблица1[[#This Row],[коэф]])),
IF((G594="4/8"),((база!$J$5*2*Таблица1[[#This Row],[Столбец1]]*Таблица1[[#This Row],[коэф]])),
IF(OR(G594="3/8",G594="2/8"),((база!$J$4*2*Таблица1[[#This Row],[Столбец1]]*Таблица1[[#This Row],[коэф]])))))))))))))),
(IF((G594="5/24"),((база!$M$6*2*Таблица1[[#This Row],[Столбец1]]*Таблица1[[#This Row],[коэф]])),
IF(OR(G594="4/24",G594="3/24"),((база!$M$5*2*Таблица1[[#This Row],[Столбец1]]*Таблица1[[#This Row],[коэф]])),
IF((G594="5/16"),((база!$L$6*2*Таблица1[[#This Row],[Столбец1]]*Таблица1[[#This Row],[коэф]])),
IF(OR(G594="4/16",G594="3/16"),((база!$L$5*2*Таблица1[[#This Row],[Столбец1]]*Таблица1[[#This Row],[коэф]])),
IF(OR(G594="2/4",G594="3/4",G594="4/4"),((база!$I$5*2*Таблица1[[#This Row],[Столбец1]]*Таблица1[[#This Row],[коэф]])),
IF((G594="5/8"),((база!$J$6*2*Таблица1[[#This Row],[Столбец1]]*Таблица1[[#This Row],[коэф]])),
IF(OR(G594="4/8",G594="3/8",G594="2/8"),((база!$J$5*2*Таблица1[[#This Row],[Столбец1]]*Таблица1[[#This Row],[коэф]])))))))))))</f>
        <v>0</v>
      </c>
      <c r="AQ594" s="678" t="str">
        <f>IFERROR(INDEX(база!T:T, MATCH(F594,база!Q:Q,0)),"")</f>
        <v/>
      </c>
      <c r="AR594" s="193">
        <f>IFERROR(INDEX(база!D:D, MATCH(F594,база!B:B,0)),"")</f>
        <v>0</v>
      </c>
    </row>
    <row r="595" spans="1:44" ht="15">
      <c r="A595" s="59"/>
      <c r="B595" s="215"/>
      <c r="C595" s="277"/>
      <c r="D595" s="55"/>
      <c r="E595" s="196"/>
      <c r="F595" s="651"/>
      <c r="G595" s="42"/>
      <c r="H595" s="539"/>
      <c r="I595" s="539"/>
      <c r="J595" s="539"/>
      <c r="K595" s="539"/>
      <c r="L595" s="539"/>
      <c r="M595" s="539"/>
      <c r="N595" s="539"/>
      <c r="O595" s="539"/>
      <c r="P595" s="278"/>
      <c r="Q595" s="539"/>
      <c r="R595" s="539"/>
      <c r="S595" s="539"/>
      <c r="T595" s="539"/>
      <c r="U595" s="539"/>
      <c r="V595" s="539"/>
      <c r="W595" s="539"/>
      <c r="X595" s="539"/>
      <c r="Y595" s="539"/>
      <c r="Z595" s="539"/>
      <c r="AA595" s="539"/>
      <c r="AB595" s="539"/>
      <c r="AC595" s="539"/>
      <c r="AD595" s="43"/>
      <c r="AE595" s="43"/>
      <c r="AF595" s="238"/>
      <c r="AG595" s="43"/>
      <c r="AH595" s="43"/>
      <c r="AI595" s="238"/>
      <c r="AJ595" s="238"/>
      <c r="AK595" s="238"/>
      <c r="AL595" s="238"/>
      <c r="AM595" s="197">
        <f>IF(AQ595=1,SUM(H595:I595,L595:O595,R595:U595,X595:AA595,AD595:AG595,AI595:AK595),
IF(AQ595=2,SUM(H595:K595,N595:Q595,T595:W595,Z595:AC595,AF595:AI595),
IF(AQ595=3,SUM(J595:M595,P595:S595,V595:Y595,AB595:AE595,AH595:AK595),SUM(Таблица1[[#This Row],[1]:[31]])-Таблица1[[#This Row],[Столбец1]])))</f>
        <v>0</v>
      </c>
      <c r="AN595" s="269">
        <f t="array" ref="AN595">IF(AQ595=1,SUM(J595:K595,P595:Q595,V595:W595,AB595:AC595,AH595:AI595),
IF(AQ595=2,SUM(L595:M595,R595:S595,X595:Y595,AD595:AE595),
IF(AQ595=3,SUM(H595:I595,N595:O595,T595:U595,Z595:AA595,AF595:AG595),
SUM(IFERROR(WEEKDAY($H$2:$AL$2,2)&gt;5,)*H595:AL595))))</f>
        <v>0</v>
      </c>
      <c r="AO595" s="271" t="b">
        <f>IF(AR595&lt;=3,(IF((G595="5/24"),((база!$M$6*Таблица1[[#This Row],[сумма]]*Таблица1[[#This Row],[коэф]])),
IF((G595="4/24"),((база!$M$5*Таблица1[[#This Row],[сумма]]*Таблица1[[#This Row],[коэф]])),
IF((G595="3/24"),((база!$M$4*Таблица1[[#This Row],[сумма]]*Таблица1[[#This Row],[коэф]])),
IF((G595="5/16"),((база!$L$6*Таблица1[[#This Row],[сумма]]*Таблица1[[#This Row],[коэф]])),
IF((G595="4/16"),((база!$L$5*Таблица1[[#This Row],[сумма]]*Таблица1[[#This Row],[коэф]])),
IF((G595="3/16"),((база!$L$4*Таблица1[[#This Row],[сумма]]*Таблица1[[#This Row],[коэф]])),
IF((G595="4/4"),((база!$I$5*Таблица1[[#This Row],[сумма]]*Таблица1[[#This Row],[коэф]])),
IF(OR(G595="2/4",G595="3/4"),((база!$I$4*Таблица1[[#This Row],[сумма]]*Таблица1[[#This Row],[коэф]])),
IF((G595="5/8"),((база!$J$6*Таблица1[[#This Row],[сумма]]*Таблица1[[#This Row],[коэф]])),
IF((G595="4/8"),((база!$J$5*Таблица1[[#This Row],[сумма]]*Таблица1[[#This Row],[коэф]])),
IF(OR(G595="3/8",G595="2/8"),((база!$J$4*Таблица1[[#This Row],[сумма]]*Таблица1[[#This Row],[коэф]])))))))))))))),
(IF((G595="5/24"),((база!$M$6*Таблица1[[#This Row],[сумма]]*Таблица1[[#This Row],[коэф]])),
IF(OR(G595="4/24",G595="3/24"),((база!$M$5*Таблица1[[#This Row],[сумма]]*Таблица1[[#This Row],[коэф]])),
IF((G595="5/16"),((база!$L$6*Таблица1[[#This Row],[сумма]]*Таблица1[[#This Row],[коэф]])),
IF(OR(G595="4/16",G595="3/16"),((база!$L$5*Таблица1[[#This Row],[сумма]]*Таблица1[[#This Row],[коэф]])),
IF(OR(G595="2/4",G595="3/4",G595="4/4"),((база!$I$5*Таблица1[[#This Row],[сумма]]*Таблица1[[#This Row],[коэф]])),
IF((G595="5/8"),((база!$J$6*Таблица1[[#This Row],[сумма]]*Таблица1[[#This Row],[коэф]])),
IF(OR(G595="4/8",G595="3/8",G595="2/8"),((база!$J$5*Таблица1[[#This Row],[сумма]]*Таблица1[[#This Row],[коэф]])))))))))))</f>
        <v>0</v>
      </c>
      <c r="AP595" s="696" t="b">
        <f>IF(AR595&lt;=3,(IF((G595="5/24"),((база!$M$6*2*Таблица1[[#This Row],[Столбец1]]*Таблица1[[#This Row],[коэф]])),
IF((G595="4/24"),((база!$M$5*2*Таблица1[[#This Row],[Столбец1]]*Таблица1[[#This Row],[коэф]])),
IF((G595="3/24"),((база!$M$4*2*Таблица1[[#This Row],[Столбец1]]*Таблица1[[#This Row],[коэф]])),
IF((G595="5/16"),((база!$L$6*2*Таблица1[[#This Row],[Столбец1]]*Таблица1[[#This Row],[коэф]])),
IF((G595="4/16"),((база!$L$5*2*Таблица1[[#This Row],[Столбец1]]*Таблица1[[#This Row],[коэф]])),
IF((G595="3/16"),((база!$L$4*2*Таблица1[[#This Row],[Столбец1]]*Таблица1[[#This Row],[коэф]])),
IF((G595="4/4"),((база!$I$5*2*Таблица1[[#This Row],[Столбец1]]*Таблица1[[#This Row],[коэф]])),
IF(OR(G595="2/4",G595="3/4"),((база!$I$4*2*Таблица1[[#This Row],[Столбец1]]*Таблица1[[#This Row],[коэф]])),
IF((G595="5/8"),((база!$J$6*2*Таблица1[[#This Row],[Столбец1]]*Таблица1[[#This Row],[коэф]])),
IF((G595="4/8"),((база!$J$5*2*Таблица1[[#This Row],[Столбец1]]*Таблица1[[#This Row],[коэф]])),
IF(OR(G595="3/8",G595="2/8"),((база!$J$4*2*Таблица1[[#This Row],[Столбец1]]*Таблица1[[#This Row],[коэф]])))))))))))))),
(IF((G595="5/24"),((база!$M$6*2*Таблица1[[#This Row],[Столбец1]]*Таблица1[[#This Row],[коэф]])),
IF(OR(G595="4/24",G595="3/24"),((база!$M$5*2*Таблица1[[#This Row],[Столбец1]]*Таблица1[[#This Row],[коэф]])),
IF((G595="5/16"),((база!$L$6*2*Таблица1[[#This Row],[Столбец1]]*Таблица1[[#This Row],[коэф]])),
IF(OR(G595="4/16",G595="3/16"),((база!$L$5*2*Таблица1[[#This Row],[Столбец1]]*Таблица1[[#This Row],[коэф]])),
IF(OR(G595="2/4",G595="3/4",G595="4/4"),((база!$I$5*2*Таблица1[[#This Row],[Столбец1]]*Таблица1[[#This Row],[коэф]])),
IF((G595="5/8"),((база!$J$6*2*Таблица1[[#This Row],[Столбец1]]*Таблица1[[#This Row],[коэф]])),
IF(OR(G595="4/8",G595="3/8",G595="2/8"),((база!$J$5*2*Таблица1[[#This Row],[Столбец1]]*Таблица1[[#This Row],[коэф]])))))))))))</f>
        <v>0</v>
      </c>
      <c r="AQ595" s="678" t="str">
        <f>IFERROR(INDEX(база!T:T, MATCH(F595,база!Q:Q,0)),"")</f>
        <v/>
      </c>
      <c r="AR595" s="193">
        <f>IFERROR(INDEX(база!D:D, MATCH(F595,база!B:B,0)),"")</f>
        <v>0</v>
      </c>
    </row>
    <row r="596" spans="1:44" ht="15">
      <c r="A596" s="59"/>
      <c r="B596" s="215"/>
      <c r="C596" s="277"/>
      <c r="D596" s="55"/>
      <c r="E596" s="196"/>
      <c r="F596" s="651"/>
      <c r="G596" s="42"/>
      <c r="H596" s="539"/>
      <c r="I596" s="539"/>
      <c r="J596" s="539"/>
      <c r="K596" s="539"/>
      <c r="L596" s="539"/>
      <c r="M596" s="539"/>
      <c r="N596" s="539"/>
      <c r="O596" s="539"/>
      <c r="P596" s="278"/>
      <c r="Q596" s="539"/>
      <c r="R596" s="539"/>
      <c r="S596" s="539"/>
      <c r="T596" s="539"/>
      <c r="U596" s="539"/>
      <c r="V596" s="539"/>
      <c r="W596" s="539"/>
      <c r="X596" s="539"/>
      <c r="Y596" s="539"/>
      <c r="Z596" s="539"/>
      <c r="AA596" s="539"/>
      <c r="AB596" s="539"/>
      <c r="AC596" s="539"/>
      <c r="AD596" s="43"/>
      <c r="AE596" s="43"/>
      <c r="AF596" s="238"/>
      <c r="AG596" s="43"/>
      <c r="AH596" s="43"/>
      <c r="AI596" s="43"/>
      <c r="AJ596" s="43"/>
      <c r="AK596" s="43"/>
      <c r="AL596" s="45"/>
      <c r="AM596" s="197">
        <f>IF(AQ596=1,SUM(H596:I596,L596:O596,R596:U596,X596:AA596,AD596:AG596,AI596:AK596),
IF(AQ596=2,SUM(H596:K596,N596:Q596,T596:W596,Z596:AC596,AF596:AI596),
IF(AQ596=3,SUM(J596:M596,P596:S596,V596:Y596,AB596:AE596,AH596:AK596),SUM(Таблица1[[#This Row],[1]:[31]])-Таблица1[[#This Row],[Столбец1]])))</f>
        <v>0</v>
      </c>
      <c r="AN596" s="269">
        <f t="array" ref="AN596">IF(AQ596=1,SUM(J596:K596,P596:Q596,V596:W596,AB596:AC596,AH596:AI596),
IF(AQ596=2,SUM(L596:M596,R596:S596,X596:Y596,AD596:AE596),
IF(AQ596=3,SUM(H596:I596,N596:O596,T596:U596,Z596:AA596,AF596:AG596),
SUM(IFERROR(WEEKDAY($H$2:$AL$2,2)&gt;5,)*H596:AL596))))</f>
        <v>0</v>
      </c>
      <c r="AO596" s="271" t="b">
        <f>IF(AR596&lt;=3,(IF((G596="5/24"),((база!$M$6*Таблица1[[#This Row],[сумма]]*Таблица1[[#This Row],[коэф]])),
IF((G596="4/24"),((база!$M$5*Таблица1[[#This Row],[сумма]]*Таблица1[[#This Row],[коэф]])),
IF((G596="3/24"),((база!$M$4*Таблица1[[#This Row],[сумма]]*Таблица1[[#This Row],[коэф]])),
IF((G596="5/16"),((база!$L$6*Таблица1[[#This Row],[сумма]]*Таблица1[[#This Row],[коэф]])),
IF((G596="4/16"),((база!$L$5*Таблица1[[#This Row],[сумма]]*Таблица1[[#This Row],[коэф]])),
IF((G596="3/16"),((база!$L$4*Таблица1[[#This Row],[сумма]]*Таблица1[[#This Row],[коэф]])),
IF((G596="4/4"),((база!$I$5*Таблица1[[#This Row],[сумма]]*Таблица1[[#This Row],[коэф]])),
IF(OR(G596="2/4",G596="3/4"),((база!$I$4*Таблица1[[#This Row],[сумма]]*Таблица1[[#This Row],[коэф]])),
IF((G596="5/8"),((база!$J$6*Таблица1[[#This Row],[сумма]]*Таблица1[[#This Row],[коэф]])),
IF((G596="4/8"),((база!$J$5*Таблица1[[#This Row],[сумма]]*Таблица1[[#This Row],[коэф]])),
IF(OR(G596="3/8",G596="2/8"),((база!$J$4*Таблица1[[#This Row],[сумма]]*Таблица1[[#This Row],[коэф]])))))))))))))),
(IF((G596="5/24"),((база!$M$6*Таблица1[[#This Row],[сумма]]*Таблица1[[#This Row],[коэф]])),
IF(OR(G596="4/24",G596="3/24"),((база!$M$5*Таблица1[[#This Row],[сумма]]*Таблица1[[#This Row],[коэф]])),
IF((G596="5/16"),((база!$L$6*Таблица1[[#This Row],[сумма]]*Таблица1[[#This Row],[коэф]])),
IF(OR(G596="4/16",G596="3/16"),((база!$L$5*Таблица1[[#This Row],[сумма]]*Таблица1[[#This Row],[коэф]])),
IF(OR(G596="2/4",G596="3/4",G596="4/4"),((база!$I$5*Таблица1[[#This Row],[сумма]]*Таблица1[[#This Row],[коэф]])),
IF((G596="5/8"),((база!$J$6*Таблица1[[#This Row],[сумма]]*Таблица1[[#This Row],[коэф]])),
IF(OR(G596="4/8",G596="3/8",G596="2/8"),((база!$J$5*Таблица1[[#This Row],[сумма]]*Таблица1[[#This Row],[коэф]])))))))))))</f>
        <v>0</v>
      </c>
      <c r="AP596" s="696" t="b">
        <f>IF(AR596&lt;=3,(IF((G596="5/24"),((база!$M$6*2*Таблица1[[#This Row],[Столбец1]]*Таблица1[[#This Row],[коэф]])),
IF((G596="4/24"),((база!$M$5*2*Таблица1[[#This Row],[Столбец1]]*Таблица1[[#This Row],[коэф]])),
IF((G596="3/24"),((база!$M$4*2*Таблица1[[#This Row],[Столбец1]]*Таблица1[[#This Row],[коэф]])),
IF((G596="5/16"),((база!$L$6*2*Таблица1[[#This Row],[Столбец1]]*Таблица1[[#This Row],[коэф]])),
IF((G596="4/16"),((база!$L$5*2*Таблица1[[#This Row],[Столбец1]]*Таблица1[[#This Row],[коэф]])),
IF((G596="3/16"),((база!$L$4*2*Таблица1[[#This Row],[Столбец1]]*Таблица1[[#This Row],[коэф]])),
IF((G596="4/4"),((база!$I$5*2*Таблица1[[#This Row],[Столбец1]]*Таблица1[[#This Row],[коэф]])),
IF(OR(G596="2/4",G596="3/4"),((база!$I$4*2*Таблица1[[#This Row],[Столбец1]]*Таблица1[[#This Row],[коэф]])),
IF((G596="5/8"),((база!$J$6*2*Таблица1[[#This Row],[Столбец1]]*Таблица1[[#This Row],[коэф]])),
IF((G596="4/8"),((база!$J$5*2*Таблица1[[#This Row],[Столбец1]]*Таблица1[[#This Row],[коэф]])),
IF(OR(G596="3/8",G596="2/8"),((база!$J$4*2*Таблица1[[#This Row],[Столбец1]]*Таблица1[[#This Row],[коэф]])))))))))))))),
(IF((G596="5/24"),((база!$M$6*2*Таблица1[[#This Row],[Столбец1]]*Таблица1[[#This Row],[коэф]])),
IF(OR(G596="4/24",G596="3/24"),((база!$M$5*2*Таблица1[[#This Row],[Столбец1]]*Таблица1[[#This Row],[коэф]])),
IF((G596="5/16"),((база!$L$6*2*Таблица1[[#This Row],[Столбец1]]*Таблица1[[#This Row],[коэф]])),
IF(OR(G596="4/16",G596="3/16"),((база!$L$5*2*Таблица1[[#This Row],[Столбец1]]*Таблица1[[#This Row],[коэф]])),
IF(OR(G596="2/4",G596="3/4",G596="4/4"),((база!$I$5*2*Таблица1[[#This Row],[Столбец1]]*Таблица1[[#This Row],[коэф]])),
IF((G596="5/8"),((база!$J$6*2*Таблица1[[#This Row],[Столбец1]]*Таблица1[[#This Row],[коэф]])),
IF(OR(G596="4/8",G596="3/8",G596="2/8"),((база!$J$5*2*Таблица1[[#This Row],[Столбец1]]*Таблица1[[#This Row],[коэф]])))))))))))</f>
        <v>0</v>
      </c>
      <c r="AQ596" s="678" t="str">
        <f>IFERROR(INDEX(база!T:T, MATCH(F596,база!Q:Q,0)),"")</f>
        <v/>
      </c>
      <c r="AR596" s="193">
        <f>IFERROR(INDEX(база!D:D, MATCH(F596,база!B:B,0)),"")</f>
        <v>0</v>
      </c>
    </row>
    <row r="597" spans="1:44" ht="15">
      <c r="A597" s="59"/>
      <c r="B597" s="215"/>
      <c r="C597" s="277"/>
      <c r="D597" s="55"/>
      <c r="E597" s="196"/>
      <c r="F597" s="651"/>
      <c r="G597" s="42"/>
      <c r="H597" s="539"/>
      <c r="I597" s="539"/>
      <c r="J597" s="539"/>
      <c r="K597" s="539"/>
      <c r="L597" s="539"/>
      <c r="M597" s="539"/>
      <c r="N597" s="539"/>
      <c r="O597" s="539"/>
      <c r="P597" s="278"/>
      <c r="Q597" s="539"/>
      <c r="R597" s="539"/>
      <c r="S597" s="539"/>
      <c r="T597" s="539"/>
      <c r="U597" s="539"/>
      <c r="V597" s="539"/>
      <c r="W597" s="539"/>
      <c r="X597" s="539"/>
      <c r="Y597" s="539"/>
      <c r="Z597" s="539"/>
      <c r="AA597" s="539"/>
      <c r="AB597" s="539"/>
      <c r="AC597" s="539"/>
      <c r="AD597" s="43"/>
      <c r="AE597" s="43"/>
      <c r="AF597" s="238"/>
      <c r="AG597" s="43"/>
      <c r="AH597" s="43"/>
      <c r="AI597" s="238"/>
      <c r="AJ597" s="238"/>
      <c r="AK597" s="238"/>
      <c r="AL597" s="238"/>
      <c r="AM597" s="197">
        <f>IF(AQ597=1,SUM(H597:I597,L597:O597,R597:U597,X597:AA597,AD597:AG597,AI597:AK597),
IF(AQ597=2,SUM(H597:K597,N597:Q597,T597:W597,Z597:AC597,AF597:AI597),
IF(AQ597=3,SUM(J597:M597,P597:S597,V597:Y597,AB597:AE597,AH597:AK597),SUM(Таблица1[[#This Row],[1]:[31]])-Таблица1[[#This Row],[Столбец1]])))</f>
        <v>0</v>
      </c>
      <c r="AN597" s="269">
        <f t="array" ref="AN597">IF(AQ597=1,SUM(J597:K597,P597:Q597,V597:W597,AB597:AC597,AH597:AI597),
IF(AQ597=2,SUM(L597:M597,R597:S597,X597:Y597,AD597:AE597),
IF(AQ597=3,SUM(H597:I597,N597:O597,T597:U597,Z597:AA597,AF597:AG597),
SUM(IFERROR(WEEKDAY($H$2:$AL$2,2)&gt;5,)*H597:AL597))))</f>
        <v>0</v>
      </c>
      <c r="AO597" s="271" t="b">
        <f>IF(AR597&lt;=3,(IF((G597="5/24"),((база!$M$6*Таблица1[[#This Row],[сумма]]*Таблица1[[#This Row],[коэф]])),
IF((G597="4/24"),((база!$M$5*Таблица1[[#This Row],[сумма]]*Таблица1[[#This Row],[коэф]])),
IF((G597="3/24"),((база!$M$4*Таблица1[[#This Row],[сумма]]*Таблица1[[#This Row],[коэф]])),
IF((G597="5/16"),((база!$L$6*Таблица1[[#This Row],[сумма]]*Таблица1[[#This Row],[коэф]])),
IF((G597="4/16"),((база!$L$5*Таблица1[[#This Row],[сумма]]*Таблица1[[#This Row],[коэф]])),
IF((G597="3/16"),((база!$L$4*Таблица1[[#This Row],[сумма]]*Таблица1[[#This Row],[коэф]])),
IF((G597="4/4"),((база!$I$5*Таблица1[[#This Row],[сумма]]*Таблица1[[#This Row],[коэф]])),
IF(OR(G597="2/4",G597="3/4"),((база!$I$4*Таблица1[[#This Row],[сумма]]*Таблица1[[#This Row],[коэф]])),
IF((G597="5/8"),((база!$J$6*Таблица1[[#This Row],[сумма]]*Таблица1[[#This Row],[коэф]])),
IF((G597="4/8"),((база!$J$5*Таблица1[[#This Row],[сумма]]*Таблица1[[#This Row],[коэф]])),
IF(OR(G597="3/8",G597="2/8"),((база!$J$4*Таблица1[[#This Row],[сумма]]*Таблица1[[#This Row],[коэф]])))))))))))))),
(IF((G597="5/24"),((база!$M$6*Таблица1[[#This Row],[сумма]]*Таблица1[[#This Row],[коэф]])),
IF(OR(G597="4/24",G597="3/24"),((база!$M$5*Таблица1[[#This Row],[сумма]]*Таблица1[[#This Row],[коэф]])),
IF((G597="5/16"),((база!$L$6*Таблица1[[#This Row],[сумма]]*Таблица1[[#This Row],[коэф]])),
IF(OR(G597="4/16",G597="3/16"),((база!$L$5*Таблица1[[#This Row],[сумма]]*Таблица1[[#This Row],[коэф]])),
IF(OR(G597="2/4",G597="3/4",G597="4/4"),((база!$I$5*Таблица1[[#This Row],[сумма]]*Таблица1[[#This Row],[коэф]])),
IF((G597="5/8"),((база!$J$6*Таблица1[[#This Row],[сумма]]*Таблица1[[#This Row],[коэф]])),
IF(OR(G597="4/8",G597="3/8",G597="2/8"),((база!$J$5*Таблица1[[#This Row],[сумма]]*Таблица1[[#This Row],[коэф]])))))))))))</f>
        <v>0</v>
      </c>
      <c r="AP597" s="696" t="b">
        <f>IF(AR597&lt;=3,(IF((G597="5/24"),((база!$M$6*2*Таблица1[[#This Row],[Столбец1]]*Таблица1[[#This Row],[коэф]])),
IF((G597="4/24"),((база!$M$5*2*Таблица1[[#This Row],[Столбец1]]*Таблица1[[#This Row],[коэф]])),
IF((G597="3/24"),((база!$M$4*2*Таблица1[[#This Row],[Столбец1]]*Таблица1[[#This Row],[коэф]])),
IF((G597="5/16"),((база!$L$6*2*Таблица1[[#This Row],[Столбец1]]*Таблица1[[#This Row],[коэф]])),
IF((G597="4/16"),((база!$L$5*2*Таблица1[[#This Row],[Столбец1]]*Таблица1[[#This Row],[коэф]])),
IF((G597="3/16"),((база!$L$4*2*Таблица1[[#This Row],[Столбец1]]*Таблица1[[#This Row],[коэф]])),
IF((G597="4/4"),((база!$I$5*2*Таблица1[[#This Row],[Столбец1]]*Таблица1[[#This Row],[коэф]])),
IF(OR(G597="2/4",G597="3/4"),((база!$I$4*2*Таблица1[[#This Row],[Столбец1]]*Таблица1[[#This Row],[коэф]])),
IF((G597="5/8"),((база!$J$6*2*Таблица1[[#This Row],[Столбец1]]*Таблица1[[#This Row],[коэф]])),
IF((G597="4/8"),((база!$J$5*2*Таблица1[[#This Row],[Столбец1]]*Таблица1[[#This Row],[коэф]])),
IF(OR(G597="3/8",G597="2/8"),((база!$J$4*2*Таблица1[[#This Row],[Столбец1]]*Таблица1[[#This Row],[коэф]])))))))))))))),
(IF((G597="5/24"),((база!$M$6*2*Таблица1[[#This Row],[Столбец1]]*Таблица1[[#This Row],[коэф]])),
IF(OR(G597="4/24",G597="3/24"),((база!$M$5*2*Таблица1[[#This Row],[Столбец1]]*Таблица1[[#This Row],[коэф]])),
IF((G597="5/16"),((база!$L$6*2*Таблица1[[#This Row],[Столбец1]]*Таблица1[[#This Row],[коэф]])),
IF(OR(G597="4/16",G597="3/16"),((база!$L$5*2*Таблица1[[#This Row],[Столбец1]]*Таблица1[[#This Row],[коэф]])),
IF(OR(G597="2/4",G597="3/4",G597="4/4"),((база!$I$5*2*Таблица1[[#This Row],[Столбец1]]*Таблица1[[#This Row],[коэф]])),
IF((G597="5/8"),((база!$J$6*2*Таблица1[[#This Row],[Столбец1]]*Таблица1[[#This Row],[коэф]])),
IF(OR(G597="4/8",G597="3/8",G597="2/8"),((база!$J$5*2*Таблица1[[#This Row],[Столбец1]]*Таблица1[[#This Row],[коэф]])))))))))))</f>
        <v>0</v>
      </c>
      <c r="AQ597" s="678" t="str">
        <f>IFERROR(INDEX(база!T:T, MATCH(F597,база!Q:Q,0)),"")</f>
        <v/>
      </c>
      <c r="AR597" s="193">
        <f>IFERROR(INDEX(база!D:D, MATCH(F597,база!B:B,0)),"")</f>
        <v>0</v>
      </c>
    </row>
    <row r="598" spans="1:44" ht="15">
      <c r="A598" s="59"/>
      <c r="B598" s="215"/>
      <c r="C598" s="277"/>
      <c r="D598" s="55"/>
      <c r="E598" s="196"/>
      <c r="F598" s="651"/>
      <c r="G598" s="42"/>
      <c r="H598" s="539"/>
      <c r="I598" s="539"/>
      <c r="J598" s="539"/>
      <c r="K598" s="539"/>
      <c r="L598" s="539"/>
      <c r="M598" s="539"/>
      <c r="N598" s="539"/>
      <c r="O598" s="539"/>
      <c r="P598" s="278"/>
      <c r="Q598" s="539"/>
      <c r="R598" s="539"/>
      <c r="S598" s="539"/>
      <c r="T598" s="539"/>
      <c r="U598" s="539"/>
      <c r="V598" s="539"/>
      <c r="W598" s="539"/>
      <c r="X598" s="539"/>
      <c r="Y598" s="539"/>
      <c r="Z598" s="539"/>
      <c r="AA598" s="539"/>
      <c r="AB598" s="539"/>
      <c r="AC598" s="539"/>
      <c r="AD598" s="43"/>
      <c r="AE598" s="43"/>
      <c r="AF598" s="238"/>
      <c r="AG598" s="43"/>
      <c r="AH598" s="43"/>
      <c r="AI598" s="43"/>
      <c r="AJ598" s="43"/>
      <c r="AK598" s="43"/>
      <c r="AL598" s="45"/>
      <c r="AM598" s="197">
        <f>IF(AQ598=1,SUM(H598:I598,L598:O598,R598:U598,X598:AA598,AD598:AG598,AI598:AK598),
IF(AQ598=2,SUM(H598:K598,N598:Q598,T598:W598,Z598:AC598,AF598:AI598),
IF(AQ598=3,SUM(J598:M598,P598:S598,V598:Y598,AB598:AE598,AH598:AK598),SUM(Таблица1[[#This Row],[1]:[31]])-Таблица1[[#This Row],[Столбец1]])))</f>
        <v>0</v>
      </c>
      <c r="AN598" s="269">
        <f t="array" ref="AN598">IF(AQ598=1,SUM(J598:K598,P598:Q598,V598:W598,AB598:AC598,AH598:AI598),
IF(AQ598=2,SUM(L598:M598,R598:S598,X598:Y598,AD598:AE598),
IF(AQ598=3,SUM(H598:I598,N598:O598,T598:U598,Z598:AA598,AF598:AG598),
SUM(IFERROR(WEEKDAY($H$2:$AL$2,2)&gt;5,)*H598:AL598))))</f>
        <v>0</v>
      </c>
      <c r="AO598" s="271" t="b">
        <f>IF(AR598&lt;=3,(IF((G598="5/24"),((база!$M$6*Таблица1[[#This Row],[сумма]]*Таблица1[[#This Row],[коэф]])),
IF((G598="4/24"),((база!$M$5*Таблица1[[#This Row],[сумма]]*Таблица1[[#This Row],[коэф]])),
IF((G598="3/24"),((база!$M$4*Таблица1[[#This Row],[сумма]]*Таблица1[[#This Row],[коэф]])),
IF((G598="5/16"),((база!$L$6*Таблица1[[#This Row],[сумма]]*Таблица1[[#This Row],[коэф]])),
IF((G598="4/16"),((база!$L$5*Таблица1[[#This Row],[сумма]]*Таблица1[[#This Row],[коэф]])),
IF((G598="3/16"),((база!$L$4*Таблица1[[#This Row],[сумма]]*Таблица1[[#This Row],[коэф]])),
IF((G598="4/4"),((база!$I$5*Таблица1[[#This Row],[сумма]]*Таблица1[[#This Row],[коэф]])),
IF(OR(G598="2/4",G598="3/4"),((база!$I$4*Таблица1[[#This Row],[сумма]]*Таблица1[[#This Row],[коэф]])),
IF((G598="5/8"),((база!$J$6*Таблица1[[#This Row],[сумма]]*Таблица1[[#This Row],[коэф]])),
IF((G598="4/8"),((база!$J$5*Таблица1[[#This Row],[сумма]]*Таблица1[[#This Row],[коэф]])),
IF(OR(G598="3/8",G598="2/8"),((база!$J$4*Таблица1[[#This Row],[сумма]]*Таблица1[[#This Row],[коэф]])))))))))))))),
(IF((G598="5/24"),((база!$M$6*Таблица1[[#This Row],[сумма]]*Таблица1[[#This Row],[коэф]])),
IF(OR(G598="4/24",G598="3/24"),((база!$M$5*Таблица1[[#This Row],[сумма]]*Таблица1[[#This Row],[коэф]])),
IF((G598="5/16"),((база!$L$6*Таблица1[[#This Row],[сумма]]*Таблица1[[#This Row],[коэф]])),
IF(OR(G598="4/16",G598="3/16"),((база!$L$5*Таблица1[[#This Row],[сумма]]*Таблица1[[#This Row],[коэф]])),
IF(OR(G598="2/4",G598="3/4",G598="4/4"),((база!$I$5*Таблица1[[#This Row],[сумма]]*Таблица1[[#This Row],[коэф]])),
IF((G598="5/8"),((база!$J$6*Таблица1[[#This Row],[сумма]]*Таблица1[[#This Row],[коэф]])),
IF(OR(G598="4/8",G598="3/8",G598="2/8"),((база!$J$5*Таблица1[[#This Row],[сумма]]*Таблица1[[#This Row],[коэф]])))))))))))</f>
        <v>0</v>
      </c>
      <c r="AP598" s="696" t="b">
        <f>IF(AR598&lt;=3,(IF((G598="5/24"),((база!$M$6*2*Таблица1[[#This Row],[Столбец1]]*Таблица1[[#This Row],[коэф]])),
IF((G598="4/24"),((база!$M$5*2*Таблица1[[#This Row],[Столбец1]]*Таблица1[[#This Row],[коэф]])),
IF((G598="3/24"),((база!$M$4*2*Таблица1[[#This Row],[Столбец1]]*Таблица1[[#This Row],[коэф]])),
IF((G598="5/16"),((база!$L$6*2*Таблица1[[#This Row],[Столбец1]]*Таблица1[[#This Row],[коэф]])),
IF((G598="4/16"),((база!$L$5*2*Таблица1[[#This Row],[Столбец1]]*Таблица1[[#This Row],[коэф]])),
IF((G598="3/16"),((база!$L$4*2*Таблица1[[#This Row],[Столбец1]]*Таблица1[[#This Row],[коэф]])),
IF((G598="4/4"),((база!$I$5*2*Таблица1[[#This Row],[Столбец1]]*Таблица1[[#This Row],[коэф]])),
IF(OR(G598="2/4",G598="3/4"),((база!$I$4*2*Таблица1[[#This Row],[Столбец1]]*Таблица1[[#This Row],[коэф]])),
IF((G598="5/8"),((база!$J$6*2*Таблица1[[#This Row],[Столбец1]]*Таблица1[[#This Row],[коэф]])),
IF((G598="4/8"),((база!$J$5*2*Таблица1[[#This Row],[Столбец1]]*Таблица1[[#This Row],[коэф]])),
IF(OR(G598="3/8",G598="2/8"),((база!$J$4*2*Таблица1[[#This Row],[Столбец1]]*Таблица1[[#This Row],[коэф]])))))))))))))),
(IF((G598="5/24"),((база!$M$6*2*Таблица1[[#This Row],[Столбец1]]*Таблица1[[#This Row],[коэф]])),
IF(OR(G598="4/24",G598="3/24"),((база!$M$5*2*Таблица1[[#This Row],[Столбец1]]*Таблица1[[#This Row],[коэф]])),
IF((G598="5/16"),((база!$L$6*2*Таблица1[[#This Row],[Столбец1]]*Таблица1[[#This Row],[коэф]])),
IF(OR(G598="4/16",G598="3/16"),((база!$L$5*2*Таблица1[[#This Row],[Столбец1]]*Таблица1[[#This Row],[коэф]])),
IF(OR(G598="2/4",G598="3/4",G598="4/4"),((база!$I$5*2*Таблица1[[#This Row],[Столбец1]]*Таблица1[[#This Row],[коэф]])),
IF((G598="5/8"),((база!$J$6*2*Таблица1[[#This Row],[Столбец1]]*Таблица1[[#This Row],[коэф]])),
IF(OR(G598="4/8",G598="3/8",G598="2/8"),((база!$J$5*2*Таблица1[[#This Row],[Столбец1]]*Таблица1[[#This Row],[коэф]])))))))))))</f>
        <v>0</v>
      </c>
      <c r="AQ598" s="678" t="str">
        <f>IFERROR(INDEX(база!T:T, MATCH(F598,база!Q:Q,0)),"")</f>
        <v/>
      </c>
      <c r="AR598" s="193">
        <f>IFERROR(INDEX(база!D:D, MATCH(F598,база!B:B,0)),"")</f>
        <v>0</v>
      </c>
    </row>
    <row r="599" spans="1:44" ht="15">
      <c r="A599" s="59"/>
      <c r="B599" s="215"/>
      <c r="C599" s="277"/>
      <c r="D599" s="55"/>
      <c r="E599" s="196"/>
      <c r="F599" s="651"/>
      <c r="G599" s="42"/>
      <c r="H599" s="539"/>
      <c r="I599" s="539"/>
      <c r="J599" s="539"/>
      <c r="K599" s="539"/>
      <c r="L599" s="539"/>
      <c r="M599" s="539"/>
      <c r="N599" s="539"/>
      <c r="O599" s="539"/>
      <c r="P599" s="278"/>
      <c r="Q599" s="539"/>
      <c r="R599" s="539"/>
      <c r="S599" s="539"/>
      <c r="T599" s="539"/>
      <c r="U599" s="539"/>
      <c r="V599" s="539"/>
      <c r="W599" s="539"/>
      <c r="X599" s="539"/>
      <c r="Y599" s="539"/>
      <c r="Z599" s="539"/>
      <c r="AA599" s="539"/>
      <c r="AB599" s="539"/>
      <c r="AC599" s="539"/>
      <c r="AD599" s="43"/>
      <c r="AE599" s="43"/>
      <c r="AF599" s="238"/>
      <c r="AG599" s="43"/>
      <c r="AH599" s="43"/>
      <c r="AI599" s="238"/>
      <c r="AJ599" s="238"/>
      <c r="AK599" s="238"/>
      <c r="AL599" s="238"/>
      <c r="AM599" s="197">
        <f>IF(AQ599=1,SUM(H599:I599,L599:O599,R599:U599,X599:AA599,AD599:AG599,AI599:AK599),
IF(AQ599=2,SUM(H599:K599,N599:Q599,T599:W599,Z599:AC599,AF599:AI599),
IF(AQ599=3,SUM(J599:M599,P599:S599,V599:Y599,AB599:AE599,AH599:AK599),SUM(Таблица1[[#This Row],[1]:[31]])-Таблица1[[#This Row],[Столбец1]])))</f>
        <v>0</v>
      </c>
      <c r="AN599" s="269">
        <f t="array" ref="AN599">IF(AQ599=1,SUM(J599:K599,P599:Q599,V599:W599,AB599:AC599,AH599:AI599),
IF(AQ599=2,SUM(L599:M599,R599:S599,X599:Y599,AD599:AE599),
IF(AQ599=3,SUM(H599:I599,N599:O599,T599:U599,Z599:AA599,AF599:AG599),
SUM(IFERROR(WEEKDAY($H$2:$AL$2,2)&gt;5,)*H599:AL599))))</f>
        <v>0</v>
      </c>
      <c r="AO599" s="271" t="b">
        <f>IF(AR599&lt;=3,(IF((G599="5/24"),((база!$M$6*Таблица1[[#This Row],[сумма]]*Таблица1[[#This Row],[коэф]])),
IF((G599="4/24"),((база!$M$5*Таблица1[[#This Row],[сумма]]*Таблица1[[#This Row],[коэф]])),
IF((G599="3/24"),((база!$M$4*Таблица1[[#This Row],[сумма]]*Таблица1[[#This Row],[коэф]])),
IF((G599="5/16"),((база!$L$6*Таблица1[[#This Row],[сумма]]*Таблица1[[#This Row],[коэф]])),
IF((G599="4/16"),((база!$L$5*Таблица1[[#This Row],[сумма]]*Таблица1[[#This Row],[коэф]])),
IF((G599="3/16"),((база!$L$4*Таблица1[[#This Row],[сумма]]*Таблица1[[#This Row],[коэф]])),
IF((G599="4/4"),((база!$I$5*Таблица1[[#This Row],[сумма]]*Таблица1[[#This Row],[коэф]])),
IF(OR(G599="2/4",G599="3/4"),((база!$I$4*Таблица1[[#This Row],[сумма]]*Таблица1[[#This Row],[коэф]])),
IF((G599="5/8"),((база!$J$6*Таблица1[[#This Row],[сумма]]*Таблица1[[#This Row],[коэф]])),
IF((G599="4/8"),((база!$J$5*Таблица1[[#This Row],[сумма]]*Таблица1[[#This Row],[коэф]])),
IF(OR(G599="3/8",G599="2/8"),((база!$J$4*Таблица1[[#This Row],[сумма]]*Таблица1[[#This Row],[коэф]])))))))))))))),
(IF((G599="5/24"),((база!$M$6*Таблица1[[#This Row],[сумма]]*Таблица1[[#This Row],[коэф]])),
IF(OR(G599="4/24",G599="3/24"),((база!$M$5*Таблица1[[#This Row],[сумма]]*Таблица1[[#This Row],[коэф]])),
IF((G599="5/16"),((база!$L$6*Таблица1[[#This Row],[сумма]]*Таблица1[[#This Row],[коэф]])),
IF(OR(G599="4/16",G599="3/16"),((база!$L$5*Таблица1[[#This Row],[сумма]]*Таблица1[[#This Row],[коэф]])),
IF(OR(G599="2/4",G599="3/4",G599="4/4"),((база!$I$5*Таблица1[[#This Row],[сумма]]*Таблица1[[#This Row],[коэф]])),
IF((G599="5/8"),((база!$J$6*Таблица1[[#This Row],[сумма]]*Таблица1[[#This Row],[коэф]])),
IF(OR(G599="4/8",G599="3/8",G599="2/8"),((база!$J$5*Таблица1[[#This Row],[сумма]]*Таблица1[[#This Row],[коэф]])))))))))))</f>
        <v>0</v>
      </c>
      <c r="AP599" s="696" t="b">
        <f>IF(AR599&lt;=3,(IF((G599="5/24"),((база!$M$6*2*Таблица1[[#This Row],[Столбец1]]*Таблица1[[#This Row],[коэф]])),
IF((G599="4/24"),((база!$M$5*2*Таблица1[[#This Row],[Столбец1]]*Таблица1[[#This Row],[коэф]])),
IF((G599="3/24"),((база!$M$4*2*Таблица1[[#This Row],[Столбец1]]*Таблица1[[#This Row],[коэф]])),
IF((G599="5/16"),((база!$L$6*2*Таблица1[[#This Row],[Столбец1]]*Таблица1[[#This Row],[коэф]])),
IF((G599="4/16"),((база!$L$5*2*Таблица1[[#This Row],[Столбец1]]*Таблица1[[#This Row],[коэф]])),
IF((G599="3/16"),((база!$L$4*2*Таблица1[[#This Row],[Столбец1]]*Таблица1[[#This Row],[коэф]])),
IF((G599="4/4"),((база!$I$5*2*Таблица1[[#This Row],[Столбец1]]*Таблица1[[#This Row],[коэф]])),
IF(OR(G599="2/4",G599="3/4"),((база!$I$4*2*Таблица1[[#This Row],[Столбец1]]*Таблица1[[#This Row],[коэф]])),
IF((G599="5/8"),((база!$J$6*2*Таблица1[[#This Row],[Столбец1]]*Таблица1[[#This Row],[коэф]])),
IF((G599="4/8"),((база!$J$5*2*Таблица1[[#This Row],[Столбец1]]*Таблица1[[#This Row],[коэф]])),
IF(OR(G599="3/8",G599="2/8"),((база!$J$4*2*Таблица1[[#This Row],[Столбец1]]*Таблица1[[#This Row],[коэф]])))))))))))))),
(IF((G599="5/24"),((база!$M$6*2*Таблица1[[#This Row],[Столбец1]]*Таблица1[[#This Row],[коэф]])),
IF(OR(G599="4/24",G599="3/24"),((база!$M$5*2*Таблица1[[#This Row],[Столбец1]]*Таблица1[[#This Row],[коэф]])),
IF((G599="5/16"),((база!$L$6*2*Таблица1[[#This Row],[Столбец1]]*Таблица1[[#This Row],[коэф]])),
IF(OR(G599="4/16",G599="3/16"),((база!$L$5*2*Таблица1[[#This Row],[Столбец1]]*Таблица1[[#This Row],[коэф]])),
IF(OR(G599="2/4",G599="3/4",G599="4/4"),((база!$I$5*2*Таблица1[[#This Row],[Столбец1]]*Таблица1[[#This Row],[коэф]])),
IF((G599="5/8"),((база!$J$6*2*Таблица1[[#This Row],[Столбец1]]*Таблица1[[#This Row],[коэф]])),
IF(OR(G599="4/8",G599="3/8",G599="2/8"),((база!$J$5*2*Таблица1[[#This Row],[Столбец1]]*Таблица1[[#This Row],[коэф]])))))))))))</f>
        <v>0</v>
      </c>
      <c r="AQ599" s="678" t="str">
        <f>IFERROR(INDEX(база!T:T, MATCH(F599,база!Q:Q,0)),"")</f>
        <v/>
      </c>
      <c r="AR599" s="193">
        <f>IFERROR(INDEX(база!D:D, MATCH(F599,база!B:B,0)),"")</f>
        <v>0</v>
      </c>
    </row>
    <row r="600" spans="1:44" ht="15">
      <c r="A600" s="59"/>
      <c r="B600" s="215"/>
      <c r="C600" s="277"/>
      <c r="D600" s="55"/>
      <c r="E600" s="196"/>
      <c r="F600" s="651"/>
      <c r="G600" s="42"/>
      <c r="H600" s="539"/>
      <c r="I600" s="539"/>
      <c r="J600" s="539"/>
      <c r="K600" s="539"/>
      <c r="L600" s="539"/>
      <c r="M600" s="539"/>
      <c r="N600" s="539"/>
      <c r="O600" s="539"/>
      <c r="P600" s="278"/>
      <c r="Q600" s="539"/>
      <c r="R600" s="539"/>
      <c r="S600" s="539"/>
      <c r="T600" s="539"/>
      <c r="U600" s="539"/>
      <c r="V600" s="539"/>
      <c r="W600" s="539"/>
      <c r="X600" s="539"/>
      <c r="Y600" s="539"/>
      <c r="Z600" s="539"/>
      <c r="AA600" s="539"/>
      <c r="AB600" s="539"/>
      <c r="AC600" s="539"/>
      <c r="AD600" s="43"/>
      <c r="AE600" s="43"/>
      <c r="AF600" s="238"/>
      <c r="AG600" s="43"/>
      <c r="AH600" s="43"/>
      <c r="AI600" s="43"/>
      <c r="AJ600" s="43"/>
      <c r="AK600" s="43"/>
      <c r="AL600" s="45"/>
      <c r="AM600" s="197">
        <f>IF(AQ600=1,SUM(H600:I600,L600:O600,R600:U600,X600:AA600,AD600:AG600,AI600:AK600),
IF(AQ600=2,SUM(H600:K600,N600:Q600,T600:W600,Z600:AC600,AF600:AI600),
IF(AQ600=3,SUM(J600:M600,P600:S600,V600:Y600,AB600:AE600,AH600:AK600),SUM(Таблица1[[#This Row],[1]:[31]])-Таблица1[[#This Row],[Столбец1]])))</f>
        <v>0</v>
      </c>
      <c r="AN600" s="269">
        <f t="array" ref="AN600">IF(AQ600=1,SUM(J600:K600,P600:Q600,V600:W600,AB600:AC600,AH600:AI600),
IF(AQ600=2,SUM(L600:M600,R600:S600,X600:Y600,AD600:AE600),
IF(AQ600=3,SUM(H600:I600,N600:O600,T600:U600,Z600:AA600,AF600:AG600),
SUM(IFERROR(WEEKDAY($H$2:$AL$2,2)&gt;5,)*H600:AL600))))</f>
        <v>0</v>
      </c>
      <c r="AO600" s="271" t="b">
        <f>IF(AR600&lt;=3,(IF((G600="5/24"),((база!$M$6*Таблица1[[#This Row],[сумма]]*Таблица1[[#This Row],[коэф]])),
IF((G600="4/24"),((база!$M$5*Таблица1[[#This Row],[сумма]]*Таблица1[[#This Row],[коэф]])),
IF((G600="3/24"),((база!$M$4*Таблица1[[#This Row],[сумма]]*Таблица1[[#This Row],[коэф]])),
IF((G600="5/16"),((база!$L$6*Таблица1[[#This Row],[сумма]]*Таблица1[[#This Row],[коэф]])),
IF((G600="4/16"),((база!$L$5*Таблица1[[#This Row],[сумма]]*Таблица1[[#This Row],[коэф]])),
IF((G600="3/16"),((база!$L$4*Таблица1[[#This Row],[сумма]]*Таблица1[[#This Row],[коэф]])),
IF((G600="4/4"),((база!$I$5*Таблица1[[#This Row],[сумма]]*Таблица1[[#This Row],[коэф]])),
IF(OR(G600="2/4",G600="3/4"),((база!$I$4*Таблица1[[#This Row],[сумма]]*Таблица1[[#This Row],[коэф]])),
IF((G600="5/8"),((база!$J$6*Таблица1[[#This Row],[сумма]]*Таблица1[[#This Row],[коэф]])),
IF((G600="4/8"),((база!$J$5*Таблица1[[#This Row],[сумма]]*Таблица1[[#This Row],[коэф]])),
IF(OR(G600="3/8",G600="2/8"),((база!$J$4*Таблица1[[#This Row],[сумма]]*Таблица1[[#This Row],[коэф]])))))))))))))),
(IF((G600="5/24"),((база!$M$6*Таблица1[[#This Row],[сумма]]*Таблица1[[#This Row],[коэф]])),
IF(OR(G600="4/24",G600="3/24"),((база!$M$5*Таблица1[[#This Row],[сумма]]*Таблица1[[#This Row],[коэф]])),
IF((G600="5/16"),((база!$L$6*Таблица1[[#This Row],[сумма]]*Таблица1[[#This Row],[коэф]])),
IF(OR(G600="4/16",G600="3/16"),((база!$L$5*Таблица1[[#This Row],[сумма]]*Таблица1[[#This Row],[коэф]])),
IF(OR(G600="2/4",G600="3/4",G600="4/4"),((база!$I$5*Таблица1[[#This Row],[сумма]]*Таблица1[[#This Row],[коэф]])),
IF((G600="5/8"),((база!$J$6*Таблица1[[#This Row],[сумма]]*Таблица1[[#This Row],[коэф]])),
IF(OR(G600="4/8",G600="3/8",G600="2/8"),((база!$J$5*Таблица1[[#This Row],[сумма]]*Таблица1[[#This Row],[коэф]])))))))))))</f>
        <v>0</v>
      </c>
      <c r="AP600" s="696" t="b">
        <f>IF(AR600&lt;=3,(IF((G600="5/24"),((база!$M$6*2*Таблица1[[#This Row],[Столбец1]]*Таблица1[[#This Row],[коэф]])),
IF((G600="4/24"),((база!$M$5*2*Таблица1[[#This Row],[Столбец1]]*Таблица1[[#This Row],[коэф]])),
IF((G600="3/24"),((база!$M$4*2*Таблица1[[#This Row],[Столбец1]]*Таблица1[[#This Row],[коэф]])),
IF((G600="5/16"),((база!$L$6*2*Таблица1[[#This Row],[Столбец1]]*Таблица1[[#This Row],[коэф]])),
IF((G600="4/16"),((база!$L$5*2*Таблица1[[#This Row],[Столбец1]]*Таблица1[[#This Row],[коэф]])),
IF((G600="3/16"),((база!$L$4*2*Таблица1[[#This Row],[Столбец1]]*Таблица1[[#This Row],[коэф]])),
IF((G600="4/4"),((база!$I$5*2*Таблица1[[#This Row],[Столбец1]]*Таблица1[[#This Row],[коэф]])),
IF(OR(G600="2/4",G600="3/4"),((база!$I$4*2*Таблица1[[#This Row],[Столбец1]]*Таблица1[[#This Row],[коэф]])),
IF((G600="5/8"),((база!$J$6*2*Таблица1[[#This Row],[Столбец1]]*Таблица1[[#This Row],[коэф]])),
IF((G600="4/8"),((база!$J$5*2*Таблица1[[#This Row],[Столбец1]]*Таблица1[[#This Row],[коэф]])),
IF(OR(G600="3/8",G600="2/8"),((база!$J$4*2*Таблица1[[#This Row],[Столбец1]]*Таблица1[[#This Row],[коэф]])))))))))))))),
(IF((G600="5/24"),((база!$M$6*2*Таблица1[[#This Row],[Столбец1]]*Таблица1[[#This Row],[коэф]])),
IF(OR(G600="4/24",G600="3/24"),((база!$M$5*2*Таблица1[[#This Row],[Столбец1]]*Таблица1[[#This Row],[коэф]])),
IF((G600="5/16"),((база!$L$6*2*Таблица1[[#This Row],[Столбец1]]*Таблица1[[#This Row],[коэф]])),
IF(OR(G600="4/16",G600="3/16"),((база!$L$5*2*Таблица1[[#This Row],[Столбец1]]*Таблица1[[#This Row],[коэф]])),
IF(OR(G600="2/4",G600="3/4",G600="4/4"),((база!$I$5*2*Таблица1[[#This Row],[Столбец1]]*Таблица1[[#This Row],[коэф]])),
IF((G600="5/8"),((база!$J$6*2*Таблица1[[#This Row],[Столбец1]]*Таблица1[[#This Row],[коэф]])),
IF(OR(G600="4/8",G600="3/8",G600="2/8"),((база!$J$5*2*Таблица1[[#This Row],[Столбец1]]*Таблица1[[#This Row],[коэф]])))))))))))</f>
        <v>0</v>
      </c>
      <c r="AQ600" s="678" t="str">
        <f>IFERROR(INDEX(база!T:T, MATCH(F600,база!Q:Q,0)),"")</f>
        <v/>
      </c>
      <c r="AR600" s="193">
        <f>IFERROR(INDEX(база!D:D, MATCH(F600,база!B:B,0)),"")</f>
        <v>0</v>
      </c>
    </row>
    <row r="601" spans="1:44" ht="15">
      <c r="A601" s="59"/>
      <c r="B601" s="215"/>
      <c r="C601" s="277"/>
      <c r="D601" s="55"/>
      <c r="E601" s="196"/>
      <c r="F601" s="651"/>
      <c r="G601" s="42"/>
      <c r="H601" s="539"/>
      <c r="I601" s="539"/>
      <c r="J601" s="539"/>
      <c r="K601" s="539"/>
      <c r="L601" s="539"/>
      <c r="M601" s="539"/>
      <c r="N601" s="539"/>
      <c r="O601" s="539"/>
      <c r="P601" s="278"/>
      <c r="Q601" s="539"/>
      <c r="R601" s="539"/>
      <c r="S601" s="539"/>
      <c r="T601" s="539"/>
      <c r="U601" s="539"/>
      <c r="V601" s="539"/>
      <c r="W601" s="539"/>
      <c r="X601" s="539"/>
      <c r="Y601" s="539"/>
      <c r="Z601" s="539"/>
      <c r="AA601" s="539"/>
      <c r="AB601" s="539"/>
      <c r="AC601" s="539"/>
      <c r="AD601" s="43"/>
      <c r="AE601" s="43"/>
      <c r="AF601" s="238"/>
      <c r="AG601" s="43"/>
      <c r="AH601" s="43"/>
      <c r="AI601" s="238"/>
      <c r="AJ601" s="238"/>
      <c r="AK601" s="238"/>
      <c r="AL601" s="238"/>
      <c r="AM601" s="197">
        <f>IF(AQ601=1,SUM(H601:I601,L601:O601,R601:U601,X601:AA601,AD601:AG601,AI601:AK601),
IF(AQ601=2,SUM(H601:K601,N601:Q601,T601:W601,Z601:AC601,AF601:AI601),
IF(AQ601=3,SUM(J601:M601,P601:S601,V601:Y601,AB601:AE601,AH601:AK601),SUM(Таблица1[[#This Row],[1]:[31]])-Таблица1[[#This Row],[Столбец1]])))</f>
        <v>0</v>
      </c>
      <c r="AN601" s="269">
        <f t="array" ref="AN601">IF(AQ601=1,SUM(J601:K601,P601:Q601,V601:W601,AB601:AC601,AH601:AI601),
IF(AQ601=2,SUM(L601:M601,R601:S601,X601:Y601,AD601:AE601),
IF(AQ601=3,SUM(H601:I601,N601:O601,T601:U601,Z601:AA601,AF601:AG601),
SUM(IFERROR(WEEKDAY($H$2:$AL$2,2)&gt;5,)*H601:AL601))))</f>
        <v>0</v>
      </c>
      <c r="AO601" s="271" t="b">
        <f>IF(AR601&lt;=3,(IF((G601="5/24"),((база!$M$6*Таблица1[[#This Row],[сумма]]*Таблица1[[#This Row],[коэф]])),
IF((G601="4/24"),((база!$M$5*Таблица1[[#This Row],[сумма]]*Таблица1[[#This Row],[коэф]])),
IF((G601="3/24"),((база!$M$4*Таблица1[[#This Row],[сумма]]*Таблица1[[#This Row],[коэф]])),
IF((G601="5/16"),((база!$L$6*Таблица1[[#This Row],[сумма]]*Таблица1[[#This Row],[коэф]])),
IF((G601="4/16"),((база!$L$5*Таблица1[[#This Row],[сумма]]*Таблица1[[#This Row],[коэф]])),
IF((G601="3/16"),((база!$L$4*Таблица1[[#This Row],[сумма]]*Таблица1[[#This Row],[коэф]])),
IF((G601="4/4"),((база!$I$5*Таблица1[[#This Row],[сумма]]*Таблица1[[#This Row],[коэф]])),
IF(OR(G601="2/4",G601="3/4"),((база!$I$4*Таблица1[[#This Row],[сумма]]*Таблица1[[#This Row],[коэф]])),
IF((G601="5/8"),((база!$J$6*Таблица1[[#This Row],[сумма]]*Таблица1[[#This Row],[коэф]])),
IF((G601="4/8"),((база!$J$5*Таблица1[[#This Row],[сумма]]*Таблица1[[#This Row],[коэф]])),
IF(OR(G601="3/8",G601="2/8"),((база!$J$4*Таблица1[[#This Row],[сумма]]*Таблица1[[#This Row],[коэф]])))))))))))))),
(IF((G601="5/24"),((база!$M$6*Таблица1[[#This Row],[сумма]]*Таблица1[[#This Row],[коэф]])),
IF(OR(G601="4/24",G601="3/24"),((база!$M$5*Таблица1[[#This Row],[сумма]]*Таблица1[[#This Row],[коэф]])),
IF((G601="5/16"),((база!$L$6*Таблица1[[#This Row],[сумма]]*Таблица1[[#This Row],[коэф]])),
IF(OR(G601="4/16",G601="3/16"),((база!$L$5*Таблица1[[#This Row],[сумма]]*Таблица1[[#This Row],[коэф]])),
IF(OR(G601="2/4",G601="3/4",G601="4/4"),((база!$I$5*Таблица1[[#This Row],[сумма]]*Таблица1[[#This Row],[коэф]])),
IF((G601="5/8"),((база!$J$6*Таблица1[[#This Row],[сумма]]*Таблица1[[#This Row],[коэф]])),
IF(OR(G601="4/8",G601="3/8",G601="2/8"),((база!$J$5*Таблица1[[#This Row],[сумма]]*Таблица1[[#This Row],[коэф]])))))))))))</f>
        <v>0</v>
      </c>
      <c r="AP601" s="696" t="b">
        <f>IF(AR601&lt;=3,(IF((G601="5/24"),((база!$M$6*2*Таблица1[[#This Row],[Столбец1]]*Таблица1[[#This Row],[коэф]])),
IF((G601="4/24"),((база!$M$5*2*Таблица1[[#This Row],[Столбец1]]*Таблица1[[#This Row],[коэф]])),
IF((G601="3/24"),((база!$M$4*2*Таблица1[[#This Row],[Столбец1]]*Таблица1[[#This Row],[коэф]])),
IF((G601="5/16"),((база!$L$6*2*Таблица1[[#This Row],[Столбец1]]*Таблица1[[#This Row],[коэф]])),
IF((G601="4/16"),((база!$L$5*2*Таблица1[[#This Row],[Столбец1]]*Таблица1[[#This Row],[коэф]])),
IF((G601="3/16"),((база!$L$4*2*Таблица1[[#This Row],[Столбец1]]*Таблица1[[#This Row],[коэф]])),
IF((G601="4/4"),((база!$I$5*2*Таблица1[[#This Row],[Столбец1]]*Таблица1[[#This Row],[коэф]])),
IF(OR(G601="2/4",G601="3/4"),((база!$I$4*2*Таблица1[[#This Row],[Столбец1]]*Таблица1[[#This Row],[коэф]])),
IF((G601="5/8"),((база!$J$6*2*Таблица1[[#This Row],[Столбец1]]*Таблица1[[#This Row],[коэф]])),
IF((G601="4/8"),((база!$J$5*2*Таблица1[[#This Row],[Столбец1]]*Таблица1[[#This Row],[коэф]])),
IF(OR(G601="3/8",G601="2/8"),((база!$J$4*2*Таблица1[[#This Row],[Столбец1]]*Таблица1[[#This Row],[коэф]])))))))))))))),
(IF((G601="5/24"),((база!$M$6*2*Таблица1[[#This Row],[Столбец1]]*Таблица1[[#This Row],[коэф]])),
IF(OR(G601="4/24",G601="3/24"),((база!$M$5*2*Таблица1[[#This Row],[Столбец1]]*Таблица1[[#This Row],[коэф]])),
IF((G601="5/16"),((база!$L$6*2*Таблица1[[#This Row],[Столбец1]]*Таблица1[[#This Row],[коэф]])),
IF(OR(G601="4/16",G601="3/16"),((база!$L$5*2*Таблица1[[#This Row],[Столбец1]]*Таблица1[[#This Row],[коэф]])),
IF(OR(G601="2/4",G601="3/4",G601="4/4"),((база!$I$5*2*Таблица1[[#This Row],[Столбец1]]*Таблица1[[#This Row],[коэф]])),
IF((G601="5/8"),((база!$J$6*2*Таблица1[[#This Row],[Столбец1]]*Таблица1[[#This Row],[коэф]])),
IF(OR(G601="4/8",G601="3/8",G601="2/8"),((база!$J$5*2*Таблица1[[#This Row],[Столбец1]]*Таблица1[[#This Row],[коэф]])))))))))))</f>
        <v>0</v>
      </c>
      <c r="AQ601" s="678" t="str">
        <f>IFERROR(INDEX(база!T:T, MATCH(F601,база!Q:Q,0)),"")</f>
        <v/>
      </c>
      <c r="AR601" s="193">
        <f>IFERROR(INDEX(база!D:D, MATCH(F601,база!B:B,0)),"")</f>
        <v>0</v>
      </c>
    </row>
    <row r="602" spans="1:44" ht="15">
      <c r="A602" s="59"/>
      <c r="B602" s="215"/>
      <c r="C602" s="277"/>
      <c r="D602" s="55"/>
      <c r="E602" s="196"/>
      <c r="F602" s="651"/>
      <c r="G602" s="42"/>
      <c r="H602" s="539"/>
      <c r="I602" s="539"/>
      <c r="J602" s="539"/>
      <c r="K602" s="539"/>
      <c r="L602" s="539"/>
      <c r="M602" s="539"/>
      <c r="N602" s="539"/>
      <c r="O602" s="539"/>
      <c r="P602" s="278"/>
      <c r="Q602" s="539"/>
      <c r="R602" s="539"/>
      <c r="S602" s="539"/>
      <c r="T602" s="539"/>
      <c r="U602" s="539"/>
      <c r="V602" s="539"/>
      <c r="W602" s="539"/>
      <c r="X602" s="539"/>
      <c r="Y602" s="539"/>
      <c r="Z602" s="539"/>
      <c r="AA602" s="539"/>
      <c r="AB602" s="539"/>
      <c r="AC602" s="539"/>
      <c r="AD602" s="43"/>
      <c r="AE602" s="43"/>
      <c r="AF602" s="238"/>
      <c r="AG602" s="43"/>
      <c r="AH602" s="43"/>
      <c r="AI602" s="43"/>
      <c r="AJ602" s="43"/>
      <c r="AK602" s="43"/>
      <c r="AL602" s="45"/>
      <c r="AM602" s="197">
        <f>IF(AQ602=1,SUM(H602:I602,L602:O602,R602:U602,X602:AA602,AD602:AG602,AI602:AK602),
IF(AQ602=2,SUM(H602:K602,N602:Q602,T602:W602,Z602:AC602,AF602:AI602),
IF(AQ602=3,SUM(J602:M602,P602:S602,V602:Y602,AB602:AE602,AH602:AK602),SUM(Таблица1[[#This Row],[1]:[31]])-Таблица1[[#This Row],[Столбец1]])))</f>
        <v>0</v>
      </c>
      <c r="AN602" s="269">
        <f t="array" ref="AN602">IF(AQ602=1,SUM(J602:K602,P602:Q602,V602:W602,AB602:AC602,AH602:AI602),
IF(AQ602=2,SUM(L602:M602,R602:S602,X602:Y602,AD602:AE602),
IF(AQ602=3,SUM(H602:I602,N602:O602,T602:U602,Z602:AA602,AF602:AG602),
SUM(IFERROR(WEEKDAY($H$2:$AL$2,2)&gt;5,)*H602:AL602))))</f>
        <v>0</v>
      </c>
      <c r="AO602" s="271" t="b">
        <f>IF(AR602&lt;=3,(IF((G602="5/24"),((база!$M$6*Таблица1[[#This Row],[сумма]]*Таблица1[[#This Row],[коэф]])),
IF((G602="4/24"),((база!$M$5*Таблица1[[#This Row],[сумма]]*Таблица1[[#This Row],[коэф]])),
IF((G602="3/24"),((база!$M$4*Таблица1[[#This Row],[сумма]]*Таблица1[[#This Row],[коэф]])),
IF((G602="5/16"),((база!$L$6*Таблица1[[#This Row],[сумма]]*Таблица1[[#This Row],[коэф]])),
IF((G602="4/16"),((база!$L$5*Таблица1[[#This Row],[сумма]]*Таблица1[[#This Row],[коэф]])),
IF((G602="3/16"),((база!$L$4*Таблица1[[#This Row],[сумма]]*Таблица1[[#This Row],[коэф]])),
IF((G602="4/4"),((база!$I$5*Таблица1[[#This Row],[сумма]]*Таблица1[[#This Row],[коэф]])),
IF(OR(G602="2/4",G602="3/4"),((база!$I$4*Таблица1[[#This Row],[сумма]]*Таблица1[[#This Row],[коэф]])),
IF((G602="5/8"),((база!$J$6*Таблица1[[#This Row],[сумма]]*Таблица1[[#This Row],[коэф]])),
IF((G602="4/8"),((база!$J$5*Таблица1[[#This Row],[сумма]]*Таблица1[[#This Row],[коэф]])),
IF(OR(G602="3/8",G602="2/8"),((база!$J$4*Таблица1[[#This Row],[сумма]]*Таблица1[[#This Row],[коэф]])))))))))))))),
(IF((G602="5/24"),((база!$M$6*Таблица1[[#This Row],[сумма]]*Таблица1[[#This Row],[коэф]])),
IF(OR(G602="4/24",G602="3/24"),((база!$M$5*Таблица1[[#This Row],[сумма]]*Таблица1[[#This Row],[коэф]])),
IF((G602="5/16"),((база!$L$6*Таблица1[[#This Row],[сумма]]*Таблица1[[#This Row],[коэф]])),
IF(OR(G602="4/16",G602="3/16"),((база!$L$5*Таблица1[[#This Row],[сумма]]*Таблица1[[#This Row],[коэф]])),
IF(OR(G602="2/4",G602="3/4",G602="4/4"),((база!$I$5*Таблица1[[#This Row],[сумма]]*Таблица1[[#This Row],[коэф]])),
IF((G602="5/8"),((база!$J$6*Таблица1[[#This Row],[сумма]]*Таблица1[[#This Row],[коэф]])),
IF(OR(G602="4/8",G602="3/8",G602="2/8"),((база!$J$5*Таблица1[[#This Row],[сумма]]*Таблица1[[#This Row],[коэф]])))))))))))</f>
        <v>0</v>
      </c>
      <c r="AP602" s="696" t="b">
        <f>IF(AR602&lt;=3,(IF((G602="5/24"),((база!$M$6*2*Таблица1[[#This Row],[Столбец1]]*Таблица1[[#This Row],[коэф]])),
IF((G602="4/24"),((база!$M$5*2*Таблица1[[#This Row],[Столбец1]]*Таблица1[[#This Row],[коэф]])),
IF((G602="3/24"),((база!$M$4*2*Таблица1[[#This Row],[Столбец1]]*Таблица1[[#This Row],[коэф]])),
IF((G602="5/16"),((база!$L$6*2*Таблица1[[#This Row],[Столбец1]]*Таблица1[[#This Row],[коэф]])),
IF((G602="4/16"),((база!$L$5*2*Таблица1[[#This Row],[Столбец1]]*Таблица1[[#This Row],[коэф]])),
IF((G602="3/16"),((база!$L$4*2*Таблица1[[#This Row],[Столбец1]]*Таблица1[[#This Row],[коэф]])),
IF((G602="4/4"),((база!$I$5*2*Таблица1[[#This Row],[Столбец1]]*Таблица1[[#This Row],[коэф]])),
IF(OR(G602="2/4",G602="3/4"),((база!$I$4*2*Таблица1[[#This Row],[Столбец1]]*Таблица1[[#This Row],[коэф]])),
IF((G602="5/8"),((база!$J$6*2*Таблица1[[#This Row],[Столбец1]]*Таблица1[[#This Row],[коэф]])),
IF((G602="4/8"),((база!$J$5*2*Таблица1[[#This Row],[Столбец1]]*Таблица1[[#This Row],[коэф]])),
IF(OR(G602="3/8",G602="2/8"),((база!$J$4*2*Таблица1[[#This Row],[Столбец1]]*Таблица1[[#This Row],[коэф]])))))))))))))),
(IF((G602="5/24"),((база!$M$6*2*Таблица1[[#This Row],[Столбец1]]*Таблица1[[#This Row],[коэф]])),
IF(OR(G602="4/24",G602="3/24"),((база!$M$5*2*Таблица1[[#This Row],[Столбец1]]*Таблица1[[#This Row],[коэф]])),
IF((G602="5/16"),((база!$L$6*2*Таблица1[[#This Row],[Столбец1]]*Таблица1[[#This Row],[коэф]])),
IF(OR(G602="4/16",G602="3/16"),((база!$L$5*2*Таблица1[[#This Row],[Столбец1]]*Таблица1[[#This Row],[коэф]])),
IF(OR(G602="2/4",G602="3/4",G602="4/4"),((база!$I$5*2*Таблица1[[#This Row],[Столбец1]]*Таблица1[[#This Row],[коэф]])),
IF((G602="5/8"),((база!$J$6*2*Таблица1[[#This Row],[Столбец1]]*Таблица1[[#This Row],[коэф]])),
IF(OR(G602="4/8",G602="3/8",G602="2/8"),((база!$J$5*2*Таблица1[[#This Row],[Столбец1]]*Таблица1[[#This Row],[коэф]])))))))))))</f>
        <v>0</v>
      </c>
      <c r="AQ602" s="678" t="str">
        <f>IFERROR(INDEX(база!T:T, MATCH(F602,база!Q:Q,0)),"")</f>
        <v/>
      </c>
      <c r="AR602" s="193">
        <f>IFERROR(INDEX(база!D:D, MATCH(F602,база!B:B,0)),"")</f>
        <v>0</v>
      </c>
    </row>
    <row r="603" spans="1:44" ht="15">
      <c r="A603" s="59"/>
      <c r="B603" s="215"/>
      <c r="C603" s="277"/>
      <c r="D603" s="55"/>
      <c r="E603" s="196"/>
      <c r="F603" s="651"/>
      <c r="G603" s="42"/>
      <c r="H603" s="539"/>
      <c r="I603" s="539"/>
      <c r="J603" s="539"/>
      <c r="K603" s="539"/>
      <c r="L603" s="539"/>
      <c r="M603" s="539"/>
      <c r="N603" s="539"/>
      <c r="O603" s="539"/>
      <c r="P603" s="278"/>
      <c r="Q603" s="539"/>
      <c r="R603" s="539"/>
      <c r="S603" s="539"/>
      <c r="T603" s="539"/>
      <c r="U603" s="539"/>
      <c r="V603" s="539"/>
      <c r="W603" s="539"/>
      <c r="X603" s="539"/>
      <c r="Y603" s="539"/>
      <c r="Z603" s="539"/>
      <c r="AA603" s="539"/>
      <c r="AB603" s="539"/>
      <c r="AC603" s="539"/>
      <c r="AD603" s="43"/>
      <c r="AE603" s="43"/>
      <c r="AF603" s="238"/>
      <c r="AG603" s="43"/>
      <c r="AH603" s="43"/>
      <c r="AI603" s="238"/>
      <c r="AJ603" s="238"/>
      <c r="AK603" s="238"/>
      <c r="AL603" s="238"/>
      <c r="AM603" s="197">
        <f>IF(AQ603=1,SUM(H603:I603,L603:O603,R603:U603,X603:AA603,AD603:AG603,AI603:AK603),
IF(AQ603=2,SUM(H603:K603,N603:Q603,T603:W603,Z603:AC603,AF603:AI603),
IF(AQ603=3,SUM(J603:M603,P603:S603,V603:Y603,AB603:AE603,AH603:AK603),SUM(Таблица1[[#This Row],[1]:[31]])-Таблица1[[#This Row],[Столбец1]])))</f>
        <v>0</v>
      </c>
      <c r="AN603" s="269">
        <f t="array" ref="AN603">IF(AQ603=1,SUM(J603:K603,P603:Q603,V603:W603,AB603:AC603,AH603:AI603),
IF(AQ603=2,SUM(L603:M603,R603:S603,X603:Y603,AD603:AE603),
IF(AQ603=3,SUM(H603:I603,N603:O603,T603:U603,Z603:AA603,AF603:AG603),
SUM(IFERROR(WEEKDAY($H$2:$AL$2,2)&gt;5,)*H603:AL603))))</f>
        <v>0</v>
      </c>
      <c r="AO603" s="271" t="b">
        <f>IF(AR603&lt;=3,(IF((G603="5/24"),((база!$M$6*Таблица1[[#This Row],[сумма]]*Таблица1[[#This Row],[коэф]])),
IF((G603="4/24"),((база!$M$5*Таблица1[[#This Row],[сумма]]*Таблица1[[#This Row],[коэф]])),
IF((G603="3/24"),((база!$M$4*Таблица1[[#This Row],[сумма]]*Таблица1[[#This Row],[коэф]])),
IF((G603="5/16"),((база!$L$6*Таблица1[[#This Row],[сумма]]*Таблица1[[#This Row],[коэф]])),
IF((G603="4/16"),((база!$L$5*Таблица1[[#This Row],[сумма]]*Таблица1[[#This Row],[коэф]])),
IF((G603="3/16"),((база!$L$4*Таблица1[[#This Row],[сумма]]*Таблица1[[#This Row],[коэф]])),
IF((G603="4/4"),((база!$I$5*Таблица1[[#This Row],[сумма]]*Таблица1[[#This Row],[коэф]])),
IF(OR(G603="2/4",G603="3/4"),((база!$I$4*Таблица1[[#This Row],[сумма]]*Таблица1[[#This Row],[коэф]])),
IF((G603="5/8"),((база!$J$6*Таблица1[[#This Row],[сумма]]*Таблица1[[#This Row],[коэф]])),
IF((G603="4/8"),((база!$J$5*Таблица1[[#This Row],[сумма]]*Таблица1[[#This Row],[коэф]])),
IF(OR(G603="3/8",G603="2/8"),((база!$J$4*Таблица1[[#This Row],[сумма]]*Таблица1[[#This Row],[коэф]])))))))))))))),
(IF((G603="5/24"),((база!$M$6*Таблица1[[#This Row],[сумма]]*Таблица1[[#This Row],[коэф]])),
IF(OR(G603="4/24",G603="3/24"),((база!$M$5*Таблица1[[#This Row],[сумма]]*Таблица1[[#This Row],[коэф]])),
IF((G603="5/16"),((база!$L$6*Таблица1[[#This Row],[сумма]]*Таблица1[[#This Row],[коэф]])),
IF(OR(G603="4/16",G603="3/16"),((база!$L$5*Таблица1[[#This Row],[сумма]]*Таблица1[[#This Row],[коэф]])),
IF(OR(G603="2/4",G603="3/4",G603="4/4"),((база!$I$5*Таблица1[[#This Row],[сумма]]*Таблица1[[#This Row],[коэф]])),
IF((G603="5/8"),((база!$J$6*Таблица1[[#This Row],[сумма]]*Таблица1[[#This Row],[коэф]])),
IF(OR(G603="4/8",G603="3/8",G603="2/8"),((база!$J$5*Таблица1[[#This Row],[сумма]]*Таблица1[[#This Row],[коэф]])))))))))))</f>
        <v>0</v>
      </c>
      <c r="AP603" s="696" t="b">
        <f>IF(AR603&lt;=3,(IF((G603="5/24"),((база!$M$6*2*Таблица1[[#This Row],[Столбец1]]*Таблица1[[#This Row],[коэф]])),
IF((G603="4/24"),((база!$M$5*2*Таблица1[[#This Row],[Столбец1]]*Таблица1[[#This Row],[коэф]])),
IF((G603="3/24"),((база!$M$4*2*Таблица1[[#This Row],[Столбец1]]*Таблица1[[#This Row],[коэф]])),
IF((G603="5/16"),((база!$L$6*2*Таблица1[[#This Row],[Столбец1]]*Таблица1[[#This Row],[коэф]])),
IF((G603="4/16"),((база!$L$5*2*Таблица1[[#This Row],[Столбец1]]*Таблица1[[#This Row],[коэф]])),
IF((G603="3/16"),((база!$L$4*2*Таблица1[[#This Row],[Столбец1]]*Таблица1[[#This Row],[коэф]])),
IF((G603="4/4"),((база!$I$5*2*Таблица1[[#This Row],[Столбец1]]*Таблица1[[#This Row],[коэф]])),
IF(OR(G603="2/4",G603="3/4"),((база!$I$4*2*Таблица1[[#This Row],[Столбец1]]*Таблица1[[#This Row],[коэф]])),
IF((G603="5/8"),((база!$J$6*2*Таблица1[[#This Row],[Столбец1]]*Таблица1[[#This Row],[коэф]])),
IF((G603="4/8"),((база!$J$5*2*Таблица1[[#This Row],[Столбец1]]*Таблица1[[#This Row],[коэф]])),
IF(OR(G603="3/8",G603="2/8"),((база!$J$4*2*Таблица1[[#This Row],[Столбец1]]*Таблица1[[#This Row],[коэф]])))))))))))))),
(IF((G603="5/24"),((база!$M$6*2*Таблица1[[#This Row],[Столбец1]]*Таблица1[[#This Row],[коэф]])),
IF(OR(G603="4/24",G603="3/24"),((база!$M$5*2*Таблица1[[#This Row],[Столбец1]]*Таблица1[[#This Row],[коэф]])),
IF((G603="5/16"),((база!$L$6*2*Таблица1[[#This Row],[Столбец1]]*Таблица1[[#This Row],[коэф]])),
IF(OR(G603="4/16",G603="3/16"),((база!$L$5*2*Таблица1[[#This Row],[Столбец1]]*Таблица1[[#This Row],[коэф]])),
IF(OR(G603="2/4",G603="3/4",G603="4/4"),((база!$I$5*2*Таблица1[[#This Row],[Столбец1]]*Таблица1[[#This Row],[коэф]])),
IF((G603="5/8"),((база!$J$6*2*Таблица1[[#This Row],[Столбец1]]*Таблица1[[#This Row],[коэф]])),
IF(OR(G603="4/8",G603="3/8",G603="2/8"),((база!$J$5*2*Таблица1[[#This Row],[Столбец1]]*Таблица1[[#This Row],[коэф]])))))))))))</f>
        <v>0</v>
      </c>
      <c r="AQ603" s="678" t="str">
        <f>IFERROR(INDEX(база!T:T, MATCH(F603,база!Q:Q,0)),"")</f>
        <v/>
      </c>
      <c r="AR603" s="193">
        <f>IFERROR(INDEX(база!D:D, MATCH(F603,база!B:B,0)),"")</f>
        <v>0</v>
      </c>
    </row>
    <row r="604" spans="1:44" ht="15">
      <c r="A604" s="59"/>
      <c r="B604" s="215"/>
      <c r="C604" s="277"/>
      <c r="D604" s="55"/>
      <c r="E604" s="196"/>
      <c r="F604" s="651"/>
      <c r="G604" s="42"/>
      <c r="H604" s="539"/>
      <c r="I604" s="539"/>
      <c r="J604" s="539"/>
      <c r="K604" s="539"/>
      <c r="L604" s="539"/>
      <c r="M604" s="539"/>
      <c r="N604" s="539"/>
      <c r="O604" s="539"/>
      <c r="P604" s="278"/>
      <c r="Q604" s="539"/>
      <c r="R604" s="539"/>
      <c r="S604" s="539"/>
      <c r="T604" s="539"/>
      <c r="U604" s="539"/>
      <c r="V604" s="539"/>
      <c r="W604" s="539"/>
      <c r="X604" s="539"/>
      <c r="Y604" s="539"/>
      <c r="Z604" s="539"/>
      <c r="AA604" s="539"/>
      <c r="AB604" s="539"/>
      <c r="AC604" s="539"/>
      <c r="AD604" s="43"/>
      <c r="AE604" s="43"/>
      <c r="AF604" s="238"/>
      <c r="AG604" s="43"/>
      <c r="AH604" s="43"/>
      <c r="AI604" s="43"/>
      <c r="AJ604" s="43"/>
      <c r="AK604" s="43"/>
      <c r="AL604" s="45"/>
      <c r="AM604" s="197">
        <f>IF(AQ604=1,SUM(H604:I604,L604:O604,R604:U604,X604:AA604,AD604:AG604,AI604:AK604),
IF(AQ604=2,SUM(H604:K604,N604:Q604,T604:W604,Z604:AC604,AF604:AI604),
IF(AQ604=3,SUM(J604:M604,P604:S604,V604:Y604,AB604:AE604,AH604:AK604),SUM(Таблица1[[#This Row],[1]:[31]])-Таблица1[[#This Row],[Столбец1]])))</f>
        <v>0</v>
      </c>
      <c r="AN604" s="269">
        <f t="array" ref="AN604">IF(AQ604=1,SUM(J604:K604,P604:Q604,V604:W604,AB604:AC604,AH604:AI604),
IF(AQ604=2,SUM(L604:M604,R604:S604,X604:Y604,AD604:AE604),
IF(AQ604=3,SUM(H604:I604,N604:O604,T604:U604,Z604:AA604,AF604:AG604),
SUM(IFERROR(WEEKDAY($H$2:$AL$2,2)&gt;5,)*H604:AL604))))</f>
        <v>0</v>
      </c>
      <c r="AO604" s="271" t="b">
        <f>IF(AR604&lt;=3,(IF((G604="5/24"),((база!$M$6*Таблица1[[#This Row],[сумма]]*Таблица1[[#This Row],[коэф]])),
IF((G604="4/24"),((база!$M$5*Таблица1[[#This Row],[сумма]]*Таблица1[[#This Row],[коэф]])),
IF((G604="3/24"),((база!$M$4*Таблица1[[#This Row],[сумма]]*Таблица1[[#This Row],[коэф]])),
IF((G604="5/16"),((база!$L$6*Таблица1[[#This Row],[сумма]]*Таблица1[[#This Row],[коэф]])),
IF((G604="4/16"),((база!$L$5*Таблица1[[#This Row],[сумма]]*Таблица1[[#This Row],[коэф]])),
IF((G604="3/16"),((база!$L$4*Таблица1[[#This Row],[сумма]]*Таблица1[[#This Row],[коэф]])),
IF((G604="4/4"),((база!$I$5*Таблица1[[#This Row],[сумма]]*Таблица1[[#This Row],[коэф]])),
IF(OR(G604="2/4",G604="3/4"),((база!$I$4*Таблица1[[#This Row],[сумма]]*Таблица1[[#This Row],[коэф]])),
IF((G604="5/8"),((база!$J$6*Таблица1[[#This Row],[сумма]]*Таблица1[[#This Row],[коэф]])),
IF((G604="4/8"),((база!$J$5*Таблица1[[#This Row],[сумма]]*Таблица1[[#This Row],[коэф]])),
IF(OR(G604="3/8",G604="2/8"),((база!$J$4*Таблица1[[#This Row],[сумма]]*Таблица1[[#This Row],[коэф]])))))))))))))),
(IF((G604="5/24"),((база!$M$6*Таблица1[[#This Row],[сумма]]*Таблица1[[#This Row],[коэф]])),
IF(OR(G604="4/24",G604="3/24"),((база!$M$5*Таблица1[[#This Row],[сумма]]*Таблица1[[#This Row],[коэф]])),
IF((G604="5/16"),((база!$L$6*Таблица1[[#This Row],[сумма]]*Таблица1[[#This Row],[коэф]])),
IF(OR(G604="4/16",G604="3/16"),((база!$L$5*Таблица1[[#This Row],[сумма]]*Таблица1[[#This Row],[коэф]])),
IF(OR(G604="2/4",G604="3/4",G604="4/4"),((база!$I$5*Таблица1[[#This Row],[сумма]]*Таблица1[[#This Row],[коэф]])),
IF((G604="5/8"),((база!$J$6*Таблица1[[#This Row],[сумма]]*Таблица1[[#This Row],[коэф]])),
IF(OR(G604="4/8",G604="3/8",G604="2/8"),((база!$J$5*Таблица1[[#This Row],[сумма]]*Таблица1[[#This Row],[коэф]])))))))))))</f>
        <v>0</v>
      </c>
      <c r="AP604" s="696" t="b">
        <f>IF(AR604&lt;=3,(IF((G604="5/24"),((база!$M$6*2*Таблица1[[#This Row],[Столбец1]]*Таблица1[[#This Row],[коэф]])),
IF((G604="4/24"),((база!$M$5*2*Таблица1[[#This Row],[Столбец1]]*Таблица1[[#This Row],[коэф]])),
IF((G604="3/24"),((база!$M$4*2*Таблица1[[#This Row],[Столбец1]]*Таблица1[[#This Row],[коэф]])),
IF((G604="5/16"),((база!$L$6*2*Таблица1[[#This Row],[Столбец1]]*Таблица1[[#This Row],[коэф]])),
IF((G604="4/16"),((база!$L$5*2*Таблица1[[#This Row],[Столбец1]]*Таблица1[[#This Row],[коэф]])),
IF((G604="3/16"),((база!$L$4*2*Таблица1[[#This Row],[Столбец1]]*Таблица1[[#This Row],[коэф]])),
IF((G604="4/4"),((база!$I$5*2*Таблица1[[#This Row],[Столбец1]]*Таблица1[[#This Row],[коэф]])),
IF(OR(G604="2/4",G604="3/4"),((база!$I$4*2*Таблица1[[#This Row],[Столбец1]]*Таблица1[[#This Row],[коэф]])),
IF((G604="5/8"),((база!$J$6*2*Таблица1[[#This Row],[Столбец1]]*Таблица1[[#This Row],[коэф]])),
IF((G604="4/8"),((база!$J$5*2*Таблица1[[#This Row],[Столбец1]]*Таблица1[[#This Row],[коэф]])),
IF(OR(G604="3/8",G604="2/8"),((база!$J$4*2*Таблица1[[#This Row],[Столбец1]]*Таблица1[[#This Row],[коэф]])))))))))))))),
(IF((G604="5/24"),((база!$M$6*2*Таблица1[[#This Row],[Столбец1]]*Таблица1[[#This Row],[коэф]])),
IF(OR(G604="4/24",G604="3/24"),((база!$M$5*2*Таблица1[[#This Row],[Столбец1]]*Таблица1[[#This Row],[коэф]])),
IF((G604="5/16"),((база!$L$6*2*Таблица1[[#This Row],[Столбец1]]*Таблица1[[#This Row],[коэф]])),
IF(OR(G604="4/16",G604="3/16"),((база!$L$5*2*Таблица1[[#This Row],[Столбец1]]*Таблица1[[#This Row],[коэф]])),
IF(OR(G604="2/4",G604="3/4",G604="4/4"),((база!$I$5*2*Таблица1[[#This Row],[Столбец1]]*Таблица1[[#This Row],[коэф]])),
IF((G604="5/8"),((база!$J$6*2*Таблица1[[#This Row],[Столбец1]]*Таблица1[[#This Row],[коэф]])),
IF(OR(G604="4/8",G604="3/8",G604="2/8"),((база!$J$5*2*Таблица1[[#This Row],[Столбец1]]*Таблица1[[#This Row],[коэф]])))))))))))</f>
        <v>0</v>
      </c>
      <c r="AQ604" s="678" t="str">
        <f>IFERROR(INDEX(база!T:T, MATCH(F604,база!Q:Q,0)),"")</f>
        <v/>
      </c>
      <c r="AR604" s="193">
        <f>IFERROR(INDEX(база!D:D, MATCH(F604,база!B:B,0)),"")</f>
        <v>0</v>
      </c>
    </row>
    <row r="605" spans="1:44" ht="15">
      <c r="A605" s="59"/>
      <c r="B605" s="215"/>
      <c r="C605" s="54"/>
      <c r="D605" s="55"/>
      <c r="E605" s="196"/>
      <c r="F605" s="651"/>
      <c r="G605" s="42"/>
      <c r="H605" s="539"/>
      <c r="I605" s="539"/>
      <c r="J605" s="539"/>
      <c r="K605" s="539"/>
      <c r="L605" s="539"/>
      <c r="M605" s="539"/>
      <c r="N605" s="539"/>
      <c r="O605" s="539"/>
      <c r="P605" s="278"/>
      <c r="Q605" s="539"/>
      <c r="R605" s="539"/>
      <c r="S605" s="539"/>
      <c r="T605" s="539"/>
      <c r="U605" s="539"/>
      <c r="V605" s="539"/>
      <c r="W605" s="539"/>
      <c r="X605" s="539"/>
      <c r="Y605" s="539"/>
      <c r="Z605" s="539"/>
      <c r="AA605" s="539"/>
      <c r="AB605" s="539"/>
      <c r="AC605" s="539"/>
      <c r="AD605" s="43"/>
      <c r="AE605" s="43"/>
      <c r="AF605" s="238"/>
      <c r="AG605" s="43"/>
      <c r="AH605" s="43"/>
      <c r="AI605" s="238"/>
      <c r="AJ605" s="238"/>
      <c r="AK605" s="238"/>
      <c r="AL605" s="238"/>
      <c r="AM605" s="197">
        <f>IF(AQ605=1,SUM(H605:I605,L605:O605,R605:U605,X605:AA605,AD605:AG605,AI605:AK605),
IF(AQ605=2,SUM(H605:K605,N605:Q605,T605:W605,Z605:AC605,AF605:AI605),
IF(AQ605=3,SUM(J605:M605,P605:S605,V605:Y605,AB605:AE605,AH605:AK605),SUM(Таблица1[[#This Row],[1]:[31]])-Таблица1[[#This Row],[Столбец1]])))</f>
        <v>0</v>
      </c>
      <c r="AN605" s="269">
        <f t="array" ref="AN605">IF(AQ605=1,SUM(J605:K605,P605:Q605,V605:W605,AB605:AC605,AH605:AI605),
IF(AQ605=2,SUM(L605:M605,R605:S605,X605:Y605,AD605:AE605),
IF(AQ605=3,SUM(H605:I605,N605:O605,T605:U605,Z605:AA605,AF605:AG605),
SUM(IFERROR(WEEKDAY($H$2:$AL$2,2)&gt;5,)*H605:AL605))))</f>
        <v>0</v>
      </c>
      <c r="AO605" s="271" t="b">
        <f>IF(AR605&lt;=3,(IF((G605="5/24"),((база!$M$6*Таблица1[[#This Row],[сумма]]*Таблица1[[#This Row],[коэф]])),
IF((G605="4/24"),((база!$M$5*Таблица1[[#This Row],[сумма]]*Таблица1[[#This Row],[коэф]])),
IF((G605="3/24"),((база!$M$4*Таблица1[[#This Row],[сумма]]*Таблица1[[#This Row],[коэф]])),
IF((G605="5/16"),((база!$L$6*Таблица1[[#This Row],[сумма]]*Таблица1[[#This Row],[коэф]])),
IF((G605="4/16"),((база!$L$5*Таблица1[[#This Row],[сумма]]*Таблица1[[#This Row],[коэф]])),
IF((G605="3/16"),((база!$L$4*Таблица1[[#This Row],[сумма]]*Таблица1[[#This Row],[коэф]])),
IF((G605="4/4"),((база!$I$5*Таблица1[[#This Row],[сумма]]*Таблица1[[#This Row],[коэф]])),
IF(OR(G605="2/4",G605="3/4"),((база!$I$4*Таблица1[[#This Row],[сумма]]*Таблица1[[#This Row],[коэф]])),
IF((G605="5/8"),((база!$J$6*Таблица1[[#This Row],[сумма]]*Таблица1[[#This Row],[коэф]])),
IF((G605="4/8"),((база!$J$5*Таблица1[[#This Row],[сумма]]*Таблица1[[#This Row],[коэф]])),
IF(OR(G605="3/8",G605="2/8"),((база!$J$4*Таблица1[[#This Row],[сумма]]*Таблица1[[#This Row],[коэф]])))))))))))))),
(IF((G605="5/24"),((база!$M$6*Таблица1[[#This Row],[сумма]]*Таблица1[[#This Row],[коэф]])),
IF(OR(G605="4/24",G605="3/24"),((база!$M$5*Таблица1[[#This Row],[сумма]]*Таблица1[[#This Row],[коэф]])),
IF((G605="5/16"),((база!$L$6*Таблица1[[#This Row],[сумма]]*Таблица1[[#This Row],[коэф]])),
IF(OR(G605="4/16",G605="3/16"),((база!$L$5*Таблица1[[#This Row],[сумма]]*Таблица1[[#This Row],[коэф]])),
IF(OR(G605="2/4",G605="3/4",G605="4/4"),((база!$I$5*Таблица1[[#This Row],[сумма]]*Таблица1[[#This Row],[коэф]])),
IF((G605="5/8"),((база!$J$6*Таблица1[[#This Row],[сумма]]*Таблица1[[#This Row],[коэф]])),
IF(OR(G605="4/8",G605="3/8",G605="2/8"),((база!$J$5*Таблица1[[#This Row],[сумма]]*Таблица1[[#This Row],[коэф]])))))))))))</f>
        <v>0</v>
      </c>
      <c r="AP605" s="696" t="b">
        <f>IF(AR605&lt;=3,(IF((G605="5/24"),((база!$M$6*2*Таблица1[[#This Row],[Столбец1]]*Таблица1[[#This Row],[коэф]])),
IF((G605="4/24"),((база!$M$5*2*Таблица1[[#This Row],[Столбец1]]*Таблица1[[#This Row],[коэф]])),
IF((G605="3/24"),((база!$M$4*2*Таблица1[[#This Row],[Столбец1]]*Таблица1[[#This Row],[коэф]])),
IF((G605="5/16"),((база!$L$6*2*Таблица1[[#This Row],[Столбец1]]*Таблица1[[#This Row],[коэф]])),
IF((G605="4/16"),((база!$L$5*2*Таблица1[[#This Row],[Столбец1]]*Таблица1[[#This Row],[коэф]])),
IF((G605="3/16"),((база!$L$4*2*Таблица1[[#This Row],[Столбец1]]*Таблица1[[#This Row],[коэф]])),
IF((G605="4/4"),((база!$I$5*2*Таблица1[[#This Row],[Столбец1]]*Таблица1[[#This Row],[коэф]])),
IF(OR(G605="2/4",G605="3/4"),((база!$I$4*2*Таблица1[[#This Row],[Столбец1]]*Таблица1[[#This Row],[коэф]])),
IF((G605="5/8"),((база!$J$6*2*Таблица1[[#This Row],[Столбец1]]*Таблица1[[#This Row],[коэф]])),
IF((G605="4/8"),((база!$J$5*2*Таблица1[[#This Row],[Столбец1]]*Таблица1[[#This Row],[коэф]])),
IF(OR(G605="3/8",G605="2/8"),((база!$J$4*2*Таблица1[[#This Row],[Столбец1]]*Таблица1[[#This Row],[коэф]])))))))))))))),
(IF((G605="5/24"),((база!$M$6*2*Таблица1[[#This Row],[Столбец1]]*Таблица1[[#This Row],[коэф]])),
IF(OR(G605="4/24",G605="3/24"),((база!$M$5*2*Таблица1[[#This Row],[Столбец1]]*Таблица1[[#This Row],[коэф]])),
IF((G605="5/16"),((база!$L$6*2*Таблица1[[#This Row],[Столбец1]]*Таблица1[[#This Row],[коэф]])),
IF(OR(G605="4/16",G605="3/16"),((база!$L$5*2*Таблица1[[#This Row],[Столбец1]]*Таблица1[[#This Row],[коэф]])),
IF(OR(G605="2/4",G605="3/4",G605="4/4"),((база!$I$5*2*Таблица1[[#This Row],[Столбец1]]*Таблица1[[#This Row],[коэф]])),
IF((G605="5/8"),((база!$J$6*2*Таблица1[[#This Row],[Столбец1]]*Таблица1[[#This Row],[коэф]])),
IF(OR(G605="4/8",G605="3/8",G605="2/8"),((база!$J$5*2*Таблица1[[#This Row],[Столбец1]]*Таблица1[[#This Row],[коэф]])))))))))))</f>
        <v>0</v>
      </c>
      <c r="AQ605" s="678" t="str">
        <f>IFERROR(INDEX(база!T:T, MATCH(F605,база!Q:Q,0)),"")</f>
        <v/>
      </c>
      <c r="AR605" s="193">
        <f>IFERROR(INDEX(база!D:D, MATCH(F605,база!B:B,0)),"")</f>
        <v>0</v>
      </c>
    </row>
    <row r="606" spans="1:44" ht="15">
      <c r="A606" s="59"/>
      <c r="B606" s="215"/>
      <c r="C606" s="277"/>
      <c r="D606" s="55"/>
      <c r="E606" s="196"/>
      <c r="F606" s="651"/>
      <c r="G606" s="42"/>
      <c r="H606" s="539"/>
      <c r="I606" s="539"/>
      <c r="J606" s="539"/>
      <c r="K606" s="539"/>
      <c r="L606" s="539"/>
      <c r="M606" s="539"/>
      <c r="N606" s="539"/>
      <c r="O606" s="539"/>
      <c r="P606" s="278"/>
      <c r="Q606" s="539"/>
      <c r="R606" s="539"/>
      <c r="S606" s="539"/>
      <c r="T606" s="539"/>
      <c r="U606" s="539"/>
      <c r="V606" s="539"/>
      <c r="W606" s="539"/>
      <c r="X606" s="539"/>
      <c r="Y606" s="539"/>
      <c r="Z606" s="539"/>
      <c r="AA606" s="539"/>
      <c r="AB606" s="539"/>
      <c r="AC606" s="539"/>
      <c r="AD606" s="43"/>
      <c r="AE606" s="43"/>
      <c r="AF606" s="238"/>
      <c r="AG606" s="43"/>
      <c r="AH606" s="43"/>
      <c r="AI606" s="43"/>
      <c r="AJ606" s="43"/>
      <c r="AK606" s="43"/>
      <c r="AL606" s="45"/>
      <c r="AM606" s="197">
        <f>IF(AQ606=1,SUM(H606:I606,L606:O606,R606:U606,X606:AA606,AD606:AG606,AI606:AK606),
IF(AQ606=2,SUM(H606:K606,N606:Q606,T606:W606,Z606:AC606,AF606:AI606),
IF(AQ606=3,SUM(J606:M606,P606:S606,V606:Y606,AB606:AE606,AH606:AK606),SUM(Таблица1[[#This Row],[1]:[31]])-Таблица1[[#This Row],[Столбец1]])))</f>
        <v>0</v>
      </c>
      <c r="AN606" s="269">
        <f t="array" ref="AN606">IF(AQ606=1,SUM(J606:K606,P606:Q606,V606:W606,AB606:AC606,AH606:AI606),
IF(AQ606=2,SUM(L606:M606,R606:S606,X606:Y606,AD606:AE606),
IF(AQ606=3,SUM(H606:I606,N606:O606,T606:U606,Z606:AA606,AF606:AG606),
SUM(IFERROR(WEEKDAY($H$2:$AL$2,2)&gt;5,)*H606:AL606))))</f>
        <v>0</v>
      </c>
      <c r="AO606" s="271" t="b">
        <f>IF(AR606&lt;=3,(IF((G606="5/24"),((база!$M$6*Таблица1[[#This Row],[сумма]]*Таблица1[[#This Row],[коэф]])),
IF((G606="4/24"),((база!$M$5*Таблица1[[#This Row],[сумма]]*Таблица1[[#This Row],[коэф]])),
IF((G606="3/24"),((база!$M$4*Таблица1[[#This Row],[сумма]]*Таблица1[[#This Row],[коэф]])),
IF((G606="5/16"),((база!$L$6*Таблица1[[#This Row],[сумма]]*Таблица1[[#This Row],[коэф]])),
IF((G606="4/16"),((база!$L$5*Таблица1[[#This Row],[сумма]]*Таблица1[[#This Row],[коэф]])),
IF((G606="3/16"),((база!$L$4*Таблица1[[#This Row],[сумма]]*Таблица1[[#This Row],[коэф]])),
IF((G606="4/4"),((база!$I$5*Таблица1[[#This Row],[сумма]]*Таблица1[[#This Row],[коэф]])),
IF(OR(G606="2/4",G606="3/4"),((база!$I$4*Таблица1[[#This Row],[сумма]]*Таблица1[[#This Row],[коэф]])),
IF((G606="5/8"),((база!$J$6*Таблица1[[#This Row],[сумма]]*Таблица1[[#This Row],[коэф]])),
IF((G606="4/8"),((база!$J$5*Таблица1[[#This Row],[сумма]]*Таблица1[[#This Row],[коэф]])),
IF(OR(G606="3/8",G606="2/8"),((база!$J$4*Таблица1[[#This Row],[сумма]]*Таблица1[[#This Row],[коэф]])))))))))))))),
(IF((G606="5/24"),((база!$M$6*Таблица1[[#This Row],[сумма]]*Таблица1[[#This Row],[коэф]])),
IF(OR(G606="4/24",G606="3/24"),((база!$M$5*Таблица1[[#This Row],[сумма]]*Таблица1[[#This Row],[коэф]])),
IF((G606="5/16"),((база!$L$6*Таблица1[[#This Row],[сумма]]*Таблица1[[#This Row],[коэф]])),
IF(OR(G606="4/16",G606="3/16"),((база!$L$5*Таблица1[[#This Row],[сумма]]*Таблица1[[#This Row],[коэф]])),
IF(OR(G606="2/4",G606="3/4",G606="4/4"),((база!$I$5*Таблица1[[#This Row],[сумма]]*Таблица1[[#This Row],[коэф]])),
IF((G606="5/8"),((база!$J$6*Таблица1[[#This Row],[сумма]]*Таблица1[[#This Row],[коэф]])),
IF(OR(G606="4/8",G606="3/8",G606="2/8"),((база!$J$5*Таблица1[[#This Row],[сумма]]*Таблица1[[#This Row],[коэф]])))))))))))</f>
        <v>0</v>
      </c>
      <c r="AP606" s="696" t="b">
        <f>IF(AR606&lt;=3,(IF((G606="5/24"),((база!$M$6*2*Таблица1[[#This Row],[Столбец1]]*Таблица1[[#This Row],[коэф]])),
IF((G606="4/24"),((база!$M$5*2*Таблица1[[#This Row],[Столбец1]]*Таблица1[[#This Row],[коэф]])),
IF((G606="3/24"),((база!$M$4*2*Таблица1[[#This Row],[Столбец1]]*Таблица1[[#This Row],[коэф]])),
IF((G606="5/16"),((база!$L$6*2*Таблица1[[#This Row],[Столбец1]]*Таблица1[[#This Row],[коэф]])),
IF((G606="4/16"),((база!$L$5*2*Таблица1[[#This Row],[Столбец1]]*Таблица1[[#This Row],[коэф]])),
IF((G606="3/16"),((база!$L$4*2*Таблица1[[#This Row],[Столбец1]]*Таблица1[[#This Row],[коэф]])),
IF((G606="4/4"),((база!$I$5*2*Таблица1[[#This Row],[Столбец1]]*Таблица1[[#This Row],[коэф]])),
IF(OR(G606="2/4",G606="3/4"),((база!$I$4*2*Таблица1[[#This Row],[Столбец1]]*Таблица1[[#This Row],[коэф]])),
IF((G606="5/8"),((база!$J$6*2*Таблица1[[#This Row],[Столбец1]]*Таблица1[[#This Row],[коэф]])),
IF((G606="4/8"),((база!$J$5*2*Таблица1[[#This Row],[Столбец1]]*Таблица1[[#This Row],[коэф]])),
IF(OR(G606="3/8",G606="2/8"),((база!$J$4*2*Таблица1[[#This Row],[Столбец1]]*Таблица1[[#This Row],[коэф]])))))))))))))),
(IF((G606="5/24"),((база!$M$6*2*Таблица1[[#This Row],[Столбец1]]*Таблица1[[#This Row],[коэф]])),
IF(OR(G606="4/24",G606="3/24"),((база!$M$5*2*Таблица1[[#This Row],[Столбец1]]*Таблица1[[#This Row],[коэф]])),
IF((G606="5/16"),((база!$L$6*2*Таблица1[[#This Row],[Столбец1]]*Таблица1[[#This Row],[коэф]])),
IF(OR(G606="4/16",G606="3/16"),((база!$L$5*2*Таблица1[[#This Row],[Столбец1]]*Таблица1[[#This Row],[коэф]])),
IF(OR(G606="2/4",G606="3/4",G606="4/4"),((база!$I$5*2*Таблица1[[#This Row],[Столбец1]]*Таблица1[[#This Row],[коэф]])),
IF((G606="5/8"),((база!$J$6*2*Таблица1[[#This Row],[Столбец1]]*Таблица1[[#This Row],[коэф]])),
IF(OR(G606="4/8",G606="3/8",G606="2/8"),((база!$J$5*2*Таблица1[[#This Row],[Столбец1]]*Таблица1[[#This Row],[коэф]])))))))))))</f>
        <v>0</v>
      </c>
      <c r="AQ606" s="678" t="str">
        <f>IFERROR(INDEX(база!T:T, MATCH(F606,база!Q:Q,0)),"")</f>
        <v/>
      </c>
      <c r="AR606" s="193">
        <f>IFERROR(INDEX(база!D:D, MATCH(F606,база!B:B,0)),"")</f>
        <v>0</v>
      </c>
    </row>
    <row r="607" spans="1:44" ht="15">
      <c r="A607" s="59"/>
      <c r="B607" s="215"/>
      <c r="C607" s="277"/>
      <c r="D607" s="55"/>
      <c r="E607" s="196"/>
      <c r="F607" s="651"/>
      <c r="G607" s="42"/>
      <c r="H607" s="539"/>
      <c r="I607" s="539"/>
      <c r="J607" s="539"/>
      <c r="K607" s="539"/>
      <c r="L607" s="539"/>
      <c r="M607" s="539"/>
      <c r="N607" s="539"/>
      <c r="O607" s="539"/>
      <c r="P607" s="278"/>
      <c r="Q607" s="539"/>
      <c r="R607" s="539"/>
      <c r="S607" s="539"/>
      <c r="T607" s="539"/>
      <c r="U607" s="539"/>
      <c r="V607" s="539"/>
      <c r="W607" s="539"/>
      <c r="X607" s="539"/>
      <c r="Y607" s="539"/>
      <c r="Z607" s="539"/>
      <c r="AA607" s="539"/>
      <c r="AB607" s="539"/>
      <c r="AC607" s="539"/>
      <c r="AD607" s="43"/>
      <c r="AE607" s="43"/>
      <c r="AF607" s="238"/>
      <c r="AG607" s="43"/>
      <c r="AH607" s="43"/>
      <c r="AI607" s="238"/>
      <c r="AJ607" s="238"/>
      <c r="AK607" s="238"/>
      <c r="AL607" s="238"/>
      <c r="AM607" s="197">
        <f>IF(AQ607=1,SUM(H607:I607,L607:O607,R607:U607,X607:AA607,AD607:AG607,AI607:AK607),
IF(AQ607=2,SUM(H607:K607,N607:Q607,T607:W607,Z607:AC607,AF607:AI607),
IF(AQ607=3,SUM(J607:M607,P607:S607,V607:Y607,AB607:AE607,AH607:AK607),SUM(Таблица1[[#This Row],[1]:[31]])-Таблица1[[#This Row],[Столбец1]])))</f>
        <v>0</v>
      </c>
      <c r="AN607" s="269">
        <f t="array" ref="AN607">IF(AQ607=1,SUM(J607:K607,P607:Q607,V607:W607,AB607:AC607,AH607:AI607),
IF(AQ607=2,SUM(L607:M607,R607:S607,X607:Y607,AD607:AE607),
IF(AQ607=3,SUM(H607:I607,N607:O607,T607:U607,Z607:AA607,AF607:AG607),
SUM(IFERROR(WEEKDAY($H$2:$AL$2,2)&gt;5,)*H607:AL607))))</f>
        <v>0</v>
      </c>
      <c r="AO607" s="271" t="b">
        <f>IF(AR607&lt;=3,(IF((G607="5/24"),((база!$M$6*Таблица1[[#This Row],[сумма]]*Таблица1[[#This Row],[коэф]])),
IF((G607="4/24"),((база!$M$5*Таблица1[[#This Row],[сумма]]*Таблица1[[#This Row],[коэф]])),
IF((G607="3/24"),((база!$M$4*Таблица1[[#This Row],[сумма]]*Таблица1[[#This Row],[коэф]])),
IF((G607="5/16"),((база!$L$6*Таблица1[[#This Row],[сумма]]*Таблица1[[#This Row],[коэф]])),
IF((G607="4/16"),((база!$L$5*Таблица1[[#This Row],[сумма]]*Таблица1[[#This Row],[коэф]])),
IF((G607="3/16"),((база!$L$4*Таблица1[[#This Row],[сумма]]*Таблица1[[#This Row],[коэф]])),
IF((G607="4/4"),((база!$I$5*Таблица1[[#This Row],[сумма]]*Таблица1[[#This Row],[коэф]])),
IF(OR(G607="2/4",G607="3/4"),((база!$I$4*Таблица1[[#This Row],[сумма]]*Таблица1[[#This Row],[коэф]])),
IF((G607="5/8"),((база!$J$6*Таблица1[[#This Row],[сумма]]*Таблица1[[#This Row],[коэф]])),
IF((G607="4/8"),((база!$J$5*Таблица1[[#This Row],[сумма]]*Таблица1[[#This Row],[коэф]])),
IF(OR(G607="3/8",G607="2/8"),((база!$J$4*Таблица1[[#This Row],[сумма]]*Таблица1[[#This Row],[коэф]])))))))))))))),
(IF((G607="5/24"),((база!$M$6*Таблица1[[#This Row],[сумма]]*Таблица1[[#This Row],[коэф]])),
IF(OR(G607="4/24",G607="3/24"),((база!$M$5*Таблица1[[#This Row],[сумма]]*Таблица1[[#This Row],[коэф]])),
IF((G607="5/16"),((база!$L$6*Таблица1[[#This Row],[сумма]]*Таблица1[[#This Row],[коэф]])),
IF(OR(G607="4/16",G607="3/16"),((база!$L$5*Таблица1[[#This Row],[сумма]]*Таблица1[[#This Row],[коэф]])),
IF(OR(G607="2/4",G607="3/4",G607="4/4"),((база!$I$5*Таблица1[[#This Row],[сумма]]*Таблица1[[#This Row],[коэф]])),
IF((G607="5/8"),((база!$J$6*Таблица1[[#This Row],[сумма]]*Таблица1[[#This Row],[коэф]])),
IF(OR(G607="4/8",G607="3/8",G607="2/8"),((база!$J$5*Таблица1[[#This Row],[сумма]]*Таблица1[[#This Row],[коэф]])))))))))))</f>
        <v>0</v>
      </c>
      <c r="AP607" s="696" t="b">
        <f>IF(AR607&lt;=3,(IF((G607="5/24"),((база!$M$6*2*Таблица1[[#This Row],[Столбец1]]*Таблица1[[#This Row],[коэф]])),
IF((G607="4/24"),((база!$M$5*2*Таблица1[[#This Row],[Столбец1]]*Таблица1[[#This Row],[коэф]])),
IF((G607="3/24"),((база!$M$4*2*Таблица1[[#This Row],[Столбец1]]*Таблица1[[#This Row],[коэф]])),
IF((G607="5/16"),((база!$L$6*2*Таблица1[[#This Row],[Столбец1]]*Таблица1[[#This Row],[коэф]])),
IF((G607="4/16"),((база!$L$5*2*Таблица1[[#This Row],[Столбец1]]*Таблица1[[#This Row],[коэф]])),
IF((G607="3/16"),((база!$L$4*2*Таблица1[[#This Row],[Столбец1]]*Таблица1[[#This Row],[коэф]])),
IF((G607="4/4"),((база!$I$5*2*Таблица1[[#This Row],[Столбец1]]*Таблица1[[#This Row],[коэф]])),
IF(OR(G607="2/4",G607="3/4"),((база!$I$4*2*Таблица1[[#This Row],[Столбец1]]*Таблица1[[#This Row],[коэф]])),
IF((G607="5/8"),((база!$J$6*2*Таблица1[[#This Row],[Столбец1]]*Таблица1[[#This Row],[коэф]])),
IF((G607="4/8"),((база!$J$5*2*Таблица1[[#This Row],[Столбец1]]*Таблица1[[#This Row],[коэф]])),
IF(OR(G607="3/8",G607="2/8"),((база!$J$4*2*Таблица1[[#This Row],[Столбец1]]*Таблица1[[#This Row],[коэф]])))))))))))))),
(IF((G607="5/24"),((база!$M$6*2*Таблица1[[#This Row],[Столбец1]]*Таблица1[[#This Row],[коэф]])),
IF(OR(G607="4/24",G607="3/24"),((база!$M$5*2*Таблица1[[#This Row],[Столбец1]]*Таблица1[[#This Row],[коэф]])),
IF((G607="5/16"),((база!$L$6*2*Таблица1[[#This Row],[Столбец1]]*Таблица1[[#This Row],[коэф]])),
IF(OR(G607="4/16",G607="3/16"),((база!$L$5*2*Таблица1[[#This Row],[Столбец1]]*Таблица1[[#This Row],[коэф]])),
IF(OR(G607="2/4",G607="3/4",G607="4/4"),((база!$I$5*2*Таблица1[[#This Row],[Столбец1]]*Таблица1[[#This Row],[коэф]])),
IF((G607="5/8"),((база!$J$6*2*Таблица1[[#This Row],[Столбец1]]*Таблица1[[#This Row],[коэф]])),
IF(OR(G607="4/8",G607="3/8",G607="2/8"),((база!$J$5*2*Таблица1[[#This Row],[Столбец1]]*Таблица1[[#This Row],[коэф]])))))))))))</f>
        <v>0</v>
      </c>
      <c r="AQ607" s="678" t="str">
        <f>IFERROR(INDEX(база!T:T, MATCH(F607,база!Q:Q,0)),"")</f>
        <v/>
      </c>
      <c r="AR607" s="193">
        <f>IFERROR(INDEX(база!D:D, MATCH(F607,база!B:B,0)),"")</f>
        <v>0</v>
      </c>
    </row>
    <row r="608" spans="1:44" ht="15">
      <c r="A608" s="59"/>
      <c r="B608" s="215"/>
      <c r="C608" s="277"/>
      <c r="D608" s="55"/>
      <c r="E608" s="196"/>
      <c r="F608" s="651"/>
      <c r="G608" s="42"/>
      <c r="H608" s="539"/>
      <c r="I608" s="539"/>
      <c r="J608" s="539"/>
      <c r="K608" s="539"/>
      <c r="L608" s="539"/>
      <c r="M608" s="539"/>
      <c r="N608" s="539"/>
      <c r="O608" s="539"/>
      <c r="P608" s="278"/>
      <c r="Q608" s="539"/>
      <c r="R608" s="539"/>
      <c r="S608" s="539"/>
      <c r="T608" s="539"/>
      <c r="U608" s="539"/>
      <c r="V608" s="539"/>
      <c r="W608" s="539"/>
      <c r="X608" s="539"/>
      <c r="Y608" s="539"/>
      <c r="Z608" s="539"/>
      <c r="AA608" s="539"/>
      <c r="AB608" s="539"/>
      <c r="AC608" s="539"/>
      <c r="AD608" s="43"/>
      <c r="AE608" s="43"/>
      <c r="AF608" s="238"/>
      <c r="AG608" s="43"/>
      <c r="AH608" s="43"/>
      <c r="AI608" s="43"/>
      <c r="AJ608" s="43"/>
      <c r="AK608" s="43"/>
      <c r="AL608" s="43"/>
      <c r="AM608" s="197">
        <f>IF(AQ608=1,SUM(H608:I608,L608:O608,R608:U608,X608:AA608,AD608:AG608,AI608:AK608),
IF(AQ608=2,SUM(H608:K608,N608:Q608,T608:W608,Z608:AC608,AF608:AI608),
IF(AQ608=3,SUM(J608:M608,P608:S608,V608:Y608,AB608:AE608,AH608:AK608),SUM(Таблица1[[#This Row],[1]:[31]])-Таблица1[[#This Row],[Столбец1]])))</f>
        <v>0</v>
      </c>
      <c r="AN608" s="269">
        <f t="array" ref="AN608">IF(AQ608=1,SUM(J608:K608,P608:Q608,V608:W608,AB608:AC608,AH608:AI608),
IF(AQ608=2,SUM(L608:M608,R608:S608,X608:Y608,AD608:AE608),
IF(AQ608=3,SUM(H608:I608,N608:O608,T608:U608,Z608:AA608,AF608:AG608),
SUM(IFERROR(WEEKDAY($H$2:$AL$2,2)&gt;5,)*H608:AL608))))</f>
        <v>0</v>
      </c>
      <c r="AO608" s="271" t="b">
        <f>IF(AR608&lt;=3,(IF((G608="5/24"),((база!$M$6*Таблица1[[#This Row],[сумма]]*Таблица1[[#This Row],[коэф]])),
IF((G608="4/24"),((база!$M$5*Таблица1[[#This Row],[сумма]]*Таблица1[[#This Row],[коэф]])),
IF((G608="3/24"),((база!$M$4*Таблица1[[#This Row],[сумма]]*Таблица1[[#This Row],[коэф]])),
IF((G608="5/16"),((база!$L$6*Таблица1[[#This Row],[сумма]]*Таблица1[[#This Row],[коэф]])),
IF((G608="4/16"),((база!$L$5*Таблица1[[#This Row],[сумма]]*Таблица1[[#This Row],[коэф]])),
IF((G608="3/16"),((база!$L$4*Таблица1[[#This Row],[сумма]]*Таблица1[[#This Row],[коэф]])),
IF((G608="4/4"),((база!$I$5*Таблица1[[#This Row],[сумма]]*Таблица1[[#This Row],[коэф]])),
IF(OR(G608="2/4",G608="3/4"),((база!$I$4*Таблица1[[#This Row],[сумма]]*Таблица1[[#This Row],[коэф]])),
IF((G608="5/8"),((база!$J$6*Таблица1[[#This Row],[сумма]]*Таблица1[[#This Row],[коэф]])),
IF((G608="4/8"),((база!$J$5*Таблица1[[#This Row],[сумма]]*Таблица1[[#This Row],[коэф]])),
IF(OR(G608="3/8",G608="2/8"),((база!$J$4*Таблица1[[#This Row],[сумма]]*Таблица1[[#This Row],[коэф]])))))))))))))),
(IF((G608="5/24"),((база!$M$6*Таблица1[[#This Row],[сумма]]*Таблица1[[#This Row],[коэф]])),
IF(OR(G608="4/24",G608="3/24"),((база!$M$5*Таблица1[[#This Row],[сумма]]*Таблица1[[#This Row],[коэф]])),
IF((G608="5/16"),((база!$L$6*Таблица1[[#This Row],[сумма]]*Таблица1[[#This Row],[коэф]])),
IF(OR(G608="4/16",G608="3/16"),((база!$L$5*Таблица1[[#This Row],[сумма]]*Таблица1[[#This Row],[коэф]])),
IF(OR(G608="2/4",G608="3/4",G608="4/4"),((база!$I$5*Таблица1[[#This Row],[сумма]]*Таблица1[[#This Row],[коэф]])),
IF((G608="5/8"),((база!$J$6*Таблица1[[#This Row],[сумма]]*Таблица1[[#This Row],[коэф]])),
IF(OR(G608="4/8",G608="3/8",G608="2/8"),((база!$J$5*Таблица1[[#This Row],[сумма]]*Таблица1[[#This Row],[коэф]])))))))))))</f>
        <v>0</v>
      </c>
      <c r="AP608" s="696" t="b">
        <f>IF(AR608&lt;=3,(IF((G608="5/24"),((база!$M$6*2*Таблица1[[#This Row],[Столбец1]]*Таблица1[[#This Row],[коэф]])),
IF((G608="4/24"),((база!$M$5*2*Таблица1[[#This Row],[Столбец1]]*Таблица1[[#This Row],[коэф]])),
IF((G608="3/24"),((база!$M$4*2*Таблица1[[#This Row],[Столбец1]]*Таблица1[[#This Row],[коэф]])),
IF((G608="5/16"),((база!$L$6*2*Таблица1[[#This Row],[Столбец1]]*Таблица1[[#This Row],[коэф]])),
IF((G608="4/16"),((база!$L$5*2*Таблица1[[#This Row],[Столбец1]]*Таблица1[[#This Row],[коэф]])),
IF((G608="3/16"),((база!$L$4*2*Таблица1[[#This Row],[Столбец1]]*Таблица1[[#This Row],[коэф]])),
IF((G608="4/4"),((база!$I$5*2*Таблица1[[#This Row],[Столбец1]]*Таблица1[[#This Row],[коэф]])),
IF(OR(G608="2/4",G608="3/4"),((база!$I$4*2*Таблица1[[#This Row],[Столбец1]]*Таблица1[[#This Row],[коэф]])),
IF((G608="5/8"),((база!$J$6*2*Таблица1[[#This Row],[Столбец1]]*Таблица1[[#This Row],[коэф]])),
IF((G608="4/8"),((база!$J$5*2*Таблица1[[#This Row],[Столбец1]]*Таблица1[[#This Row],[коэф]])),
IF(OR(G608="3/8",G608="2/8"),((база!$J$4*2*Таблица1[[#This Row],[Столбец1]]*Таблица1[[#This Row],[коэф]])))))))))))))),
(IF((G608="5/24"),((база!$M$6*2*Таблица1[[#This Row],[Столбец1]]*Таблица1[[#This Row],[коэф]])),
IF(OR(G608="4/24",G608="3/24"),((база!$M$5*2*Таблица1[[#This Row],[Столбец1]]*Таблица1[[#This Row],[коэф]])),
IF((G608="5/16"),((база!$L$6*2*Таблица1[[#This Row],[Столбец1]]*Таблица1[[#This Row],[коэф]])),
IF(OR(G608="4/16",G608="3/16"),((база!$L$5*2*Таблица1[[#This Row],[Столбец1]]*Таблица1[[#This Row],[коэф]])),
IF(OR(G608="2/4",G608="3/4",G608="4/4"),((база!$I$5*2*Таблица1[[#This Row],[Столбец1]]*Таблица1[[#This Row],[коэф]])),
IF((G608="5/8"),((база!$J$6*2*Таблица1[[#This Row],[Столбец1]]*Таблица1[[#This Row],[коэф]])),
IF(OR(G608="4/8",G608="3/8",G608="2/8"),((база!$J$5*2*Таблица1[[#This Row],[Столбец1]]*Таблица1[[#This Row],[коэф]])))))))))))</f>
        <v>0</v>
      </c>
      <c r="AQ608" s="678" t="str">
        <f>IFERROR(INDEX(база!T:T, MATCH(F608,база!Q:Q,0)),"")</f>
        <v/>
      </c>
      <c r="AR608" s="193">
        <f>IFERROR(INDEX(база!D:D, MATCH(F608,база!B:B,0)),"")</f>
        <v>0</v>
      </c>
    </row>
    <row r="609" spans="1:44" ht="15">
      <c r="A609" s="59"/>
      <c r="B609" s="215"/>
      <c r="C609" s="277"/>
      <c r="D609" s="55"/>
      <c r="E609" s="196"/>
      <c r="F609" s="651"/>
      <c r="G609" s="42"/>
      <c r="H609" s="539"/>
      <c r="I609" s="539"/>
      <c r="J609" s="539"/>
      <c r="K609" s="539"/>
      <c r="L609" s="539"/>
      <c r="M609" s="539"/>
      <c r="N609" s="539"/>
      <c r="O609" s="539"/>
      <c r="P609" s="278"/>
      <c r="Q609" s="539"/>
      <c r="R609" s="539"/>
      <c r="S609" s="539"/>
      <c r="T609" s="539"/>
      <c r="U609" s="539"/>
      <c r="V609" s="539"/>
      <c r="W609" s="539"/>
      <c r="X609" s="539"/>
      <c r="Y609" s="539"/>
      <c r="Z609" s="539"/>
      <c r="AA609" s="539"/>
      <c r="AB609" s="539"/>
      <c r="AC609" s="539"/>
      <c r="AD609" s="43"/>
      <c r="AE609" s="43"/>
      <c r="AF609" s="238"/>
      <c r="AG609" s="43"/>
      <c r="AH609" s="43"/>
      <c r="AI609" s="238"/>
      <c r="AJ609" s="238"/>
      <c r="AK609" s="238"/>
      <c r="AL609" s="238"/>
      <c r="AM609" s="197">
        <f>IF(AQ609=1,SUM(H609:I609,L609:O609,R609:U609,X609:AA609,AD609:AG609,AI609:AK609),
IF(AQ609=2,SUM(H609:K609,N609:Q609,T609:W609,Z609:AC609,AF609:AI609),
IF(AQ609=3,SUM(J609:M609,P609:S609,V609:Y609,AB609:AE609,AH609:AK609),SUM(Таблица1[[#This Row],[1]:[31]])-Таблица1[[#This Row],[Столбец1]])))</f>
        <v>0</v>
      </c>
      <c r="AN609" s="269">
        <f t="array" ref="AN609">IF(AQ609=1,SUM(J609:K609,P609:Q609,V609:W609,AB609:AC609,AH609:AI609),
IF(AQ609=2,SUM(L609:M609,R609:S609,X609:Y609,AD609:AE609),
IF(AQ609=3,SUM(H609:I609,N609:O609,T609:U609,Z609:AA609,AF609:AG609),
SUM(IFERROR(WEEKDAY($H$2:$AL$2,2)&gt;5,)*H609:AL609))))</f>
        <v>0</v>
      </c>
      <c r="AO609" s="271" t="b">
        <f>IF(AR609&lt;=3,(IF((G609="5/24"),((база!$M$6*Таблица1[[#This Row],[сумма]]*Таблица1[[#This Row],[коэф]])),
IF((G609="4/24"),((база!$M$5*Таблица1[[#This Row],[сумма]]*Таблица1[[#This Row],[коэф]])),
IF((G609="3/24"),((база!$M$4*Таблица1[[#This Row],[сумма]]*Таблица1[[#This Row],[коэф]])),
IF((G609="5/16"),((база!$L$6*Таблица1[[#This Row],[сумма]]*Таблица1[[#This Row],[коэф]])),
IF((G609="4/16"),((база!$L$5*Таблица1[[#This Row],[сумма]]*Таблица1[[#This Row],[коэф]])),
IF((G609="3/16"),((база!$L$4*Таблица1[[#This Row],[сумма]]*Таблица1[[#This Row],[коэф]])),
IF((G609="4/4"),((база!$I$5*Таблица1[[#This Row],[сумма]]*Таблица1[[#This Row],[коэф]])),
IF(OR(G609="2/4",G609="3/4"),((база!$I$4*Таблица1[[#This Row],[сумма]]*Таблица1[[#This Row],[коэф]])),
IF((G609="5/8"),((база!$J$6*Таблица1[[#This Row],[сумма]]*Таблица1[[#This Row],[коэф]])),
IF((G609="4/8"),((база!$J$5*Таблица1[[#This Row],[сумма]]*Таблица1[[#This Row],[коэф]])),
IF(OR(G609="3/8",G609="2/8"),((база!$J$4*Таблица1[[#This Row],[сумма]]*Таблица1[[#This Row],[коэф]])))))))))))))),
(IF((G609="5/24"),((база!$M$6*Таблица1[[#This Row],[сумма]]*Таблица1[[#This Row],[коэф]])),
IF(OR(G609="4/24",G609="3/24"),((база!$M$5*Таблица1[[#This Row],[сумма]]*Таблица1[[#This Row],[коэф]])),
IF((G609="5/16"),((база!$L$6*Таблица1[[#This Row],[сумма]]*Таблица1[[#This Row],[коэф]])),
IF(OR(G609="4/16",G609="3/16"),((база!$L$5*Таблица1[[#This Row],[сумма]]*Таблица1[[#This Row],[коэф]])),
IF(OR(G609="2/4",G609="3/4",G609="4/4"),((база!$I$5*Таблица1[[#This Row],[сумма]]*Таблица1[[#This Row],[коэф]])),
IF((G609="5/8"),((база!$J$6*Таблица1[[#This Row],[сумма]]*Таблица1[[#This Row],[коэф]])),
IF(OR(G609="4/8",G609="3/8",G609="2/8"),((база!$J$5*Таблица1[[#This Row],[сумма]]*Таблица1[[#This Row],[коэф]])))))))))))</f>
        <v>0</v>
      </c>
      <c r="AP609" s="696" t="b">
        <f>IF(AR609&lt;=3,(IF((G609="5/24"),((база!$M$6*2*Таблица1[[#This Row],[Столбец1]]*Таблица1[[#This Row],[коэф]])),
IF((G609="4/24"),((база!$M$5*2*Таблица1[[#This Row],[Столбец1]]*Таблица1[[#This Row],[коэф]])),
IF((G609="3/24"),((база!$M$4*2*Таблица1[[#This Row],[Столбец1]]*Таблица1[[#This Row],[коэф]])),
IF((G609="5/16"),((база!$L$6*2*Таблица1[[#This Row],[Столбец1]]*Таблица1[[#This Row],[коэф]])),
IF((G609="4/16"),((база!$L$5*2*Таблица1[[#This Row],[Столбец1]]*Таблица1[[#This Row],[коэф]])),
IF((G609="3/16"),((база!$L$4*2*Таблица1[[#This Row],[Столбец1]]*Таблица1[[#This Row],[коэф]])),
IF((G609="4/4"),((база!$I$5*2*Таблица1[[#This Row],[Столбец1]]*Таблица1[[#This Row],[коэф]])),
IF(OR(G609="2/4",G609="3/4"),((база!$I$4*2*Таблица1[[#This Row],[Столбец1]]*Таблица1[[#This Row],[коэф]])),
IF((G609="5/8"),((база!$J$6*2*Таблица1[[#This Row],[Столбец1]]*Таблица1[[#This Row],[коэф]])),
IF((G609="4/8"),((база!$J$5*2*Таблица1[[#This Row],[Столбец1]]*Таблица1[[#This Row],[коэф]])),
IF(OR(G609="3/8",G609="2/8"),((база!$J$4*2*Таблица1[[#This Row],[Столбец1]]*Таблица1[[#This Row],[коэф]])))))))))))))),
(IF((G609="5/24"),((база!$M$6*2*Таблица1[[#This Row],[Столбец1]]*Таблица1[[#This Row],[коэф]])),
IF(OR(G609="4/24",G609="3/24"),((база!$M$5*2*Таблица1[[#This Row],[Столбец1]]*Таблица1[[#This Row],[коэф]])),
IF((G609="5/16"),((база!$L$6*2*Таблица1[[#This Row],[Столбец1]]*Таблица1[[#This Row],[коэф]])),
IF(OR(G609="4/16",G609="3/16"),((база!$L$5*2*Таблица1[[#This Row],[Столбец1]]*Таблица1[[#This Row],[коэф]])),
IF(OR(G609="2/4",G609="3/4",G609="4/4"),((база!$I$5*2*Таблица1[[#This Row],[Столбец1]]*Таблица1[[#This Row],[коэф]])),
IF((G609="5/8"),((база!$J$6*2*Таблица1[[#This Row],[Столбец1]]*Таблица1[[#This Row],[коэф]])),
IF(OR(G609="4/8",G609="3/8",G609="2/8"),((база!$J$5*2*Таблица1[[#This Row],[Столбец1]]*Таблица1[[#This Row],[коэф]])))))))))))</f>
        <v>0</v>
      </c>
      <c r="AQ609" s="678" t="str">
        <f>IFERROR(INDEX(база!T:T, MATCH(F609,база!Q:Q,0)),"")</f>
        <v/>
      </c>
      <c r="AR609" s="193">
        <f>IFERROR(INDEX(база!D:D, MATCH(F609,база!B:B,0)),"")</f>
        <v>0</v>
      </c>
    </row>
    <row r="610" spans="1:44" ht="15">
      <c r="A610" s="59"/>
      <c r="B610" s="215"/>
      <c r="C610" s="277"/>
      <c r="D610" s="55"/>
      <c r="E610" s="196"/>
      <c r="F610" s="651"/>
      <c r="G610" s="42"/>
      <c r="H610" s="539"/>
      <c r="I610" s="539"/>
      <c r="J610" s="539"/>
      <c r="K610" s="539"/>
      <c r="L610" s="539"/>
      <c r="M610" s="539"/>
      <c r="N610" s="539"/>
      <c r="O610" s="539"/>
      <c r="P610" s="278"/>
      <c r="Q610" s="539"/>
      <c r="R610" s="539"/>
      <c r="S610" s="539"/>
      <c r="T610" s="539"/>
      <c r="U610" s="539"/>
      <c r="V610" s="539"/>
      <c r="W610" s="539"/>
      <c r="X610" s="539"/>
      <c r="Y610" s="539"/>
      <c r="Z610" s="539"/>
      <c r="AA610" s="539"/>
      <c r="AB610" s="539"/>
      <c r="AC610" s="539"/>
      <c r="AD610" s="43"/>
      <c r="AE610" s="43"/>
      <c r="AF610" s="238"/>
      <c r="AG610" s="43"/>
      <c r="AH610" s="43"/>
      <c r="AI610" s="43"/>
      <c r="AJ610" s="43"/>
      <c r="AK610" s="43"/>
      <c r="AL610" s="45"/>
      <c r="AM610" s="197">
        <f>IF(AQ610=1,SUM(H610:I610,L610:O610,R610:U610,X610:AA610,AD610:AG610,AI610:AK610),
IF(AQ610=2,SUM(H610:K610,N610:Q610,T610:W610,Z610:AC610,AF610:AI610),
IF(AQ610=3,SUM(J610:M610,P610:S610,V610:Y610,AB610:AE610,AH610:AK610),SUM(Таблица1[[#This Row],[1]:[31]])-Таблица1[[#This Row],[Столбец1]])))</f>
        <v>0</v>
      </c>
      <c r="AN610" s="269">
        <f t="array" ref="AN610">IF(AQ610=1,SUM(J610:K610,P610:Q610,V610:W610,AB610:AC610,AH610:AI610),
IF(AQ610=2,SUM(L610:M610,R610:S610,X610:Y610,AD610:AE610),
IF(AQ610=3,SUM(H610:I610,N610:O610,T610:U610,Z610:AA610,AF610:AG610),
SUM(IFERROR(WEEKDAY($H$2:$AL$2,2)&gt;5,)*H610:AL610))))</f>
        <v>0</v>
      </c>
      <c r="AO610" s="271" t="b">
        <f>IF(AR610&lt;=3,(IF((G610="5/24"),((база!$M$6*Таблица1[[#This Row],[сумма]]*Таблица1[[#This Row],[коэф]])),
IF((G610="4/24"),((база!$M$5*Таблица1[[#This Row],[сумма]]*Таблица1[[#This Row],[коэф]])),
IF((G610="3/24"),((база!$M$4*Таблица1[[#This Row],[сумма]]*Таблица1[[#This Row],[коэф]])),
IF((G610="5/16"),((база!$L$6*Таблица1[[#This Row],[сумма]]*Таблица1[[#This Row],[коэф]])),
IF((G610="4/16"),((база!$L$5*Таблица1[[#This Row],[сумма]]*Таблица1[[#This Row],[коэф]])),
IF((G610="3/16"),((база!$L$4*Таблица1[[#This Row],[сумма]]*Таблица1[[#This Row],[коэф]])),
IF((G610="4/4"),((база!$I$5*Таблица1[[#This Row],[сумма]]*Таблица1[[#This Row],[коэф]])),
IF(OR(G610="2/4",G610="3/4"),((база!$I$4*Таблица1[[#This Row],[сумма]]*Таблица1[[#This Row],[коэф]])),
IF((G610="5/8"),((база!$J$6*Таблица1[[#This Row],[сумма]]*Таблица1[[#This Row],[коэф]])),
IF((G610="4/8"),((база!$J$5*Таблица1[[#This Row],[сумма]]*Таблица1[[#This Row],[коэф]])),
IF(OR(G610="3/8",G610="2/8"),((база!$J$4*Таблица1[[#This Row],[сумма]]*Таблица1[[#This Row],[коэф]])))))))))))))),
(IF((G610="5/24"),((база!$M$6*Таблица1[[#This Row],[сумма]]*Таблица1[[#This Row],[коэф]])),
IF(OR(G610="4/24",G610="3/24"),((база!$M$5*Таблица1[[#This Row],[сумма]]*Таблица1[[#This Row],[коэф]])),
IF((G610="5/16"),((база!$L$6*Таблица1[[#This Row],[сумма]]*Таблица1[[#This Row],[коэф]])),
IF(OR(G610="4/16",G610="3/16"),((база!$L$5*Таблица1[[#This Row],[сумма]]*Таблица1[[#This Row],[коэф]])),
IF(OR(G610="2/4",G610="3/4",G610="4/4"),((база!$I$5*Таблица1[[#This Row],[сумма]]*Таблица1[[#This Row],[коэф]])),
IF((G610="5/8"),((база!$J$6*Таблица1[[#This Row],[сумма]]*Таблица1[[#This Row],[коэф]])),
IF(OR(G610="4/8",G610="3/8",G610="2/8"),((база!$J$5*Таблица1[[#This Row],[сумма]]*Таблица1[[#This Row],[коэф]])))))))))))</f>
        <v>0</v>
      </c>
      <c r="AP610" s="696" t="b">
        <f>IF(AR610&lt;=3,(IF((G610="5/24"),((база!$M$6*2*Таблица1[[#This Row],[Столбец1]]*Таблица1[[#This Row],[коэф]])),
IF((G610="4/24"),((база!$M$5*2*Таблица1[[#This Row],[Столбец1]]*Таблица1[[#This Row],[коэф]])),
IF((G610="3/24"),((база!$M$4*2*Таблица1[[#This Row],[Столбец1]]*Таблица1[[#This Row],[коэф]])),
IF((G610="5/16"),((база!$L$6*2*Таблица1[[#This Row],[Столбец1]]*Таблица1[[#This Row],[коэф]])),
IF((G610="4/16"),((база!$L$5*2*Таблица1[[#This Row],[Столбец1]]*Таблица1[[#This Row],[коэф]])),
IF((G610="3/16"),((база!$L$4*2*Таблица1[[#This Row],[Столбец1]]*Таблица1[[#This Row],[коэф]])),
IF((G610="4/4"),((база!$I$5*2*Таблица1[[#This Row],[Столбец1]]*Таблица1[[#This Row],[коэф]])),
IF(OR(G610="2/4",G610="3/4"),((база!$I$4*2*Таблица1[[#This Row],[Столбец1]]*Таблица1[[#This Row],[коэф]])),
IF((G610="5/8"),((база!$J$6*2*Таблица1[[#This Row],[Столбец1]]*Таблица1[[#This Row],[коэф]])),
IF((G610="4/8"),((база!$J$5*2*Таблица1[[#This Row],[Столбец1]]*Таблица1[[#This Row],[коэф]])),
IF(OR(G610="3/8",G610="2/8"),((база!$J$4*2*Таблица1[[#This Row],[Столбец1]]*Таблица1[[#This Row],[коэф]])))))))))))))),
(IF((G610="5/24"),((база!$M$6*2*Таблица1[[#This Row],[Столбец1]]*Таблица1[[#This Row],[коэф]])),
IF(OR(G610="4/24",G610="3/24"),((база!$M$5*2*Таблица1[[#This Row],[Столбец1]]*Таблица1[[#This Row],[коэф]])),
IF((G610="5/16"),((база!$L$6*2*Таблица1[[#This Row],[Столбец1]]*Таблица1[[#This Row],[коэф]])),
IF(OR(G610="4/16",G610="3/16"),((база!$L$5*2*Таблица1[[#This Row],[Столбец1]]*Таблица1[[#This Row],[коэф]])),
IF(OR(G610="2/4",G610="3/4",G610="4/4"),((база!$I$5*2*Таблица1[[#This Row],[Столбец1]]*Таблица1[[#This Row],[коэф]])),
IF((G610="5/8"),((база!$J$6*2*Таблица1[[#This Row],[Столбец1]]*Таблица1[[#This Row],[коэф]])),
IF(OR(G610="4/8",G610="3/8",G610="2/8"),((база!$J$5*2*Таблица1[[#This Row],[Столбец1]]*Таблица1[[#This Row],[коэф]])))))))))))</f>
        <v>0</v>
      </c>
      <c r="AQ610" s="678" t="str">
        <f>IFERROR(INDEX(база!T:T, MATCH(F610,база!Q:Q,0)),"")</f>
        <v/>
      </c>
      <c r="AR610" s="193">
        <f>IFERROR(INDEX(база!D:D, MATCH(F610,база!B:B,0)),"")</f>
        <v>0</v>
      </c>
    </row>
    <row r="611" spans="1:44" ht="15">
      <c r="A611" s="59"/>
      <c r="B611" s="215"/>
      <c r="C611" s="54"/>
      <c r="D611" s="55"/>
      <c r="E611" s="196"/>
      <c r="F611" s="651"/>
      <c r="G611" s="42"/>
      <c r="H611" s="539"/>
      <c r="I611" s="539"/>
      <c r="J611" s="539"/>
      <c r="K611" s="539"/>
      <c r="L611" s="539"/>
      <c r="M611" s="539"/>
      <c r="N611" s="539"/>
      <c r="O611" s="539"/>
      <c r="P611" s="278"/>
      <c r="Q611" s="539"/>
      <c r="R611" s="539"/>
      <c r="S611" s="539"/>
      <c r="T611" s="539"/>
      <c r="U611" s="539"/>
      <c r="V611" s="539"/>
      <c r="W611" s="539"/>
      <c r="X611" s="539"/>
      <c r="Y611" s="539"/>
      <c r="Z611" s="539"/>
      <c r="AA611" s="539"/>
      <c r="AB611" s="539"/>
      <c r="AC611" s="539"/>
      <c r="AD611" s="43"/>
      <c r="AE611" s="43"/>
      <c r="AF611" s="238"/>
      <c r="AG611" s="43"/>
      <c r="AH611" s="43"/>
      <c r="AI611" s="238"/>
      <c r="AJ611" s="238"/>
      <c r="AK611" s="238"/>
      <c r="AL611" s="238"/>
      <c r="AM611" s="197">
        <f>IF(AQ611=1,SUM(H611:I611,L611:O611,R611:U611,X611:AA611,AD611:AG611,AI611:AK611),
IF(AQ611=2,SUM(H611:K611,N611:Q611,T611:W611,Z611:AC611,AF611:AI611),
IF(AQ611=3,SUM(J611:M611,P611:S611,V611:Y611,AB611:AE611,AH611:AK611),SUM(Таблица1[[#This Row],[1]:[31]])-Таблица1[[#This Row],[Столбец1]])))</f>
        <v>0</v>
      </c>
      <c r="AN611" s="269">
        <f t="array" ref="AN611">IF(AQ611=1,SUM(J611:K611,P611:Q611,V611:W611,AB611:AC611,AH611:AI611),
IF(AQ611=2,SUM(L611:M611,R611:S611,X611:Y611,AD611:AE611),
IF(AQ611=3,SUM(H611:I611,N611:O611,T611:U611,Z611:AA611,AF611:AG611),
SUM(IFERROR(WEEKDAY($H$2:$AL$2,2)&gt;5,)*H611:AL611))))</f>
        <v>0</v>
      </c>
      <c r="AO611" s="271" t="b">
        <f>IF(AR611&lt;=3,(IF((G611="5/24"),((база!$M$6*Таблица1[[#This Row],[сумма]]*Таблица1[[#This Row],[коэф]])),
IF((G611="4/24"),((база!$M$5*Таблица1[[#This Row],[сумма]]*Таблица1[[#This Row],[коэф]])),
IF((G611="3/24"),((база!$M$4*Таблица1[[#This Row],[сумма]]*Таблица1[[#This Row],[коэф]])),
IF((G611="5/16"),((база!$L$6*Таблица1[[#This Row],[сумма]]*Таблица1[[#This Row],[коэф]])),
IF((G611="4/16"),((база!$L$5*Таблица1[[#This Row],[сумма]]*Таблица1[[#This Row],[коэф]])),
IF((G611="3/16"),((база!$L$4*Таблица1[[#This Row],[сумма]]*Таблица1[[#This Row],[коэф]])),
IF((G611="4/4"),((база!$I$5*Таблица1[[#This Row],[сумма]]*Таблица1[[#This Row],[коэф]])),
IF(OR(G611="2/4",G611="3/4"),((база!$I$4*Таблица1[[#This Row],[сумма]]*Таблица1[[#This Row],[коэф]])),
IF((G611="5/8"),((база!$J$6*Таблица1[[#This Row],[сумма]]*Таблица1[[#This Row],[коэф]])),
IF((G611="4/8"),((база!$J$5*Таблица1[[#This Row],[сумма]]*Таблица1[[#This Row],[коэф]])),
IF(OR(G611="3/8",G611="2/8"),((база!$J$4*Таблица1[[#This Row],[сумма]]*Таблица1[[#This Row],[коэф]])))))))))))))),
(IF((G611="5/24"),((база!$M$6*Таблица1[[#This Row],[сумма]]*Таблица1[[#This Row],[коэф]])),
IF(OR(G611="4/24",G611="3/24"),((база!$M$5*Таблица1[[#This Row],[сумма]]*Таблица1[[#This Row],[коэф]])),
IF((G611="5/16"),((база!$L$6*Таблица1[[#This Row],[сумма]]*Таблица1[[#This Row],[коэф]])),
IF(OR(G611="4/16",G611="3/16"),((база!$L$5*Таблица1[[#This Row],[сумма]]*Таблица1[[#This Row],[коэф]])),
IF(OR(G611="2/4",G611="3/4",G611="4/4"),((база!$I$5*Таблица1[[#This Row],[сумма]]*Таблица1[[#This Row],[коэф]])),
IF((G611="5/8"),((база!$J$6*Таблица1[[#This Row],[сумма]]*Таблица1[[#This Row],[коэф]])),
IF(OR(G611="4/8",G611="3/8",G611="2/8"),((база!$J$5*Таблица1[[#This Row],[сумма]]*Таблица1[[#This Row],[коэф]])))))))))))</f>
        <v>0</v>
      </c>
      <c r="AP611" s="696" t="b">
        <f>IF(AR611&lt;=3,(IF((G611="5/24"),((база!$M$6*2*Таблица1[[#This Row],[Столбец1]]*Таблица1[[#This Row],[коэф]])),
IF((G611="4/24"),((база!$M$5*2*Таблица1[[#This Row],[Столбец1]]*Таблица1[[#This Row],[коэф]])),
IF((G611="3/24"),((база!$M$4*2*Таблица1[[#This Row],[Столбец1]]*Таблица1[[#This Row],[коэф]])),
IF((G611="5/16"),((база!$L$6*2*Таблица1[[#This Row],[Столбец1]]*Таблица1[[#This Row],[коэф]])),
IF((G611="4/16"),((база!$L$5*2*Таблица1[[#This Row],[Столбец1]]*Таблица1[[#This Row],[коэф]])),
IF((G611="3/16"),((база!$L$4*2*Таблица1[[#This Row],[Столбец1]]*Таблица1[[#This Row],[коэф]])),
IF((G611="4/4"),((база!$I$5*2*Таблица1[[#This Row],[Столбец1]]*Таблица1[[#This Row],[коэф]])),
IF(OR(G611="2/4",G611="3/4"),((база!$I$4*2*Таблица1[[#This Row],[Столбец1]]*Таблица1[[#This Row],[коэф]])),
IF((G611="5/8"),((база!$J$6*2*Таблица1[[#This Row],[Столбец1]]*Таблица1[[#This Row],[коэф]])),
IF((G611="4/8"),((база!$J$5*2*Таблица1[[#This Row],[Столбец1]]*Таблица1[[#This Row],[коэф]])),
IF(OR(G611="3/8",G611="2/8"),((база!$J$4*2*Таблица1[[#This Row],[Столбец1]]*Таблица1[[#This Row],[коэф]])))))))))))))),
(IF((G611="5/24"),((база!$M$6*2*Таблица1[[#This Row],[Столбец1]]*Таблица1[[#This Row],[коэф]])),
IF(OR(G611="4/24",G611="3/24"),((база!$M$5*2*Таблица1[[#This Row],[Столбец1]]*Таблица1[[#This Row],[коэф]])),
IF((G611="5/16"),((база!$L$6*2*Таблица1[[#This Row],[Столбец1]]*Таблица1[[#This Row],[коэф]])),
IF(OR(G611="4/16",G611="3/16"),((база!$L$5*2*Таблица1[[#This Row],[Столбец1]]*Таблица1[[#This Row],[коэф]])),
IF(OR(G611="2/4",G611="3/4",G611="4/4"),((база!$I$5*2*Таблица1[[#This Row],[Столбец1]]*Таблица1[[#This Row],[коэф]])),
IF((G611="5/8"),((база!$J$6*2*Таблица1[[#This Row],[Столбец1]]*Таблица1[[#This Row],[коэф]])),
IF(OR(G611="4/8",G611="3/8",G611="2/8"),((база!$J$5*2*Таблица1[[#This Row],[Столбец1]]*Таблица1[[#This Row],[коэф]])))))))))))</f>
        <v>0</v>
      </c>
      <c r="AQ611" s="678" t="str">
        <f>IFERROR(INDEX(база!T:T, MATCH(F611,база!Q:Q,0)),"")</f>
        <v/>
      </c>
      <c r="AR611" s="193">
        <f>IFERROR(INDEX(база!D:D, MATCH(F611,база!B:B,0)),"")</f>
        <v>0</v>
      </c>
    </row>
    <row r="612" spans="1:44" ht="15">
      <c r="A612" s="59"/>
      <c r="B612" s="215"/>
      <c r="C612" s="277"/>
      <c r="D612" s="55"/>
      <c r="E612" s="196"/>
      <c r="F612" s="651"/>
      <c r="G612" s="42"/>
      <c r="H612" s="539"/>
      <c r="I612" s="539"/>
      <c r="J612" s="539"/>
      <c r="K612" s="539"/>
      <c r="L612" s="539"/>
      <c r="M612" s="539"/>
      <c r="N612" s="539"/>
      <c r="O612" s="539"/>
      <c r="P612" s="278"/>
      <c r="Q612" s="539"/>
      <c r="R612" s="539"/>
      <c r="S612" s="539"/>
      <c r="T612" s="539"/>
      <c r="U612" s="539"/>
      <c r="V612" s="539"/>
      <c r="W612" s="539"/>
      <c r="X612" s="539"/>
      <c r="Y612" s="539"/>
      <c r="Z612" s="539"/>
      <c r="AA612" s="539"/>
      <c r="AB612" s="539"/>
      <c r="AC612" s="539"/>
      <c r="AD612" s="43"/>
      <c r="AE612" s="43"/>
      <c r="AF612" s="238"/>
      <c r="AG612" s="43"/>
      <c r="AH612" s="43"/>
      <c r="AI612" s="43"/>
      <c r="AJ612" s="43"/>
      <c r="AK612" s="43"/>
      <c r="AL612" s="45"/>
      <c r="AM612" s="197">
        <f>IF(AQ612=1,SUM(H612:I612,L612:O612,R612:U612,X612:AA612,AD612:AG612,AI612:AK612),
IF(AQ612=2,SUM(H612:K612,N612:Q612,T612:W612,Z612:AC612,AF612:AI612),
IF(AQ612=3,SUM(J612:M612,P612:S612,V612:Y612,AB612:AE612,AH612:AK612),SUM(Таблица1[[#This Row],[1]:[31]])-Таблица1[[#This Row],[Столбец1]])))</f>
        <v>0</v>
      </c>
      <c r="AN612" s="269">
        <f t="array" ref="AN612">IF(AQ612=1,SUM(J612:K612,P612:Q612,V612:W612,AB612:AC612,AH612:AI612),
IF(AQ612=2,SUM(L612:M612,R612:S612,X612:Y612,AD612:AE612),
IF(AQ612=3,SUM(H612:I612,N612:O612,T612:U612,Z612:AA612,AF612:AG612),
SUM(IFERROR(WEEKDAY($H$2:$AL$2,2)&gt;5,)*H612:AL612))))</f>
        <v>0</v>
      </c>
      <c r="AO612" s="271" t="b">
        <f>IF(AR612&lt;=3,(IF((G612="5/24"),((база!$M$6*Таблица1[[#This Row],[сумма]]*Таблица1[[#This Row],[коэф]])),
IF((G612="4/24"),((база!$M$5*Таблица1[[#This Row],[сумма]]*Таблица1[[#This Row],[коэф]])),
IF((G612="3/24"),((база!$M$4*Таблица1[[#This Row],[сумма]]*Таблица1[[#This Row],[коэф]])),
IF((G612="5/16"),((база!$L$6*Таблица1[[#This Row],[сумма]]*Таблица1[[#This Row],[коэф]])),
IF((G612="4/16"),((база!$L$5*Таблица1[[#This Row],[сумма]]*Таблица1[[#This Row],[коэф]])),
IF((G612="3/16"),((база!$L$4*Таблица1[[#This Row],[сумма]]*Таблица1[[#This Row],[коэф]])),
IF((G612="4/4"),((база!$I$5*Таблица1[[#This Row],[сумма]]*Таблица1[[#This Row],[коэф]])),
IF(OR(G612="2/4",G612="3/4"),((база!$I$4*Таблица1[[#This Row],[сумма]]*Таблица1[[#This Row],[коэф]])),
IF((G612="5/8"),((база!$J$6*Таблица1[[#This Row],[сумма]]*Таблица1[[#This Row],[коэф]])),
IF((G612="4/8"),((база!$J$5*Таблица1[[#This Row],[сумма]]*Таблица1[[#This Row],[коэф]])),
IF(OR(G612="3/8",G612="2/8"),((база!$J$4*Таблица1[[#This Row],[сумма]]*Таблица1[[#This Row],[коэф]])))))))))))))),
(IF((G612="5/24"),((база!$M$6*Таблица1[[#This Row],[сумма]]*Таблица1[[#This Row],[коэф]])),
IF(OR(G612="4/24",G612="3/24"),((база!$M$5*Таблица1[[#This Row],[сумма]]*Таблица1[[#This Row],[коэф]])),
IF((G612="5/16"),((база!$L$6*Таблица1[[#This Row],[сумма]]*Таблица1[[#This Row],[коэф]])),
IF(OR(G612="4/16",G612="3/16"),((база!$L$5*Таблица1[[#This Row],[сумма]]*Таблица1[[#This Row],[коэф]])),
IF(OR(G612="2/4",G612="3/4",G612="4/4"),((база!$I$5*Таблица1[[#This Row],[сумма]]*Таблица1[[#This Row],[коэф]])),
IF((G612="5/8"),((база!$J$6*Таблица1[[#This Row],[сумма]]*Таблица1[[#This Row],[коэф]])),
IF(OR(G612="4/8",G612="3/8",G612="2/8"),((база!$J$5*Таблица1[[#This Row],[сумма]]*Таблица1[[#This Row],[коэф]])))))))))))</f>
        <v>0</v>
      </c>
      <c r="AP612" s="696" t="b">
        <f>IF(AR612&lt;=3,(IF((G612="5/24"),((база!$M$6*2*Таблица1[[#This Row],[Столбец1]]*Таблица1[[#This Row],[коэф]])),
IF((G612="4/24"),((база!$M$5*2*Таблица1[[#This Row],[Столбец1]]*Таблица1[[#This Row],[коэф]])),
IF((G612="3/24"),((база!$M$4*2*Таблица1[[#This Row],[Столбец1]]*Таблица1[[#This Row],[коэф]])),
IF((G612="5/16"),((база!$L$6*2*Таблица1[[#This Row],[Столбец1]]*Таблица1[[#This Row],[коэф]])),
IF((G612="4/16"),((база!$L$5*2*Таблица1[[#This Row],[Столбец1]]*Таблица1[[#This Row],[коэф]])),
IF((G612="3/16"),((база!$L$4*2*Таблица1[[#This Row],[Столбец1]]*Таблица1[[#This Row],[коэф]])),
IF((G612="4/4"),((база!$I$5*2*Таблица1[[#This Row],[Столбец1]]*Таблица1[[#This Row],[коэф]])),
IF(OR(G612="2/4",G612="3/4"),((база!$I$4*2*Таблица1[[#This Row],[Столбец1]]*Таблица1[[#This Row],[коэф]])),
IF((G612="5/8"),((база!$J$6*2*Таблица1[[#This Row],[Столбец1]]*Таблица1[[#This Row],[коэф]])),
IF((G612="4/8"),((база!$J$5*2*Таблица1[[#This Row],[Столбец1]]*Таблица1[[#This Row],[коэф]])),
IF(OR(G612="3/8",G612="2/8"),((база!$J$4*2*Таблица1[[#This Row],[Столбец1]]*Таблица1[[#This Row],[коэф]])))))))))))))),
(IF((G612="5/24"),((база!$M$6*2*Таблица1[[#This Row],[Столбец1]]*Таблица1[[#This Row],[коэф]])),
IF(OR(G612="4/24",G612="3/24"),((база!$M$5*2*Таблица1[[#This Row],[Столбец1]]*Таблица1[[#This Row],[коэф]])),
IF((G612="5/16"),((база!$L$6*2*Таблица1[[#This Row],[Столбец1]]*Таблица1[[#This Row],[коэф]])),
IF(OR(G612="4/16",G612="3/16"),((база!$L$5*2*Таблица1[[#This Row],[Столбец1]]*Таблица1[[#This Row],[коэф]])),
IF(OR(G612="2/4",G612="3/4",G612="4/4"),((база!$I$5*2*Таблица1[[#This Row],[Столбец1]]*Таблица1[[#This Row],[коэф]])),
IF((G612="5/8"),((база!$J$6*2*Таблица1[[#This Row],[Столбец1]]*Таблица1[[#This Row],[коэф]])),
IF(OR(G612="4/8",G612="3/8",G612="2/8"),((база!$J$5*2*Таблица1[[#This Row],[Столбец1]]*Таблица1[[#This Row],[коэф]])))))))))))</f>
        <v>0</v>
      </c>
      <c r="AQ612" s="678" t="str">
        <f>IFERROR(INDEX(база!T:T, MATCH(F612,база!Q:Q,0)),"")</f>
        <v/>
      </c>
      <c r="AR612" s="193">
        <f>IFERROR(INDEX(база!D:D, MATCH(F612,база!B:B,0)),"")</f>
        <v>0</v>
      </c>
    </row>
    <row r="613" spans="1:44" ht="15">
      <c r="A613" s="59"/>
      <c r="B613" s="215"/>
      <c r="C613" s="277"/>
      <c r="D613" s="55"/>
      <c r="E613" s="196"/>
      <c r="F613" s="651"/>
      <c r="G613" s="42"/>
      <c r="H613" s="539"/>
      <c r="I613" s="539"/>
      <c r="J613" s="539"/>
      <c r="K613" s="539"/>
      <c r="L613" s="539"/>
      <c r="M613" s="539"/>
      <c r="N613" s="539"/>
      <c r="O613" s="539"/>
      <c r="P613" s="278"/>
      <c r="Q613" s="539"/>
      <c r="R613" s="539"/>
      <c r="S613" s="539"/>
      <c r="T613" s="539"/>
      <c r="U613" s="539"/>
      <c r="V613" s="539"/>
      <c r="W613" s="539"/>
      <c r="X613" s="539"/>
      <c r="Y613" s="539"/>
      <c r="Z613" s="539"/>
      <c r="AA613" s="539"/>
      <c r="AB613" s="539"/>
      <c r="AC613" s="539"/>
      <c r="AD613" s="43"/>
      <c r="AE613" s="43"/>
      <c r="AF613" s="238"/>
      <c r="AG613" s="43"/>
      <c r="AH613" s="43"/>
      <c r="AI613" s="238"/>
      <c r="AJ613" s="238"/>
      <c r="AK613" s="238"/>
      <c r="AL613" s="238"/>
      <c r="AM613" s="197">
        <f>IF(AQ613=1,SUM(H613:I613,L613:O613,R613:U613,X613:AA613,AD613:AG613,AI613:AK613),
IF(AQ613=2,SUM(H613:K613,N613:Q613,T613:W613,Z613:AC613,AF613:AI613),
IF(AQ613=3,SUM(J613:M613,P613:S613,V613:Y613,AB613:AE613,AH613:AK613),SUM(Таблица1[[#This Row],[1]:[31]])-Таблица1[[#This Row],[Столбец1]])))</f>
        <v>0</v>
      </c>
      <c r="AN613" s="269">
        <f t="array" ref="AN613">IF(AQ613=1,SUM(J613:K613,P613:Q613,V613:W613,AB613:AC613,AH613:AI613),
IF(AQ613=2,SUM(L613:M613,R613:S613,X613:Y613,AD613:AE613),
IF(AQ613=3,SUM(H613:I613,N613:O613,T613:U613,Z613:AA613,AF613:AG613),
SUM(IFERROR(WEEKDAY($H$2:$AL$2,2)&gt;5,)*H613:AL613))))</f>
        <v>0</v>
      </c>
      <c r="AO613" s="271" t="b">
        <f>IF(AR613&lt;=3,(IF((G613="5/24"),((база!$M$6*Таблица1[[#This Row],[сумма]]*Таблица1[[#This Row],[коэф]])),
IF((G613="4/24"),((база!$M$5*Таблица1[[#This Row],[сумма]]*Таблица1[[#This Row],[коэф]])),
IF((G613="3/24"),((база!$M$4*Таблица1[[#This Row],[сумма]]*Таблица1[[#This Row],[коэф]])),
IF((G613="5/16"),((база!$L$6*Таблица1[[#This Row],[сумма]]*Таблица1[[#This Row],[коэф]])),
IF((G613="4/16"),((база!$L$5*Таблица1[[#This Row],[сумма]]*Таблица1[[#This Row],[коэф]])),
IF((G613="3/16"),((база!$L$4*Таблица1[[#This Row],[сумма]]*Таблица1[[#This Row],[коэф]])),
IF((G613="4/4"),((база!$I$5*Таблица1[[#This Row],[сумма]]*Таблица1[[#This Row],[коэф]])),
IF(OR(G613="2/4",G613="3/4"),((база!$I$4*Таблица1[[#This Row],[сумма]]*Таблица1[[#This Row],[коэф]])),
IF((G613="5/8"),((база!$J$6*Таблица1[[#This Row],[сумма]]*Таблица1[[#This Row],[коэф]])),
IF((G613="4/8"),((база!$J$5*Таблица1[[#This Row],[сумма]]*Таблица1[[#This Row],[коэф]])),
IF(OR(G613="3/8",G613="2/8"),((база!$J$4*Таблица1[[#This Row],[сумма]]*Таблица1[[#This Row],[коэф]])))))))))))))),
(IF((G613="5/24"),((база!$M$6*Таблица1[[#This Row],[сумма]]*Таблица1[[#This Row],[коэф]])),
IF(OR(G613="4/24",G613="3/24"),((база!$M$5*Таблица1[[#This Row],[сумма]]*Таблица1[[#This Row],[коэф]])),
IF((G613="5/16"),((база!$L$6*Таблица1[[#This Row],[сумма]]*Таблица1[[#This Row],[коэф]])),
IF(OR(G613="4/16",G613="3/16"),((база!$L$5*Таблица1[[#This Row],[сумма]]*Таблица1[[#This Row],[коэф]])),
IF(OR(G613="2/4",G613="3/4",G613="4/4"),((база!$I$5*Таблица1[[#This Row],[сумма]]*Таблица1[[#This Row],[коэф]])),
IF((G613="5/8"),((база!$J$6*Таблица1[[#This Row],[сумма]]*Таблица1[[#This Row],[коэф]])),
IF(OR(G613="4/8",G613="3/8",G613="2/8"),((база!$J$5*Таблица1[[#This Row],[сумма]]*Таблица1[[#This Row],[коэф]])))))))))))</f>
        <v>0</v>
      </c>
      <c r="AP613" s="696" t="b">
        <f>IF(AR613&lt;=3,(IF((G613="5/24"),((база!$M$6*2*Таблица1[[#This Row],[Столбец1]]*Таблица1[[#This Row],[коэф]])),
IF((G613="4/24"),((база!$M$5*2*Таблица1[[#This Row],[Столбец1]]*Таблица1[[#This Row],[коэф]])),
IF((G613="3/24"),((база!$M$4*2*Таблица1[[#This Row],[Столбец1]]*Таблица1[[#This Row],[коэф]])),
IF((G613="5/16"),((база!$L$6*2*Таблица1[[#This Row],[Столбец1]]*Таблица1[[#This Row],[коэф]])),
IF((G613="4/16"),((база!$L$5*2*Таблица1[[#This Row],[Столбец1]]*Таблица1[[#This Row],[коэф]])),
IF((G613="3/16"),((база!$L$4*2*Таблица1[[#This Row],[Столбец1]]*Таблица1[[#This Row],[коэф]])),
IF((G613="4/4"),((база!$I$5*2*Таблица1[[#This Row],[Столбец1]]*Таблица1[[#This Row],[коэф]])),
IF(OR(G613="2/4",G613="3/4"),((база!$I$4*2*Таблица1[[#This Row],[Столбец1]]*Таблица1[[#This Row],[коэф]])),
IF((G613="5/8"),((база!$J$6*2*Таблица1[[#This Row],[Столбец1]]*Таблица1[[#This Row],[коэф]])),
IF((G613="4/8"),((база!$J$5*2*Таблица1[[#This Row],[Столбец1]]*Таблица1[[#This Row],[коэф]])),
IF(OR(G613="3/8",G613="2/8"),((база!$J$4*2*Таблица1[[#This Row],[Столбец1]]*Таблица1[[#This Row],[коэф]])))))))))))))),
(IF((G613="5/24"),((база!$M$6*2*Таблица1[[#This Row],[Столбец1]]*Таблица1[[#This Row],[коэф]])),
IF(OR(G613="4/24",G613="3/24"),((база!$M$5*2*Таблица1[[#This Row],[Столбец1]]*Таблица1[[#This Row],[коэф]])),
IF((G613="5/16"),((база!$L$6*2*Таблица1[[#This Row],[Столбец1]]*Таблица1[[#This Row],[коэф]])),
IF(OR(G613="4/16",G613="3/16"),((база!$L$5*2*Таблица1[[#This Row],[Столбец1]]*Таблица1[[#This Row],[коэф]])),
IF(OR(G613="2/4",G613="3/4",G613="4/4"),((база!$I$5*2*Таблица1[[#This Row],[Столбец1]]*Таблица1[[#This Row],[коэф]])),
IF((G613="5/8"),((база!$J$6*2*Таблица1[[#This Row],[Столбец1]]*Таблица1[[#This Row],[коэф]])),
IF(OR(G613="4/8",G613="3/8",G613="2/8"),((база!$J$5*2*Таблица1[[#This Row],[Столбец1]]*Таблица1[[#This Row],[коэф]])))))))))))</f>
        <v>0</v>
      </c>
      <c r="AQ613" s="678" t="str">
        <f>IFERROR(INDEX(база!T:T, MATCH(F613,база!Q:Q,0)),"")</f>
        <v/>
      </c>
      <c r="AR613" s="193">
        <f>IFERROR(INDEX(база!D:D, MATCH(F613,база!B:B,0)),"")</f>
        <v>0</v>
      </c>
    </row>
    <row r="614" spans="1:44" ht="15">
      <c r="A614" s="59"/>
      <c r="B614" s="215"/>
      <c r="C614" s="277"/>
      <c r="D614" s="55"/>
      <c r="E614" s="196"/>
      <c r="F614" s="651"/>
      <c r="G614" s="42"/>
      <c r="H614" s="539"/>
      <c r="I614" s="539"/>
      <c r="J614" s="539"/>
      <c r="K614" s="539"/>
      <c r="L614" s="539"/>
      <c r="M614" s="539"/>
      <c r="N614" s="539"/>
      <c r="O614" s="539"/>
      <c r="P614" s="278"/>
      <c r="Q614" s="539"/>
      <c r="R614" s="539"/>
      <c r="S614" s="539"/>
      <c r="T614" s="539"/>
      <c r="U614" s="539"/>
      <c r="V614" s="539"/>
      <c r="W614" s="539"/>
      <c r="X614" s="539"/>
      <c r="Y614" s="539"/>
      <c r="Z614" s="539"/>
      <c r="AA614" s="539"/>
      <c r="AB614" s="539"/>
      <c r="AC614" s="539"/>
      <c r="AD614" s="43"/>
      <c r="AE614" s="43"/>
      <c r="AF614" s="238"/>
      <c r="AG614" s="43"/>
      <c r="AH614" s="43"/>
      <c r="AI614" s="43"/>
      <c r="AJ614" s="43"/>
      <c r="AK614" s="43"/>
      <c r="AL614" s="45"/>
      <c r="AM614" s="197">
        <f>IF(AQ614=1,SUM(H614:I614,L614:O614,R614:U614,X614:AA614,AD614:AG614,AI614:AK614),
IF(AQ614=2,SUM(H614:K614,N614:Q614,T614:W614,Z614:AC614,AF614:AI614),
IF(AQ614=3,SUM(J614:M614,P614:S614,V614:Y614,AB614:AE614,AH614:AK614),SUM(Таблица1[[#This Row],[1]:[31]])-Таблица1[[#This Row],[Столбец1]])))</f>
        <v>0</v>
      </c>
      <c r="AN614" s="269">
        <f t="array" ref="AN614">IF(AQ614=1,SUM(J614:K614,P614:Q614,V614:W614,AB614:AC614,AH614:AI614),
IF(AQ614=2,SUM(L614:M614,R614:S614,X614:Y614,AD614:AE614),
IF(AQ614=3,SUM(H614:I614,N614:O614,T614:U614,Z614:AA614,AF614:AG614),
SUM(IFERROR(WEEKDAY($H$2:$AL$2,2)&gt;5,)*H614:AL614))))</f>
        <v>0</v>
      </c>
      <c r="AO614" s="271" t="b">
        <f>IF(AR614&lt;=3,(IF((G614="5/24"),((база!$M$6*Таблица1[[#This Row],[сумма]]*Таблица1[[#This Row],[коэф]])),
IF((G614="4/24"),((база!$M$5*Таблица1[[#This Row],[сумма]]*Таблица1[[#This Row],[коэф]])),
IF((G614="3/24"),((база!$M$4*Таблица1[[#This Row],[сумма]]*Таблица1[[#This Row],[коэф]])),
IF((G614="5/16"),((база!$L$6*Таблица1[[#This Row],[сумма]]*Таблица1[[#This Row],[коэф]])),
IF((G614="4/16"),((база!$L$5*Таблица1[[#This Row],[сумма]]*Таблица1[[#This Row],[коэф]])),
IF((G614="3/16"),((база!$L$4*Таблица1[[#This Row],[сумма]]*Таблица1[[#This Row],[коэф]])),
IF((G614="4/4"),((база!$I$5*Таблица1[[#This Row],[сумма]]*Таблица1[[#This Row],[коэф]])),
IF(OR(G614="2/4",G614="3/4"),((база!$I$4*Таблица1[[#This Row],[сумма]]*Таблица1[[#This Row],[коэф]])),
IF((G614="5/8"),((база!$J$6*Таблица1[[#This Row],[сумма]]*Таблица1[[#This Row],[коэф]])),
IF((G614="4/8"),((база!$J$5*Таблица1[[#This Row],[сумма]]*Таблица1[[#This Row],[коэф]])),
IF(OR(G614="3/8",G614="2/8"),((база!$J$4*Таблица1[[#This Row],[сумма]]*Таблица1[[#This Row],[коэф]])))))))))))))),
(IF((G614="5/24"),((база!$M$6*Таблица1[[#This Row],[сумма]]*Таблица1[[#This Row],[коэф]])),
IF(OR(G614="4/24",G614="3/24"),((база!$M$5*Таблица1[[#This Row],[сумма]]*Таблица1[[#This Row],[коэф]])),
IF((G614="5/16"),((база!$L$6*Таблица1[[#This Row],[сумма]]*Таблица1[[#This Row],[коэф]])),
IF(OR(G614="4/16",G614="3/16"),((база!$L$5*Таблица1[[#This Row],[сумма]]*Таблица1[[#This Row],[коэф]])),
IF(OR(G614="2/4",G614="3/4",G614="4/4"),((база!$I$5*Таблица1[[#This Row],[сумма]]*Таблица1[[#This Row],[коэф]])),
IF((G614="5/8"),((база!$J$6*Таблица1[[#This Row],[сумма]]*Таблица1[[#This Row],[коэф]])),
IF(OR(G614="4/8",G614="3/8",G614="2/8"),((база!$J$5*Таблица1[[#This Row],[сумма]]*Таблица1[[#This Row],[коэф]])))))))))))</f>
        <v>0</v>
      </c>
      <c r="AP614" s="696" t="b">
        <f>IF(AR614&lt;=3,(IF((G614="5/24"),((база!$M$6*2*Таблица1[[#This Row],[Столбец1]]*Таблица1[[#This Row],[коэф]])),
IF((G614="4/24"),((база!$M$5*2*Таблица1[[#This Row],[Столбец1]]*Таблица1[[#This Row],[коэф]])),
IF((G614="3/24"),((база!$M$4*2*Таблица1[[#This Row],[Столбец1]]*Таблица1[[#This Row],[коэф]])),
IF((G614="5/16"),((база!$L$6*2*Таблица1[[#This Row],[Столбец1]]*Таблица1[[#This Row],[коэф]])),
IF((G614="4/16"),((база!$L$5*2*Таблица1[[#This Row],[Столбец1]]*Таблица1[[#This Row],[коэф]])),
IF((G614="3/16"),((база!$L$4*2*Таблица1[[#This Row],[Столбец1]]*Таблица1[[#This Row],[коэф]])),
IF((G614="4/4"),((база!$I$5*2*Таблица1[[#This Row],[Столбец1]]*Таблица1[[#This Row],[коэф]])),
IF(OR(G614="2/4",G614="3/4"),((база!$I$4*2*Таблица1[[#This Row],[Столбец1]]*Таблица1[[#This Row],[коэф]])),
IF((G614="5/8"),((база!$J$6*2*Таблица1[[#This Row],[Столбец1]]*Таблица1[[#This Row],[коэф]])),
IF((G614="4/8"),((база!$J$5*2*Таблица1[[#This Row],[Столбец1]]*Таблица1[[#This Row],[коэф]])),
IF(OR(G614="3/8",G614="2/8"),((база!$J$4*2*Таблица1[[#This Row],[Столбец1]]*Таблица1[[#This Row],[коэф]])))))))))))))),
(IF((G614="5/24"),((база!$M$6*2*Таблица1[[#This Row],[Столбец1]]*Таблица1[[#This Row],[коэф]])),
IF(OR(G614="4/24",G614="3/24"),((база!$M$5*2*Таблица1[[#This Row],[Столбец1]]*Таблица1[[#This Row],[коэф]])),
IF((G614="5/16"),((база!$L$6*2*Таблица1[[#This Row],[Столбец1]]*Таблица1[[#This Row],[коэф]])),
IF(OR(G614="4/16",G614="3/16"),((база!$L$5*2*Таблица1[[#This Row],[Столбец1]]*Таблица1[[#This Row],[коэф]])),
IF(OR(G614="2/4",G614="3/4",G614="4/4"),((база!$I$5*2*Таблица1[[#This Row],[Столбец1]]*Таблица1[[#This Row],[коэф]])),
IF((G614="5/8"),((база!$J$6*2*Таблица1[[#This Row],[Столбец1]]*Таблица1[[#This Row],[коэф]])),
IF(OR(G614="4/8",G614="3/8",G614="2/8"),((база!$J$5*2*Таблица1[[#This Row],[Столбец1]]*Таблица1[[#This Row],[коэф]])))))))))))</f>
        <v>0</v>
      </c>
      <c r="AQ614" s="678" t="str">
        <f>IFERROR(INDEX(база!T:T, MATCH(F614,база!Q:Q,0)),"")</f>
        <v/>
      </c>
      <c r="AR614" s="193">
        <f>IFERROR(INDEX(база!D:D, MATCH(F614,база!B:B,0)),"")</f>
        <v>0</v>
      </c>
    </row>
    <row r="615" spans="1:44" ht="15">
      <c r="A615" s="59"/>
      <c r="B615" s="215"/>
      <c r="C615" s="277"/>
      <c r="D615" s="55"/>
      <c r="E615" s="196"/>
      <c r="F615" s="651"/>
      <c r="G615" s="42"/>
      <c r="H615" s="539"/>
      <c r="I615" s="539"/>
      <c r="J615" s="539"/>
      <c r="K615" s="539"/>
      <c r="L615" s="539"/>
      <c r="M615" s="539"/>
      <c r="N615" s="539"/>
      <c r="O615" s="539"/>
      <c r="P615" s="278"/>
      <c r="Q615" s="539"/>
      <c r="R615" s="539"/>
      <c r="S615" s="539"/>
      <c r="T615" s="539"/>
      <c r="U615" s="539"/>
      <c r="V615" s="539"/>
      <c r="W615" s="539"/>
      <c r="X615" s="539"/>
      <c r="Y615" s="539"/>
      <c r="Z615" s="539"/>
      <c r="AA615" s="539"/>
      <c r="AB615" s="539"/>
      <c r="AC615" s="539"/>
      <c r="AD615" s="43"/>
      <c r="AE615" s="43"/>
      <c r="AF615" s="238"/>
      <c r="AG615" s="43"/>
      <c r="AH615" s="43"/>
      <c r="AI615" s="238"/>
      <c r="AJ615" s="238"/>
      <c r="AK615" s="238"/>
      <c r="AL615" s="238"/>
      <c r="AM615" s="197">
        <f>IF(AQ615=1,SUM(H615:I615,L615:O615,R615:U615,X615:AA615,AD615:AG615,AI615:AK615),
IF(AQ615=2,SUM(H615:K615,N615:Q615,T615:W615,Z615:AC615,AF615:AI615),
IF(AQ615=3,SUM(J615:M615,P615:S615,V615:Y615,AB615:AE615,AH615:AK615),SUM(Таблица1[[#This Row],[1]:[31]])-Таблица1[[#This Row],[Столбец1]])))</f>
        <v>0</v>
      </c>
      <c r="AN615" s="269">
        <f t="array" ref="AN615">IF(AQ615=1,SUM(J615:K615,P615:Q615,V615:W615,AB615:AC615,AH615:AI615),
IF(AQ615=2,SUM(L615:M615,R615:S615,X615:Y615,AD615:AE615),
IF(AQ615=3,SUM(H615:I615,N615:O615,T615:U615,Z615:AA615,AF615:AG615),
SUM(IFERROR(WEEKDAY($H$2:$AL$2,2)&gt;5,)*H615:AL615))))</f>
        <v>0</v>
      </c>
      <c r="AO615" s="271" t="b">
        <f>IF(AR615&lt;=3,(IF((G615="5/24"),((база!$M$6*Таблица1[[#This Row],[сумма]]*Таблица1[[#This Row],[коэф]])),
IF((G615="4/24"),((база!$M$5*Таблица1[[#This Row],[сумма]]*Таблица1[[#This Row],[коэф]])),
IF((G615="3/24"),((база!$M$4*Таблица1[[#This Row],[сумма]]*Таблица1[[#This Row],[коэф]])),
IF((G615="5/16"),((база!$L$6*Таблица1[[#This Row],[сумма]]*Таблица1[[#This Row],[коэф]])),
IF((G615="4/16"),((база!$L$5*Таблица1[[#This Row],[сумма]]*Таблица1[[#This Row],[коэф]])),
IF((G615="3/16"),((база!$L$4*Таблица1[[#This Row],[сумма]]*Таблица1[[#This Row],[коэф]])),
IF((G615="4/4"),((база!$I$5*Таблица1[[#This Row],[сумма]]*Таблица1[[#This Row],[коэф]])),
IF(OR(G615="2/4",G615="3/4"),((база!$I$4*Таблица1[[#This Row],[сумма]]*Таблица1[[#This Row],[коэф]])),
IF((G615="5/8"),((база!$J$6*Таблица1[[#This Row],[сумма]]*Таблица1[[#This Row],[коэф]])),
IF((G615="4/8"),((база!$J$5*Таблица1[[#This Row],[сумма]]*Таблица1[[#This Row],[коэф]])),
IF(OR(G615="3/8",G615="2/8"),((база!$J$4*Таблица1[[#This Row],[сумма]]*Таблица1[[#This Row],[коэф]])))))))))))))),
(IF((G615="5/24"),((база!$M$6*Таблица1[[#This Row],[сумма]]*Таблица1[[#This Row],[коэф]])),
IF(OR(G615="4/24",G615="3/24"),((база!$M$5*Таблица1[[#This Row],[сумма]]*Таблица1[[#This Row],[коэф]])),
IF((G615="5/16"),((база!$L$6*Таблица1[[#This Row],[сумма]]*Таблица1[[#This Row],[коэф]])),
IF(OR(G615="4/16",G615="3/16"),((база!$L$5*Таблица1[[#This Row],[сумма]]*Таблица1[[#This Row],[коэф]])),
IF(OR(G615="2/4",G615="3/4",G615="4/4"),((база!$I$5*Таблица1[[#This Row],[сумма]]*Таблица1[[#This Row],[коэф]])),
IF((G615="5/8"),((база!$J$6*Таблица1[[#This Row],[сумма]]*Таблица1[[#This Row],[коэф]])),
IF(OR(G615="4/8",G615="3/8",G615="2/8"),((база!$J$5*Таблица1[[#This Row],[сумма]]*Таблица1[[#This Row],[коэф]])))))))))))</f>
        <v>0</v>
      </c>
      <c r="AP615" s="696" t="b">
        <f>IF(AR615&lt;=3,(IF((G615="5/24"),((база!$M$6*2*Таблица1[[#This Row],[Столбец1]]*Таблица1[[#This Row],[коэф]])),
IF((G615="4/24"),((база!$M$5*2*Таблица1[[#This Row],[Столбец1]]*Таблица1[[#This Row],[коэф]])),
IF((G615="3/24"),((база!$M$4*2*Таблица1[[#This Row],[Столбец1]]*Таблица1[[#This Row],[коэф]])),
IF((G615="5/16"),((база!$L$6*2*Таблица1[[#This Row],[Столбец1]]*Таблица1[[#This Row],[коэф]])),
IF((G615="4/16"),((база!$L$5*2*Таблица1[[#This Row],[Столбец1]]*Таблица1[[#This Row],[коэф]])),
IF((G615="3/16"),((база!$L$4*2*Таблица1[[#This Row],[Столбец1]]*Таблица1[[#This Row],[коэф]])),
IF((G615="4/4"),((база!$I$5*2*Таблица1[[#This Row],[Столбец1]]*Таблица1[[#This Row],[коэф]])),
IF(OR(G615="2/4",G615="3/4"),((база!$I$4*2*Таблица1[[#This Row],[Столбец1]]*Таблица1[[#This Row],[коэф]])),
IF((G615="5/8"),((база!$J$6*2*Таблица1[[#This Row],[Столбец1]]*Таблица1[[#This Row],[коэф]])),
IF((G615="4/8"),((база!$J$5*2*Таблица1[[#This Row],[Столбец1]]*Таблица1[[#This Row],[коэф]])),
IF(OR(G615="3/8",G615="2/8"),((база!$J$4*2*Таблица1[[#This Row],[Столбец1]]*Таблица1[[#This Row],[коэф]])))))))))))))),
(IF((G615="5/24"),((база!$M$6*2*Таблица1[[#This Row],[Столбец1]]*Таблица1[[#This Row],[коэф]])),
IF(OR(G615="4/24",G615="3/24"),((база!$M$5*2*Таблица1[[#This Row],[Столбец1]]*Таблица1[[#This Row],[коэф]])),
IF((G615="5/16"),((база!$L$6*2*Таблица1[[#This Row],[Столбец1]]*Таблица1[[#This Row],[коэф]])),
IF(OR(G615="4/16",G615="3/16"),((база!$L$5*2*Таблица1[[#This Row],[Столбец1]]*Таблица1[[#This Row],[коэф]])),
IF(OR(G615="2/4",G615="3/4",G615="4/4"),((база!$I$5*2*Таблица1[[#This Row],[Столбец1]]*Таблица1[[#This Row],[коэф]])),
IF((G615="5/8"),((база!$J$6*2*Таблица1[[#This Row],[Столбец1]]*Таблица1[[#This Row],[коэф]])),
IF(OR(G615="4/8",G615="3/8",G615="2/8"),((база!$J$5*2*Таблица1[[#This Row],[Столбец1]]*Таблица1[[#This Row],[коэф]])))))))))))</f>
        <v>0</v>
      </c>
      <c r="AQ615" s="678" t="str">
        <f>IFERROR(INDEX(база!T:T, MATCH(F615,база!Q:Q,0)),"")</f>
        <v/>
      </c>
      <c r="AR615" s="193">
        <f>IFERROR(INDEX(база!D:D, MATCH(F615,база!B:B,0)),"")</f>
        <v>0</v>
      </c>
    </row>
    <row r="616" spans="1:44" ht="15">
      <c r="A616" s="59"/>
      <c r="B616" s="215"/>
      <c r="C616" s="277"/>
      <c r="D616" s="55"/>
      <c r="E616" s="196"/>
      <c r="F616" s="651"/>
      <c r="G616" s="42"/>
      <c r="H616" s="539"/>
      <c r="I616" s="539"/>
      <c r="J616" s="539"/>
      <c r="K616" s="539"/>
      <c r="L616" s="539"/>
      <c r="M616" s="539"/>
      <c r="N616" s="539"/>
      <c r="O616" s="539"/>
      <c r="P616" s="278"/>
      <c r="Q616" s="539"/>
      <c r="R616" s="539"/>
      <c r="S616" s="539"/>
      <c r="T616" s="539"/>
      <c r="U616" s="539"/>
      <c r="V616" s="539"/>
      <c r="W616" s="539"/>
      <c r="X616" s="539"/>
      <c r="Y616" s="539"/>
      <c r="Z616" s="539"/>
      <c r="AA616" s="539"/>
      <c r="AB616" s="539"/>
      <c r="AC616" s="539"/>
      <c r="AD616" s="43"/>
      <c r="AE616" s="43"/>
      <c r="AF616" s="238"/>
      <c r="AG616" s="43"/>
      <c r="AH616" s="43"/>
      <c r="AI616" s="43"/>
      <c r="AJ616" s="43"/>
      <c r="AK616" s="43"/>
      <c r="AL616" s="45"/>
      <c r="AM616" s="197">
        <f>IF(AQ616=1,SUM(H616:I616,L616:O616,R616:U616,X616:AA616,AD616:AG616,AI616:AK616),
IF(AQ616=2,SUM(H616:K616,N616:Q616,T616:W616,Z616:AC616,AF616:AI616),
IF(AQ616=3,SUM(J616:M616,P616:S616,V616:Y616,AB616:AE616,AH616:AK616),SUM(Таблица1[[#This Row],[1]:[31]])-Таблица1[[#This Row],[Столбец1]])))</f>
        <v>0</v>
      </c>
      <c r="AN616" s="269">
        <f t="array" ref="AN616">IF(AQ616=1,SUM(J616:K616,P616:Q616,V616:W616,AB616:AC616,AH616:AI616),
IF(AQ616=2,SUM(L616:M616,R616:S616,X616:Y616,AD616:AE616),
IF(AQ616=3,SUM(H616:I616,N616:O616,T616:U616,Z616:AA616,AF616:AG616),
SUM(IFERROR(WEEKDAY($H$2:$AL$2,2)&gt;5,)*H616:AL616))))</f>
        <v>0</v>
      </c>
      <c r="AO616" s="271" t="b">
        <f>IF(AR616&lt;=3,(IF((G616="5/24"),((база!$M$6*Таблица1[[#This Row],[сумма]]*Таблица1[[#This Row],[коэф]])),
IF((G616="4/24"),((база!$M$5*Таблица1[[#This Row],[сумма]]*Таблица1[[#This Row],[коэф]])),
IF((G616="3/24"),((база!$M$4*Таблица1[[#This Row],[сумма]]*Таблица1[[#This Row],[коэф]])),
IF((G616="5/16"),((база!$L$6*Таблица1[[#This Row],[сумма]]*Таблица1[[#This Row],[коэф]])),
IF((G616="4/16"),((база!$L$5*Таблица1[[#This Row],[сумма]]*Таблица1[[#This Row],[коэф]])),
IF((G616="3/16"),((база!$L$4*Таблица1[[#This Row],[сумма]]*Таблица1[[#This Row],[коэф]])),
IF((G616="4/4"),((база!$I$5*Таблица1[[#This Row],[сумма]]*Таблица1[[#This Row],[коэф]])),
IF(OR(G616="2/4",G616="3/4"),((база!$I$4*Таблица1[[#This Row],[сумма]]*Таблица1[[#This Row],[коэф]])),
IF((G616="5/8"),((база!$J$6*Таблица1[[#This Row],[сумма]]*Таблица1[[#This Row],[коэф]])),
IF((G616="4/8"),((база!$J$5*Таблица1[[#This Row],[сумма]]*Таблица1[[#This Row],[коэф]])),
IF(OR(G616="3/8",G616="2/8"),((база!$J$4*Таблица1[[#This Row],[сумма]]*Таблица1[[#This Row],[коэф]])))))))))))))),
(IF((G616="5/24"),((база!$M$6*Таблица1[[#This Row],[сумма]]*Таблица1[[#This Row],[коэф]])),
IF(OR(G616="4/24",G616="3/24"),((база!$M$5*Таблица1[[#This Row],[сумма]]*Таблица1[[#This Row],[коэф]])),
IF((G616="5/16"),((база!$L$6*Таблица1[[#This Row],[сумма]]*Таблица1[[#This Row],[коэф]])),
IF(OR(G616="4/16",G616="3/16"),((база!$L$5*Таблица1[[#This Row],[сумма]]*Таблица1[[#This Row],[коэф]])),
IF(OR(G616="2/4",G616="3/4",G616="4/4"),((база!$I$5*Таблица1[[#This Row],[сумма]]*Таблица1[[#This Row],[коэф]])),
IF((G616="5/8"),((база!$J$6*Таблица1[[#This Row],[сумма]]*Таблица1[[#This Row],[коэф]])),
IF(OR(G616="4/8",G616="3/8",G616="2/8"),((база!$J$5*Таблица1[[#This Row],[сумма]]*Таблица1[[#This Row],[коэф]])))))))))))</f>
        <v>0</v>
      </c>
      <c r="AP616" s="696" t="b">
        <f>IF(AR616&lt;=3,(IF((G616="5/24"),((база!$M$6*2*Таблица1[[#This Row],[Столбец1]]*Таблица1[[#This Row],[коэф]])),
IF((G616="4/24"),((база!$M$5*2*Таблица1[[#This Row],[Столбец1]]*Таблица1[[#This Row],[коэф]])),
IF((G616="3/24"),((база!$M$4*2*Таблица1[[#This Row],[Столбец1]]*Таблица1[[#This Row],[коэф]])),
IF((G616="5/16"),((база!$L$6*2*Таблица1[[#This Row],[Столбец1]]*Таблица1[[#This Row],[коэф]])),
IF((G616="4/16"),((база!$L$5*2*Таблица1[[#This Row],[Столбец1]]*Таблица1[[#This Row],[коэф]])),
IF((G616="3/16"),((база!$L$4*2*Таблица1[[#This Row],[Столбец1]]*Таблица1[[#This Row],[коэф]])),
IF((G616="4/4"),((база!$I$5*2*Таблица1[[#This Row],[Столбец1]]*Таблица1[[#This Row],[коэф]])),
IF(OR(G616="2/4",G616="3/4"),((база!$I$4*2*Таблица1[[#This Row],[Столбец1]]*Таблица1[[#This Row],[коэф]])),
IF((G616="5/8"),((база!$J$6*2*Таблица1[[#This Row],[Столбец1]]*Таблица1[[#This Row],[коэф]])),
IF((G616="4/8"),((база!$J$5*2*Таблица1[[#This Row],[Столбец1]]*Таблица1[[#This Row],[коэф]])),
IF(OR(G616="3/8",G616="2/8"),((база!$J$4*2*Таблица1[[#This Row],[Столбец1]]*Таблица1[[#This Row],[коэф]])))))))))))))),
(IF((G616="5/24"),((база!$M$6*2*Таблица1[[#This Row],[Столбец1]]*Таблица1[[#This Row],[коэф]])),
IF(OR(G616="4/24",G616="3/24"),((база!$M$5*2*Таблица1[[#This Row],[Столбец1]]*Таблица1[[#This Row],[коэф]])),
IF((G616="5/16"),((база!$L$6*2*Таблица1[[#This Row],[Столбец1]]*Таблица1[[#This Row],[коэф]])),
IF(OR(G616="4/16",G616="3/16"),((база!$L$5*2*Таблица1[[#This Row],[Столбец1]]*Таблица1[[#This Row],[коэф]])),
IF(OR(G616="2/4",G616="3/4",G616="4/4"),((база!$I$5*2*Таблица1[[#This Row],[Столбец1]]*Таблица1[[#This Row],[коэф]])),
IF((G616="5/8"),((база!$J$6*2*Таблица1[[#This Row],[Столбец1]]*Таблица1[[#This Row],[коэф]])),
IF(OR(G616="4/8",G616="3/8",G616="2/8"),((база!$J$5*2*Таблица1[[#This Row],[Столбец1]]*Таблица1[[#This Row],[коэф]])))))))))))</f>
        <v>0</v>
      </c>
      <c r="AQ616" s="678" t="str">
        <f>IFERROR(INDEX(база!T:T, MATCH(F616,база!Q:Q,0)),"")</f>
        <v/>
      </c>
      <c r="AR616" s="193">
        <f>IFERROR(INDEX(база!D:D, MATCH(F616,база!B:B,0)),"")</f>
        <v>0</v>
      </c>
    </row>
    <row r="617" spans="1:44" ht="15">
      <c r="A617" s="59"/>
      <c r="B617" s="215"/>
      <c r="C617" s="277"/>
      <c r="D617" s="55"/>
      <c r="E617" s="196"/>
      <c r="F617" s="651"/>
      <c r="G617" s="42"/>
      <c r="H617" s="539"/>
      <c r="I617" s="539"/>
      <c r="J617" s="539"/>
      <c r="K617" s="539"/>
      <c r="L617" s="539"/>
      <c r="M617" s="539"/>
      <c r="N617" s="539"/>
      <c r="O617" s="539"/>
      <c r="P617" s="278"/>
      <c r="Q617" s="539"/>
      <c r="R617" s="539"/>
      <c r="S617" s="539"/>
      <c r="T617" s="539"/>
      <c r="U617" s="539"/>
      <c r="V617" s="539"/>
      <c r="W617" s="539"/>
      <c r="X617" s="539"/>
      <c r="Y617" s="539"/>
      <c r="Z617" s="539"/>
      <c r="AA617" s="539"/>
      <c r="AB617" s="539"/>
      <c r="AC617" s="539"/>
      <c r="AD617" s="43"/>
      <c r="AE617" s="43"/>
      <c r="AF617" s="238"/>
      <c r="AG617" s="43"/>
      <c r="AH617" s="43"/>
      <c r="AI617" s="238"/>
      <c r="AJ617" s="238"/>
      <c r="AK617" s="238"/>
      <c r="AL617" s="238"/>
      <c r="AM617" s="197">
        <f>IF(AQ617=1,SUM(H617:I617,L617:O617,R617:U617,X617:AA617,AD617:AG617,AI617:AK617),
IF(AQ617=2,SUM(H617:K617,N617:Q617,T617:W617,Z617:AC617,AF617:AI617),
IF(AQ617=3,SUM(J617:M617,P617:S617,V617:Y617,AB617:AE617,AH617:AK617),SUM(Таблица1[[#This Row],[1]:[31]])-Таблица1[[#This Row],[Столбец1]])))</f>
        <v>0</v>
      </c>
      <c r="AN617" s="269">
        <f t="array" ref="AN617">IF(AQ617=1,SUM(J617:K617,P617:Q617,V617:W617,AB617:AC617,AH617:AI617),
IF(AQ617=2,SUM(L617:M617,R617:S617,X617:Y617,AD617:AE617),
IF(AQ617=3,SUM(H617:I617,N617:O617,T617:U617,Z617:AA617,AF617:AG617),
SUM(IFERROR(WEEKDAY($H$2:$AL$2,2)&gt;5,)*H617:AL617))))</f>
        <v>0</v>
      </c>
      <c r="AO617" s="271" t="b">
        <f>IF(AR617&lt;=3,(IF((G617="5/24"),((база!$M$6*Таблица1[[#This Row],[сумма]]*Таблица1[[#This Row],[коэф]])),
IF((G617="4/24"),((база!$M$5*Таблица1[[#This Row],[сумма]]*Таблица1[[#This Row],[коэф]])),
IF((G617="3/24"),((база!$M$4*Таблица1[[#This Row],[сумма]]*Таблица1[[#This Row],[коэф]])),
IF((G617="5/16"),((база!$L$6*Таблица1[[#This Row],[сумма]]*Таблица1[[#This Row],[коэф]])),
IF((G617="4/16"),((база!$L$5*Таблица1[[#This Row],[сумма]]*Таблица1[[#This Row],[коэф]])),
IF((G617="3/16"),((база!$L$4*Таблица1[[#This Row],[сумма]]*Таблица1[[#This Row],[коэф]])),
IF((G617="4/4"),((база!$I$5*Таблица1[[#This Row],[сумма]]*Таблица1[[#This Row],[коэф]])),
IF(OR(G617="2/4",G617="3/4"),((база!$I$4*Таблица1[[#This Row],[сумма]]*Таблица1[[#This Row],[коэф]])),
IF((G617="5/8"),((база!$J$6*Таблица1[[#This Row],[сумма]]*Таблица1[[#This Row],[коэф]])),
IF((G617="4/8"),((база!$J$5*Таблица1[[#This Row],[сумма]]*Таблица1[[#This Row],[коэф]])),
IF(OR(G617="3/8",G617="2/8"),((база!$J$4*Таблица1[[#This Row],[сумма]]*Таблица1[[#This Row],[коэф]])))))))))))))),
(IF((G617="5/24"),((база!$M$6*Таблица1[[#This Row],[сумма]]*Таблица1[[#This Row],[коэф]])),
IF(OR(G617="4/24",G617="3/24"),((база!$M$5*Таблица1[[#This Row],[сумма]]*Таблица1[[#This Row],[коэф]])),
IF((G617="5/16"),((база!$L$6*Таблица1[[#This Row],[сумма]]*Таблица1[[#This Row],[коэф]])),
IF(OR(G617="4/16",G617="3/16"),((база!$L$5*Таблица1[[#This Row],[сумма]]*Таблица1[[#This Row],[коэф]])),
IF(OR(G617="2/4",G617="3/4",G617="4/4"),((база!$I$5*Таблица1[[#This Row],[сумма]]*Таблица1[[#This Row],[коэф]])),
IF((G617="5/8"),((база!$J$6*Таблица1[[#This Row],[сумма]]*Таблица1[[#This Row],[коэф]])),
IF(OR(G617="4/8",G617="3/8",G617="2/8"),((база!$J$5*Таблица1[[#This Row],[сумма]]*Таблица1[[#This Row],[коэф]])))))))))))</f>
        <v>0</v>
      </c>
      <c r="AP617" s="696" t="b">
        <f>IF(AR617&lt;=3,(IF((G617="5/24"),((база!$M$6*2*Таблица1[[#This Row],[Столбец1]]*Таблица1[[#This Row],[коэф]])),
IF((G617="4/24"),((база!$M$5*2*Таблица1[[#This Row],[Столбец1]]*Таблица1[[#This Row],[коэф]])),
IF((G617="3/24"),((база!$M$4*2*Таблица1[[#This Row],[Столбец1]]*Таблица1[[#This Row],[коэф]])),
IF((G617="5/16"),((база!$L$6*2*Таблица1[[#This Row],[Столбец1]]*Таблица1[[#This Row],[коэф]])),
IF((G617="4/16"),((база!$L$5*2*Таблица1[[#This Row],[Столбец1]]*Таблица1[[#This Row],[коэф]])),
IF((G617="3/16"),((база!$L$4*2*Таблица1[[#This Row],[Столбец1]]*Таблица1[[#This Row],[коэф]])),
IF((G617="4/4"),((база!$I$5*2*Таблица1[[#This Row],[Столбец1]]*Таблица1[[#This Row],[коэф]])),
IF(OR(G617="2/4",G617="3/4"),((база!$I$4*2*Таблица1[[#This Row],[Столбец1]]*Таблица1[[#This Row],[коэф]])),
IF((G617="5/8"),((база!$J$6*2*Таблица1[[#This Row],[Столбец1]]*Таблица1[[#This Row],[коэф]])),
IF((G617="4/8"),((база!$J$5*2*Таблица1[[#This Row],[Столбец1]]*Таблица1[[#This Row],[коэф]])),
IF(OR(G617="3/8",G617="2/8"),((база!$J$4*2*Таблица1[[#This Row],[Столбец1]]*Таблица1[[#This Row],[коэф]])))))))))))))),
(IF((G617="5/24"),((база!$M$6*2*Таблица1[[#This Row],[Столбец1]]*Таблица1[[#This Row],[коэф]])),
IF(OR(G617="4/24",G617="3/24"),((база!$M$5*2*Таблица1[[#This Row],[Столбец1]]*Таблица1[[#This Row],[коэф]])),
IF((G617="5/16"),((база!$L$6*2*Таблица1[[#This Row],[Столбец1]]*Таблица1[[#This Row],[коэф]])),
IF(OR(G617="4/16",G617="3/16"),((база!$L$5*2*Таблица1[[#This Row],[Столбец1]]*Таблица1[[#This Row],[коэф]])),
IF(OR(G617="2/4",G617="3/4",G617="4/4"),((база!$I$5*2*Таблица1[[#This Row],[Столбец1]]*Таблица1[[#This Row],[коэф]])),
IF((G617="5/8"),((база!$J$6*2*Таблица1[[#This Row],[Столбец1]]*Таблица1[[#This Row],[коэф]])),
IF(OR(G617="4/8",G617="3/8",G617="2/8"),((база!$J$5*2*Таблица1[[#This Row],[Столбец1]]*Таблица1[[#This Row],[коэф]])))))))))))</f>
        <v>0</v>
      </c>
      <c r="AQ617" s="678" t="str">
        <f>IFERROR(INDEX(база!T:T, MATCH(F617,база!Q:Q,0)),"")</f>
        <v/>
      </c>
      <c r="AR617" s="193">
        <f>IFERROR(INDEX(база!D:D, MATCH(F617,база!B:B,0)),"")</f>
        <v>0</v>
      </c>
    </row>
    <row r="618" spans="1:44" ht="15">
      <c r="A618" s="59"/>
      <c r="B618" s="215"/>
      <c r="C618" s="277"/>
      <c r="D618" s="55"/>
      <c r="E618" s="196"/>
      <c r="F618" s="651"/>
      <c r="G618" s="42"/>
      <c r="H618" s="539"/>
      <c r="I618" s="539"/>
      <c r="J618" s="539"/>
      <c r="K618" s="539"/>
      <c r="L618" s="539"/>
      <c r="M618" s="539"/>
      <c r="N618" s="539"/>
      <c r="O618" s="539"/>
      <c r="P618" s="278"/>
      <c r="Q618" s="539"/>
      <c r="R618" s="539"/>
      <c r="S618" s="539"/>
      <c r="T618" s="539"/>
      <c r="U618" s="539"/>
      <c r="V618" s="539"/>
      <c r="W618" s="539"/>
      <c r="X618" s="539"/>
      <c r="Y618" s="539"/>
      <c r="Z618" s="539"/>
      <c r="AA618" s="539"/>
      <c r="AB618" s="539"/>
      <c r="AC618" s="539"/>
      <c r="AD618" s="43"/>
      <c r="AE618" s="43"/>
      <c r="AF618" s="238"/>
      <c r="AG618" s="43"/>
      <c r="AH618" s="43"/>
      <c r="AI618" s="43"/>
      <c r="AJ618" s="43"/>
      <c r="AK618" s="43"/>
      <c r="AL618" s="45"/>
      <c r="AM618" s="197">
        <f>IF(AQ618=1,SUM(H618:I618,L618:O618,R618:U618,X618:AA618,AD618:AG618,AI618:AK618),
IF(AQ618=2,SUM(H618:K618,N618:Q618,T618:W618,Z618:AC618,AF618:AI618),
IF(AQ618=3,SUM(J618:M618,P618:S618,V618:Y618,AB618:AE618,AH618:AK618),SUM(Таблица1[[#This Row],[1]:[31]])-Таблица1[[#This Row],[Столбец1]])))</f>
        <v>0</v>
      </c>
      <c r="AN618" s="269">
        <f t="array" ref="AN618">IF(AQ618=1,SUM(J618:K618,P618:Q618,V618:W618,AB618:AC618,AH618:AI618),
IF(AQ618=2,SUM(L618:M618,R618:S618,X618:Y618,AD618:AE618),
IF(AQ618=3,SUM(H618:I618,N618:O618,T618:U618,Z618:AA618,AF618:AG618),
SUM(IFERROR(WEEKDAY($H$2:$AL$2,2)&gt;5,)*H618:AL618))))</f>
        <v>0</v>
      </c>
      <c r="AO618" s="271" t="b">
        <f>IF(AR618&lt;=3,(IF((G618="5/24"),((база!$M$6*Таблица1[[#This Row],[сумма]]*Таблица1[[#This Row],[коэф]])),
IF((G618="4/24"),((база!$M$5*Таблица1[[#This Row],[сумма]]*Таблица1[[#This Row],[коэф]])),
IF((G618="3/24"),((база!$M$4*Таблица1[[#This Row],[сумма]]*Таблица1[[#This Row],[коэф]])),
IF((G618="5/16"),((база!$L$6*Таблица1[[#This Row],[сумма]]*Таблица1[[#This Row],[коэф]])),
IF((G618="4/16"),((база!$L$5*Таблица1[[#This Row],[сумма]]*Таблица1[[#This Row],[коэф]])),
IF((G618="3/16"),((база!$L$4*Таблица1[[#This Row],[сумма]]*Таблица1[[#This Row],[коэф]])),
IF((G618="4/4"),((база!$I$5*Таблица1[[#This Row],[сумма]]*Таблица1[[#This Row],[коэф]])),
IF(OR(G618="2/4",G618="3/4"),((база!$I$4*Таблица1[[#This Row],[сумма]]*Таблица1[[#This Row],[коэф]])),
IF((G618="5/8"),((база!$J$6*Таблица1[[#This Row],[сумма]]*Таблица1[[#This Row],[коэф]])),
IF((G618="4/8"),((база!$J$5*Таблица1[[#This Row],[сумма]]*Таблица1[[#This Row],[коэф]])),
IF(OR(G618="3/8",G618="2/8"),((база!$J$4*Таблица1[[#This Row],[сумма]]*Таблица1[[#This Row],[коэф]])))))))))))))),
(IF((G618="5/24"),((база!$M$6*Таблица1[[#This Row],[сумма]]*Таблица1[[#This Row],[коэф]])),
IF(OR(G618="4/24",G618="3/24"),((база!$M$5*Таблица1[[#This Row],[сумма]]*Таблица1[[#This Row],[коэф]])),
IF((G618="5/16"),((база!$L$6*Таблица1[[#This Row],[сумма]]*Таблица1[[#This Row],[коэф]])),
IF(OR(G618="4/16",G618="3/16"),((база!$L$5*Таблица1[[#This Row],[сумма]]*Таблица1[[#This Row],[коэф]])),
IF(OR(G618="2/4",G618="3/4",G618="4/4"),((база!$I$5*Таблица1[[#This Row],[сумма]]*Таблица1[[#This Row],[коэф]])),
IF((G618="5/8"),((база!$J$6*Таблица1[[#This Row],[сумма]]*Таблица1[[#This Row],[коэф]])),
IF(OR(G618="4/8",G618="3/8",G618="2/8"),((база!$J$5*Таблица1[[#This Row],[сумма]]*Таблица1[[#This Row],[коэф]])))))))))))</f>
        <v>0</v>
      </c>
      <c r="AP618" s="696" t="b">
        <f>IF(AR618&lt;=3,(IF((G618="5/24"),((база!$M$6*2*Таблица1[[#This Row],[Столбец1]]*Таблица1[[#This Row],[коэф]])),
IF((G618="4/24"),((база!$M$5*2*Таблица1[[#This Row],[Столбец1]]*Таблица1[[#This Row],[коэф]])),
IF((G618="3/24"),((база!$M$4*2*Таблица1[[#This Row],[Столбец1]]*Таблица1[[#This Row],[коэф]])),
IF((G618="5/16"),((база!$L$6*2*Таблица1[[#This Row],[Столбец1]]*Таблица1[[#This Row],[коэф]])),
IF((G618="4/16"),((база!$L$5*2*Таблица1[[#This Row],[Столбец1]]*Таблица1[[#This Row],[коэф]])),
IF((G618="3/16"),((база!$L$4*2*Таблица1[[#This Row],[Столбец1]]*Таблица1[[#This Row],[коэф]])),
IF((G618="4/4"),((база!$I$5*2*Таблица1[[#This Row],[Столбец1]]*Таблица1[[#This Row],[коэф]])),
IF(OR(G618="2/4",G618="3/4"),((база!$I$4*2*Таблица1[[#This Row],[Столбец1]]*Таблица1[[#This Row],[коэф]])),
IF((G618="5/8"),((база!$J$6*2*Таблица1[[#This Row],[Столбец1]]*Таблица1[[#This Row],[коэф]])),
IF((G618="4/8"),((база!$J$5*2*Таблица1[[#This Row],[Столбец1]]*Таблица1[[#This Row],[коэф]])),
IF(OR(G618="3/8",G618="2/8"),((база!$J$4*2*Таблица1[[#This Row],[Столбец1]]*Таблица1[[#This Row],[коэф]])))))))))))))),
(IF((G618="5/24"),((база!$M$6*2*Таблица1[[#This Row],[Столбец1]]*Таблица1[[#This Row],[коэф]])),
IF(OR(G618="4/24",G618="3/24"),((база!$M$5*2*Таблица1[[#This Row],[Столбец1]]*Таблица1[[#This Row],[коэф]])),
IF((G618="5/16"),((база!$L$6*2*Таблица1[[#This Row],[Столбец1]]*Таблица1[[#This Row],[коэф]])),
IF(OR(G618="4/16",G618="3/16"),((база!$L$5*2*Таблица1[[#This Row],[Столбец1]]*Таблица1[[#This Row],[коэф]])),
IF(OR(G618="2/4",G618="3/4",G618="4/4"),((база!$I$5*2*Таблица1[[#This Row],[Столбец1]]*Таблица1[[#This Row],[коэф]])),
IF((G618="5/8"),((база!$J$6*2*Таблица1[[#This Row],[Столбец1]]*Таблица1[[#This Row],[коэф]])),
IF(OR(G618="4/8",G618="3/8",G618="2/8"),((база!$J$5*2*Таблица1[[#This Row],[Столбец1]]*Таблица1[[#This Row],[коэф]])))))))))))</f>
        <v>0</v>
      </c>
      <c r="AQ618" s="678" t="str">
        <f>IFERROR(INDEX(база!T:T, MATCH(F618,база!Q:Q,0)),"")</f>
        <v/>
      </c>
      <c r="AR618" s="193">
        <f>IFERROR(INDEX(база!D:D, MATCH(F618,база!B:B,0)),"")</f>
        <v>0</v>
      </c>
    </row>
    <row r="619" spans="1:44" ht="15">
      <c r="A619" s="59"/>
      <c r="B619" s="215"/>
      <c r="C619" s="54"/>
      <c r="D619" s="55"/>
      <c r="E619" s="196"/>
      <c r="F619" s="651"/>
      <c r="G619" s="42"/>
      <c r="H619" s="539"/>
      <c r="I619" s="539"/>
      <c r="J619" s="539"/>
      <c r="K619" s="539"/>
      <c r="L619" s="539"/>
      <c r="M619" s="539"/>
      <c r="N619" s="539"/>
      <c r="O619" s="539"/>
      <c r="P619" s="278"/>
      <c r="Q619" s="539"/>
      <c r="R619" s="539"/>
      <c r="S619" s="539"/>
      <c r="T619" s="539"/>
      <c r="U619" s="539"/>
      <c r="V619" s="539"/>
      <c r="W619" s="539"/>
      <c r="X619" s="539"/>
      <c r="Y619" s="539"/>
      <c r="Z619" s="539"/>
      <c r="AA619" s="539"/>
      <c r="AB619" s="539"/>
      <c r="AC619" s="539"/>
      <c r="AD619" s="43"/>
      <c r="AE619" s="43"/>
      <c r="AF619" s="238"/>
      <c r="AG619" s="43"/>
      <c r="AH619" s="43"/>
      <c r="AI619" s="238"/>
      <c r="AJ619" s="238"/>
      <c r="AK619" s="238"/>
      <c r="AL619" s="238"/>
      <c r="AM619" s="197">
        <f>IF(AQ619=1,SUM(H619:I619,L619:O619,R619:U619,X619:AA619,AD619:AG619,AI619:AK619),
IF(AQ619=2,SUM(H619:K619,N619:Q619,T619:W619,Z619:AC619,AF619:AI619),
IF(AQ619=3,SUM(J619:M619,P619:S619,V619:Y619,AB619:AE619,AH619:AK619),SUM(Таблица1[[#This Row],[1]:[31]])-Таблица1[[#This Row],[Столбец1]])))</f>
        <v>0</v>
      </c>
      <c r="AN619" s="269">
        <f t="array" ref="AN619">IF(AQ619=1,SUM(J619:K619,P619:Q619,V619:W619,AB619:AC619,AH619:AI619),
IF(AQ619=2,SUM(L619:M619,R619:S619,X619:Y619,AD619:AE619),
IF(AQ619=3,SUM(H619:I619,N619:O619,T619:U619,Z619:AA619,AF619:AG619),
SUM(IFERROR(WEEKDAY($H$2:$AL$2,2)&gt;5,)*H619:AL619))))</f>
        <v>0</v>
      </c>
      <c r="AO619" s="271" t="b">
        <f>IF(AR619&lt;=3,(IF((G619="5/24"),((база!$M$6*Таблица1[[#This Row],[сумма]]*Таблица1[[#This Row],[коэф]])),
IF((G619="4/24"),((база!$M$5*Таблица1[[#This Row],[сумма]]*Таблица1[[#This Row],[коэф]])),
IF((G619="3/24"),((база!$M$4*Таблица1[[#This Row],[сумма]]*Таблица1[[#This Row],[коэф]])),
IF((G619="5/16"),((база!$L$6*Таблица1[[#This Row],[сумма]]*Таблица1[[#This Row],[коэф]])),
IF((G619="4/16"),((база!$L$5*Таблица1[[#This Row],[сумма]]*Таблица1[[#This Row],[коэф]])),
IF((G619="3/16"),((база!$L$4*Таблица1[[#This Row],[сумма]]*Таблица1[[#This Row],[коэф]])),
IF((G619="4/4"),((база!$I$5*Таблица1[[#This Row],[сумма]]*Таблица1[[#This Row],[коэф]])),
IF(OR(G619="2/4",G619="3/4"),((база!$I$4*Таблица1[[#This Row],[сумма]]*Таблица1[[#This Row],[коэф]])),
IF((G619="5/8"),((база!$J$6*Таблица1[[#This Row],[сумма]]*Таблица1[[#This Row],[коэф]])),
IF((G619="4/8"),((база!$J$5*Таблица1[[#This Row],[сумма]]*Таблица1[[#This Row],[коэф]])),
IF(OR(G619="3/8",G619="2/8"),((база!$J$4*Таблица1[[#This Row],[сумма]]*Таблица1[[#This Row],[коэф]])))))))))))))),
(IF((G619="5/24"),((база!$M$6*Таблица1[[#This Row],[сумма]]*Таблица1[[#This Row],[коэф]])),
IF(OR(G619="4/24",G619="3/24"),((база!$M$5*Таблица1[[#This Row],[сумма]]*Таблица1[[#This Row],[коэф]])),
IF((G619="5/16"),((база!$L$6*Таблица1[[#This Row],[сумма]]*Таблица1[[#This Row],[коэф]])),
IF(OR(G619="4/16",G619="3/16"),((база!$L$5*Таблица1[[#This Row],[сумма]]*Таблица1[[#This Row],[коэф]])),
IF(OR(G619="2/4",G619="3/4",G619="4/4"),((база!$I$5*Таблица1[[#This Row],[сумма]]*Таблица1[[#This Row],[коэф]])),
IF((G619="5/8"),((база!$J$6*Таблица1[[#This Row],[сумма]]*Таблица1[[#This Row],[коэф]])),
IF(OR(G619="4/8",G619="3/8",G619="2/8"),((база!$J$5*Таблица1[[#This Row],[сумма]]*Таблица1[[#This Row],[коэф]])))))))))))</f>
        <v>0</v>
      </c>
      <c r="AP619" s="696" t="b">
        <f>IF(AR619&lt;=3,(IF((G619="5/24"),((база!$M$6*2*Таблица1[[#This Row],[Столбец1]]*Таблица1[[#This Row],[коэф]])),
IF((G619="4/24"),((база!$M$5*2*Таблица1[[#This Row],[Столбец1]]*Таблица1[[#This Row],[коэф]])),
IF((G619="3/24"),((база!$M$4*2*Таблица1[[#This Row],[Столбец1]]*Таблица1[[#This Row],[коэф]])),
IF((G619="5/16"),((база!$L$6*2*Таблица1[[#This Row],[Столбец1]]*Таблица1[[#This Row],[коэф]])),
IF((G619="4/16"),((база!$L$5*2*Таблица1[[#This Row],[Столбец1]]*Таблица1[[#This Row],[коэф]])),
IF((G619="3/16"),((база!$L$4*2*Таблица1[[#This Row],[Столбец1]]*Таблица1[[#This Row],[коэф]])),
IF((G619="4/4"),((база!$I$5*2*Таблица1[[#This Row],[Столбец1]]*Таблица1[[#This Row],[коэф]])),
IF(OR(G619="2/4",G619="3/4"),((база!$I$4*2*Таблица1[[#This Row],[Столбец1]]*Таблица1[[#This Row],[коэф]])),
IF((G619="5/8"),((база!$J$6*2*Таблица1[[#This Row],[Столбец1]]*Таблица1[[#This Row],[коэф]])),
IF((G619="4/8"),((база!$J$5*2*Таблица1[[#This Row],[Столбец1]]*Таблица1[[#This Row],[коэф]])),
IF(OR(G619="3/8",G619="2/8"),((база!$J$4*2*Таблица1[[#This Row],[Столбец1]]*Таблица1[[#This Row],[коэф]])))))))))))))),
(IF((G619="5/24"),((база!$M$6*2*Таблица1[[#This Row],[Столбец1]]*Таблица1[[#This Row],[коэф]])),
IF(OR(G619="4/24",G619="3/24"),((база!$M$5*2*Таблица1[[#This Row],[Столбец1]]*Таблица1[[#This Row],[коэф]])),
IF((G619="5/16"),((база!$L$6*2*Таблица1[[#This Row],[Столбец1]]*Таблица1[[#This Row],[коэф]])),
IF(OR(G619="4/16",G619="3/16"),((база!$L$5*2*Таблица1[[#This Row],[Столбец1]]*Таблица1[[#This Row],[коэф]])),
IF(OR(G619="2/4",G619="3/4",G619="4/4"),((база!$I$5*2*Таблица1[[#This Row],[Столбец1]]*Таблица1[[#This Row],[коэф]])),
IF((G619="5/8"),((база!$J$6*2*Таблица1[[#This Row],[Столбец1]]*Таблица1[[#This Row],[коэф]])),
IF(OR(G619="4/8",G619="3/8",G619="2/8"),((база!$J$5*2*Таблица1[[#This Row],[Столбец1]]*Таблица1[[#This Row],[коэф]])))))))))))</f>
        <v>0</v>
      </c>
      <c r="AQ619" s="678" t="str">
        <f>IFERROR(INDEX(база!T:T, MATCH(F619,база!Q:Q,0)),"")</f>
        <v/>
      </c>
      <c r="AR619" s="193">
        <f>IFERROR(INDEX(база!D:D, MATCH(F619,база!B:B,0)),"")</f>
        <v>0</v>
      </c>
    </row>
    <row r="620" spans="1:44" ht="15">
      <c r="A620" s="59"/>
      <c r="B620" s="215"/>
      <c r="C620" s="277"/>
      <c r="D620" s="55"/>
      <c r="E620" s="196"/>
      <c r="F620" s="651"/>
      <c r="G620" s="42"/>
      <c r="H620" s="539"/>
      <c r="I620" s="539"/>
      <c r="J620" s="539"/>
      <c r="K620" s="539"/>
      <c r="L620" s="539"/>
      <c r="M620" s="539"/>
      <c r="N620" s="539"/>
      <c r="O620" s="539"/>
      <c r="P620" s="278"/>
      <c r="Q620" s="539"/>
      <c r="R620" s="539"/>
      <c r="S620" s="539"/>
      <c r="T620" s="539"/>
      <c r="U620" s="539"/>
      <c r="V620" s="539"/>
      <c r="W620" s="539"/>
      <c r="X620" s="539"/>
      <c r="Y620" s="539"/>
      <c r="Z620" s="539"/>
      <c r="AA620" s="539"/>
      <c r="AB620" s="539"/>
      <c r="AC620" s="539"/>
      <c r="AD620" s="43"/>
      <c r="AE620" s="43"/>
      <c r="AF620" s="238"/>
      <c r="AG620" s="43"/>
      <c r="AH620" s="43"/>
      <c r="AI620" s="43"/>
      <c r="AJ620" s="43"/>
      <c r="AK620" s="43"/>
      <c r="AL620" s="45"/>
      <c r="AM620" s="197">
        <f>IF(AQ620=1,SUM(H620:I620,L620:O620,R620:U620,X620:AA620,AD620:AG620,AI620:AK620),
IF(AQ620=2,SUM(H620:K620,N620:Q620,T620:W620,Z620:AC620,AF620:AI620),
IF(AQ620=3,SUM(J620:M620,P620:S620,V620:Y620,AB620:AE620,AH620:AK620),SUM(Таблица1[[#This Row],[1]:[31]])-Таблица1[[#This Row],[Столбец1]])))</f>
        <v>0</v>
      </c>
      <c r="AN620" s="269">
        <f t="array" ref="AN620">IF(AQ620=1,SUM(J620:K620,P620:Q620,V620:W620,AB620:AC620,AH620:AI620),
IF(AQ620=2,SUM(L620:M620,R620:S620,X620:Y620,AD620:AE620),
IF(AQ620=3,SUM(H620:I620,N620:O620,T620:U620,Z620:AA620,AF620:AG620),
SUM(IFERROR(WEEKDAY($H$2:$AL$2,2)&gt;5,)*H620:AL620))))</f>
        <v>0</v>
      </c>
      <c r="AO620" s="271" t="b">
        <f>IF(AR620&lt;=3,(IF((G620="5/24"),((база!$M$6*Таблица1[[#This Row],[сумма]]*Таблица1[[#This Row],[коэф]])),
IF((G620="4/24"),((база!$M$5*Таблица1[[#This Row],[сумма]]*Таблица1[[#This Row],[коэф]])),
IF((G620="3/24"),((база!$M$4*Таблица1[[#This Row],[сумма]]*Таблица1[[#This Row],[коэф]])),
IF((G620="5/16"),((база!$L$6*Таблица1[[#This Row],[сумма]]*Таблица1[[#This Row],[коэф]])),
IF((G620="4/16"),((база!$L$5*Таблица1[[#This Row],[сумма]]*Таблица1[[#This Row],[коэф]])),
IF((G620="3/16"),((база!$L$4*Таблица1[[#This Row],[сумма]]*Таблица1[[#This Row],[коэф]])),
IF((G620="4/4"),((база!$I$5*Таблица1[[#This Row],[сумма]]*Таблица1[[#This Row],[коэф]])),
IF(OR(G620="2/4",G620="3/4"),((база!$I$4*Таблица1[[#This Row],[сумма]]*Таблица1[[#This Row],[коэф]])),
IF((G620="5/8"),((база!$J$6*Таблица1[[#This Row],[сумма]]*Таблица1[[#This Row],[коэф]])),
IF((G620="4/8"),((база!$J$5*Таблица1[[#This Row],[сумма]]*Таблица1[[#This Row],[коэф]])),
IF(OR(G620="3/8",G620="2/8"),((база!$J$4*Таблица1[[#This Row],[сумма]]*Таблица1[[#This Row],[коэф]])))))))))))))),
(IF((G620="5/24"),((база!$M$6*Таблица1[[#This Row],[сумма]]*Таблица1[[#This Row],[коэф]])),
IF(OR(G620="4/24",G620="3/24"),((база!$M$5*Таблица1[[#This Row],[сумма]]*Таблица1[[#This Row],[коэф]])),
IF((G620="5/16"),((база!$L$6*Таблица1[[#This Row],[сумма]]*Таблица1[[#This Row],[коэф]])),
IF(OR(G620="4/16",G620="3/16"),((база!$L$5*Таблица1[[#This Row],[сумма]]*Таблица1[[#This Row],[коэф]])),
IF(OR(G620="2/4",G620="3/4",G620="4/4"),((база!$I$5*Таблица1[[#This Row],[сумма]]*Таблица1[[#This Row],[коэф]])),
IF((G620="5/8"),((база!$J$6*Таблица1[[#This Row],[сумма]]*Таблица1[[#This Row],[коэф]])),
IF(OR(G620="4/8",G620="3/8",G620="2/8"),((база!$J$5*Таблица1[[#This Row],[сумма]]*Таблица1[[#This Row],[коэф]])))))))))))</f>
        <v>0</v>
      </c>
      <c r="AP620" s="696" t="b">
        <f>IF(AR620&lt;=3,(IF((G620="5/24"),((база!$M$6*2*Таблица1[[#This Row],[Столбец1]]*Таблица1[[#This Row],[коэф]])),
IF((G620="4/24"),((база!$M$5*2*Таблица1[[#This Row],[Столбец1]]*Таблица1[[#This Row],[коэф]])),
IF((G620="3/24"),((база!$M$4*2*Таблица1[[#This Row],[Столбец1]]*Таблица1[[#This Row],[коэф]])),
IF((G620="5/16"),((база!$L$6*2*Таблица1[[#This Row],[Столбец1]]*Таблица1[[#This Row],[коэф]])),
IF((G620="4/16"),((база!$L$5*2*Таблица1[[#This Row],[Столбец1]]*Таблица1[[#This Row],[коэф]])),
IF((G620="3/16"),((база!$L$4*2*Таблица1[[#This Row],[Столбец1]]*Таблица1[[#This Row],[коэф]])),
IF((G620="4/4"),((база!$I$5*2*Таблица1[[#This Row],[Столбец1]]*Таблица1[[#This Row],[коэф]])),
IF(OR(G620="2/4",G620="3/4"),((база!$I$4*2*Таблица1[[#This Row],[Столбец1]]*Таблица1[[#This Row],[коэф]])),
IF((G620="5/8"),((база!$J$6*2*Таблица1[[#This Row],[Столбец1]]*Таблица1[[#This Row],[коэф]])),
IF((G620="4/8"),((база!$J$5*2*Таблица1[[#This Row],[Столбец1]]*Таблица1[[#This Row],[коэф]])),
IF(OR(G620="3/8",G620="2/8"),((база!$J$4*2*Таблица1[[#This Row],[Столбец1]]*Таблица1[[#This Row],[коэф]])))))))))))))),
(IF((G620="5/24"),((база!$M$6*2*Таблица1[[#This Row],[Столбец1]]*Таблица1[[#This Row],[коэф]])),
IF(OR(G620="4/24",G620="3/24"),((база!$M$5*2*Таблица1[[#This Row],[Столбец1]]*Таблица1[[#This Row],[коэф]])),
IF((G620="5/16"),((база!$L$6*2*Таблица1[[#This Row],[Столбец1]]*Таблица1[[#This Row],[коэф]])),
IF(OR(G620="4/16",G620="3/16"),((база!$L$5*2*Таблица1[[#This Row],[Столбец1]]*Таблица1[[#This Row],[коэф]])),
IF(OR(G620="2/4",G620="3/4",G620="4/4"),((база!$I$5*2*Таблица1[[#This Row],[Столбец1]]*Таблица1[[#This Row],[коэф]])),
IF((G620="5/8"),((база!$J$6*2*Таблица1[[#This Row],[Столбец1]]*Таблица1[[#This Row],[коэф]])),
IF(OR(G620="4/8",G620="3/8",G620="2/8"),((база!$J$5*2*Таблица1[[#This Row],[Столбец1]]*Таблица1[[#This Row],[коэф]])))))))))))</f>
        <v>0</v>
      </c>
      <c r="AQ620" s="678" t="str">
        <f>IFERROR(INDEX(база!T:T, MATCH(F620,база!Q:Q,0)),"")</f>
        <v/>
      </c>
      <c r="AR620" s="193">
        <f>IFERROR(INDEX(база!D:D, MATCH(F620,база!B:B,0)),"")</f>
        <v>0</v>
      </c>
    </row>
    <row r="621" spans="1:44" ht="15">
      <c r="A621" s="59"/>
      <c r="B621" s="215"/>
      <c r="C621" s="277"/>
      <c r="D621" s="55"/>
      <c r="E621" s="196"/>
      <c r="F621" s="651"/>
      <c r="G621" s="42"/>
      <c r="H621" s="539"/>
      <c r="I621" s="539"/>
      <c r="J621" s="539"/>
      <c r="K621" s="539"/>
      <c r="L621" s="539"/>
      <c r="M621" s="539"/>
      <c r="N621" s="539"/>
      <c r="O621" s="539"/>
      <c r="P621" s="278"/>
      <c r="Q621" s="539"/>
      <c r="R621" s="539"/>
      <c r="S621" s="539"/>
      <c r="T621" s="539"/>
      <c r="U621" s="539"/>
      <c r="V621" s="539"/>
      <c r="W621" s="539"/>
      <c r="X621" s="539"/>
      <c r="Y621" s="539"/>
      <c r="Z621" s="539"/>
      <c r="AA621" s="539"/>
      <c r="AB621" s="539"/>
      <c r="AC621" s="539"/>
      <c r="AD621" s="43"/>
      <c r="AE621" s="43"/>
      <c r="AF621" s="238"/>
      <c r="AG621" s="43"/>
      <c r="AH621" s="43"/>
      <c r="AI621" s="238"/>
      <c r="AJ621" s="238"/>
      <c r="AK621" s="238"/>
      <c r="AL621" s="238"/>
      <c r="AM621" s="197">
        <f>IF(AQ621=1,SUM(H621:I621,L621:O621,R621:U621,X621:AA621,AD621:AG621,AI621:AK621),
IF(AQ621=2,SUM(H621:K621,N621:Q621,T621:W621,Z621:AC621,AF621:AI621),
IF(AQ621=3,SUM(J621:M621,P621:S621,V621:Y621,AB621:AE621,AH621:AK621),SUM(Таблица1[[#This Row],[1]:[31]])-Таблица1[[#This Row],[Столбец1]])))</f>
        <v>0</v>
      </c>
      <c r="AN621" s="269">
        <f t="array" ref="AN621">IF(AQ621=1,SUM(J621:K621,P621:Q621,V621:W621,AB621:AC621,AH621:AI621),
IF(AQ621=2,SUM(L621:M621,R621:S621,X621:Y621,AD621:AE621),
IF(AQ621=3,SUM(H621:I621,N621:O621,T621:U621,Z621:AA621,AF621:AG621),
SUM(IFERROR(WEEKDAY($H$2:$AL$2,2)&gt;5,)*H621:AL621))))</f>
        <v>0</v>
      </c>
      <c r="AO621" s="271" t="b">
        <f>IF(AR621&lt;=3,(IF((G621="5/24"),((база!$M$6*Таблица1[[#This Row],[сумма]]*Таблица1[[#This Row],[коэф]])),
IF((G621="4/24"),((база!$M$5*Таблица1[[#This Row],[сумма]]*Таблица1[[#This Row],[коэф]])),
IF((G621="3/24"),((база!$M$4*Таблица1[[#This Row],[сумма]]*Таблица1[[#This Row],[коэф]])),
IF((G621="5/16"),((база!$L$6*Таблица1[[#This Row],[сумма]]*Таблица1[[#This Row],[коэф]])),
IF((G621="4/16"),((база!$L$5*Таблица1[[#This Row],[сумма]]*Таблица1[[#This Row],[коэф]])),
IF((G621="3/16"),((база!$L$4*Таблица1[[#This Row],[сумма]]*Таблица1[[#This Row],[коэф]])),
IF((G621="4/4"),((база!$I$5*Таблица1[[#This Row],[сумма]]*Таблица1[[#This Row],[коэф]])),
IF(OR(G621="2/4",G621="3/4"),((база!$I$4*Таблица1[[#This Row],[сумма]]*Таблица1[[#This Row],[коэф]])),
IF((G621="5/8"),((база!$J$6*Таблица1[[#This Row],[сумма]]*Таблица1[[#This Row],[коэф]])),
IF((G621="4/8"),((база!$J$5*Таблица1[[#This Row],[сумма]]*Таблица1[[#This Row],[коэф]])),
IF(OR(G621="3/8",G621="2/8"),((база!$J$4*Таблица1[[#This Row],[сумма]]*Таблица1[[#This Row],[коэф]])))))))))))))),
(IF((G621="5/24"),((база!$M$6*Таблица1[[#This Row],[сумма]]*Таблица1[[#This Row],[коэф]])),
IF(OR(G621="4/24",G621="3/24"),((база!$M$5*Таблица1[[#This Row],[сумма]]*Таблица1[[#This Row],[коэф]])),
IF((G621="5/16"),((база!$L$6*Таблица1[[#This Row],[сумма]]*Таблица1[[#This Row],[коэф]])),
IF(OR(G621="4/16",G621="3/16"),((база!$L$5*Таблица1[[#This Row],[сумма]]*Таблица1[[#This Row],[коэф]])),
IF(OR(G621="2/4",G621="3/4",G621="4/4"),((база!$I$5*Таблица1[[#This Row],[сумма]]*Таблица1[[#This Row],[коэф]])),
IF((G621="5/8"),((база!$J$6*Таблица1[[#This Row],[сумма]]*Таблица1[[#This Row],[коэф]])),
IF(OR(G621="4/8",G621="3/8",G621="2/8"),((база!$J$5*Таблица1[[#This Row],[сумма]]*Таблица1[[#This Row],[коэф]])))))))))))</f>
        <v>0</v>
      </c>
      <c r="AP621" s="696" t="b">
        <f>IF(AR621&lt;=3,(IF((G621="5/24"),((база!$M$6*2*Таблица1[[#This Row],[Столбец1]]*Таблица1[[#This Row],[коэф]])),
IF((G621="4/24"),((база!$M$5*2*Таблица1[[#This Row],[Столбец1]]*Таблица1[[#This Row],[коэф]])),
IF((G621="3/24"),((база!$M$4*2*Таблица1[[#This Row],[Столбец1]]*Таблица1[[#This Row],[коэф]])),
IF((G621="5/16"),((база!$L$6*2*Таблица1[[#This Row],[Столбец1]]*Таблица1[[#This Row],[коэф]])),
IF((G621="4/16"),((база!$L$5*2*Таблица1[[#This Row],[Столбец1]]*Таблица1[[#This Row],[коэф]])),
IF((G621="3/16"),((база!$L$4*2*Таблица1[[#This Row],[Столбец1]]*Таблица1[[#This Row],[коэф]])),
IF((G621="4/4"),((база!$I$5*2*Таблица1[[#This Row],[Столбец1]]*Таблица1[[#This Row],[коэф]])),
IF(OR(G621="2/4",G621="3/4"),((база!$I$4*2*Таблица1[[#This Row],[Столбец1]]*Таблица1[[#This Row],[коэф]])),
IF((G621="5/8"),((база!$J$6*2*Таблица1[[#This Row],[Столбец1]]*Таблица1[[#This Row],[коэф]])),
IF((G621="4/8"),((база!$J$5*2*Таблица1[[#This Row],[Столбец1]]*Таблица1[[#This Row],[коэф]])),
IF(OR(G621="3/8",G621="2/8"),((база!$J$4*2*Таблица1[[#This Row],[Столбец1]]*Таблица1[[#This Row],[коэф]])))))))))))))),
(IF((G621="5/24"),((база!$M$6*2*Таблица1[[#This Row],[Столбец1]]*Таблица1[[#This Row],[коэф]])),
IF(OR(G621="4/24",G621="3/24"),((база!$M$5*2*Таблица1[[#This Row],[Столбец1]]*Таблица1[[#This Row],[коэф]])),
IF((G621="5/16"),((база!$L$6*2*Таблица1[[#This Row],[Столбец1]]*Таблица1[[#This Row],[коэф]])),
IF(OR(G621="4/16",G621="3/16"),((база!$L$5*2*Таблица1[[#This Row],[Столбец1]]*Таблица1[[#This Row],[коэф]])),
IF(OR(G621="2/4",G621="3/4",G621="4/4"),((база!$I$5*2*Таблица1[[#This Row],[Столбец1]]*Таблица1[[#This Row],[коэф]])),
IF((G621="5/8"),((база!$J$6*2*Таблица1[[#This Row],[Столбец1]]*Таблица1[[#This Row],[коэф]])),
IF(OR(G621="4/8",G621="3/8",G621="2/8"),((база!$J$5*2*Таблица1[[#This Row],[Столбец1]]*Таблица1[[#This Row],[коэф]])))))))))))</f>
        <v>0</v>
      </c>
      <c r="AQ621" s="678" t="str">
        <f>IFERROR(INDEX(база!T:T, MATCH(F621,база!Q:Q,0)),"")</f>
        <v/>
      </c>
      <c r="AR621" s="193">
        <f>IFERROR(INDEX(база!D:D, MATCH(F621,база!B:B,0)),"")</f>
        <v>0</v>
      </c>
    </row>
    <row r="622" spans="1:44" ht="15">
      <c r="A622" s="59"/>
      <c r="B622" s="215"/>
      <c r="C622" s="277"/>
      <c r="D622" s="55"/>
      <c r="E622" s="196"/>
      <c r="F622" s="651"/>
      <c r="G622" s="42"/>
      <c r="H622" s="539"/>
      <c r="I622" s="539"/>
      <c r="J622" s="539"/>
      <c r="K622" s="539"/>
      <c r="L622" s="539"/>
      <c r="M622" s="539"/>
      <c r="N622" s="539"/>
      <c r="O622" s="539"/>
      <c r="P622" s="278"/>
      <c r="Q622" s="539"/>
      <c r="R622" s="539"/>
      <c r="S622" s="539"/>
      <c r="T622" s="539"/>
      <c r="U622" s="539"/>
      <c r="V622" s="539"/>
      <c r="W622" s="539"/>
      <c r="X622" s="539"/>
      <c r="Y622" s="539"/>
      <c r="Z622" s="539"/>
      <c r="AA622" s="539"/>
      <c r="AB622" s="539"/>
      <c r="AC622" s="539"/>
      <c r="AD622" s="43"/>
      <c r="AE622" s="43"/>
      <c r="AF622" s="238"/>
      <c r="AG622" s="43"/>
      <c r="AH622" s="43"/>
      <c r="AI622" s="43"/>
      <c r="AJ622" s="43"/>
      <c r="AK622" s="43"/>
      <c r="AL622" s="45"/>
      <c r="AM622" s="197">
        <f>IF(AQ622=1,SUM(H622:I622,L622:O622,R622:U622,X622:AA622,AD622:AG622,AI622:AK622),
IF(AQ622=2,SUM(H622:K622,N622:Q622,T622:W622,Z622:AC622,AF622:AI622),
IF(AQ622=3,SUM(J622:M622,P622:S622,V622:Y622,AB622:AE622,AH622:AK622),SUM(Таблица1[[#This Row],[1]:[31]])-Таблица1[[#This Row],[Столбец1]])))</f>
        <v>0</v>
      </c>
      <c r="AN622" s="269">
        <f t="array" ref="AN622">IF(AQ622=1,SUM(J622:K622,P622:Q622,V622:W622,AB622:AC622,AH622:AI622),
IF(AQ622=2,SUM(L622:M622,R622:S622,X622:Y622,AD622:AE622),
IF(AQ622=3,SUM(H622:I622,N622:O622,T622:U622,Z622:AA622,AF622:AG622),
SUM(IFERROR(WEEKDAY($H$2:$AL$2,2)&gt;5,)*H622:AL622))))</f>
        <v>0</v>
      </c>
      <c r="AO622" s="271" t="b">
        <f>IF(AR622&lt;=3,(IF((G622="5/24"),((база!$M$6*Таблица1[[#This Row],[сумма]]*Таблица1[[#This Row],[коэф]])),
IF((G622="4/24"),((база!$M$5*Таблица1[[#This Row],[сумма]]*Таблица1[[#This Row],[коэф]])),
IF((G622="3/24"),((база!$M$4*Таблица1[[#This Row],[сумма]]*Таблица1[[#This Row],[коэф]])),
IF((G622="5/16"),((база!$L$6*Таблица1[[#This Row],[сумма]]*Таблица1[[#This Row],[коэф]])),
IF((G622="4/16"),((база!$L$5*Таблица1[[#This Row],[сумма]]*Таблица1[[#This Row],[коэф]])),
IF((G622="3/16"),((база!$L$4*Таблица1[[#This Row],[сумма]]*Таблица1[[#This Row],[коэф]])),
IF((G622="4/4"),((база!$I$5*Таблица1[[#This Row],[сумма]]*Таблица1[[#This Row],[коэф]])),
IF(OR(G622="2/4",G622="3/4"),((база!$I$4*Таблица1[[#This Row],[сумма]]*Таблица1[[#This Row],[коэф]])),
IF((G622="5/8"),((база!$J$6*Таблица1[[#This Row],[сумма]]*Таблица1[[#This Row],[коэф]])),
IF((G622="4/8"),((база!$J$5*Таблица1[[#This Row],[сумма]]*Таблица1[[#This Row],[коэф]])),
IF(OR(G622="3/8",G622="2/8"),((база!$J$4*Таблица1[[#This Row],[сумма]]*Таблица1[[#This Row],[коэф]])))))))))))))),
(IF((G622="5/24"),((база!$M$6*Таблица1[[#This Row],[сумма]]*Таблица1[[#This Row],[коэф]])),
IF(OR(G622="4/24",G622="3/24"),((база!$M$5*Таблица1[[#This Row],[сумма]]*Таблица1[[#This Row],[коэф]])),
IF((G622="5/16"),((база!$L$6*Таблица1[[#This Row],[сумма]]*Таблица1[[#This Row],[коэф]])),
IF(OR(G622="4/16",G622="3/16"),((база!$L$5*Таблица1[[#This Row],[сумма]]*Таблица1[[#This Row],[коэф]])),
IF(OR(G622="2/4",G622="3/4",G622="4/4"),((база!$I$5*Таблица1[[#This Row],[сумма]]*Таблица1[[#This Row],[коэф]])),
IF((G622="5/8"),((база!$J$6*Таблица1[[#This Row],[сумма]]*Таблица1[[#This Row],[коэф]])),
IF(OR(G622="4/8",G622="3/8",G622="2/8"),((база!$J$5*Таблица1[[#This Row],[сумма]]*Таблица1[[#This Row],[коэф]])))))))))))</f>
        <v>0</v>
      </c>
      <c r="AP622" s="696" t="b">
        <f>IF(AR622&lt;=3,(IF((G622="5/24"),((база!$M$6*2*Таблица1[[#This Row],[Столбец1]]*Таблица1[[#This Row],[коэф]])),
IF((G622="4/24"),((база!$M$5*2*Таблица1[[#This Row],[Столбец1]]*Таблица1[[#This Row],[коэф]])),
IF((G622="3/24"),((база!$M$4*2*Таблица1[[#This Row],[Столбец1]]*Таблица1[[#This Row],[коэф]])),
IF((G622="5/16"),((база!$L$6*2*Таблица1[[#This Row],[Столбец1]]*Таблица1[[#This Row],[коэф]])),
IF((G622="4/16"),((база!$L$5*2*Таблица1[[#This Row],[Столбец1]]*Таблица1[[#This Row],[коэф]])),
IF((G622="3/16"),((база!$L$4*2*Таблица1[[#This Row],[Столбец1]]*Таблица1[[#This Row],[коэф]])),
IF((G622="4/4"),((база!$I$5*2*Таблица1[[#This Row],[Столбец1]]*Таблица1[[#This Row],[коэф]])),
IF(OR(G622="2/4",G622="3/4"),((база!$I$4*2*Таблица1[[#This Row],[Столбец1]]*Таблица1[[#This Row],[коэф]])),
IF((G622="5/8"),((база!$J$6*2*Таблица1[[#This Row],[Столбец1]]*Таблица1[[#This Row],[коэф]])),
IF((G622="4/8"),((база!$J$5*2*Таблица1[[#This Row],[Столбец1]]*Таблица1[[#This Row],[коэф]])),
IF(OR(G622="3/8",G622="2/8"),((база!$J$4*2*Таблица1[[#This Row],[Столбец1]]*Таблица1[[#This Row],[коэф]])))))))))))))),
(IF((G622="5/24"),((база!$M$6*2*Таблица1[[#This Row],[Столбец1]]*Таблица1[[#This Row],[коэф]])),
IF(OR(G622="4/24",G622="3/24"),((база!$M$5*2*Таблица1[[#This Row],[Столбец1]]*Таблица1[[#This Row],[коэф]])),
IF((G622="5/16"),((база!$L$6*2*Таблица1[[#This Row],[Столбец1]]*Таблица1[[#This Row],[коэф]])),
IF(OR(G622="4/16",G622="3/16"),((база!$L$5*2*Таблица1[[#This Row],[Столбец1]]*Таблица1[[#This Row],[коэф]])),
IF(OR(G622="2/4",G622="3/4",G622="4/4"),((база!$I$5*2*Таблица1[[#This Row],[Столбец1]]*Таблица1[[#This Row],[коэф]])),
IF((G622="5/8"),((база!$J$6*2*Таблица1[[#This Row],[Столбец1]]*Таблица1[[#This Row],[коэф]])),
IF(OR(G622="4/8",G622="3/8",G622="2/8"),((база!$J$5*2*Таблица1[[#This Row],[Столбец1]]*Таблица1[[#This Row],[коэф]])))))))))))</f>
        <v>0</v>
      </c>
      <c r="AQ622" s="678" t="str">
        <f>IFERROR(INDEX(база!T:T, MATCH(F622,база!Q:Q,0)),"")</f>
        <v/>
      </c>
      <c r="AR622" s="193">
        <f>IFERROR(INDEX(база!D:D, MATCH(F622,база!B:B,0)),"")</f>
        <v>0</v>
      </c>
    </row>
    <row r="623" spans="1:44" ht="15">
      <c r="A623" s="59"/>
      <c r="B623" s="215"/>
      <c r="C623" s="54"/>
      <c r="D623" s="55"/>
      <c r="E623" s="196"/>
      <c r="F623" s="651"/>
      <c r="G623" s="42"/>
      <c r="H623" s="539"/>
      <c r="I623" s="539"/>
      <c r="J623" s="539"/>
      <c r="K623" s="539"/>
      <c r="L623" s="539"/>
      <c r="M623" s="539"/>
      <c r="N623" s="539"/>
      <c r="O623" s="539"/>
      <c r="P623" s="278"/>
      <c r="Q623" s="539"/>
      <c r="R623" s="539"/>
      <c r="S623" s="539"/>
      <c r="T623" s="539"/>
      <c r="U623" s="539"/>
      <c r="V623" s="539"/>
      <c r="W623" s="539"/>
      <c r="X623" s="539"/>
      <c r="Y623" s="539"/>
      <c r="Z623" s="539"/>
      <c r="AA623" s="539"/>
      <c r="AB623" s="539"/>
      <c r="AC623" s="539"/>
      <c r="AD623" s="43"/>
      <c r="AE623" s="43"/>
      <c r="AF623" s="238"/>
      <c r="AG623" s="43"/>
      <c r="AH623" s="43"/>
      <c r="AI623" s="238"/>
      <c r="AJ623" s="238"/>
      <c r="AK623" s="238"/>
      <c r="AL623" s="238"/>
      <c r="AM623" s="197">
        <f>IF(AQ623=1,SUM(H623:I623,L623:O623,R623:U623,X623:AA623,AD623:AG623,AI623:AK623),
IF(AQ623=2,SUM(H623:K623,N623:Q623,T623:W623,Z623:AC623,AF623:AI623),
IF(AQ623=3,SUM(J623:M623,P623:S623,V623:Y623,AB623:AE623,AH623:AK623),SUM(Таблица1[[#This Row],[1]:[31]])-Таблица1[[#This Row],[Столбец1]])))</f>
        <v>0</v>
      </c>
      <c r="AN623" s="269">
        <f t="array" ref="AN623">IF(AQ623=1,SUM(J623:K623,P623:Q623,V623:W623,AB623:AC623,AH623:AI623),
IF(AQ623=2,SUM(L623:M623,R623:S623,X623:Y623,AD623:AE623),
IF(AQ623=3,SUM(H623:I623,N623:O623,T623:U623,Z623:AA623,AF623:AG623),
SUM(IFERROR(WEEKDAY($H$2:$AL$2,2)&gt;5,)*H623:AL623))))</f>
        <v>0</v>
      </c>
      <c r="AO623" s="271" t="b">
        <f>IF(AR623&lt;=3,(IF((G623="5/24"),((база!$M$6*Таблица1[[#This Row],[сумма]]*Таблица1[[#This Row],[коэф]])),
IF((G623="4/24"),((база!$M$5*Таблица1[[#This Row],[сумма]]*Таблица1[[#This Row],[коэф]])),
IF((G623="3/24"),((база!$M$4*Таблица1[[#This Row],[сумма]]*Таблица1[[#This Row],[коэф]])),
IF((G623="5/16"),((база!$L$6*Таблица1[[#This Row],[сумма]]*Таблица1[[#This Row],[коэф]])),
IF((G623="4/16"),((база!$L$5*Таблица1[[#This Row],[сумма]]*Таблица1[[#This Row],[коэф]])),
IF((G623="3/16"),((база!$L$4*Таблица1[[#This Row],[сумма]]*Таблица1[[#This Row],[коэф]])),
IF((G623="4/4"),((база!$I$5*Таблица1[[#This Row],[сумма]]*Таблица1[[#This Row],[коэф]])),
IF(OR(G623="2/4",G623="3/4"),((база!$I$4*Таблица1[[#This Row],[сумма]]*Таблица1[[#This Row],[коэф]])),
IF((G623="5/8"),((база!$J$6*Таблица1[[#This Row],[сумма]]*Таблица1[[#This Row],[коэф]])),
IF((G623="4/8"),((база!$J$5*Таблица1[[#This Row],[сумма]]*Таблица1[[#This Row],[коэф]])),
IF(OR(G623="3/8",G623="2/8"),((база!$J$4*Таблица1[[#This Row],[сумма]]*Таблица1[[#This Row],[коэф]])))))))))))))),
(IF((G623="5/24"),((база!$M$6*Таблица1[[#This Row],[сумма]]*Таблица1[[#This Row],[коэф]])),
IF(OR(G623="4/24",G623="3/24"),((база!$M$5*Таблица1[[#This Row],[сумма]]*Таблица1[[#This Row],[коэф]])),
IF((G623="5/16"),((база!$L$6*Таблица1[[#This Row],[сумма]]*Таблица1[[#This Row],[коэф]])),
IF(OR(G623="4/16",G623="3/16"),((база!$L$5*Таблица1[[#This Row],[сумма]]*Таблица1[[#This Row],[коэф]])),
IF(OR(G623="2/4",G623="3/4",G623="4/4"),((база!$I$5*Таблица1[[#This Row],[сумма]]*Таблица1[[#This Row],[коэф]])),
IF((G623="5/8"),((база!$J$6*Таблица1[[#This Row],[сумма]]*Таблица1[[#This Row],[коэф]])),
IF(OR(G623="4/8",G623="3/8",G623="2/8"),((база!$J$5*Таблица1[[#This Row],[сумма]]*Таблица1[[#This Row],[коэф]])))))))))))</f>
        <v>0</v>
      </c>
      <c r="AP623" s="696" t="b">
        <f>IF(AR623&lt;=3,(IF((G623="5/24"),((база!$M$6*2*Таблица1[[#This Row],[Столбец1]]*Таблица1[[#This Row],[коэф]])),
IF((G623="4/24"),((база!$M$5*2*Таблица1[[#This Row],[Столбец1]]*Таблица1[[#This Row],[коэф]])),
IF((G623="3/24"),((база!$M$4*2*Таблица1[[#This Row],[Столбец1]]*Таблица1[[#This Row],[коэф]])),
IF((G623="5/16"),((база!$L$6*2*Таблица1[[#This Row],[Столбец1]]*Таблица1[[#This Row],[коэф]])),
IF((G623="4/16"),((база!$L$5*2*Таблица1[[#This Row],[Столбец1]]*Таблица1[[#This Row],[коэф]])),
IF((G623="3/16"),((база!$L$4*2*Таблица1[[#This Row],[Столбец1]]*Таблица1[[#This Row],[коэф]])),
IF((G623="4/4"),((база!$I$5*2*Таблица1[[#This Row],[Столбец1]]*Таблица1[[#This Row],[коэф]])),
IF(OR(G623="2/4",G623="3/4"),((база!$I$4*2*Таблица1[[#This Row],[Столбец1]]*Таблица1[[#This Row],[коэф]])),
IF((G623="5/8"),((база!$J$6*2*Таблица1[[#This Row],[Столбец1]]*Таблица1[[#This Row],[коэф]])),
IF((G623="4/8"),((база!$J$5*2*Таблица1[[#This Row],[Столбец1]]*Таблица1[[#This Row],[коэф]])),
IF(OR(G623="3/8",G623="2/8"),((база!$J$4*2*Таблица1[[#This Row],[Столбец1]]*Таблица1[[#This Row],[коэф]])))))))))))))),
(IF((G623="5/24"),((база!$M$6*2*Таблица1[[#This Row],[Столбец1]]*Таблица1[[#This Row],[коэф]])),
IF(OR(G623="4/24",G623="3/24"),((база!$M$5*2*Таблица1[[#This Row],[Столбец1]]*Таблица1[[#This Row],[коэф]])),
IF((G623="5/16"),((база!$L$6*2*Таблица1[[#This Row],[Столбец1]]*Таблица1[[#This Row],[коэф]])),
IF(OR(G623="4/16",G623="3/16"),((база!$L$5*2*Таблица1[[#This Row],[Столбец1]]*Таблица1[[#This Row],[коэф]])),
IF(OR(G623="2/4",G623="3/4",G623="4/4"),((база!$I$5*2*Таблица1[[#This Row],[Столбец1]]*Таблица1[[#This Row],[коэф]])),
IF((G623="5/8"),((база!$J$6*2*Таблица1[[#This Row],[Столбец1]]*Таблица1[[#This Row],[коэф]])),
IF(OR(G623="4/8",G623="3/8",G623="2/8"),((база!$J$5*2*Таблица1[[#This Row],[Столбец1]]*Таблица1[[#This Row],[коэф]])))))))))))</f>
        <v>0</v>
      </c>
      <c r="AQ623" s="678" t="str">
        <f>IFERROR(INDEX(база!T:T, MATCH(F623,база!Q:Q,0)),"")</f>
        <v/>
      </c>
      <c r="AR623" s="193">
        <f>IFERROR(INDEX(база!D:D, MATCH(F623,база!B:B,0)),"")</f>
        <v>0</v>
      </c>
    </row>
    <row r="624" spans="1:44" ht="15">
      <c r="A624" s="59"/>
      <c r="B624" s="215"/>
      <c r="C624" s="277"/>
      <c r="D624" s="55"/>
      <c r="E624" s="196"/>
      <c r="F624" s="651"/>
      <c r="G624" s="42"/>
      <c r="H624" s="539"/>
      <c r="I624" s="539"/>
      <c r="J624" s="539"/>
      <c r="K624" s="539"/>
      <c r="L624" s="539"/>
      <c r="M624" s="539"/>
      <c r="N624" s="539"/>
      <c r="O624" s="539"/>
      <c r="P624" s="278"/>
      <c r="Q624" s="539"/>
      <c r="R624" s="539"/>
      <c r="S624" s="539"/>
      <c r="T624" s="539"/>
      <c r="U624" s="539"/>
      <c r="V624" s="539"/>
      <c r="W624" s="539"/>
      <c r="X624" s="539"/>
      <c r="Y624" s="539"/>
      <c r="Z624" s="539"/>
      <c r="AA624" s="539"/>
      <c r="AB624" s="539"/>
      <c r="AC624" s="539"/>
      <c r="AD624" s="43"/>
      <c r="AE624" s="43"/>
      <c r="AF624" s="238"/>
      <c r="AG624" s="43"/>
      <c r="AH624" s="43"/>
      <c r="AI624" s="43"/>
      <c r="AJ624" s="43"/>
      <c r="AK624" s="43"/>
      <c r="AL624" s="45"/>
      <c r="AM624" s="197">
        <f>IF(AQ624=1,SUM(H624:I624,L624:O624,R624:U624,X624:AA624,AD624:AG624,AI624:AK624),
IF(AQ624=2,SUM(H624:K624,N624:Q624,T624:W624,Z624:AC624,AF624:AI624),
IF(AQ624=3,SUM(J624:M624,P624:S624,V624:Y624,AB624:AE624,AH624:AK624),SUM(Таблица1[[#This Row],[1]:[31]])-Таблица1[[#This Row],[Столбец1]])))</f>
        <v>0</v>
      </c>
      <c r="AN624" s="269">
        <f t="array" ref="AN624">IF(AQ624=1,SUM(J624:K624,P624:Q624,V624:W624,AB624:AC624,AH624:AI624),
IF(AQ624=2,SUM(L624:M624,R624:S624,X624:Y624,AD624:AE624),
IF(AQ624=3,SUM(H624:I624,N624:O624,T624:U624,Z624:AA624,AF624:AG624),
SUM(IFERROR(WEEKDAY($H$2:$AL$2,2)&gt;5,)*H624:AL624))))</f>
        <v>0</v>
      </c>
      <c r="AO624" s="271" t="b">
        <f>IF(AR624&lt;=3,(IF((G624="5/24"),((база!$M$6*Таблица1[[#This Row],[сумма]]*Таблица1[[#This Row],[коэф]])),
IF((G624="4/24"),((база!$M$5*Таблица1[[#This Row],[сумма]]*Таблица1[[#This Row],[коэф]])),
IF((G624="3/24"),((база!$M$4*Таблица1[[#This Row],[сумма]]*Таблица1[[#This Row],[коэф]])),
IF((G624="5/16"),((база!$L$6*Таблица1[[#This Row],[сумма]]*Таблица1[[#This Row],[коэф]])),
IF((G624="4/16"),((база!$L$5*Таблица1[[#This Row],[сумма]]*Таблица1[[#This Row],[коэф]])),
IF((G624="3/16"),((база!$L$4*Таблица1[[#This Row],[сумма]]*Таблица1[[#This Row],[коэф]])),
IF((G624="4/4"),((база!$I$5*Таблица1[[#This Row],[сумма]]*Таблица1[[#This Row],[коэф]])),
IF(OR(G624="2/4",G624="3/4"),((база!$I$4*Таблица1[[#This Row],[сумма]]*Таблица1[[#This Row],[коэф]])),
IF((G624="5/8"),((база!$J$6*Таблица1[[#This Row],[сумма]]*Таблица1[[#This Row],[коэф]])),
IF((G624="4/8"),((база!$J$5*Таблица1[[#This Row],[сумма]]*Таблица1[[#This Row],[коэф]])),
IF(OR(G624="3/8",G624="2/8"),((база!$J$4*Таблица1[[#This Row],[сумма]]*Таблица1[[#This Row],[коэф]])))))))))))))),
(IF((G624="5/24"),((база!$M$6*Таблица1[[#This Row],[сумма]]*Таблица1[[#This Row],[коэф]])),
IF(OR(G624="4/24",G624="3/24"),((база!$M$5*Таблица1[[#This Row],[сумма]]*Таблица1[[#This Row],[коэф]])),
IF((G624="5/16"),((база!$L$6*Таблица1[[#This Row],[сумма]]*Таблица1[[#This Row],[коэф]])),
IF(OR(G624="4/16",G624="3/16"),((база!$L$5*Таблица1[[#This Row],[сумма]]*Таблица1[[#This Row],[коэф]])),
IF(OR(G624="2/4",G624="3/4",G624="4/4"),((база!$I$5*Таблица1[[#This Row],[сумма]]*Таблица1[[#This Row],[коэф]])),
IF((G624="5/8"),((база!$J$6*Таблица1[[#This Row],[сумма]]*Таблица1[[#This Row],[коэф]])),
IF(OR(G624="4/8",G624="3/8",G624="2/8"),((база!$J$5*Таблица1[[#This Row],[сумма]]*Таблица1[[#This Row],[коэф]])))))))))))</f>
        <v>0</v>
      </c>
      <c r="AP624" s="696" t="b">
        <f>IF(AR624&lt;=3,(IF((G624="5/24"),((база!$M$6*2*Таблица1[[#This Row],[Столбец1]]*Таблица1[[#This Row],[коэф]])),
IF((G624="4/24"),((база!$M$5*2*Таблица1[[#This Row],[Столбец1]]*Таблица1[[#This Row],[коэф]])),
IF((G624="3/24"),((база!$M$4*2*Таблица1[[#This Row],[Столбец1]]*Таблица1[[#This Row],[коэф]])),
IF((G624="5/16"),((база!$L$6*2*Таблица1[[#This Row],[Столбец1]]*Таблица1[[#This Row],[коэф]])),
IF((G624="4/16"),((база!$L$5*2*Таблица1[[#This Row],[Столбец1]]*Таблица1[[#This Row],[коэф]])),
IF((G624="3/16"),((база!$L$4*2*Таблица1[[#This Row],[Столбец1]]*Таблица1[[#This Row],[коэф]])),
IF((G624="4/4"),((база!$I$5*2*Таблица1[[#This Row],[Столбец1]]*Таблица1[[#This Row],[коэф]])),
IF(OR(G624="2/4",G624="3/4"),((база!$I$4*2*Таблица1[[#This Row],[Столбец1]]*Таблица1[[#This Row],[коэф]])),
IF((G624="5/8"),((база!$J$6*2*Таблица1[[#This Row],[Столбец1]]*Таблица1[[#This Row],[коэф]])),
IF((G624="4/8"),((база!$J$5*2*Таблица1[[#This Row],[Столбец1]]*Таблица1[[#This Row],[коэф]])),
IF(OR(G624="3/8",G624="2/8"),((база!$J$4*2*Таблица1[[#This Row],[Столбец1]]*Таблица1[[#This Row],[коэф]])))))))))))))),
(IF((G624="5/24"),((база!$M$6*2*Таблица1[[#This Row],[Столбец1]]*Таблица1[[#This Row],[коэф]])),
IF(OR(G624="4/24",G624="3/24"),((база!$M$5*2*Таблица1[[#This Row],[Столбец1]]*Таблица1[[#This Row],[коэф]])),
IF((G624="5/16"),((база!$L$6*2*Таблица1[[#This Row],[Столбец1]]*Таблица1[[#This Row],[коэф]])),
IF(OR(G624="4/16",G624="3/16"),((база!$L$5*2*Таблица1[[#This Row],[Столбец1]]*Таблица1[[#This Row],[коэф]])),
IF(OR(G624="2/4",G624="3/4",G624="4/4"),((база!$I$5*2*Таблица1[[#This Row],[Столбец1]]*Таблица1[[#This Row],[коэф]])),
IF((G624="5/8"),((база!$J$6*2*Таблица1[[#This Row],[Столбец1]]*Таблица1[[#This Row],[коэф]])),
IF(OR(G624="4/8",G624="3/8",G624="2/8"),((база!$J$5*2*Таблица1[[#This Row],[Столбец1]]*Таблица1[[#This Row],[коэф]])))))))))))</f>
        <v>0</v>
      </c>
      <c r="AQ624" s="678" t="str">
        <f>IFERROR(INDEX(база!T:T, MATCH(F624,база!Q:Q,0)),"")</f>
        <v/>
      </c>
      <c r="AR624" s="193">
        <f>IFERROR(INDEX(база!D:D, MATCH(F624,база!B:B,0)),"")</f>
        <v>0</v>
      </c>
    </row>
    <row r="625" spans="1:44" ht="15">
      <c r="A625" s="59"/>
      <c r="B625" s="215"/>
      <c r="C625" s="277"/>
      <c r="D625" s="55"/>
      <c r="E625" s="196"/>
      <c r="F625" s="651"/>
      <c r="G625" s="42"/>
      <c r="H625" s="539"/>
      <c r="I625" s="539"/>
      <c r="J625" s="539"/>
      <c r="K625" s="539"/>
      <c r="L625" s="539"/>
      <c r="M625" s="539"/>
      <c r="N625" s="539"/>
      <c r="O625" s="539"/>
      <c r="P625" s="278"/>
      <c r="Q625" s="539"/>
      <c r="R625" s="539"/>
      <c r="S625" s="539"/>
      <c r="T625" s="539"/>
      <c r="U625" s="539"/>
      <c r="V625" s="539"/>
      <c r="W625" s="539"/>
      <c r="X625" s="539"/>
      <c r="Y625" s="539"/>
      <c r="Z625" s="539"/>
      <c r="AA625" s="539"/>
      <c r="AB625" s="539"/>
      <c r="AC625" s="539"/>
      <c r="AD625" s="43"/>
      <c r="AE625" s="43"/>
      <c r="AF625" s="238"/>
      <c r="AG625" s="43"/>
      <c r="AH625" s="43"/>
      <c r="AI625" s="238"/>
      <c r="AJ625" s="238"/>
      <c r="AK625" s="238"/>
      <c r="AL625" s="238"/>
      <c r="AM625" s="197">
        <f>IF(AQ625=1,SUM(H625:I625,L625:O625,R625:U625,X625:AA625,AD625:AG625,AI625:AK625),
IF(AQ625=2,SUM(H625:K625,N625:Q625,T625:W625,Z625:AC625,AF625:AI625),
IF(AQ625=3,SUM(J625:M625,P625:S625,V625:Y625,AB625:AE625,AH625:AK625),SUM(Таблица1[[#This Row],[1]:[31]])-Таблица1[[#This Row],[Столбец1]])))</f>
        <v>0</v>
      </c>
      <c r="AN625" s="269">
        <f t="array" ref="AN625">IF(AQ625=1,SUM(J625:K625,P625:Q625,V625:W625,AB625:AC625,AH625:AI625),
IF(AQ625=2,SUM(L625:M625,R625:S625,X625:Y625,AD625:AE625),
IF(AQ625=3,SUM(H625:I625,N625:O625,T625:U625,Z625:AA625,AF625:AG625),
SUM(IFERROR(WEEKDAY($H$2:$AL$2,2)&gt;5,)*H625:AL625))))</f>
        <v>0</v>
      </c>
      <c r="AO625" s="271" t="b">
        <f>IF(AR625&lt;=3,(IF((G625="5/24"),((база!$M$6*Таблица1[[#This Row],[сумма]]*Таблица1[[#This Row],[коэф]])),
IF((G625="4/24"),((база!$M$5*Таблица1[[#This Row],[сумма]]*Таблица1[[#This Row],[коэф]])),
IF((G625="3/24"),((база!$M$4*Таблица1[[#This Row],[сумма]]*Таблица1[[#This Row],[коэф]])),
IF((G625="5/16"),((база!$L$6*Таблица1[[#This Row],[сумма]]*Таблица1[[#This Row],[коэф]])),
IF((G625="4/16"),((база!$L$5*Таблица1[[#This Row],[сумма]]*Таблица1[[#This Row],[коэф]])),
IF((G625="3/16"),((база!$L$4*Таблица1[[#This Row],[сумма]]*Таблица1[[#This Row],[коэф]])),
IF((G625="4/4"),((база!$I$5*Таблица1[[#This Row],[сумма]]*Таблица1[[#This Row],[коэф]])),
IF(OR(G625="2/4",G625="3/4"),((база!$I$4*Таблица1[[#This Row],[сумма]]*Таблица1[[#This Row],[коэф]])),
IF((G625="5/8"),((база!$J$6*Таблица1[[#This Row],[сумма]]*Таблица1[[#This Row],[коэф]])),
IF((G625="4/8"),((база!$J$5*Таблица1[[#This Row],[сумма]]*Таблица1[[#This Row],[коэф]])),
IF(OR(G625="3/8",G625="2/8"),((база!$J$4*Таблица1[[#This Row],[сумма]]*Таблица1[[#This Row],[коэф]])))))))))))))),
(IF((G625="5/24"),((база!$M$6*Таблица1[[#This Row],[сумма]]*Таблица1[[#This Row],[коэф]])),
IF(OR(G625="4/24",G625="3/24"),((база!$M$5*Таблица1[[#This Row],[сумма]]*Таблица1[[#This Row],[коэф]])),
IF((G625="5/16"),((база!$L$6*Таблица1[[#This Row],[сумма]]*Таблица1[[#This Row],[коэф]])),
IF(OR(G625="4/16",G625="3/16"),((база!$L$5*Таблица1[[#This Row],[сумма]]*Таблица1[[#This Row],[коэф]])),
IF(OR(G625="2/4",G625="3/4",G625="4/4"),((база!$I$5*Таблица1[[#This Row],[сумма]]*Таблица1[[#This Row],[коэф]])),
IF((G625="5/8"),((база!$J$6*Таблица1[[#This Row],[сумма]]*Таблица1[[#This Row],[коэф]])),
IF(OR(G625="4/8",G625="3/8",G625="2/8"),((база!$J$5*Таблица1[[#This Row],[сумма]]*Таблица1[[#This Row],[коэф]])))))))))))</f>
        <v>0</v>
      </c>
      <c r="AP625" s="696" t="b">
        <f>IF(AR625&lt;=3,(IF((G625="5/24"),((база!$M$6*2*Таблица1[[#This Row],[Столбец1]]*Таблица1[[#This Row],[коэф]])),
IF((G625="4/24"),((база!$M$5*2*Таблица1[[#This Row],[Столбец1]]*Таблица1[[#This Row],[коэф]])),
IF((G625="3/24"),((база!$M$4*2*Таблица1[[#This Row],[Столбец1]]*Таблица1[[#This Row],[коэф]])),
IF((G625="5/16"),((база!$L$6*2*Таблица1[[#This Row],[Столбец1]]*Таблица1[[#This Row],[коэф]])),
IF((G625="4/16"),((база!$L$5*2*Таблица1[[#This Row],[Столбец1]]*Таблица1[[#This Row],[коэф]])),
IF((G625="3/16"),((база!$L$4*2*Таблица1[[#This Row],[Столбец1]]*Таблица1[[#This Row],[коэф]])),
IF((G625="4/4"),((база!$I$5*2*Таблица1[[#This Row],[Столбец1]]*Таблица1[[#This Row],[коэф]])),
IF(OR(G625="2/4",G625="3/4"),((база!$I$4*2*Таблица1[[#This Row],[Столбец1]]*Таблица1[[#This Row],[коэф]])),
IF((G625="5/8"),((база!$J$6*2*Таблица1[[#This Row],[Столбец1]]*Таблица1[[#This Row],[коэф]])),
IF((G625="4/8"),((база!$J$5*2*Таблица1[[#This Row],[Столбец1]]*Таблица1[[#This Row],[коэф]])),
IF(OR(G625="3/8",G625="2/8"),((база!$J$4*2*Таблица1[[#This Row],[Столбец1]]*Таблица1[[#This Row],[коэф]])))))))))))))),
(IF((G625="5/24"),((база!$M$6*2*Таблица1[[#This Row],[Столбец1]]*Таблица1[[#This Row],[коэф]])),
IF(OR(G625="4/24",G625="3/24"),((база!$M$5*2*Таблица1[[#This Row],[Столбец1]]*Таблица1[[#This Row],[коэф]])),
IF((G625="5/16"),((база!$L$6*2*Таблица1[[#This Row],[Столбец1]]*Таблица1[[#This Row],[коэф]])),
IF(OR(G625="4/16",G625="3/16"),((база!$L$5*2*Таблица1[[#This Row],[Столбец1]]*Таблица1[[#This Row],[коэф]])),
IF(OR(G625="2/4",G625="3/4",G625="4/4"),((база!$I$5*2*Таблица1[[#This Row],[Столбец1]]*Таблица1[[#This Row],[коэф]])),
IF((G625="5/8"),((база!$J$6*2*Таблица1[[#This Row],[Столбец1]]*Таблица1[[#This Row],[коэф]])),
IF(OR(G625="4/8",G625="3/8",G625="2/8"),((база!$J$5*2*Таблица1[[#This Row],[Столбец1]]*Таблица1[[#This Row],[коэф]])))))))))))</f>
        <v>0</v>
      </c>
      <c r="AQ625" s="678" t="str">
        <f>IFERROR(INDEX(база!T:T, MATCH(F625,база!Q:Q,0)),"")</f>
        <v/>
      </c>
      <c r="AR625" s="193">
        <f>IFERROR(INDEX(база!D:D, MATCH(F625,база!B:B,0)),"")</f>
        <v>0</v>
      </c>
    </row>
    <row r="626" spans="1:44" ht="15">
      <c r="A626" s="59"/>
      <c r="B626" s="215"/>
      <c r="C626" s="277"/>
      <c r="D626" s="55"/>
      <c r="E626" s="196"/>
      <c r="F626" s="651"/>
      <c r="G626" s="42"/>
      <c r="H626" s="539"/>
      <c r="I626" s="539"/>
      <c r="J626" s="539"/>
      <c r="K626" s="539"/>
      <c r="L626" s="539"/>
      <c r="M626" s="539"/>
      <c r="N626" s="539"/>
      <c r="O626" s="539"/>
      <c r="P626" s="278"/>
      <c r="Q626" s="539"/>
      <c r="R626" s="539"/>
      <c r="S626" s="539"/>
      <c r="T626" s="539"/>
      <c r="U626" s="539"/>
      <c r="V626" s="539"/>
      <c r="W626" s="539"/>
      <c r="X626" s="539"/>
      <c r="Y626" s="539"/>
      <c r="Z626" s="539"/>
      <c r="AA626" s="539"/>
      <c r="AB626" s="539"/>
      <c r="AC626" s="539"/>
      <c r="AD626" s="43"/>
      <c r="AE626" s="43"/>
      <c r="AF626" s="238"/>
      <c r="AG626" s="43"/>
      <c r="AH626" s="43"/>
      <c r="AI626" s="43"/>
      <c r="AJ626" s="43"/>
      <c r="AK626" s="43"/>
      <c r="AL626" s="45"/>
      <c r="AM626" s="197">
        <f>IF(AQ626=1,SUM(H626:I626,L626:O626,R626:U626,X626:AA626,AD626:AG626,AI626:AK626),
IF(AQ626=2,SUM(H626:K626,N626:Q626,T626:W626,Z626:AC626,AF626:AI626),
IF(AQ626=3,SUM(J626:M626,P626:S626,V626:Y626,AB626:AE626,AH626:AK626),SUM(Таблица1[[#This Row],[1]:[31]])-Таблица1[[#This Row],[Столбец1]])))</f>
        <v>0</v>
      </c>
      <c r="AN626" s="269">
        <f t="array" ref="AN626">IF(AQ626=1,SUM(J626:K626,P626:Q626,V626:W626,AB626:AC626,AH626:AI626),
IF(AQ626=2,SUM(L626:M626,R626:S626,X626:Y626,AD626:AE626),
IF(AQ626=3,SUM(H626:I626,N626:O626,T626:U626,Z626:AA626,AF626:AG626),
SUM(IFERROR(WEEKDAY($H$2:$AL$2,2)&gt;5,)*H626:AL626))))</f>
        <v>0</v>
      </c>
      <c r="AO626" s="271" t="b">
        <f>IF(AR626&lt;=3,(IF((G626="5/24"),((база!$M$6*Таблица1[[#This Row],[сумма]]*Таблица1[[#This Row],[коэф]])),
IF((G626="4/24"),((база!$M$5*Таблица1[[#This Row],[сумма]]*Таблица1[[#This Row],[коэф]])),
IF((G626="3/24"),((база!$M$4*Таблица1[[#This Row],[сумма]]*Таблица1[[#This Row],[коэф]])),
IF((G626="5/16"),((база!$L$6*Таблица1[[#This Row],[сумма]]*Таблица1[[#This Row],[коэф]])),
IF((G626="4/16"),((база!$L$5*Таблица1[[#This Row],[сумма]]*Таблица1[[#This Row],[коэф]])),
IF((G626="3/16"),((база!$L$4*Таблица1[[#This Row],[сумма]]*Таблица1[[#This Row],[коэф]])),
IF((G626="4/4"),((база!$I$5*Таблица1[[#This Row],[сумма]]*Таблица1[[#This Row],[коэф]])),
IF(OR(G626="2/4",G626="3/4"),((база!$I$4*Таблица1[[#This Row],[сумма]]*Таблица1[[#This Row],[коэф]])),
IF((G626="5/8"),((база!$J$6*Таблица1[[#This Row],[сумма]]*Таблица1[[#This Row],[коэф]])),
IF((G626="4/8"),((база!$J$5*Таблица1[[#This Row],[сумма]]*Таблица1[[#This Row],[коэф]])),
IF(OR(G626="3/8",G626="2/8"),((база!$J$4*Таблица1[[#This Row],[сумма]]*Таблица1[[#This Row],[коэф]])))))))))))))),
(IF((G626="5/24"),((база!$M$6*Таблица1[[#This Row],[сумма]]*Таблица1[[#This Row],[коэф]])),
IF(OR(G626="4/24",G626="3/24"),((база!$M$5*Таблица1[[#This Row],[сумма]]*Таблица1[[#This Row],[коэф]])),
IF((G626="5/16"),((база!$L$6*Таблица1[[#This Row],[сумма]]*Таблица1[[#This Row],[коэф]])),
IF(OR(G626="4/16",G626="3/16"),((база!$L$5*Таблица1[[#This Row],[сумма]]*Таблица1[[#This Row],[коэф]])),
IF(OR(G626="2/4",G626="3/4",G626="4/4"),((база!$I$5*Таблица1[[#This Row],[сумма]]*Таблица1[[#This Row],[коэф]])),
IF((G626="5/8"),((база!$J$6*Таблица1[[#This Row],[сумма]]*Таблица1[[#This Row],[коэф]])),
IF(OR(G626="4/8",G626="3/8",G626="2/8"),((база!$J$5*Таблица1[[#This Row],[сумма]]*Таблица1[[#This Row],[коэф]])))))))))))</f>
        <v>0</v>
      </c>
      <c r="AP626" s="696" t="b">
        <f>IF(AR626&lt;=3,(IF((G626="5/24"),((база!$M$6*2*Таблица1[[#This Row],[Столбец1]]*Таблица1[[#This Row],[коэф]])),
IF((G626="4/24"),((база!$M$5*2*Таблица1[[#This Row],[Столбец1]]*Таблица1[[#This Row],[коэф]])),
IF((G626="3/24"),((база!$M$4*2*Таблица1[[#This Row],[Столбец1]]*Таблица1[[#This Row],[коэф]])),
IF((G626="5/16"),((база!$L$6*2*Таблица1[[#This Row],[Столбец1]]*Таблица1[[#This Row],[коэф]])),
IF((G626="4/16"),((база!$L$5*2*Таблица1[[#This Row],[Столбец1]]*Таблица1[[#This Row],[коэф]])),
IF((G626="3/16"),((база!$L$4*2*Таблица1[[#This Row],[Столбец1]]*Таблица1[[#This Row],[коэф]])),
IF((G626="4/4"),((база!$I$5*2*Таблица1[[#This Row],[Столбец1]]*Таблица1[[#This Row],[коэф]])),
IF(OR(G626="2/4",G626="3/4"),((база!$I$4*2*Таблица1[[#This Row],[Столбец1]]*Таблица1[[#This Row],[коэф]])),
IF((G626="5/8"),((база!$J$6*2*Таблица1[[#This Row],[Столбец1]]*Таблица1[[#This Row],[коэф]])),
IF((G626="4/8"),((база!$J$5*2*Таблица1[[#This Row],[Столбец1]]*Таблица1[[#This Row],[коэф]])),
IF(OR(G626="3/8",G626="2/8"),((база!$J$4*2*Таблица1[[#This Row],[Столбец1]]*Таблица1[[#This Row],[коэф]])))))))))))))),
(IF((G626="5/24"),((база!$M$6*2*Таблица1[[#This Row],[Столбец1]]*Таблица1[[#This Row],[коэф]])),
IF(OR(G626="4/24",G626="3/24"),((база!$M$5*2*Таблица1[[#This Row],[Столбец1]]*Таблица1[[#This Row],[коэф]])),
IF((G626="5/16"),((база!$L$6*2*Таблица1[[#This Row],[Столбец1]]*Таблица1[[#This Row],[коэф]])),
IF(OR(G626="4/16",G626="3/16"),((база!$L$5*2*Таблица1[[#This Row],[Столбец1]]*Таблица1[[#This Row],[коэф]])),
IF(OR(G626="2/4",G626="3/4",G626="4/4"),((база!$I$5*2*Таблица1[[#This Row],[Столбец1]]*Таблица1[[#This Row],[коэф]])),
IF((G626="5/8"),((база!$J$6*2*Таблица1[[#This Row],[Столбец1]]*Таблица1[[#This Row],[коэф]])),
IF(OR(G626="4/8",G626="3/8",G626="2/8"),((база!$J$5*2*Таблица1[[#This Row],[Столбец1]]*Таблица1[[#This Row],[коэф]])))))))))))</f>
        <v>0</v>
      </c>
      <c r="AQ626" s="678" t="str">
        <f>IFERROR(INDEX(база!T:T, MATCH(F626,база!Q:Q,0)),"")</f>
        <v/>
      </c>
      <c r="AR626" s="193">
        <f>IFERROR(INDEX(база!D:D, MATCH(F626,база!B:B,0)),"")</f>
        <v>0</v>
      </c>
    </row>
    <row r="627" spans="1:44" ht="15">
      <c r="A627" s="59"/>
      <c r="B627" s="215"/>
      <c r="C627" s="277"/>
      <c r="D627" s="55"/>
      <c r="E627" s="196"/>
      <c r="F627" s="651"/>
      <c r="G627" s="42"/>
      <c r="H627" s="539"/>
      <c r="I627" s="539"/>
      <c r="J627" s="539"/>
      <c r="K627" s="539"/>
      <c r="L627" s="539"/>
      <c r="M627" s="539"/>
      <c r="N627" s="539"/>
      <c r="O627" s="539"/>
      <c r="P627" s="278"/>
      <c r="Q627" s="539"/>
      <c r="R627" s="539"/>
      <c r="S627" s="539"/>
      <c r="T627" s="539"/>
      <c r="U627" s="539"/>
      <c r="V627" s="539"/>
      <c r="W627" s="539"/>
      <c r="X627" s="539"/>
      <c r="Y627" s="539"/>
      <c r="Z627" s="539"/>
      <c r="AA627" s="539"/>
      <c r="AB627" s="539"/>
      <c r="AC627" s="539"/>
      <c r="AD627" s="43"/>
      <c r="AE627" s="43"/>
      <c r="AF627" s="238"/>
      <c r="AG627" s="43"/>
      <c r="AH627" s="43"/>
      <c r="AI627" s="238"/>
      <c r="AJ627" s="238"/>
      <c r="AK627" s="238"/>
      <c r="AL627" s="238"/>
      <c r="AM627" s="197">
        <f>IF(AQ627=1,SUM(H627:I627,L627:O627,R627:U627,X627:AA627,AD627:AG627,AI627:AK627),
IF(AQ627=2,SUM(H627:K627,N627:Q627,T627:W627,Z627:AC627,AF627:AI627),
IF(AQ627=3,SUM(J627:M627,P627:S627,V627:Y627,AB627:AE627,AH627:AK627),SUM(Таблица1[[#This Row],[1]:[31]])-Таблица1[[#This Row],[Столбец1]])))</f>
        <v>0</v>
      </c>
      <c r="AN627" s="269">
        <f t="array" ref="AN627">IF(AQ627=1,SUM(J627:K627,P627:Q627,V627:W627,AB627:AC627,AH627:AI627),
IF(AQ627=2,SUM(L627:M627,R627:S627,X627:Y627,AD627:AE627),
IF(AQ627=3,SUM(H627:I627,N627:O627,T627:U627,Z627:AA627,AF627:AG627),
SUM(IFERROR(WEEKDAY($H$2:$AL$2,2)&gt;5,)*H627:AL627))))</f>
        <v>0</v>
      </c>
      <c r="AO627" s="271" t="b">
        <f>IF(AR627&lt;=3,(IF((G627="5/24"),((база!$M$6*Таблица1[[#This Row],[сумма]]*Таблица1[[#This Row],[коэф]])),
IF((G627="4/24"),((база!$M$5*Таблица1[[#This Row],[сумма]]*Таблица1[[#This Row],[коэф]])),
IF((G627="3/24"),((база!$M$4*Таблица1[[#This Row],[сумма]]*Таблица1[[#This Row],[коэф]])),
IF((G627="5/16"),((база!$L$6*Таблица1[[#This Row],[сумма]]*Таблица1[[#This Row],[коэф]])),
IF((G627="4/16"),((база!$L$5*Таблица1[[#This Row],[сумма]]*Таблица1[[#This Row],[коэф]])),
IF((G627="3/16"),((база!$L$4*Таблица1[[#This Row],[сумма]]*Таблица1[[#This Row],[коэф]])),
IF((G627="4/4"),((база!$I$5*Таблица1[[#This Row],[сумма]]*Таблица1[[#This Row],[коэф]])),
IF(OR(G627="2/4",G627="3/4"),((база!$I$4*Таблица1[[#This Row],[сумма]]*Таблица1[[#This Row],[коэф]])),
IF((G627="5/8"),((база!$J$6*Таблица1[[#This Row],[сумма]]*Таблица1[[#This Row],[коэф]])),
IF((G627="4/8"),((база!$J$5*Таблица1[[#This Row],[сумма]]*Таблица1[[#This Row],[коэф]])),
IF(OR(G627="3/8",G627="2/8"),((база!$J$4*Таблица1[[#This Row],[сумма]]*Таблица1[[#This Row],[коэф]])))))))))))))),
(IF((G627="5/24"),((база!$M$6*Таблица1[[#This Row],[сумма]]*Таблица1[[#This Row],[коэф]])),
IF(OR(G627="4/24",G627="3/24"),((база!$M$5*Таблица1[[#This Row],[сумма]]*Таблица1[[#This Row],[коэф]])),
IF((G627="5/16"),((база!$L$6*Таблица1[[#This Row],[сумма]]*Таблица1[[#This Row],[коэф]])),
IF(OR(G627="4/16",G627="3/16"),((база!$L$5*Таблица1[[#This Row],[сумма]]*Таблица1[[#This Row],[коэф]])),
IF(OR(G627="2/4",G627="3/4",G627="4/4"),((база!$I$5*Таблица1[[#This Row],[сумма]]*Таблица1[[#This Row],[коэф]])),
IF((G627="5/8"),((база!$J$6*Таблица1[[#This Row],[сумма]]*Таблица1[[#This Row],[коэф]])),
IF(OR(G627="4/8",G627="3/8",G627="2/8"),((база!$J$5*Таблица1[[#This Row],[сумма]]*Таблица1[[#This Row],[коэф]])))))))))))</f>
        <v>0</v>
      </c>
      <c r="AP627" s="696" t="b">
        <f>IF(AR627&lt;=3,(IF((G627="5/24"),((база!$M$6*2*Таблица1[[#This Row],[Столбец1]]*Таблица1[[#This Row],[коэф]])),
IF((G627="4/24"),((база!$M$5*2*Таблица1[[#This Row],[Столбец1]]*Таблица1[[#This Row],[коэф]])),
IF((G627="3/24"),((база!$M$4*2*Таблица1[[#This Row],[Столбец1]]*Таблица1[[#This Row],[коэф]])),
IF((G627="5/16"),((база!$L$6*2*Таблица1[[#This Row],[Столбец1]]*Таблица1[[#This Row],[коэф]])),
IF((G627="4/16"),((база!$L$5*2*Таблица1[[#This Row],[Столбец1]]*Таблица1[[#This Row],[коэф]])),
IF((G627="3/16"),((база!$L$4*2*Таблица1[[#This Row],[Столбец1]]*Таблица1[[#This Row],[коэф]])),
IF((G627="4/4"),((база!$I$5*2*Таблица1[[#This Row],[Столбец1]]*Таблица1[[#This Row],[коэф]])),
IF(OR(G627="2/4",G627="3/4"),((база!$I$4*2*Таблица1[[#This Row],[Столбец1]]*Таблица1[[#This Row],[коэф]])),
IF((G627="5/8"),((база!$J$6*2*Таблица1[[#This Row],[Столбец1]]*Таблица1[[#This Row],[коэф]])),
IF((G627="4/8"),((база!$J$5*2*Таблица1[[#This Row],[Столбец1]]*Таблица1[[#This Row],[коэф]])),
IF(OR(G627="3/8",G627="2/8"),((база!$J$4*2*Таблица1[[#This Row],[Столбец1]]*Таблица1[[#This Row],[коэф]])))))))))))))),
(IF((G627="5/24"),((база!$M$6*2*Таблица1[[#This Row],[Столбец1]]*Таблица1[[#This Row],[коэф]])),
IF(OR(G627="4/24",G627="3/24"),((база!$M$5*2*Таблица1[[#This Row],[Столбец1]]*Таблица1[[#This Row],[коэф]])),
IF((G627="5/16"),((база!$L$6*2*Таблица1[[#This Row],[Столбец1]]*Таблица1[[#This Row],[коэф]])),
IF(OR(G627="4/16",G627="3/16"),((база!$L$5*2*Таблица1[[#This Row],[Столбец1]]*Таблица1[[#This Row],[коэф]])),
IF(OR(G627="2/4",G627="3/4",G627="4/4"),((база!$I$5*2*Таблица1[[#This Row],[Столбец1]]*Таблица1[[#This Row],[коэф]])),
IF((G627="5/8"),((база!$J$6*2*Таблица1[[#This Row],[Столбец1]]*Таблица1[[#This Row],[коэф]])),
IF(OR(G627="4/8",G627="3/8",G627="2/8"),((база!$J$5*2*Таблица1[[#This Row],[Столбец1]]*Таблица1[[#This Row],[коэф]])))))))))))</f>
        <v>0</v>
      </c>
      <c r="AQ627" s="678" t="str">
        <f>IFERROR(INDEX(база!T:T, MATCH(F627,база!Q:Q,0)),"")</f>
        <v/>
      </c>
      <c r="AR627" s="193">
        <f>IFERROR(INDEX(база!D:D, MATCH(F627,база!B:B,0)),"")</f>
        <v>0</v>
      </c>
    </row>
    <row r="628" spans="1:44" ht="15">
      <c r="A628" s="59"/>
      <c r="B628" s="215"/>
      <c r="C628" s="277"/>
      <c r="D628" s="55"/>
      <c r="E628" s="196"/>
      <c r="F628" s="651"/>
      <c r="G628" s="42"/>
      <c r="H628" s="539"/>
      <c r="I628" s="539"/>
      <c r="J628" s="539"/>
      <c r="K628" s="539"/>
      <c r="L628" s="539"/>
      <c r="M628" s="539"/>
      <c r="N628" s="539"/>
      <c r="O628" s="539"/>
      <c r="P628" s="278"/>
      <c r="Q628" s="539"/>
      <c r="R628" s="539"/>
      <c r="S628" s="539"/>
      <c r="T628" s="539"/>
      <c r="U628" s="539"/>
      <c r="V628" s="539"/>
      <c r="W628" s="539"/>
      <c r="X628" s="539"/>
      <c r="Y628" s="539"/>
      <c r="Z628" s="539"/>
      <c r="AA628" s="539"/>
      <c r="AB628" s="539"/>
      <c r="AC628" s="539"/>
      <c r="AD628" s="43"/>
      <c r="AE628" s="43"/>
      <c r="AF628" s="238"/>
      <c r="AG628" s="43"/>
      <c r="AH628" s="43"/>
      <c r="AI628" s="43"/>
      <c r="AJ628" s="43"/>
      <c r="AK628" s="43"/>
      <c r="AL628" s="45"/>
      <c r="AM628" s="197">
        <f>IF(AQ628=1,SUM(H628:I628,L628:O628,R628:U628,X628:AA628,AD628:AG628,AI628:AK628),
IF(AQ628=2,SUM(H628:K628,N628:Q628,T628:W628,Z628:AC628,AF628:AI628),
IF(AQ628=3,SUM(J628:M628,P628:S628,V628:Y628,AB628:AE628,AH628:AK628),SUM(Таблица1[[#This Row],[1]:[31]])-Таблица1[[#This Row],[Столбец1]])))</f>
        <v>0</v>
      </c>
      <c r="AN628" s="269">
        <f t="array" ref="AN628">IF(AQ628=1,SUM(J628:K628,P628:Q628,V628:W628,AB628:AC628,AH628:AI628),
IF(AQ628=2,SUM(L628:M628,R628:S628,X628:Y628,AD628:AE628),
IF(AQ628=3,SUM(H628:I628,N628:O628,T628:U628,Z628:AA628,AF628:AG628),
SUM(IFERROR(WEEKDAY($H$2:$AL$2,2)&gt;5,)*H628:AL628))))</f>
        <v>0</v>
      </c>
      <c r="AO628" s="271" t="b">
        <f>IF(AR628&lt;=3,(IF((G628="5/24"),((база!$M$6*Таблица1[[#This Row],[сумма]]*Таблица1[[#This Row],[коэф]])),
IF((G628="4/24"),((база!$M$5*Таблица1[[#This Row],[сумма]]*Таблица1[[#This Row],[коэф]])),
IF((G628="3/24"),((база!$M$4*Таблица1[[#This Row],[сумма]]*Таблица1[[#This Row],[коэф]])),
IF((G628="5/16"),((база!$L$6*Таблица1[[#This Row],[сумма]]*Таблица1[[#This Row],[коэф]])),
IF((G628="4/16"),((база!$L$5*Таблица1[[#This Row],[сумма]]*Таблица1[[#This Row],[коэф]])),
IF((G628="3/16"),((база!$L$4*Таблица1[[#This Row],[сумма]]*Таблица1[[#This Row],[коэф]])),
IF((G628="4/4"),((база!$I$5*Таблица1[[#This Row],[сумма]]*Таблица1[[#This Row],[коэф]])),
IF(OR(G628="2/4",G628="3/4"),((база!$I$4*Таблица1[[#This Row],[сумма]]*Таблица1[[#This Row],[коэф]])),
IF((G628="5/8"),((база!$J$6*Таблица1[[#This Row],[сумма]]*Таблица1[[#This Row],[коэф]])),
IF((G628="4/8"),((база!$J$5*Таблица1[[#This Row],[сумма]]*Таблица1[[#This Row],[коэф]])),
IF(OR(G628="3/8",G628="2/8"),((база!$J$4*Таблица1[[#This Row],[сумма]]*Таблица1[[#This Row],[коэф]])))))))))))))),
(IF((G628="5/24"),((база!$M$6*Таблица1[[#This Row],[сумма]]*Таблица1[[#This Row],[коэф]])),
IF(OR(G628="4/24",G628="3/24"),((база!$M$5*Таблица1[[#This Row],[сумма]]*Таблица1[[#This Row],[коэф]])),
IF((G628="5/16"),((база!$L$6*Таблица1[[#This Row],[сумма]]*Таблица1[[#This Row],[коэф]])),
IF(OR(G628="4/16",G628="3/16"),((база!$L$5*Таблица1[[#This Row],[сумма]]*Таблица1[[#This Row],[коэф]])),
IF(OR(G628="2/4",G628="3/4",G628="4/4"),((база!$I$5*Таблица1[[#This Row],[сумма]]*Таблица1[[#This Row],[коэф]])),
IF((G628="5/8"),((база!$J$6*Таблица1[[#This Row],[сумма]]*Таблица1[[#This Row],[коэф]])),
IF(OR(G628="4/8",G628="3/8",G628="2/8"),((база!$J$5*Таблица1[[#This Row],[сумма]]*Таблица1[[#This Row],[коэф]])))))))))))</f>
        <v>0</v>
      </c>
      <c r="AP628" s="696" t="b">
        <f>IF(AR628&lt;=3,(IF((G628="5/24"),((база!$M$6*2*Таблица1[[#This Row],[Столбец1]]*Таблица1[[#This Row],[коэф]])),
IF((G628="4/24"),((база!$M$5*2*Таблица1[[#This Row],[Столбец1]]*Таблица1[[#This Row],[коэф]])),
IF((G628="3/24"),((база!$M$4*2*Таблица1[[#This Row],[Столбец1]]*Таблица1[[#This Row],[коэф]])),
IF((G628="5/16"),((база!$L$6*2*Таблица1[[#This Row],[Столбец1]]*Таблица1[[#This Row],[коэф]])),
IF((G628="4/16"),((база!$L$5*2*Таблица1[[#This Row],[Столбец1]]*Таблица1[[#This Row],[коэф]])),
IF((G628="3/16"),((база!$L$4*2*Таблица1[[#This Row],[Столбец1]]*Таблица1[[#This Row],[коэф]])),
IF((G628="4/4"),((база!$I$5*2*Таблица1[[#This Row],[Столбец1]]*Таблица1[[#This Row],[коэф]])),
IF(OR(G628="2/4",G628="3/4"),((база!$I$4*2*Таблица1[[#This Row],[Столбец1]]*Таблица1[[#This Row],[коэф]])),
IF((G628="5/8"),((база!$J$6*2*Таблица1[[#This Row],[Столбец1]]*Таблица1[[#This Row],[коэф]])),
IF((G628="4/8"),((база!$J$5*2*Таблица1[[#This Row],[Столбец1]]*Таблица1[[#This Row],[коэф]])),
IF(OR(G628="3/8",G628="2/8"),((база!$J$4*2*Таблица1[[#This Row],[Столбец1]]*Таблица1[[#This Row],[коэф]])))))))))))))),
(IF((G628="5/24"),((база!$M$6*2*Таблица1[[#This Row],[Столбец1]]*Таблица1[[#This Row],[коэф]])),
IF(OR(G628="4/24",G628="3/24"),((база!$M$5*2*Таблица1[[#This Row],[Столбец1]]*Таблица1[[#This Row],[коэф]])),
IF((G628="5/16"),((база!$L$6*2*Таблица1[[#This Row],[Столбец1]]*Таблица1[[#This Row],[коэф]])),
IF(OR(G628="4/16",G628="3/16"),((база!$L$5*2*Таблица1[[#This Row],[Столбец1]]*Таблица1[[#This Row],[коэф]])),
IF(OR(G628="2/4",G628="3/4",G628="4/4"),((база!$I$5*2*Таблица1[[#This Row],[Столбец1]]*Таблица1[[#This Row],[коэф]])),
IF((G628="5/8"),((база!$J$6*2*Таблица1[[#This Row],[Столбец1]]*Таблица1[[#This Row],[коэф]])),
IF(OR(G628="4/8",G628="3/8",G628="2/8"),((база!$J$5*2*Таблица1[[#This Row],[Столбец1]]*Таблица1[[#This Row],[коэф]])))))))))))</f>
        <v>0</v>
      </c>
      <c r="AQ628" s="678" t="str">
        <f>IFERROR(INDEX(база!T:T, MATCH(F628,база!Q:Q,0)),"")</f>
        <v/>
      </c>
      <c r="AR628" s="193">
        <f>IFERROR(INDEX(база!D:D, MATCH(F628,база!B:B,0)),"")</f>
        <v>0</v>
      </c>
    </row>
    <row r="629" spans="1:44" ht="15">
      <c r="A629" s="59"/>
      <c r="B629" s="215"/>
      <c r="C629" s="277"/>
      <c r="D629" s="55"/>
      <c r="E629" s="196"/>
      <c r="F629" s="651"/>
      <c r="G629" s="42"/>
      <c r="H629" s="539"/>
      <c r="I629" s="539"/>
      <c r="J629" s="539"/>
      <c r="K629" s="539"/>
      <c r="L629" s="539"/>
      <c r="M629" s="539"/>
      <c r="N629" s="539"/>
      <c r="O629" s="539"/>
      <c r="P629" s="278"/>
      <c r="Q629" s="539"/>
      <c r="R629" s="539"/>
      <c r="S629" s="539"/>
      <c r="T629" s="539"/>
      <c r="U629" s="539"/>
      <c r="V629" s="539"/>
      <c r="W629" s="539"/>
      <c r="X629" s="539"/>
      <c r="Y629" s="539"/>
      <c r="Z629" s="539"/>
      <c r="AA629" s="539"/>
      <c r="AB629" s="539"/>
      <c r="AC629" s="539"/>
      <c r="AD629" s="43"/>
      <c r="AE629" s="43"/>
      <c r="AF629" s="238"/>
      <c r="AG629" s="43"/>
      <c r="AH629" s="43"/>
      <c r="AI629" s="238"/>
      <c r="AJ629" s="238"/>
      <c r="AK629" s="238"/>
      <c r="AL629" s="238"/>
      <c r="AM629" s="197">
        <f>IF(AQ629=1,SUM(H629:I629,L629:O629,R629:U629,X629:AA629,AD629:AG629,AI629:AK629),
IF(AQ629=2,SUM(H629:K629,N629:Q629,T629:W629,Z629:AC629,AF629:AI629),
IF(AQ629=3,SUM(J629:M629,P629:S629,V629:Y629,AB629:AE629,AH629:AK629),SUM(Таблица1[[#This Row],[1]:[31]])-Таблица1[[#This Row],[Столбец1]])))</f>
        <v>0</v>
      </c>
      <c r="AN629" s="269">
        <f t="array" ref="AN629">IF(AQ629=1,SUM(J629:K629,P629:Q629,V629:W629,AB629:AC629,AH629:AI629),
IF(AQ629=2,SUM(L629:M629,R629:S629,X629:Y629,AD629:AE629),
IF(AQ629=3,SUM(H629:I629,N629:O629,T629:U629,Z629:AA629,AF629:AG629),
SUM(IFERROR(WEEKDAY($H$2:$AL$2,2)&gt;5,)*H629:AL629))))</f>
        <v>0</v>
      </c>
      <c r="AO629" s="271" t="b">
        <f>IF(AR629&lt;=3,(IF((G629="5/24"),((база!$M$6*Таблица1[[#This Row],[сумма]]*Таблица1[[#This Row],[коэф]])),
IF((G629="4/24"),((база!$M$5*Таблица1[[#This Row],[сумма]]*Таблица1[[#This Row],[коэф]])),
IF((G629="3/24"),((база!$M$4*Таблица1[[#This Row],[сумма]]*Таблица1[[#This Row],[коэф]])),
IF((G629="5/16"),((база!$L$6*Таблица1[[#This Row],[сумма]]*Таблица1[[#This Row],[коэф]])),
IF((G629="4/16"),((база!$L$5*Таблица1[[#This Row],[сумма]]*Таблица1[[#This Row],[коэф]])),
IF((G629="3/16"),((база!$L$4*Таблица1[[#This Row],[сумма]]*Таблица1[[#This Row],[коэф]])),
IF((G629="4/4"),((база!$I$5*Таблица1[[#This Row],[сумма]]*Таблица1[[#This Row],[коэф]])),
IF(OR(G629="2/4",G629="3/4"),((база!$I$4*Таблица1[[#This Row],[сумма]]*Таблица1[[#This Row],[коэф]])),
IF((G629="5/8"),((база!$J$6*Таблица1[[#This Row],[сумма]]*Таблица1[[#This Row],[коэф]])),
IF((G629="4/8"),((база!$J$5*Таблица1[[#This Row],[сумма]]*Таблица1[[#This Row],[коэф]])),
IF(OR(G629="3/8",G629="2/8"),((база!$J$4*Таблица1[[#This Row],[сумма]]*Таблица1[[#This Row],[коэф]])))))))))))))),
(IF((G629="5/24"),((база!$M$6*Таблица1[[#This Row],[сумма]]*Таблица1[[#This Row],[коэф]])),
IF(OR(G629="4/24",G629="3/24"),((база!$M$5*Таблица1[[#This Row],[сумма]]*Таблица1[[#This Row],[коэф]])),
IF((G629="5/16"),((база!$L$6*Таблица1[[#This Row],[сумма]]*Таблица1[[#This Row],[коэф]])),
IF(OR(G629="4/16",G629="3/16"),((база!$L$5*Таблица1[[#This Row],[сумма]]*Таблица1[[#This Row],[коэф]])),
IF(OR(G629="2/4",G629="3/4",G629="4/4"),((база!$I$5*Таблица1[[#This Row],[сумма]]*Таблица1[[#This Row],[коэф]])),
IF((G629="5/8"),((база!$J$6*Таблица1[[#This Row],[сумма]]*Таблица1[[#This Row],[коэф]])),
IF(OR(G629="4/8",G629="3/8",G629="2/8"),((база!$J$5*Таблица1[[#This Row],[сумма]]*Таблица1[[#This Row],[коэф]])))))))))))</f>
        <v>0</v>
      </c>
      <c r="AP629" s="696" t="b">
        <f>IF(AR629&lt;=3,(IF((G629="5/24"),((база!$M$6*2*Таблица1[[#This Row],[Столбец1]]*Таблица1[[#This Row],[коэф]])),
IF((G629="4/24"),((база!$M$5*2*Таблица1[[#This Row],[Столбец1]]*Таблица1[[#This Row],[коэф]])),
IF((G629="3/24"),((база!$M$4*2*Таблица1[[#This Row],[Столбец1]]*Таблица1[[#This Row],[коэф]])),
IF((G629="5/16"),((база!$L$6*2*Таблица1[[#This Row],[Столбец1]]*Таблица1[[#This Row],[коэф]])),
IF((G629="4/16"),((база!$L$5*2*Таблица1[[#This Row],[Столбец1]]*Таблица1[[#This Row],[коэф]])),
IF((G629="3/16"),((база!$L$4*2*Таблица1[[#This Row],[Столбец1]]*Таблица1[[#This Row],[коэф]])),
IF((G629="4/4"),((база!$I$5*2*Таблица1[[#This Row],[Столбец1]]*Таблица1[[#This Row],[коэф]])),
IF(OR(G629="2/4",G629="3/4"),((база!$I$4*2*Таблица1[[#This Row],[Столбец1]]*Таблица1[[#This Row],[коэф]])),
IF((G629="5/8"),((база!$J$6*2*Таблица1[[#This Row],[Столбец1]]*Таблица1[[#This Row],[коэф]])),
IF((G629="4/8"),((база!$J$5*2*Таблица1[[#This Row],[Столбец1]]*Таблица1[[#This Row],[коэф]])),
IF(OR(G629="3/8",G629="2/8"),((база!$J$4*2*Таблица1[[#This Row],[Столбец1]]*Таблица1[[#This Row],[коэф]])))))))))))))),
(IF((G629="5/24"),((база!$M$6*2*Таблица1[[#This Row],[Столбец1]]*Таблица1[[#This Row],[коэф]])),
IF(OR(G629="4/24",G629="3/24"),((база!$M$5*2*Таблица1[[#This Row],[Столбец1]]*Таблица1[[#This Row],[коэф]])),
IF((G629="5/16"),((база!$L$6*2*Таблица1[[#This Row],[Столбец1]]*Таблица1[[#This Row],[коэф]])),
IF(OR(G629="4/16",G629="3/16"),((база!$L$5*2*Таблица1[[#This Row],[Столбец1]]*Таблица1[[#This Row],[коэф]])),
IF(OR(G629="2/4",G629="3/4",G629="4/4"),((база!$I$5*2*Таблица1[[#This Row],[Столбец1]]*Таблица1[[#This Row],[коэф]])),
IF((G629="5/8"),((база!$J$6*2*Таблица1[[#This Row],[Столбец1]]*Таблица1[[#This Row],[коэф]])),
IF(OR(G629="4/8",G629="3/8",G629="2/8"),((база!$J$5*2*Таблица1[[#This Row],[Столбец1]]*Таблица1[[#This Row],[коэф]])))))))))))</f>
        <v>0</v>
      </c>
      <c r="AQ629" s="678" t="str">
        <f>IFERROR(INDEX(база!T:T, MATCH(F629,база!Q:Q,0)),"")</f>
        <v/>
      </c>
      <c r="AR629" s="193">
        <f>IFERROR(INDEX(база!D:D, MATCH(F629,база!B:B,0)),"")</f>
        <v>0</v>
      </c>
    </row>
    <row r="630" spans="1:44" ht="15">
      <c r="A630" s="59"/>
      <c r="B630" s="215"/>
      <c r="C630" s="277"/>
      <c r="D630" s="55"/>
      <c r="E630" s="196"/>
      <c r="F630" s="651"/>
      <c r="G630" s="42"/>
      <c r="H630" s="539"/>
      <c r="I630" s="539"/>
      <c r="J630" s="539"/>
      <c r="K630" s="539"/>
      <c r="L630" s="539"/>
      <c r="M630" s="539"/>
      <c r="N630" s="539"/>
      <c r="O630" s="539"/>
      <c r="P630" s="278"/>
      <c r="Q630" s="539"/>
      <c r="R630" s="539"/>
      <c r="S630" s="539"/>
      <c r="T630" s="539"/>
      <c r="U630" s="539"/>
      <c r="V630" s="539"/>
      <c r="W630" s="539"/>
      <c r="X630" s="539"/>
      <c r="Y630" s="539"/>
      <c r="Z630" s="539"/>
      <c r="AA630" s="539"/>
      <c r="AB630" s="539"/>
      <c r="AC630" s="539"/>
      <c r="AD630" s="43"/>
      <c r="AE630" s="43"/>
      <c r="AF630" s="238"/>
      <c r="AG630" s="43"/>
      <c r="AH630" s="43"/>
      <c r="AI630" s="43"/>
      <c r="AJ630" s="43"/>
      <c r="AK630" s="43"/>
      <c r="AL630" s="45"/>
      <c r="AM630" s="197">
        <f>IF(AQ630=1,SUM(H630:I630,L630:O630,R630:U630,X630:AA630,AD630:AG630,AI630:AK630),
IF(AQ630=2,SUM(H630:K630,N630:Q630,T630:W630,Z630:AC630,AF630:AI630),
IF(AQ630=3,SUM(J630:M630,P630:S630,V630:Y630,AB630:AE630,AH630:AK630),SUM(Таблица1[[#This Row],[1]:[31]])-Таблица1[[#This Row],[Столбец1]])))</f>
        <v>0</v>
      </c>
      <c r="AN630" s="269">
        <f t="array" ref="AN630">IF(AQ630=1,SUM(J630:K630,P630:Q630,V630:W630,AB630:AC630,AH630:AI630),
IF(AQ630=2,SUM(L630:M630,R630:S630,X630:Y630,AD630:AE630),
IF(AQ630=3,SUM(H630:I630,N630:O630,T630:U630,Z630:AA630,AF630:AG630),
SUM(IFERROR(WEEKDAY($H$2:$AL$2,2)&gt;5,)*H630:AL630))))</f>
        <v>0</v>
      </c>
      <c r="AO630" s="271" t="b">
        <f>IF(AR630&lt;=3,(IF((G630="5/24"),((база!$M$6*Таблица1[[#This Row],[сумма]]*Таблица1[[#This Row],[коэф]])),
IF((G630="4/24"),((база!$M$5*Таблица1[[#This Row],[сумма]]*Таблица1[[#This Row],[коэф]])),
IF((G630="3/24"),((база!$M$4*Таблица1[[#This Row],[сумма]]*Таблица1[[#This Row],[коэф]])),
IF((G630="5/16"),((база!$L$6*Таблица1[[#This Row],[сумма]]*Таблица1[[#This Row],[коэф]])),
IF((G630="4/16"),((база!$L$5*Таблица1[[#This Row],[сумма]]*Таблица1[[#This Row],[коэф]])),
IF((G630="3/16"),((база!$L$4*Таблица1[[#This Row],[сумма]]*Таблица1[[#This Row],[коэф]])),
IF((G630="4/4"),((база!$I$5*Таблица1[[#This Row],[сумма]]*Таблица1[[#This Row],[коэф]])),
IF(OR(G630="2/4",G630="3/4"),((база!$I$4*Таблица1[[#This Row],[сумма]]*Таблица1[[#This Row],[коэф]])),
IF((G630="5/8"),((база!$J$6*Таблица1[[#This Row],[сумма]]*Таблица1[[#This Row],[коэф]])),
IF((G630="4/8"),((база!$J$5*Таблица1[[#This Row],[сумма]]*Таблица1[[#This Row],[коэф]])),
IF(OR(G630="3/8",G630="2/8"),((база!$J$4*Таблица1[[#This Row],[сумма]]*Таблица1[[#This Row],[коэф]])))))))))))))),
(IF((G630="5/24"),((база!$M$6*Таблица1[[#This Row],[сумма]]*Таблица1[[#This Row],[коэф]])),
IF(OR(G630="4/24",G630="3/24"),((база!$M$5*Таблица1[[#This Row],[сумма]]*Таблица1[[#This Row],[коэф]])),
IF((G630="5/16"),((база!$L$6*Таблица1[[#This Row],[сумма]]*Таблица1[[#This Row],[коэф]])),
IF(OR(G630="4/16",G630="3/16"),((база!$L$5*Таблица1[[#This Row],[сумма]]*Таблица1[[#This Row],[коэф]])),
IF(OR(G630="2/4",G630="3/4",G630="4/4"),((база!$I$5*Таблица1[[#This Row],[сумма]]*Таблица1[[#This Row],[коэф]])),
IF((G630="5/8"),((база!$J$6*Таблица1[[#This Row],[сумма]]*Таблица1[[#This Row],[коэф]])),
IF(OR(G630="4/8",G630="3/8",G630="2/8"),((база!$J$5*Таблица1[[#This Row],[сумма]]*Таблица1[[#This Row],[коэф]])))))))))))</f>
        <v>0</v>
      </c>
      <c r="AP630" s="696" t="b">
        <f>IF(AR630&lt;=3,(IF((G630="5/24"),((база!$M$6*2*Таблица1[[#This Row],[Столбец1]]*Таблица1[[#This Row],[коэф]])),
IF((G630="4/24"),((база!$M$5*2*Таблица1[[#This Row],[Столбец1]]*Таблица1[[#This Row],[коэф]])),
IF((G630="3/24"),((база!$M$4*2*Таблица1[[#This Row],[Столбец1]]*Таблица1[[#This Row],[коэф]])),
IF((G630="5/16"),((база!$L$6*2*Таблица1[[#This Row],[Столбец1]]*Таблица1[[#This Row],[коэф]])),
IF((G630="4/16"),((база!$L$5*2*Таблица1[[#This Row],[Столбец1]]*Таблица1[[#This Row],[коэф]])),
IF((G630="3/16"),((база!$L$4*2*Таблица1[[#This Row],[Столбец1]]*Таблица1[[#This Row],[коэф]])),
IF((G630="4/4"),((база!$I$5*2*Таблица1[[#This Row],[Столбец1]]*Таблица1[[#This Row],[коэф]])),
IF(OR(G630="2/4",G630="3/4"),((база!$I$4*2*Таблица1[[#This Row],[Столбец1]]*Таблица1[[#This Row],[коэф]])),
IF((G630="5/8"),((база!$J$6*2*Таблица1[[#This Row],[Столбец1]]*Таблица1[[#This Row],[коэф]])),
IF((G630="4/8"),((база!$J$5*2*Таблица1[[#This Row],[Столбец1]]*Таблица1[[#This Row],[коэф]])),
IF(OR(G630="3/8",G630="2/8"),((база!$J$4*2*Таблица1[[#This Row],[Столбец1]]*Таблица1[[#This Row],[коэф]])))))))))))))),
(IF((G630="5/24"),((база!$M$6*2*Таблица1[[#This Row],[Столбец1]]*Таблица1[[#This Row],[коэф]])),
IF(OR(G630="4/24",G630="3/24"),((база!$M$5*2*Таблица1[[#This Row],[Столбец1]]*Таблица1[[#This Row],[коэф]])),
IF((G630="5/16"),((база!$L$6*2*Таблица1[[#This Row],[Столбец1]]*Таблица1[[#This Row],[коэф]])),
IF(OR(G630="4/16",G630="3/16"),((база!$L$5*2*Таблица1[[#This Row],[Столбец1]]*Таблица1[[#This Row],[коэф]])),
IF(OR(G630="2/4",G630="3/4",G630="4/4"),((база!$I$5*2*Таблица1[[#This Row],[Столбец1]]*Таблица1[[#This Row],[коэф]])),
IF((G630="5/8"),((база!$J$6*2*Таблица1[[#This Row],[Столбец1]]*Таблица1[[#This Row],[коэф]])),
IF(OR(G630="4/8",G630="3/8",G630="2/8"),((база!$J$5*2*Таблица1[[#This Row],[Столбец1]]*Таблица1[[#This Row],[коэф]])))))))))))</f>
        <v>0</v>
      </c>
      <c r="AQ630" s="678" t="str">
        <f>IFERROR(INDEX(база!T:T, MATCH(F630,база!Q:Q,0)),"")</f>
        <v/>
      </c>
      <c r="AR630" s="193">
        <f>IFERROR(INDEX(база!D:D, MATCH(F630,база!B:B,0)),"")</f>
        <v>0</v>
      </c>
    </row>
    <row r="631" spans="1:44" ht="15">
      <c r="A631" s="59"/>
      <c r="B631" s="215"/>
      <c r="C631" s="277"/>
      <c r="D631" s="55"/>
      <c r="E631" s="196"/>
      <c r="F631" s="651"/>
      <c r="G631" s="42"/>
      <c r="H631" s="539"/>
      <c r="I631" s="539"/>
      <c r="J631" s="539"/>
      <c r="K631" s="539"/>
      <c r="L631" s="539"/>
      <c r="M631" s="539"/>
      <c r="N631" s="539"/>
      <c r="O631" s="539"/>
      <c r="P631" s="278"/>
      <c r="Q631" s="539"/>
      <c r="R631" s="539"/>
      <c r="S631" s="539"/>
      <c r="T631" s="539"/>
      <c r="U631" s="539"/>
      <c r="V631" s="539"/>
      <c r="W631" s="539"/>
      <c r="X631" s="539"/>
      <c r="Y631" s="539"/>
      <c r="Z631" s="539"/>
      <c r="AA631" s="539"/>
      <c r="AB631" s="539"/>
      <c r="AC631" s="539"/>
      <c r="AD631" s="43"/>
      <c r="AE631" s="43"/>
      <c r="AF631" s="238"/>
      <c r="AG631" s="43"/>
      <c r="AH631" s="43"/>
      <c r="AI631" s="238"/>
      <c r="AJ631" s="238"/>
      <c r="AK631" s="238"/>
      <c r="AL631" s="238"/>
      <c r="AM631" s="197">
        <f>IF(AQ631=1,SUM(H631:I631,L631:O631,R631:U631,X631:AA631,AD631:AG631,AI631:AK631),
IF(AQ631=2,SUM(H631:K631,N631:Q631,T631:W631,Z631:AC631,AF631:AI631),
IF(AQ631=3,SUM(J631:M631,P631:S631,V631:Y631,AB631:AE631,AH631:AK631),SUM(Таблица1[[#This Row],[1]:[31]])-Таблица1[[#This Row],[Столбец1]])))</f>
        <v>0</v>
      </c>
      <c r="AN631" s="269">
        <f t="array" ref="AN631">IF(AQ631=1,SUM(J631:K631,P631:Q631,V631:W631,AB631:AC631,AH631:AI631),
IF(AQ631=2,SUM(L631:M631,R631:S631,X631:Y631,AD631:AE631),
IF(AQ631=3,SUM(H631:I631,N631:O631,T631:U631,Z631:AA631,AF631:AG631),
SUM(IFERROR(WEEKDAY($H$2:$AL$2,2)&gt;5,)*H631:AL631))))</f>
        <v>0</v>
      </c>
      <c r="AO631" s="271" t="b">
        <f>IF(AR631&lt;=3,(IF((G631="5/24"),((база!$M$6*Таблица1[[#This Row],[сумма]]*Таблица1[[#This Row],[коэф]])),
IF((G631="4/24"),((база!$M$5*Таблица1[[#This Row],[сумма]]*Таблица1[[#This Row],[коэф]])),
IF((G631="3/24"),((база!$M$4*Таблица1[[#This Row],[сумма]]*Таблица1[[#This Row],[коэф]])),
IF((G631="5/16"),((база!$L$6*Таблица1[[#This Row],[сумма]]*Таблица1[[#This Row],[коэф]])),
IF((G631="4/16"),((база!$L$5*Таблица1[[#This Row],[сумма]]*Таблица1[[#This Row],[коэф]])),
IF((G631="3/16"),((база!$L$4*Таблица1[[#This Row],[сумма]]*Таблица1[[#This Row],[коэф]])),
IF((G631="4/4"),((база!$I$5*Таблица1[[#This Row],[сумма]]*Таблица1[[#This Row],[коэф]])),
IF(OR(G631="2/4",G631="3/4"),((база!$I$4*Таблица1[[#This Row],[сумма]]*Таблица1[[#This Row],[коэф]])),
IF((G631="5/8"),((база!$J$6*Таблица1[[#This Row],[сумма]]*Таблица1[[#This Row],[коэф]])),
IF((G631="4/8"),((база!$J$5*Таблица1[[#This Row],[сумма]]*Таблица1[[#This Row],[коэф]])),
IF(OR(G631="3/8",G631="2/8"),((база!$J$4*Таблица1[[#This Row],[сумма]]*Таблица1[[#This Row],[коэф]])))))))))))))),
(IF((G631="5/24"),((база!$M$6*Таблица1[[#This Row],[сумма]]*Таблица1[[#This Row],[коэф]])),
IF(OR(G631="4/24",G631="3/24"),((база!$M$5*Таблица1[[#This Row],[сумма]]*Таблица1[[#This Row],[коэф]])),
IF((G631="5/16"),((база!$L$6*Таблица1[[#This Row],[сумма]]*Таблица1[[#This Row],[коэф]])),
IF(OR(G631="4/16",G631="3/16"),((база!$L$5*Таблица1[[#This Row],[сумма]]*Таблица1[[#This Row],[коэф]])),
IF(OR(G631="2/4",G631="3/4",G631="4/4"),((база!$I$5*Таблица1[[#This Row],[сумма]]*Таблица1[[#This Row],[коэф]])),
IF((G631="5/8"),((база!$J$6*Таблица1[[#This Row],[сумма]]*Таблица1[[#This Row],[коэф]])),
IF(OR(G631="4/8",G631="3/8",G631="2/8"),((база!$J$5*Таблица1[[#This Row],[сумма]]*Таблица1[[#This Row],[коэф]])))))))))))</f>
        <v>0</v>
      </c>
      <c r="AP631" s="696" t="b">
        <f>IF(AR631&lt;=3,(IF((G631="5/24"),((база!$M$6*2*Таблица1[[#This Row],[Столбец1]]*Таблица1[[#This Row],[коэф]])),
IF((G631="4/24"),((база!$M$5*2*Таблица1[[#This Row],[Столбец1]]*Таблица1[[#This Row],[коэф]])),
IF((G631="3/24"),((база!$M$4*2*Таблица1[[#This Row],[Столбец1]]*Таблица1[[#This Row],[коэф]])),
IF((G631="5/16"),((база!$L$6*2*Таблица1[[#This Row],[Столбец1]]*Таблица1[[#This Row],[коэф]])),
IF((G631="4/16"),((база!$L$5*2*Таблица1[[#This Row],[Столбец1]]*Таблица1[[#This Row],[коэф]])),
IF((G631="3/16"),((база!$L$4*2*Таблица1[[#This Row],[Столбец1]]*Таблица1[[#This Row],[коэф]])),
IF((G631="4/4"),((база!$I$5*2*Таблица1[[#This Row],[Столбец1]]*Таблица1[[#This Row],[коэф]])),
IF(OR(G631="2/4",G631="3/4"),((база!$I$4*2*Таблица1[[#This Row],[Столбец1]]*Таблица1[[#This Row],[коэф]])),
IF((G631="5/8"),((база!$J$6*2*Таблица1[[#This Row],[Столбец1]]*Таблица1[[#This Row],[коэф]])),
IF((G631="4/8"),((база!$J$5*2*Таблица1[[#This Row],[Столбец1]]*Таблица1[[#This Row],[коэф]])),
IF(OR(G631="3/8",G631="2/8"),((база!$J$4*2*Таблица1[[#This Row],[Столбец1]]*Таблица1[[#This Row],[коэф]])))))))))))))),
(IF((G631="5/24"),((база!$M$6*2*Таблица1[[#This Row],[Столбец1]]*Таблица1[[#This Row],[коэф]])),
IF(OR(G631="4/24",G631="3/24"),((база!$M$5*2*Таблица1[[#This Row],[Столбец1]]*Таблица1[[#This Row],[коэф]])),
IF((G631="5/16"),((база!$L$6*2*Таблица1[[#This Row],[Столбец1]]*Таблица1[[#This Row],[коэф]])),
IF(OR(G631="4/16",G631="3/16"),((база!$L$5*2*Таблица1[[#This Row],[Столбец1]]*Таблица1[[#This Row],[коэф]])),
IF(OR(G631="2/4",G631="3/4",G631="4/4"),((база!$I$5*2*Таблица1[[#This Row],[Столбец1]]*Таблица1[[#This Row],[коэф]])),
IF((G631="5/8"),((база!$J$6*2*Таблица1[[#This Row],[Столбец1]]*Таблица1[[#This Row],[коэф]])),
IF(OR(G631="4/8",G631="3/8",G631="2/8"),((база!$J$5*2*Таблица1[[#This Row],[Столбец1]]*Таблица1[[#This Row],[коэф]])))))))))))</f>
        <v>0</v>
      </c>
      <c r="AQ631" s="678" t="str">
        <f>IFERROR(INDEX(база!T:T, MATCH(F631,база!Q:Q,0)),"")</f>
        <v/>
      </c>
      <c r="AR631" s="193">
        <f>IFERROR(INDEX(база!D:D, MATCH(F631,база!B:B,0)),"")</f>
        <v>0</v>
      </c>
    </row>
    <row r="632" spans="1:44" ht="15">
      <c r="A632" s="59"/>
      <c r="B632" s="215"/>
      <c r="C632" s="277"/>
      <c r="D632" s="55"/>
      <c r="E632" s="196"/>
      <c r="F632" s="651"/>
      <c r="G632" s="42"/>
      <c r="H632" s="539"/>
      <c r="I632" s="539"/>
      <c r="J632" s="539"/>
      <c r="K632" s="539"/>
      <c r="L632" s="539"/>
      <c r="M632" s="539"/>
      <c r="N632" s="539"/>
      <c r="O632" s="539"/>
      <c r="P632" s="278"/>
      <c r="Q632" s="539"/>
      <c r="R632" s="539"/>
      <c r="S632" s="539"/>
      <c r="T632" s="539"/>
      <c r="U632" s="539"/>
      <c r="V632" s="539"/>
      <c r="W632" s="539"/>
      <c r="X632" s="539"/>
      <c r="Y632" s="539"/>
      <c r="Z632" s="539"/>
      <c r="AA632" s="539"/>
      <c r="AB632" s="539"/>
      <c r="AC632" s="539"/>
      <c r="AD632" s="43"/>
      <c r="AE632" s="43"/>
      <c r="AF632" s="238"/>
      <c r="AG632" s="43"/>
      <c r="AH632" s="43"/>
      <c r="AI632" s="43"/>
      <c r="AJ632" s="43"/>
      <c r="AK632" s="43"/>
      <c r="AL632" s="45"/>
      <c r="AM632" s="197">
        <f>IF(AQ632=1,SUM(H632:I632,L632:O632,R632:U632,X632:AA632,AD632:AG632,AI632:AK632),
IF(AQ632=2,SUM(H632:K632,N632:Q632,T632:W632,Z632:AC632,AF632:AI632),
IF(AQ632=3,SUM(J632:M632,P632:S632,V632:Y632,AB632:AE632,AH632:AK632),SUM(Таблица1[[#This Row],[1]:[31]])-Таблица1[[#This Row],[Столбец1]])))</f>
        <v>0</v>
      </c>
      <c r="AN632" s="269">
        <f t="array" ref="AN632">IF(AQ632=1,SUM(J632:K632,P632:Q632,V632:W632,AB632:AC632,AH632:AI632),
IF(AQ632=2,SUM(L632:M632,R632:S632,X632:Y632,AD632:AE632),
IF(AQ632=3,SUM(H632:I632,N632:O632,T632:U632,Z632:AA632,AF632:AG632),
SUM(IFERROR(WEEKDAY($H$2:$AL$2,2)&gt;5,)*H632:AL632))))</f>
        <v>0</v>
      </c>
      <c r="AO632" s="271" t="b">
        <f>IF(AR632&lt;=3,(IF((G632="5/24"),((база!$M$6*Таблица1[[#This Row],[сумма]]*Таблица1[[#This Row],[коэф]])),
IF((G632="4/24"),((база!$M$5*Таблица1[[#This Row],[сумма]]*Таблица1[[#This Row],[коэф]])),
IF((G632="3/24"),((база!$M$4*Таблица1[[#This Row],[сумма]]*Таблица1[[#This Row],[коэф]])),
IF((G632="5/16"),((база!$L$6*Таблица1[[#This Row],[сумма]]*Таблица1[[#This Row],[коэф]])),
IF((G632="4/16"),((база!$L$5*Таблица1[[#This Row],[сумма]]*Таблица1[[#This Row],[коэф]])),
IF((G632="3/16"),((база!$L$4*Таблица1[[#This Row],[сумма]]*Таблица1[[#This Row],[коэф]])),
IF((G632="4/4"),((база!$I$5*Таблица1[[#This Row],[сумма]]*Таблица1[[#This Row],[коэф]])),
IF(OR(G632="2/4",G632="3/4"),((база!$I$4*Таблица1[[#This Row],[сумма]]*Таблица1[[#This Row],[коэф]])),
IF((G632="5/8"),((база!$J$6*Таблица1[[#This Row],[сумма]]*Таблица1[[#This Row],[коэф]])),
IF((G632="4/8"),((база!$J$5*Таблица1[[#This Row],[сумма]]*Таблица1[[#This Row],[коэф]])),
IF(OR(G632="3/8",G632="2/8"),((база!$J$4*Таблица1[[#This Row],[сумма]]*Таблица1[[#This Row],[коэф]])))))))))))))),
(IF((G632="5/24"),((база!$M$6*Таблица1[[#This Row],[сумма]]*Таблица1[[#This Row],[коэф]])),
IF(OR(G632="4/24",G632="3/24"),((база!$M$5*Таблица1[[#This Row],[сумма]]*Таблица1[[#This Row],[коэф]])),
IF((G632="5/16"),((база!$L$6*Таблица1[[#This Row],[сумма]]*Таблица1[[#This Row],[коэф]])),
IF(OR(G632="4/16",G632="3/16"),((база!$L$5*Таблица1[[#This Row],[сумма]]*Таблица1[[#This Row],[коэф]])),
IF(OR(G632="2/4",G632="3/4",G632="4/4"),((база!$I$5*Таблица1[[#This Row],[сумма]]*Таблица1[[#This Row],[коэф]])),
IF((G632="5/8"),((база!$J$6*Таблица1[[#This Row],[сумма]]*Таблица1[[#This Row],[коэф]])),
IF(OR(G632="4/8",G632="3/8",G632="2/8"),((база!$J$5*Таблица1[[#This Row],[сумма]]*Таблица1[[#This Row],[коэф]])))))))))))</f>
        <v>0</v>
      </c>
      <c r="AP632" s="696" t="b">
        <f>IF(AR632&lt;=3,(IF((G632="5/24"),((база!$M$6*2*Таблица1[[#This Row],[Столбец1]]*Таблица1[[#This Row],[коэф]])),
IF((G632="4/24"),((база!$M$5*2*Таблица1[[#This Row],[Столбец1]]*Таблица1[[#This Row],[коэф]])),
IF((G632="3/24"),((база!$M$4*2*Таблица1[[#This Row],[Столбец1]]*Таблица1[[#This Row],[коэф]])),
IF((G632="5/16"),((база!$L$6*2*Таблица1[[#This Row],[Столбец1]]*Таблица1[[#This Row],[коэф]])),
IF((G632="4/16"),((база!$L$5*2*Таблица1[[#This Row],[Столбец1]]*Таблица1[[#This Row],[коэф]])),
IF((G632="3/16"),((база!$L$4*2*Таблица1[[#This Row],[Столбец1]]*Таблица1[[#This Row],[коэф]])),
IF((G632="4/4"),((база!$I$5*2*Таблица1[[#This Row],[Столбец1]]*Таблица1[[#This Row],[коэф]])),
IF(OR(G632="2/4",G632="3/4"),((база!$I$4*2*Таблица1[[#This Row],[Столбец1]]*Таблица1[[#This Row],[коэф]])),
IF((G632="5/8"),((база!$J$6*2*Таблица1[[#This Row],[Столбец1]]*Таблица1[[#This Row],[коэф]])),
IF((G632="4/8"),((база!$J$5*2*Таблица1[[#This Row],[Столбец1]]*Таблица1[[#This Row],[коэф]])),
IF(OR(G632="3/8",G632="2/8"),((база!$J$4*2*Таблица1[[#This Row],[Столбец1]]*Таблица1[[#This Row],[коэф]])))))))))))))),
(IF((G632="5/24"),((база!$M$6*2*Таблица1[[#This Row],[Столбец1]]*Таблица1[[#This Row],[коэф]])),
IF(OR(G632="4/24",G632="3/24"),((база!$M$5*2*Таблица1[[#This Row],[Столбец1]]*Таблица1[[#This Row],[коэф]])),
IF((G632="5/16"),((база!$L$6*2*Таблица1[[#This Row],[Столбец1]]*Таблица1[[#This Row],[коэф]])),
IF(OR(G632="4/16",G632="3/16"),((база!$L$5*2*Таблица1[[#This Row],[Столбец1]]*Таблица1[[#This Row],[коэф]])),
IF(OR(G632="2/4",G632="3/4",G632="4/4"),((база!$I$5*2*Таблица1[[#This Row],[Столбец1]]*Таблица1[[#This Row],[коэф]])),
IF((G632="5/8"),((база!$J$6*2*Таблица1[[#This Row],[Столбец1]]*Таблица1[[#This Row],[коэф]])),
IF(OR(G632="4/8",G632="3/8",G632="2/8"),((база!$J$5*2*Таблица1[[#This Row],[Столбец1]]*Таблица1[[#This Row],[коэф]])))))))))))</f>
        <v>0</v>
      </c>
      <c r="AQ632" s="678" t="str">
        <f>IFERROR(INDEX(база!T:T, MATCH(F632,база!Q:Q,0)),"")</f>
        <v/>
      </c>
      <c r="AR632" s="193">
        <f>IFERROR(INDEX(база!D:D, MATCH(F632,база!B:B,0)),"")</f>
        <v>0</v>
      </c>
    </row>
    <row r="633" spans="1:44" ht="15">
      <c r="A633" s="59"/>
      <c r="B633" s="215"/>
      <c r="C633" s="277"/>
      <c r="D633" s="55"/>
      <c r="E633" s="196"/>
      <c r="F633" s="651"/>
      <c r="G633" s="42"/>
      <c r="H633" s="539"/>
      <c r="I633" s="539"/>
      <c r="J633" s="539"/>
      <c r="K633" s="539"/>
      <c r="L633" s="539"/>
      <c r="M633" s="539"/>
      <c r="N633" s="539"/>
      <c r="O633" s="539"/>
      <c r="P633" s="278"/>
      <c r="Q633" s="539"/>
      <c r="R633" s="539"/>
      <c r="S633" s="539"/>
      <c r="T633" s="539"/>
      <c r="U633" s="539"/>
      <c r="V633" s="539"/>
      <c r="W633" s="539"/>
      <c r="X633" s="539"/>
      <c r="Y633" s="539"/>
      <c r="Z633" s="539"/>
      <c r="AA633" s="539"/>
      <c r="AB633" s="539"/>
      <c r="AC633" s="539"/>
      <c r="AD633" s="43"/>
      <c r="AE633" s="43"/>
      <c r="AF633" s="238"/>
      <c r="AG633" s="43"/>
      <c r="AH633" s="43"/>
      <c r="AI633" s="238"/>
      <c r="AJ633" s="238"/>
      <c r="AK633" s="238"/>
      <c r="AL633" s="238"/>
      <c r="AM633" s="197">
        <f>IF(AQ633=1,SUM(H633:I633,L633:O633,R633:U633,X633:AA633,AD633:AG633,AI633:AK633),
IF(AQ633=2,SUM(H633:K633,N633:Q633,T633:W633,Z633:AC633,AF633:AI633),
IF(AQ633=3,SUM(J633:M633,P633:S633,V633:Y633,AB633:AE633,AH633:AK633),SUM(Таблица1[[#This Row],[1]:[31]])-Таблица1[[#This Row],[Столбец1]])))</f>
        <v>0</v>
      </c>
      <c r="AN633" s="269">
        <f t="array" ref="AN633">IF(AQ633=1,SUM(J633:K633,P633:Q633,V633:W633,AB633:AC633,AH633:AI633),
IF(AQ633=2,SUM(L633:M633,R633:S633,X633:Y633,AD633:AE633),
IF(AQ633=3,SUM(H633:I633,N633:O633,T633:U633,Z633:AA633,AF633:AG633),
SUM(IFERROR(WEEKDAY($H$2:$AL$2,2)&gt;5,)*H633:AL633))))</f>
        <v>0</v>
      </c>
      <c r="AO633" s="271" t="b">
        <f>IF(AR633&lt;=3,(IF((G633="5/24"),((база!$M$6*Таблица1[[#This Row],[сумма]]*Таблица1[[#This Row],[коэф]])),
IF((G633="4/24"),((база!$M$5*Таблица1[[#This Row],[сумма]]*Таблица1[[#This Row],[коэф]])),
IF((G633="3/24"),((база!$M$4*Таблица1[[#This Row],[сумма]]*Таблица1[[#This Row],[коэф]])),
IF((G633="5/16"),((база!$L$6*Таблица1[[#This Row],[сумма]]*Таблица1[[#This Row],[коэф]])),
IF((G633="4/16"),((база!$L$5*Таблица1[[#This Row],[сумма]]*Таблица1[[#This Row],[коэф]])),
IF((G633="3/16"),((база!$L$4*Таблица1[[#This Row],[сумма]]*Таблица1[[#This Row],[коэф]])),
IF((G633="4/4"),((база!$I$5*Таблица1[[#This Row],[сумма]]*Таблица1[[#This Row],[коэф]])),
IF(OR(G633="2/4",G633="3/4"),((база!$I$4*Таблица1[[#This Row],[сумма]]*Таблица1[[#This Row],[коэф]])),
IF((G633="5/8"),((база!$J$6*Таблица1[[#This Row],[сумма]]*Таблица1[[#This Row],[коэф]])),
IF((G633="4/8"),((база!$J$5*Таблица1[[#This Row],[сумма]]*Таблица1[[#This Row],[коэф]])),
IF(OR(G633="3/8",G633="2/8"),((база!$J$4*Таблица1[[#This Row],[сумма]]*Таблица1[[#This Row],[коэф]])))))))))))))),
(IF((G633="5/24"),((база!$M$6*Таблица1[[#This Row],[сумма]]*Таблица1[[#This Row],[коэф]])),
IF(OR(G633="4/24",G633="3/24"),((база!$M$5*Таблица1[[#This Row],[сумма]]*Таблица1[[#This Row],[коэф]])),
IF((G633="5/16"),((база!$L$6*Таблица1[[#This Row],[сумма]]*Таблица1[[#This Row],[коэф]])),
IF(OR(G633="4/16",G633="3/16"),((база!$L$5*Таблица1[[#This Row],[сумма]]*Таблица1[[#This Row],[коэф]])),
IF(OR(G633="2/4",G633="3/4",G633="4/4"),((база!$I$5*Таблица1[[#This Row],[сумма]]*Таблица1[[#This Row],[коэф]])),
IF((G633="5/8"),((база!$J$6*Таблица1[[#This Row],[сумма]]*Таблица1[[#This Row],[коэф]])),
IF(OR(G633="4/8",G633="3/8",G633="2/8"),((база!$J$5*Таблица1[[#This Row],[сумма]]*Таблица1[[#This Row],[коэф]])))))))))))</f>
        <v>0</v>
      </c>
      <c r="AP633" s="696" t="b">
        <f>IF(AR633&lt;=3,(IF((G633="5/24"),((база!$M$6*2*Таблица1[[#This Row],[Столбец1]]*Таблица1[[#This Row],[коэф]])),
IF((G633="4/24"),((база!$M$5*2*Таблица1[[#This Row],[Столбец1]]*Таблица1[[#This Row],[коэф]])),
IF((G633="3/24"),((база!$M$4*2*Таблица1[[#This Row],[Столбец1]]*Таблица1[[#This Row],[коэф]])),
IF((G633="5/16"),((база!$L$6*2*Таблица1[[#This Row],[Столбец1]]*Таблица1[[#This Row],[коэф]])),
IF((G633="4/16"),((база!$L$5*2*Таблица1[[#This Row],[Столбец1]]*Таблица1[[#This Row],[коэф]])),
IF((G633="3/16"),((база!$L$4*2*Таблица1[[#This Row],[Столбец1]]*Таблица1[[#This Row],[коэф]])),
IF((G633="4/4"),((база!$I$5*2*Таблица1[[#This Row],[Столбец1]]*Таблица1[[#This Row],[коэф]])),
IF(OR(G633="2/4",G633="3/4"),((база!$I$4*2*Таблица1[[#This Row],[Столбец1]]*Таблица1[[#This Row],[коэф]])),
IF((G633="5/8"),((база!$J$6*2*Таблица1[[#This Row],[Столбец1]]*Таблица1[[#This Row],[коэф]])),
IF((G633="4/8"),((база!$J$5*2*Таблица1[[#This Row],[Столбец1]]*Таблица1[[#This Row],[коэф]])),
IF(OR(G633="3/8",G633="2/8"),((база!$J$4*2*Таблица1[[#This Row],[Столбец1]]*Таблица1[[#This Row],[коэф]])))))))))))))),
(IF((G633="5/24"),((база!$M$6*2*Таблица1[[#This Row],[Столбец1]]*Таблица1[[#This Row],[коэф]])),
IF(OR(G633="4/24",G633="3/24"),((база!$M$5*2*Таблица1[[#This Row],[Столбец1]]*Таблица1[[#This Row],[коэф]])),
IF((G633="5/16"),((база!$L$6*2*Таблица1[[#This Row],[Столбец1]]*Таблица1[[#This Row],[коэф]])),
IF(OR(G633="4/16",G633="3/16"),((база!$L$5*2*Таблица1[[#This Row],[Столбец1]]*Таблица1[[#This Row],[коэф]])),
IF(OR(G633="2/4",G633="3/4",G633="4/4"),((база!$I$5*2*Таблица1[[#This Row],[Столбец1]]*Таблица1[[#This Row],[коэф]])),
IF((G633="5/8"),((база!$J$6*2*Таблица1[[#This Row],[Столбец1]]*Таблица1[[#This Row],[коэф]])),
IF(OR(G633="4/8",G633="3/8",G633="2/8"),((база!$J$5*2*Таблица1[[#This Row],[Столбец1]]*Таблица1[[#This Row],[коэф]])))))))))))</f>
        <v>0</v>
      </c>
      <c r="AQ633" s="678" t="str">
        <f>IFERROR(INDEX(база!T:T, MATCH(F633,база!Q:Q,0)),"")</f>
        <v/>
      </c>
      <c r="AR633" s="193">
        <f>IFERROR(INDEX(база!D:D, MATCH(F633,база!B:B,0)),"")</f>
        <v>0</v>
      </c>
    </row>
    <row r="634" spans="1:44" ht="15">
      <c r="A634" s="59"/>
      <c r="B634" s="215"/>
      <c r="C634" s="54"/>
      <c r="D634" s="55"/>
      <c r="E634" s="196"/>
      <c r="F634" s="651"/>
      <c r="G634" s="42"/>
      <c r="H634" s="539"/>
      <c r="I634" s="539"/>
      <c r="J634" s="539"/>
      <c r="K634" s="539"/>
      <c r="L634" s="539"/>
      <c r="M634" s="539"/>
      <c r="N634" s="539"/>
      <c r="O634" s="539"/>
      <c r="P634" s="278"/>
      <c r="Q634" s="539"/>
      <c r="R634" s="539"/>
      <c r="S634" s="539"/>
      <c r="T634" s="539"/>
      <c r="U634" s="539"/>
      <c r="V634" s="539"/>
      <c r="W634" s="539"/>
      <c r="X634" s="539"/>
      <c r="Y634" s="539"/>
      <c r="Z634" s="539"/>
      <c r="AA634" s="539"/>
      <c r="AB634" s="539"/>
      <c r="AC634" s="539"/>
      <c r="AD634" s="43"/>
      <c r="AE634" s="43"/>
      <c r="AF634" s="238"/>
      <c r="AG634" s="43"/>
      <c r="AH634" s="43"/>
      <c r="AI634" s="43"/>
      <c r="AJ634" s="43"/>
      <c r="AK634" s="43"/>
      <c r="AL634" s="45"/>
      <c r="AM634" s="197">
        <f>IF(AQ634=1,SUM(H634:I634,L634:O634,R634:U634,X634:AA634,AD634:AG634,AI634:AK634),
IF(AQ634=2,SUM(H634:K634,N634:Q634,T634:W634,Z634:AC634,AF634:AI634),
IF(AQ634=3,SUM(J634:M634,P634:S634,V634:Y634,AB634:AE634,AH634:AK634),SUM(Таблица1[[#This Row],[1]:[31]])-Таблица1[[#This Row],[Столбец1]])))</f>
        <v>0</v>
      </c>
      <c r="AN634" s="269">
        <f t="array" ref="AN634">IF(AQ634=1,SUM(J634:K634,P634:Q634,V634:W634,AB634:AC634,AH634:AI634),
IF(AQ634=2,SUM(L634:M634,R634:S634,X634:Y634,AD634:AE634),
IF(AQ634=3,SUM(H634:I634,N634:O634,T634:U634,Z634:AA634,AF634:AG634),
SUM(IFERROR(WEEKDAY($H$2:$AL$2,2)&gt;5,)*H634:AL634))))</f>
        <v>0</v>
      </c>
      <c r="AO634" s="271" t="b">
        <f>IF(AR634&lt;=3,(IF((G634="5/24"),((база!$M$6*Таблица1[[#This Row],[сумма]]*Таблица1[[#This Row],[коэф]])),
IF((G634="4/24"),((база!$M$5*Таблица1[[#This Row],[сумма]]*Таблица1[[#This Row],[коэф]])),
IF((G634="3/24"),((база!$M$4*Таблица1[[#This Row],[сумма]]*Таблица1[[#This Row],[коэф]])),
IF((G634="5/16"),((база!$L$6*Таблица1[[#This Row],[сумма]]*Таблица1[[#This Row],[коэф]])),
IF((G634="4/16"),((база!$L$5*Таблица1[[#This Row],[сумма]]*Таблица1[[#This Row],[коэф]])),
IF((G634="3/16"),((база!$L$4*Таблица1[[#This Row],[сумма]]*Таблица1[[#This Row],[коэф]])),
IF((G634="4/4"),((база!$I$5*Таблица1[[#This Row],[сумма]]*Таблица1[[#This Row],[коэф]])),
IF(OR(G634="2/4",G634="3/4"),((база!$I$4*Таблица1[[#This Row],[сумма]]*Таблица1[[#This Row],[коэф]])),
IF((G634="5/8"),((база!$J$6*Таблица1[[#This Row],[сумма]]*Таблица1[[#This Row],[коэф]])),
IF((G634="4/8"),((база!$J$5*Таблица1[[#This Row],[сумма]]*Таблица1[[#This Row],[коэф]])),
IF(OR(G634="3/8",G634="2/8"),((база!$J$4*Таблица1[[#This Row],[сумма]]*Таблица1[[#This Row],[коэф]])))))))))))))),
(IF((G634="5/24"),((база!$M$6*Таблица1[[#This Row],[сумма]]*Таблица1[[#This Row],[коэф]])),
IF(OR(G634="4/24",G634="3/24"),((база!$M$5*Таблица1[[#This Row],[сумма]]*Таблица1[[#This Row],[коэф]])),
IF((G634="5/16"),((база!$L$6*Таблица1[[#This Row],[сумма]]*Таблица1[[#This Row],[коэф]])),
IF(OR(G634="4/16",G634="3/16"),((база!$L$5*Таблица1[[#This Row],[сумма]]*Таблица1[[#This Row],[коэф]])),
IF(OR(G634="2/4",G634="3/4",G634="4/4"),((база!$I$5*Таблица1[[#This Row],[сумма]]*Таблица1[[#This Row],[коэф]])),
IF((G634="5/8"),((база!$J$6*Таблица1[[#This Row],[сумма]]*Таблица1[[#This Row],[коэф]])),
IF(OR(G634="4/8",G634="3/8",G634="2/8"),((база!$J$5*Таблица1[[#This Row],[сумма]]*Таблица1[[#This Row],[коэф]])))))))))))</f>
        <v>0</v>
      </c>
      <c r="AP634" s="696" t="b">
        <f>IF(AR634&lt;=3,(IF((G634="5/24"),((база!$M$6*2*Таблица1[[#This Row],[Столбец1]]*Таблица1[[#This Row],[коэф]])),
IF((G634="4/24"),((база!$M$5*2*Таблица1[[#This Row],[Столбец1]]*Таблица1[[#This Row],[коэф]])),
IF((G634="3/24"),((база!$M$4*2*Таблица1[[#This Row],[Столбец1]]*Таблица1[[#This Row],[коэф]])),
IF((G634="5/16"),((база!$L$6*2*Таблица1[[#This Row],[Столбец1]]*Таблица1[[#This Row],[коэф]])),
IF((G634="4/16"),((база!$L$5*2*Таблица1[[#This Row],[Столбец1]]*Таблица1[[#This Row],[коэф]])),
IF((G634="3/16"),((база!$L$4*2*Таблица1[[#This Row],[Столбец1]]*Таблица1[[#This Row],[коэф]])),
IF((G634="4/4"),((база!$I$5*2*Таблица1[[#This Row],[Столбец1]]*Таблица1[[#This Row],[коэф]])),
IF(OR(G634="2/4",G634="3/4"),((база!$I$4*2*Таблица1[[#This Row],[Столбец1]]*Таблица1[[#This Row],[коэф]])),
IF((G634="5/8"),((база!$J$6*2*Таблица1[[#This Row],[Столбец1]]*Таблица1[[#This Row],[коэф]])),
IF((G634="4/8"),((база!$J$5*2*Таблица1[[#This Row],[Столбец1]]*Таблица1[[#This Row],[коэф]])),
IF(OR(G634="3/8",G634="2/8"),((база!$J$4*2*Таблица1[[#This Row],[Столбец1]]*Таблица1[[#This Row],[коэф]])))))))))))))),
(IF((G634="5/24"),((база!$M$6*2*Таблица1[[#This Row],[Столбец1]]*Таблица1[[#This Row],[коэф]])),
IF(OR(G634="4/24",G634="3/24"),((база!$M$5*2*Таблица1[[#This Row],[Столбец1]]*Таблица1[[#This Row],[коэф]])),
IF((G634="5/16"),((база!$L$6*2*Таблица1[[#This Row],[Столбец1]]*Таблица1[[#This Row],[коэф]])),
IF(OR(G634="4/16",G634="3/16"),((база!$L$5*2*Таблица1[[#This Row],[Столбец1]]*Таблица1[[#This Row],[коэф]])),
IF(OR(G634="2/4",G634="3/4",G634="4/4"),((база!$I$5*2*Таблица1[[#This Row],[Столбец1]]*Таблица1[[#This Row],[коэф]])),
IF((G634="5/8"),((база!$J$6*2*Таблица1[[#This Row],[Столбец1]]*Таблица1[[#This Row],[коэф]])),
IF(OR(G634="4/8",G634="3/8",G634="2/8"),((база!$J$5*2*Таблица1[[#This Row],[Столбец1]]*Таблица1[[#This Row],[коэф]])))))))))))</f>
        <v>0</v>
      </c>
      <c r="AQ634" s="678" t="str">
        <f>IFERROR(INDEX(база!T:T, MATCH(F634,база!Q:Q,0)),"")</f>
        <v/>
      </c>
      <c r="AR634" s="193">
        <f>IFERROR(INDEX(база!D:D, MATCH(F634,база!B:B,0)),"")</f>
        <v>0</v>
      </c>
    </row>
    <row r="635" spans="1:44" ht="15">
      <c r="A635" s="59"/>
      <c r="B635" s="215"/>
      <c r="C635" s="277"/>
      <c r="D635" s="55"/>
      <c r="E635" s="196"/>
      <c r="F635" s="651"/>
      <c r="G635" s="42"/>
      <c r="H635" s="539"/>
      <c r="I635" s="539"/>
      <c r="J635" s="539"/>
      <c r="K635" s="539"/>
      <c r="L635" s="539"/>
      <c r="M635" s="539"/>
      <c r="N635" s="539"/>
      <c r="O635" s="539"/>
      <c r="P635" s="278"/>
      <c r="Q635" s="539"/>
      <c r="R635" s="539"/>
      <c r="S635" s="539"/>
      <c r="T635" s="539"/>
      <c r="U635" s="539"/>
      <c r="V635" s="539"/>
      <c r="W635" s="539"/>
      <c r="X635" s="539"/>
      <c r="Y635" s="539"/>
      <c r="Z635" s="539"/>
      <c r="AA635" s="539"/>
      <c r="AB635" s="539"/>
      <c r="AC635" s="539"/>
      <c r="AD635" s="43"/>
      <c r="AE635" s="43"/>
      <c r="AF635" s="238"/>
      <c r="AG635" s="43"/>
      <c r="AH635" s="43"/>
      <c r="AI635" s="238"/>
      <c r="AJ635" s="238"/>
      <c r="AK635" s="238"/>
      <c r="AL635" s="238"/>
      <c r="AM635" s="197">
        <f>IF(AQ635=1,SUM(H635:I635,L635:O635,R635:U635,X635:AA635,AD635:AG635,AI635:AK635),
IF(AQ635=2,SUM(H635:K635,N635:Q635,T635:W635,Z635:AC635,AF635:AI635),
IF(AQ635=3,SUM(J635:M635,P635:S635,V635:Y635,AB635:AE635,AH635:AK635),SUM(Таблица1[[#This Row],[1]:[31]])-Таблица1[[#This Row],[Столбец1]])))</f>
        <v>0</v>
      </c>
      <c r="AN635" s="269">
        <f t="array" ref="AN635">IF(AQ635=1,SUM(J635:K635,P635:Q635,V635:W635,AB635:AC635,AH635:AI635),
IF(AQ635=2,SUM(L635:M635,R635:S635,X635:Y635,AD635:AE635),
IF(AQ635=3,SUM(H635:I635,N635:O635,T635:U635,Z635:AA635,AF635:AG635),
SUM(IFERROR(WEEKDAY($H$2:$AL$2,2)&gt;5,)*H635:AL635))))</f>
        <v>0</v>
      </c>
      <c r="AO635" s="271" t="b">
        <f>IF(AR635&lt;=3,(IF((G635="5/24"),((база!$M$6*Таблица1[[#This Row],[сумма]]*Таблица1[[#This Row],[коэф]])),
IF((G635="4/24"),((база!$M$5*Таблица1[[#This Row],[сумма]]*Таблица1[[#This Row],[коэф]])),
IF((G635="3/24"),((база!$M$4*Таблица1[[#This Row],[сумма]]*Таблица1[[#This Row],[коэф]])),
IF((G635="5/16"),((база!$L$6*Таблица1[[#This Row],[сумма]]*Таблица1[[#This Row],[коэф]])),
IF((G635="4/16"),((база!$L$5*Таблица1[[#This Row],[сумма]]*Таблица1[[#This Row],[коэф]])),
IF((G635="3/16"),((база!$L$4*Таблица1[[#This Row],[сумма]]*Таблица1[[#This Row],[коэф]])),
IF((G635="4/4"),((база!$I$5*Таблица1[[#This Row],[сумма]]*Таблица1[[#This Row],[коэф]])),
IF(OR(G635="2/4",G635="3/4"),((база!$I$4*Таблица1[[#This Row],[сумма]]*Таблица1[[#This Row],[коэф]])),
IF((G635="5/8"),((база!$J$6*Таблица1[[#This Row],[сумма]]*Таблица1[[#This Row],[коэф]])),
IF((G635="4/8"),((база!$J$5*Таблица1[[#This Row],[сумма]]*Таблица1[[#This Row],[коэф]])),
IF(OR(G635="3/8",G635="2/8"),((база!$J$4*Таблица1[[#This Row],[сумма]]*Таблица1[[#This Row],[коэф]])))))))))))))),
(IF((G635="5/24"),((база!$M$6*Таблица1[[#This Row],[сумма]]*Таблица1[[#This Row],[коэф]])),
IF(OR(G635="4/24",G635="3/24"),((база!$M$5*Таблица1[[#This Row],[сумма]]*Таблица1[[#This Row],[коэф]])),
IF((G635="5/16"),((база!$L$6*Таблица1[[#This Row],[сумма]]*Таблица1[[#This Row],[коэф]])),
IF(OR(G635="4/16",G635="3/16"),((база!$L$5*Таблица1[[#This Row],[сумма]]*Таблица1[[#This Row],[коэф]])),
IF(OR(G635="2/4",G635="3/4",G635="4/4"),((база!$I$5*Таблица1[[#This Row],[сумма]]*Таблица1[[#This Row],[коэф]])),
IF((G635="5/8"),((база!$J$6*Таблица1[[#This Row],[сумма]]*Таблица1[[#This Row],[коэф]])),
IF(OR(G635="4/8",G635="3/8",G635="2/8"),((база!$J$5*Таблица1[[#This Row],[сумма]]*Таблица1[[#This Row],[коэф]])))))))))))</f>
        <v>0</v>
      </c>
      <c r="AP635" s="696" t="b">
        <f>IF(AR635&lt;=3,(IF((G635="5/24"),((база!$M$6*2*Таблица1[[#This Row],[Столбец1]]*Таблица1[[#This Row],[коэф]])),
IF((G635="4/24"),((база!$M$5*2*Таблица1[[#This Row],[Столбец1]]*Таблица1[[#This Row],[коэф]])),
IF((G635="3/24"),((база!$M$4*2*Таблица1[[#This Row],[Столбец1]]*Таблица1[[#This Row],[коэф]])),
IF((G635="5/16"),((база!$L$6*2*Таблица1[[#This Row],[Столбец1]]*Таблица1[[#This Row],[коэф]])),
IF((G635="4/16"),((база!$L$5*2*Таблица1[[#This Row],[Столбец1]]*Таблица1[[#This Row],[коэф]])),
IF((G635="3/16"),((база!$L$4*2*Таблица1[[#This Row],[Столбец1]]*Таблица1[[#This Row],[коэф]])),
IF((G635="4/4"),((база!$I$5*2*Таблица1[[#This Row],[Столбец1]]*Таблица1[[#This Row],[коэф]])),
IF(OR(G635="2/4",G635="3/4"),((база!$I$4*2*Таблица1[[#This Row],[Столбец1]]*Таблица1[[#This Row],[коэф]])),
IF((G635="5/8"),((база!$J$6*2*Таблица1[[#This Row],[Столбец1]]*Таблица1[[#This Row],[коэф]])),
IF((G635="4/8"),((база!$J$5*2*Таблица1[[#This Row],[Столбец1]]*Таблица1[[#This Row],[коэф]])),
IF(OR(G635="3/8",G635="2/8"),((база!$J$4*2*Таблица1[[#This Row],[Столбец1]]*Таблица1[[#This Row],[коэф]])))))))))))))),
(IF((G635="5/24"),((база!$M$6*2*Таблица1[[#This Row],[Столбец1]]*Таблица1[[#This Row],[коэф]])),
IF(OR(G635="4/24",G635="3/24"),((база!$M$5*2*Таблица1[[#This Row],[Столбец1]]*Таблица1[[#This Row],[коэф]])),
IF((G635="5/16"),((база!$L$6*2*Таблица1[[#This Row],[Столбец1]]*Таблица1[[#This Row],[коэф]])),
IF(OR(G635="4/16",G635="3/16"),((база!$L$5*2*Таблица1[[#This Row],[Столбец1]]*Таблица1[[#This Row],[коэф]])),
IF(OR(G635="2/4",G635="3/4",G635="4/4"),((база!$I$5*2*Таблица1[[#This Row],[Столбец1]]*Таблица1[[#This Row],[коэф]])),
IF((G635="5/8"),((база!$J$6*2*Таблица1[[#This Row],[Столбец1]]*Таблица1[[#This Row],[коэф]])),
IF(OR(G635="4/8",G635="3/8",G635="2/8"),((база!$J$5*2*Таблица1[[#This Row],[Столбец1]]*Таблица1[[#This Row],[коэф]])))))))))))</f>
        <v>0</v>
      </c>
      <c r="AQ635" s="678" t="str">
        <f>IFERROR(INDEX(база!T:T, MATCH(F635,база!Q:Q,0)),"")</f>
        <v/>
      </c>
      <c r="AR635" s="193">
        <f>IFERROR(INDEX(база!D:D, MATCH(F635,база!B:B,0)),"")</f>
        <v>0</v>
      </c>
    </row>
    <row r="636" spans="1:44" ht="15">
      <c r="A636" s="59"/>
      <c r="B636" s="215"/>
      <c r="C636" s="277"/>
      <c r="D636" s="55"/>
      <c r="E636" s="196"/>
      <c r="F636" s="651"/>
      <c r="G636" s="42"/>
      <c r="H636" s="539"/>
      <c r="I636" s="539"/>
      <c r="J636" s="539"/>
      <c r="K636" s="539"/>
      <c r="L636" s="539"/>
      <c r="M636" s="539"/>
      <c r="N636" s="539"/>
      <c r="O636" s="539"/>
      <c r="P636" s="278"/>
      <c r="Q636" s="539"/>
      <c r="R636" s="539"/>
      <c r="S636" s="539"/>
      <c r="T636" s="539"/>
      <c r="U636" s="539"/>
      <c r="V636" s="539"/>
      <c r="W636" s="539"/>
      <c r="X636" s="539"/>
      <c r="Y636" s="539"/>
      <c r="Z636" s="539"/>
      <c r="AA636" s="539"/>
      <c r="AB636" s="539"/>
      <c r="AC636" s="539"/>
      <c r="AD636" s="43"/>
      <c r="AE636" s="43"/>
      <c r="AF636" s="238"/>
      <c r="AG636" s="43"/>
      <c r="AH636" s="43"/>
      <c r="AI636" s="43"/>
      <c r="AJ636" s="43"/>
      <c r="AK636" s="43"/>
      <c r="AL636" s="45"/>
      <c r="AM636" s="197">
        <f>IF(AQ636=1,SUM(H636:I636,L636:O636,R636:U636,X636:AA636,AD636:AG636,AI636:AK636),
IF(AQ636=2,SUM(H636:K636,N636:Q636,T636:W636,Z636:AC636,AF636:AI636),
IF(AQ636=3,SUM(J636:M636,P636:S636,V636:Y636,AB636:AE636,AH636:AK636),SUM(Таблица1[[#This Row],[1]:[31]])-Таблица1[[#This Row],[Столбец1]])))</f>
        <v>0</v>
      </c>
      <c r="AN636" s="269">
        <f t="array" ref="AN636">IF(AQ636=1,SUM(J636:K636,P636:Q636,V636:W636,AB636:AC636,AH636:AI636),
IF(AQ636=2,SUM(L636:M636,R636:S636,X636:Y636,AD636:AE636),
IF(AQ636=3,SUM(H636:I636,N636:O636,T636:U636,Z636:AA636,AF636:AG636),
SUM(IFERROR(WEEKDAY($H$2:$AL$2,2)&gt;5,)*H636:AL636))))</f>
        <v>0</v>
      </c>
      <c r="AO636" s="271" t="b">
        <f>IF(AR636&lt;=3,(IF((G636="5/24"),((база!$M$6*Таблица1[[#This Row],[сумма]]*Таблица1[[#This Row],[коэф]])),
IF((G636="4/24"),((база!$M$5*Таблица1[[#This Row],[сумма]]*Таблица1[[#This Row],[коэф]])),
IF((G636="3/24"),((база!$M$4*Таблица1[[#This Row],[сумма]]*Таблица1[[#This Row],[коэф]])),
IF((G636="5/16"),((база!$L$6*Таблица1[[#This Row],[сумма]]*Таблица1[[#This Row],[коэф]])),
IF((G636="4/16"),((база!$L$5*Таблица1[[#This Row],[сумма]]*Таблица1[[#This Row],[коэф]])),
IF((G636="3/16"),((база!$L$4*Таблица1[[#This Row],[сумма]]*Таблица1[[#This Row],[коэф]])),
IF((G636="4/4"),((база!$I$5*Таблица1[[#This Row],[сумма]]*Таблица1[[#This Row],[коэф]])),
IF(OR(G636="2/4",G636="3/4"),((база!$I$4*Таблица1[[#This Row],[сумма]]*Таблица1[[#This Row],[коэф]])),
IF((G636="5/8"),((база!$J$6*Таблица1[[#This Row],[сумма]]*Таблица1[[#This Row],[коэф]])),
IF((G636="4/8"),((база!$J$5*Таблица1[[#This Row],[сумма]]*Таблица1[[#This Row],[коэф]])),
IF(OR(G636="3/8",G636="2/8"),((база!$J$4*Таблица1[[#This Row],[сумма]]*Таблица1[[#This Row],[коэф]])))))))))))))),
(IF((G636="5/24"),((база!$M$6*Таблица1[[#This Row],[сумма]]*Таблица1[[#This Row],[коэф]])),
IF(OR(G636="4/24",G636="3/24"),((база!$M$5*Таблица1[[#This Row],[сумма]]*Таблица1[[#This Row],[коэф]])),
IF((G636="5/16"),((база!$L$6*Таблица1[[#This Row],[сумма]]*Таблица1[[#This Row],[коэф]])),
IF(OR(G636="4/16",G636="3/16"),((база!$L$5*Таблица1[[#This Row],[сумма]]*Таблица1[[#This Row],[коэф]])),
IF(OR(G636="2/4",G636="3/4",G636="4/4"),((база!$I$5*Таблица1[[#This Row],[сумма]]*Таблица1[[#This Row],[коэф]])),
IF((G636="5/8"),((база!$J$6*Таблица1[[#This Row],[сумма]]*Таблица1[[#This Row],[коэф]])),
IF(OR(G636="4/8",G636="3/8",G636="2/8"),((база!$J$5*Таблица1[[#This Row],[сумма]]*Таблица1[[#This Row],[коэф]])))))))))))</f>
        <v>0</v>
      </c>
      <c r="AP636" s="696" t="b">
        <f>IF(AR636&lt;=3,(IF((G636="5/24"),((база!$M$6*2*Таблица1[[#This Row],[Столбец1]]*Таблица1[[#This Row],[коэф]])),
IF((G636="4/24"),((база!$M$5*2*Таблица1[[#This Row],[Столбец1]]*Таблица1[[#This Row],[коэф]])),
IF((G636="3/24"),((база!$M$4*2*Таблица1[[#This Row],[Столбец1]]*Таблица1[[#This Row],[коэф]])),
IF((G636="5/16"),((база!$L$6*2*Таблица1[[#This Row],[Столбец1]]*Таблица1[[#This Row],[коэф]])),
IF((G636="4/16"),((база!$L$5*2*Таблица1[[#This Row],[Столбец1]]*Таблица1[[#This Row],[коэф]])),
IF((G636="3/16"),((база!$L$4*2*Таблица1[[#This Row],[Столбец1]]*Таблица1[[#This Row],[коэф]])),
IF((G636="4/4"),((база!$I$5*2*Таблица1[[#This Row],[Столбец1]]*Таблица1[[#This Row],[коэф]])),
IF(OR(G636="2/4",G636="3/4"),((база!$I$4*2*Таблица1[[#This Row],[Столбец1]]*Таблица1[[#This Row],[коэф]])),
IF((G636="5/8"),((база!$J$6*2*Таблица1[[#This Row],[Столбец1]]*Таблица1[[#This Row],[коэф]])),
IF((G636="4/8"),((база!$J$5*2*Таблица1[[#This Row],[Столбец1]]*Таблица1[[#This Row],[коэф]])),
IF(OR(G636="3/8",G636="2/8"),((база!$J$4*2*Таблица1[[#This Row],[Столбец1]]*Таблица1[[#This Row],[коэф]])))))))))))))),
(IF((G636="5/24"),((база!$M$6*2*Таблица1[[#This Row],[Столбец1]]*Таблица1[[#This Row],[коэф]])),
IF(OR(G636="4/24",G636="3/24"),((база!$M$5*2*Таблица1[[#This Row],[Столбец1]]*Таблица1[[#This Row],[коэф]])),
IF((G636="5/16"),((база!$L$6*2*Таблица1[[#This Row],[Столбец1]]*Таблица1[[#This Row],[коэф]])),
IF(OR(G636="4/16",G636="3/16"),((база!$L$5*2*Таблица1[[#This Row],[Столбец1]]*Таблица1[[#This Row],[коэф]])),
IF(OR(G636="2/4",G636="3/4",G636="4/4"),((база!$I$5*2*Таблица1[[#This Row],[Столбец1]]*Таблица1[[#This Row],[коэф]])),
IF((G636="5/8"),((база!$J$6*2*Таблица1[[#This Row],[Столбец1]]*Таблица1[[#This Row],[коэф]])),
IF(OR(G636="4/8",G636="3/8",G636="2/8"),((база!$J$5*2*Таблица1[[#This Row],[Столбец1]]*Таблица1[[#This Row],[коэф]])))))))))))</f>
        <v>0</v>
      </c>
      <c r="AQ636" s="678" t="str">
        <f>IFERROR(INDEX(база!T:T, MATCH(F636,база!Q:Q,0)),"")</f>
        <v/>
      </c>
      <c r="AR636" s="193">
        <f>IFERROR(INDEX(база!D:D, MATCH(F636,база!B:B,0)),"")</f>
        <v>0</v>
      </c>
    </row>
    <row r="637" spans="1:44" ht="15">
      <c r="A637" s="59"/>
      <c r="B637" s="215"/>
      <c r="C637" s="54"/>
      <c r="D637" s="55"/>
      <c r="E637" s="196"/>
      <c r="F637" s="651"/>
      <c r="G637" s="42"/>
      <c r="H637" s="539"/>
      <c r="I637" s="539"/>
      <c r="J637" s="539"/>
      <c r="K637" s="539"/>
      <c r="L637" s="539"/>
      <c r="M637" s="539"/>
      <c r="N637" s="539"/>
      <c r="O637" s="539"/>
      <c r="P637" s="278"/>
      <c r="Q637" s="539"/>
      <c r="R637" s="539"/>
      <c r="S637" s="539"/>
      <c r="T637" s="539"/>
      <c r="U637" s="539"/>
      <c r="V637" s="539"/>
      <c r="W637" s="539"/>
      <c r="X637" s="539"/>
      <c r="Y637" s="539"/>
      <c r="Z637" s="539"/>
      <c r="AA637" s="539"/>
      <c r="AB637" s="539"/>
      <c r="AC637" s="539"/>
      <c r="AD637" s="43"/>
      <c r="AE637" s="43"/>
      <c r="AF637" s="238"/>
      <c r="AG637" s="43"/>
      <c r="AH637" s="43"/>
      <c r="AI637" s="238"/>
      <c r="AJ637" s="238"/>
      <c r="AK637" s="238"/>
      <c r="AL637" s="238"/>
      <c r="AM637" s="197">
        <f>IF(AQ637=1,SUM(H637:I637,L637:O637,R637:U637,X637:AA637,AD637:AG637,AI637:AK637),
IF(AQ637=2,SUM(H637:K637,N637:Q637,T637:W637,Z637:AC637,AF637:AI637),
IF(AQ637=3,SUM(J637:M637,P637:S637,V637:Y637,AB637:AE637,AH637:AK637),SUM(Таблица1[[#This Row],[1]:[31]])-Таблица1[[#This Row],[Столбец1]])))</f>
        <v>0</v>
      </c>
      <c r="AN637" s="269">
        <f t="array" ref="AN637">IF(AQ637=1,SUM(J637:K637,P637:Q637,V637:W637,AB637:AC637,AH637:AI637),
IF(AQ637=2,SUM(L637:M637,R637:S637,X637:Y637,AD637:AE637),
IF(AQ637=3,SUM(H637:I637,N637:O637,T637:U637,Z637:AA637,AF637:AG637),
SUM(IFERROR(WEEKDAY($H$2:$AL$2,2)&gt;5,)*H637:AL637))))</f>
        <v>0</v>
      </c>
      <c r="AO637" s="271" t="b">
        <f>IF(AR637&lt;=3,(IF((G637="5/24"),((база!$M$6*Таблица1[[#This Row],[сумма]]*Таблица1[[#This Row],[коэф]])),
IF((G637="4/24"),((база!$M$5*Таблица1[[#This Row],[сумма]]*Таблица1[[#This Row],[коэф]])),
IF((G637="3/24"),((база!$M$4*Таблица1[[#This Row],[сумма]]*Таблица1[[#This Row],[коэф]])),
IF((G637="5/16"),((база!$L$6*Таблица1[[#This Row],[сумма]]*Таблица1[[#This Row],[коэф]])),
IF((G637="4/16"),((база!$L$5*Таблица1[[#This Row],[сумма]]*Таблица1[[#This Row],[коэф]])),
IF((G637="3/16"),((база!$L$4*Таблица1[[#This Row],[сумма]]*Таблица1[[#This Row],[коэф]])),
IF((G637="4/4"),((база!$I$5*Таблица1[[#This Row],[сумма]]*Таблица1[[#This Row],[коэф]])),
IF(OR(G637="2/4",G637="3/4"),((база!$I$4*Таблица1[[#This Row],[сумма]]*Таблица1[[#This Row],[коэф]])),
IF((G637="5/8"),((база!$J$6*Таблица1[[#This Row],[сумма]]*Таблица1[[#This Row],[коэф]])),
IF((G637="4/8"),((база!$J$5*Таблица1[[#This Row],[сумма]]*Таблица1[[#This Row],[коэф]])),
IF(OR(G637="3/8",G637="2/8"),((база!$J$4*Таблица1[[#This Row],[сумма]]*Таблица1[[#This Row],[коэф]])))))))))))))),
(IF((G637="5/24"),((база!$M$6*Таблица1[[#This Row],[сумма]]*Таблица1[[#This Row],[коэф]])),
IF(OR(G637="4/24",G637="3/24"),((база!$M$5*Таблица1[[#This Row],[сумма]]*Таблица1[[#This Row],[коэф]])),
IF((G637="5/16"),((база!$L$6*Таблица1[[#This Row],[сумма]]*Таблица1[[#This Row],[коэф]])),
IF(OR(G637="4/16",G637="3/16"),((база!$L$5*Таблица1[[#This Row],[сумма]]*Таблица1[[#This Row],[коэф]])),
IF(OR(G637="2/4",G637="3/4",G637="4/4"),((база!$I$5*Таблица1[[#This Row],[сумма]]*Таблица1[[#This Row],[коэф]])),
IF((G637="5/8"),((база!$J$6*Таблица1[[#This Row],[сумма]]*Таблица1[[#This Row],[коэф]])),
IF(OR(G637="4/8",G637="3/8",G637="2/8"),((база!$J$5*Таблица1[[#This Row],[сумма]]*Таблица1[[#This Row],[коэф]])))))))))))</f>
        <v>0</v>
      </c>
      <c r="AP637" s="696" t="b">
        <f>IF(AR637&lt;=3,(IF((G637="5/24"),((база!$M$6*2*Таблица1[[#This Row],[Столбец1]]*Таблица1[[#This Row],[коэф]])),
IF((G637="4/24"),((база!$M$5*2*Таблица1[[#This Row],[Столбец1]]*Таблица1[[#This Row],[коэф]])),
IF((G637="3/24"),((база!$M$4*2*Таблица1[[#This Row],[Столбец1]]*Таблица1[[#This Row],[коэф]])),
IF((G637="5/16"),((база!$L$6*2*Таблица1[[#This Row],[Столбец1]]*Таблица1[[#This Row],[коэф]])),
IF((G637="4/16"),((база!$L$5*2*Таблица1[[#This Row],[Столбец1]]*Таблица1[[#This Row],[коэф]])),
IF((G637="3/16"),((база!$L$4*2*Таблица1[[#This Row],[Столбец1]]*Таблица1[[#This Row],[коэф]])),
IF((G637="4/4"),((база!$I$5*2*Таблица1[[#This Row],[Столбец1]]*Таблица1[[#This Row],[коэф]])),
IF(OR(G637="2/4",G637="3/4"),((база!$I$4*2*Таблица1[[#This Row],[Столбец1]]*Таблица1[[#This Row],[коэф]])),
IF((G637="5/8"),((база!$J$6*2*Таблица1[[#This Row],[Столбец1]]*Таблица1[[#This Row],[коэф]])),
IF((G637="4/8"),((база!$J$5*2*Таблица1[[#This Row],[Столбец1]]*Таблица1[[#This Row],[коэф]])),
IF(OR(G637="3/8",G637="2/8"),((база!$J$4*2*Таблица1[[#This Row],[Столбец1]]*Таблица1[[#This Row],[коэф]])))))))))))))),
(IF((G637="5/24"),((база!$M$6*2*Таблица1[[#This Row],[Столбец1]]*Таблица1[[#This Row],[коэф]])),
IF(OR(G637="4/24",G637="3/24"),((база!$M$5*2*Таблица1[[#This Row],[Столбец1]]*Таблица1[[#This Row],[коэф]])),
IF((G637="5/16"),((база!$L$6*2*Таблица1[[#This Row],[Столбец1]]*Таблица1[[#This Row],[коэф]])),
IF(OR(G637="4/16",G637="3/16"),((база!$L$5*2*Таблица1[[#This Row],[Столбец1]]*Таблица1[[#This Row],[коэф]])),
IF(OR(G637="2/4",G637="3/4",G637="4/4"),((база!$I$5*2*Таблица1[[#This Row],[Столбец1]]*Таблица1[[#This Row],[коэф]])),
IF((G637="5/8"),((база!$J$6*2*Таблица1[[#This Row],[Столбец1]]*Таблица1[[#This Row],[коэф]])),
IF(OR(G637="4/8",G637="3/8",G637="2/8"),((база!$J$5*2*Таблица1[[#This Row],[Столбец1]]*Таблица1[[#This Row],[коэф]])))))))))))</f>
        <v>0</v>
      </c>
      <c r="AQ637" s="678" t="str">
        <f>IFERROR(INDEX(база!T:T, MATCH(F637,база!Q:Q,0)),"")</f>
        <v/>
      </c>
      <c r="AR637" s="193">
        <f>IFERROR(INDEX(база!D:D, MATCH(F637,база!B:B,0)),"")</f>
        <v>0</v>
      </c>
    </row>
    <row r="638" spans="1:44" ht="15">
      <c r="A638" s="59"/>
      <c r="B638" s="215"/>
      <c r="C638" s="277"/>
      <c r="D638" s="55"/>
      <c r="E638" s="196"/>
      <c r="F638" s="651"/>
      <c r="G638" s="42"/>
      <c r="H638" s="539"/>
      <c r="I638" s="539"/>
      <c r="J638" s="539"/>
      <c r="K638" s="539"/>
      <c r="L638" s="539"/>
      <c r="M638" s="539"/>
      <c r="N638" s="539"/>
      <c r="O638" s="539"/>
      <c r="P638" s="278"/>
      <c r="Q638" s="539"/>
      <c r="R638" s="539"/>
      <c r="S638" s="539"/>
      <c r="T638" s="539"/>
      <c r="U638" s="539"/>
      <c r="V638" s="539"/>
      <c r="W638" s="539"/>
      <c r="X638" s="539"/>
      <c r="Y638" s="539"/>
      <c r="Z638" s="539"/>
      <c r="AA638" s="539"/>
      <c r="AB638" s="539"/>
      <c r="AC638" s="539"/>
      <c r="AD638" s="43"/>
      <c r="AE638" s="43"/>
      <c r="AF638" s="238"/>
      <c r="AG638" s="43"/>
      <c r="AH638" s="43"/>
      <c r="AI638" s="43"/>
      <c r="AJ638" s="43"/>
      <c r="AK638" s="43"/>
      <c r="AL638" s="45"/>
      <c r="AM638" s="197">
        <f>IF(AQ638=1,SUM(H638:I638,L638:O638,R638:U638,X638:AA638,AD638:AG638,AI638:AK638),
IF(AQ638=2,SUM(H638:K638,N638:Q638,T638:W638,Z638:AC638,AF638:AI638),
IF(AQ638=3,SUM(J638:M638,P638:S638,V638:Y638,AB638:AE638,AH638:AK638),SUM(Таблица1[[#This Row],[1]:[31]])-Таблица1[[#This Row],[Столбец1]])))</f>
        <v>0</v>
      </c>
      <c r="AN638" s="269">
        <f t="array" ref="AN638">IF(AQ638=1,SUM(J638:K638,P638:Q638,V638:W638,AB638:AC638,AH638:AI638),
IF(AQ638=2,SUM(L638:M638,R638:S638,X638:Y638,AD638:AE638),
IF(AQ638=3,SUM(H638:I638,N638:O638,T638:U638,Z638:AA638,AF638:AG638),
SUM(IFERROR(WEEKDAY($H$2:$AL$2,2)&gt;5,)*H638:AL638))))</f>
        <v>0</v>
      </c>
      <c r="AO638" s="271" t="b">
        <f>IF(AR638&lt;=3,(IF((G638="5/24"),((база!$M$6*Таблица1[[#This Row],[сумма]]*Таблица1[[#This Row],[коэф]])),
IF((G638="4/24"),((база!$M$5*Таблица1[[#This Row],[сумма]]*Таблица1[[#This Row],[коэф]])),
IF((G638="3/24"),((база!$M$4*Таблица1[[#This Row],[сумма]]*Таблица1[[#This Row],[коэф]])),
IF((G638="5/16"),((база!$L$6*Таблица1[[#This Row],[сумма]]*Таблица1[[#This Row],[коэф]])),
IF((G638="4/16"),((база!$L$5*Таблица1[[#This Row],[сумма]]*Таблица1[[#This Row],[коэф]])),
IF((G638="3/16"),((база!$L$4*Таблица1[[#This Row],[сумма]]*Таблица1[[#This Row],[коэф]])),
IF((G638="4/4"),((база!$I$5*Таблица1[[#This Row],[сумма]]*Таблица1[[#This Row],[коэф]])),
IF(OR(G638="2/4",G638="3/4"),((база!$I$4*Таблица1[[#This Row],[сумма]]*Таблица1[[#This Row],[коэф]])),
IF((G638="5/8"),((база!$J$6*Таблица1[[#This Row],[сумма]]*Таблица1[[#This Row],[коэф]])),
IF((G638="4/8"),((база!$J$5*Таблица1[[#This Row],[сумма]]*Таблица1[[#This Row],[коэф]])),
IF(OR(G638="3/8",G638="2/8"),((база!$J$4*Таблица1[[#This Row],[сумма]]*Таблица1[[#This Row],[коэф]])))))))))))))),
(IF((G638="5/24"),((база!$M$6*Таблица1[[#This Row],[сумма]]*Таблица1[[#This Row],[коэф]])),
IF(OR(G638="4/24",G638="3/24"),((база!$M$5*Таблица1[[#This Row],[сумма]]*Таблица1[[#This Row],[коэф]])),
IF((G638="5/16"),((база!$L$6*Таблица1[[#This Row],[сумма]]*Таблица1[[#This Row],[коэф]])),
IF(OR(G638="4/16",G638="3/16"),((база!$L$5*Таблица1[[#This Row],[сумма]]*Таблица1[[#This Row],[коэф]])),
IF(OR(G638="2/4",G638="3/4",G638="4/4"),((база!$I$5*Таблица1[[#This Row],[сумма]]*Таблица1[[#This Row],[коэф]])),
IF((G638="5/8"),((база!$J$6*Таблица1[[#This Row],[сумма]]*Таблица1[[#This Row],[коэф]])),
IF(OR(G638="4/8",G638="3/8",G638="2/8"),((база!$J$5*Таблица1[[#This Row],[сумма]]*Таблица1[[#This Row],[коэф]])))))))))))</f>
        <v>0</v>
      </c>
      <c r="AP638" s="696" t="b">
        <f>IF(AR638&lt;=3,(IF((G638="5/24"),((база!$M$6*2*Таблица1[[#This Row],[Столбец1]]*Таблица1[[#This Row],[коэф]])),
IF((G638="4/24"),((база!$M$5*2*Таблица1[[#This Row],[Столбец1]]*Таблица1[[#This Row],[коэф]])),
IF((G638="3/24"),((база!$M$4*2*Таблица1[[#This Row],[Столбец1]]*Таблица1[[#This Row],[коэф]])),
IF((G638="5/16"),((база!$L$6*2*Таблица1[[#This Row],[Столбец1]]*Таблица1[[#This Row],[коэф]])),
IF((G638="4/16"),((база!$L$5*2*Таблица1[[#This Row],[Столбец1]]*Таблица1[[#This Row],[коэф]])),
IF((G638="3/16"),((база!$L$4*2*Таблица1[[#This Row],[Столбец1]]*Таблица1[[#This Row],[коэф]])),
IF((G638="4/4"),((база!$I$5*2*Таблица1[[#This Row],[Столбец1]]*Таблица1[[#This Row],[коэф]])),
IF(OR(G638="2/4",G638="3/4"),((база!$I$4*2*Таблица1[[#This Row],[Столбец1]]*Таблица1[[#This Row],[коэф]])),
IF((G638="5/8"),((база!$J$6*2*Таблица1[[#This Row],[Столбец1]]*Таблица1[[#This Row],[коэф]])),
IF((G638="4/8"),((база!$J$5*2*Таблица1[[#This Row],[Столбец1]]*Таблица1[[#This Row],[коэф]])),
IF(OR(G638="3/8",G638="2/8"),((база!$J$4*2*Таблица1[[#This Row],[Столбец1]]*Таблица1[[#This Row],[коэф]])))))))))))))),
(IF((G638="5/24"),((база!$M$6*2*Таблица1[[#This Row],[Столбец1]]*Таблица1[[#This Row],[коэф]])),
IF(OR(G638="4/24",G638="3/24"),((база!$M$5*2*Таблица1[[#This Row],[Столбец1]]*Таблица1[[#This Row],[коэф]])),
IF((G638="5/16"),((база!$L$6*2*Таблица1[[#This Row],[Столбец1]]*Таблица1[[#This Row],[коэф]])),
IF(OR(G638="4/16",G638="3/16"),((база!$L$5*2*Таблица1[[#This Row],[Столбец1]]*Таблица1[[#This Row],[коэф]])),
IF(OR(G638="2/4",G638="3/4",G638="4/4"),((база!$I$5*2*Таблица1[[#This Row],[Столбец1]]*Таблица1[[#This Row],[коэф]])),
IF((G638="5/8"),((база!$J$6*2*Таблица1[[#This Row],[Столбец1]]*Таблица1[[#This Row],[коэф]])),
IF(OR(G638="4/8",G638="3/8",G638="2/8"),((база!$J$5*2*Таблица1[[#This Row],[Столбец1]]*Таблица1[[#This Row],[коэф]])))))))))))</f>
        <v>0</v>
      </c>
      <c r="AQ638" s="678" t="str">
        <f>IFERROR(INDEX(база!T:T, MATCH(F638,база!Q:Q,0)),"")</f>
        <v/>
      </c>
      <c r="AR638" s="193">
        <f>IFERROR(INDEX(база!D:D, MATCH(F638,база!B:B,0)),"")</f>
        <v>0</v>
      </c>
    </row>
    <row r="639" spans="1:44" ht="15">
      <c r="A639" s="59"/>
      <c r="B639" s="215"/>
      <c r="C639" s="277"/>
      <c r="D639" s="55"/>
      <c r="E639" s="196"/>
      <c r="F639" s="651"/>
      <c r="G639" s="42"/>
      <c r="H639" s="539"/>
      <c r="I639" s="539"/>
      <c r="J639" s="539"/>
      <c r="K639" s="539"/>
      <c r="L639" s="539"/>
      <c r="M639" s="539"/>
      <c r="N639" s="539"/>
      <c r="O639" s="539"/>
      <c r="P639" s="278"/>
      <c r="Q639" s="539"/>
      <c r="R639" s="539"/>
      <c r="S639" s="539"/>
      <c r="T639" s="539"/>
      <c r="U639" s="539"/>
      <c r="V639" s="539"/>
      <c r="W639" s="539"/>
      <c r="X639" s="539"/>
      <c r="Y639" s="539"/>
      <c r="Z639" s="539"/>
      <c r="AA639" s="539"/>
      <c r="AB639" s="539"/>
      <c r="AC639" s="539"/>
      <c r="AD639" s="43"/>
      <c r="AE639" s="43"/>
      <c r="AF639" s="238"/>
      <c r="AG639" s="43"/>
      <c r="AH639" s="43"/>
      <c r="AI639" s="238"/>
      <c r="AJ639" s="238"/>
      <c r="AK639" s="238"/>
      <c r="AL639" s="238"/>
      <c r="AM639" s="197">
        <f>IF(AQ639=1,SUM(H639:I639,L639:O639,R639:U639,X639:AA639,AD639:AG639,AI639:AK639),
IF(AQ639=2,SUM(H639:K639,N639:Q639,T639:W639,Z639:AC639,AF639:AI639),
IF(AQ639=3,SUM(J639:M639,P639:S639,V639:Y639,AB639:AE639,AH639:AK639),SUM(Таблица1[[#This Row],[1]:[31]])-Таблица1[[#This Row],[Столбец1]])))</f>
        <v>0</v>
      </c>
      <c r="AN639" s="269">
        <f t="array" ref="AN639">IF(AQ639=1,SUM(J639:K639,P639:Q639,V639:W639,AB639:AC639,AH639:AI639),
IF(AQ639=2,SUM(L639:M639,R639:S639,X639:Y639,AD639:AE639),
IF(AQ639=3,SUM(H639:I639,N639:O639,T639:U639,Z639:AA639,AF639:AG639),
SUM(IFERROR(WEEKDAY($H$2:$AL$2,2)&gt;5,)*H639:AL639))))</f>
        <v>0</v>
      </c>
      <c r="AO639" s="271" t="b">
        <f>IF(AR639&lt;=3,(IF((G639="5/24"),((база!$M$6*Таблица1[[#This Row],[сумма]]*Таблица1[[#This Row],[коэф]])),
IF((G639="4/24"),((база!$M$5*Таблица1[[#This Row],[сумма]]*Таблица1[[#This Row],[коэф]])),
IF((G639="3/24"),((база!$M$4*Таблица1[[#This Row],[сумма]]*Таблица1[[#This Row],[коэф]])),
IF((G639="5/16"),((база!$L$6*Таблица1[[#This Row],[сумма]]*Таблица1[[#This Row],[коэф]])),
IF((G639="4/16"),((база!$L$5*Таблица1[[#This Row],[сумма]]*Таблица1[[#This Row],[коэф]])),
IF((G639="3/16"),((база!$L$4*Таблица1[[#This Row],[сумма]]*Таблица1[[#This Row],[коэф]])),
IF((G639="4/4"),((база!$I$5*Таблица1[[#This Row],[сумма]]*Таблица1[[#This Row],[коэф]])),
IF(OR(G639="2/4",G639="3/4"),((база!$I$4*Таблица1[[#This Row],[сумма]]*Таблица1[[#This Row],[коэф]])),
IF((G639="5/8"),((база!$J$6*Таблица1[[#This Row],[сумма]]*Таблица1[[#This Row],[коэф]])),
IF((G639="4/8"),((база!$J$5*Таблица1[[#This Row],[сумма]]*Таблица1[[#This Row],[коэф]])),
IF(OR(G639="3/8",G639="2/8"),((база!$J$4*Таблица1[[#This Row],[сумма]]*Таблица1[[#This Row],[коэф]])))))))))))))),
(IF((G639="5/24"),((база!$M$6*Таблица1[[#This Row],[сумма]]*Таблица1[[#This Row],[коэф]])),
IF(OR(G639="4/24",G639="3/24"),((база!$M$5*Таблица1[[#This Row],[сумма]]*Таблица1[[#This Row],[коэф]])),
IF((G639="5/16"),((база!$L$6*Таблица1[[#This Row],[сумма]]*Таблица1[[#This Row],[коэф]])),
IF(OR(G639="4/16",G639="3/16"),((база!$L$5*Таблица1[[#This Row],[сумма]]*Таблица1[[#This Row],[коэф]])),
IF(OR(G639="2/4",G639="3/4",G639="4/4"),((база!$I$5*Таблица1[[#This Row],[сумма]]*Таблица1[[#This Row],[коэф]])),
IF((G639="5/8"),((база!$J$6*Таблица1[[#This Row],[сумма]]*Таблица1[[#This Row],[коэф]])),
IF(OR(G639="4/8",G639="3/8",G639="2/8"),((база!$J$5*Таблица1[[#This Row],[сумма]]*Таблица1[[#This Row],[коэф]])))))))))))</f>
        <v>0</v>
      </c>
      <c r="AP639" s="696" t="b">
        <f>IF(AR639&lt;=3,(IF((G639="5/24"),((база!$M$6*2*Таблица1[[#This Row],[Столбец1]]*Таблица1[[#This Row],[коэф]])),
IF((G639="4/24"),((база!$M$5*2*Таблица1[[#This Row],[Столбец1]]*Таблица1[[#This Row],[коэф]])),
IF((G639="3/24"),((база!$M$4*2*Таблица1[[#This Row],[Столбец1]]*Таблица1[[#This Row],[коэф]])),
IF((G639="5/16"),((база!$L$6*2*Таблица1[[#This Row],[Столбец1]]*Таблица1[[#This Row],[коэф]])),
IF((G639="4/16"),((база!$L$5*2*Таблица1[[#This Row],[Столбец1]]*Таблица1[[#This Row],[коэф]])),
IF((G639="3/16"),((база!$L$4*2*Таблица1[[#This Row],[Столбец1]]*Таблица1[[#This Row],[коэф]])),
IF((G639="4/4"),((база!$I$5*2*Таблица1[[#This Row],[Столбец1]]*Таблица1[[#This Row],[коэф]])),
IF(OR(G639="2/4",G639="3/4"),((база!$I$4*2*Таблица1[[#This Row],[Столбец1]]*Таблица1[[#This Row],[коэф]])),
IF((G639="5/8"),((база!$J$6*2*Таблица1[[#This Row],[Столбец1]]*Таблица1[[#This Row],[коэф]])),
IF((G639="4/8"),((база!$J$5*2*Таблица1[[#This Row],[Столбец1]]*Таблица1[[#This Row],[коэф]])),
IF(OR(G639="3/8",G639="2/8"),((база!$J$4*2*Таблица1[[#This Row],[Столбец1]]*Таблица1[[#This Row],[коэф]])))))))))))))),
(IF((G639="5/24"),((база!$M$6*2*Таблица1[[#This Row],[Столбец1]]*Таблица1[[#This Row],[коэф]])),
IF(OR(G639="4/24",G639="3/24"),((база!$M$5*2*Таблица1[[#This Row],[Столбец1]]*Таблица1[[#This Row],[коэф]])),
IF((G639="5/16"),((база!$L$6*2*Таблица1[[#This Row],[Столбец1]]*Таблица1[[#This Row],[коэф]])),
IF(OR(G639="4/16",G639="3/16"),((база!$L$5*2*Таблица1[[#This Row],[Столбец1]]*Таблица1[[#This Row],[коэф]])),
IF(OR(G639="2/4",G639="3/4",G639="4/4"),((база!$I$5*2*Таблица1[[#This Row],[Столбец1]]*Таблица1[[#This Row],[коэф]])),
IF((G639="5/8"),((база!$J$6*2*Таблица1[[#This Row],[Столбец1]]*Таблица1[[#This Row],[коэф]])),
IF(OR(G639="4/8",G639="3/8",G639="2/8"),((база!$J$5*2*Таблица1[[#This Row],[Столбец1]]*Таблица1[[#This Row],[коэф]])))))))))))</f>
        <v>0</v>
      </c>
      <c r="AQ639" s="678" t="str">
        <f>IFERROR(INDEX(база!T:T, MATCH(F639,база!Q:Q,0)),"")</f>
        <v/>
      </c>
      <c r="AR639" s="193">
        <f>IFERROR(INDEX(база!D:D, MATCH(F639,база!B:B,0)),"")</f>
        <v>0</v>
      </c>
    </row>
    <row r="640" spans="1:44" ht="15">
      <c r="A640" s="59"/>
      <c r="B640" s="215"/>
      <c r="C640" s="277"/>
      <c r="D640" s="55"/>
      <c r="E640" s="196"/>
      <c r="F640" s="651"/>
      <c r="G640" s="42"/>
      <c r="H640" s="539"/>
      <c r="I640" s="539"/>
      <c r="J640" s="539"/>
      <c r="K640" s="539"/>
      <c r="L640" s="539"/>
      <c r="M640" s="539"/>
      <c r="N640" s="539"/>
      <c r="O640" s="539"/>
      <c r="P640" s="278"/>
      <c r="Q640" s="539"/>
      <c r="R640" s="539"/>
      <c r="S640" s="539"/>
      <c r="T640" s="539"/>
      <c r="U640" s="539"/>
      <c r="V640" s="539"/>
      <c r="W640" s="539"/>
      <c r="X640" s="539"/>
      <c r="Y640" s="539"/>
      <c r="Z640" s="539"/>
      <c r="AA640" s="539"/>
      <c r="AB640" s="539"/>
      <c r="AC640" s="539"/>
      <c r="AD640" s="43"/>
      <c r="AE640" s="43"/>
      <c r="AF640" s="238"/>
      <c r="AG640" s="43"/>
      <c r="AH640" s="43"/>
      <c r="AI640" s="43"/>
      <c r="AJ640" s="43"/>
      <c r="AK640" s="43"/>
      <c r="AL640" s="45"/>
      <c r="AM640" s="197">
        <f>IF(AQ640=1,SUM(H640:I640,L640:O640,R640:U640,X640:AA640,AD640:AG640,AI640:AK640),
IF(AQ640=2,SUM(H640:K640,N640:Q640,T640:W640,Z640:AC640,AF640:AI640),
IF(AQ640=3,SUM(J640:M640,P640:S640,V640:Y640,AB640:AE640,AH640:AK640),SUM(Таблица1[[#This Row],[1]:[31]])-Таблица1[[#This Row],[Столбец1]])))</f>
        <v>0</v>
      </c>
      <c r="AN640" s="269">
        <f t="array" ref="AN640">IF(AQ640=1,SUM(J640:K640,P640:Q640,V640:W640,AB640:AC640,AH640:AI640),
IF(AQ640=2,SUM(L640:M640,R640:S640,X640:Y640,AD640:AE640),
IF(AQ640=3,SUM(H640:I640,N640:O640,T640:U640,Z640:AA640,AF640:AG640),
SUM(IFERROR(WEEKDAY($H$2:$AL$2,2)&gt;5,)*H640:AL640))))</f>
        <v>0</v>
      </c>
      <c r="AO640" s="271" t="b">
        <f>IF(AR640&lt;=3,(IF((G640="5/24"),((база!$M$6*Таблица1[[#This Row],[сумма]]*Таблица1[[#This Row],[коэф]])),
IF((G640="4/24"),((база!$M$5*Таблица1[[#This Row],[сумма]]*Таблица1[[#This Row],[коэф]])),
IF((G640="3/24"),((база!$M$4*Таблица1[[#This Row],[сумма]]*Таблица1[[#This Row],[коэф]])),
IF((G640="5/16"),((база!$L$6*Таблица1[[#This Row],[сумма]]*Таблица1[[#This Row],[коэф]])),
IF((G640="4/16"),((база!$L$5*Таблица1[[#This Row],[сумма]]*Таблица1[[#This Row],[коэф]])),
IF((G640="3/16"),((база!$L$4*Таблица1[[#This Row],[сумма]]*Таблица1[[#This Row],[коэф]])),
IF((G640="4/4"),((база!$I$5*Таблица1[[#This Row],[сумма]]*Таблица1[[#This Row],[коэф]])),
IF(OR(G640="2/4",G640="3/4"),((база!$I$4*Таблица1[[#This Row],[сумма]]*Таблица1[[#This Row],[коэф]])),
IF((G640="5/8"),((база!$J$6*Таблица1[[#This Row],[сумма]]*Таблица1[[#This Row],[коэф]])),
IF((G640="4/8"),((база!$J$5*Таблица1[[#This Row],[сумма]]*Таблица1[[#This Row],[коэф]])),
IF(OR(G640="3/8",G640="2/8"),((база!$J$4*Таблица1[[#This Row],[сумма]]*Таблица1[[#This Row],[коэф]])))))))))))))),
(IF((G640="5/24"),((база!$M$6*Таблица1[[#This Row],[сумма]]*Таблица1[[#This Row],[коэф]])),
IF(OR(G640="4/24",G640="3/24"),((база!$M$5*Таблица1[[#This Row],[сумма]]*Таблица1[[#This Row],[коэф]])),
IF((G640="5/16"),((база!$L$6*Таблица1[[#This Row],[сумма]]*Таблица1[[#This Row],[коэф]])),
IF(OR(G640="4/16",G640="3/16"),((база!$L$5*Таблица1[[#This Row],[сумма]]*Таблица1[[#This Row],[коэф]])),
IF(OR(G640="2/4",G640="3/4",G640="4/4"),((база!$I$5*Таблица1[[#This Row],[сумма]]*Таблица1[[#This Row],[коэф]])),
IF((G640="5/8"),((база!$J$6*Таблица1[[#This Row],[сумма]]*Таблица1[[#This Row],[коэф]])),
IF(OR(G640="4/8",G640="3/8",G640="2/8"),((база!$J$5*Таблица1[[#This Row],[сумма]]*Таблица1[[#This Row],[коэф]])))))))))))</f>
        <v>0</v>
      </c>
      <c r="AP640" s="696" t="b">
        <f>IF(AR640&lt;=3,(IF((G640="5/24"),((база!$M$6*2*Таблица1[[#This Row],[Столбец1]]*Таблица1[[#This Row],[коэф]])),
IF((G640="4/24"),((база!$M$5*2*Таблица1[[#This Row],[Столбец1]]*Таблица1[[#This Row],[коэф]])),
IF((G640="3/24"),((база!$M$4*2*Таблица1[[#This Row],[Столбец1]]*Таблица1[[#This Row],[коэф]])),
IF((G640="5/16"),((база!$L$6*2*Таблица1[[#This Row],[Столбец1]]*Таблица1[[#This Row],[коэф]])),
IF((G640="4/16"),((база!$L$5*2*Таблица1[[#This Row],[Столбец1]]*Таблица1[[#This Row],[коэф]])),
IF((G640="3/16"),((база!$L$4*2*Таблица1[[#This Row],[Столбец1]]*Таблица1[[#This Row],[коэф]])),
IF((G640="4/4"),((база!$I$5*2*Таблица1[[#This Row],[Столбец1]]*Таблица1[[#This Row],[коэф]])),
IF(OR(G640="2/4",G640="3/4"),((база!$I$4*2*Таблица1[[#This Row],[Столбец1]]*Таблица1[[#This Row],[коэф]])),
IF((G640="5/8"),((база!$J$6*2*Таблица1[[#This Row],[Столбец1]]*Таблица1[[#This Row],[коэф]])),
IF((G640="4/8"),((база!$J$5*2*Таблица1[[#This Row],[Столбец1]]*Таблица1[[#This Row],[коэф]])),
IF(OR(G640="3/8",G640="2/8"),((база!$J$4*2*Таблица1[[#This Row],[Столбец1]]*Таблица1[[#This Row],[коэф]])))))))))))))),
(IF((G640="5/24"),((база!$M$6*2*Таблица1[[#This Row],[Столбец1]]*Таблица1[[#This Row],[коэф]])),
IF(OR(G640="4/24",G640="3/24"),((база!$M$5*2*Таблица1[[#This Row],[Столбец1]]*Таблица1[[#This Row],[коэф]])),
IF((G640="5/16"),((база!$L$6*2*Таблица1[[#This Row],[Столбец1]]*Таблица1[[#This Row],[коэф]])),
IF(OR(G640="4/16",G640="3/16"),((база!$L$5*2*Таблица1[[#This Row],[Столбец1]]*Таблица1[[#This Row],[коэф]])),
IF(OR(G640="2/4",G640="3/4",G640="4/4"),((база!$I$5*2*Таблица1[[#This Row],[Столбец1]]*Таблица1[[#This Row],[коэф]])),
IF((G640="5/8"),((база!$J$6*2*Таблица1[[#This Row],[Столбец1]]*Таблица1[[#This Row],[коэф]])),
IF(OR(G640="4/8",G640="3/8",G640="2/8"),((база!$J$5*2*Таблица1[[#This Row],[Столбец1]]*Таблица1[[#This Row],[коэф]])))))))))))</f>
        <v>0</v>
      </c>
      <c r="AQ640" s="678" t="str">
        <f>IFERROR(INDEX(база!T:T, MATCH(F640,база!Q:Q,0)),"")</f>
        <v/>
      </c>
      <c r="AR640" s="193">
        <f>IFERROR(INDEX(база!D:D, MATCH(F640,база!B:B,0)),"")</f>
        <v>0</v>
      </c>
    </row>
    <row r="641" spans="1:44" ht="15">
      <c r="A641" s="59"/>
      <c r="B641" s="215"/>
      <c r="C641" s="277"/>
      <c r="D641" s="55"/>
      <c r="E641" s="196"/>
      <c r="F641" s="651"/>
      <c r="G641" s="42"/>
      <c r="H641" s="539"/>
      <c r="I641" s="539"/>
      <c r="J641" s="539"/>
      <c r="K641" s="539"/>
      <c r="L641" s="539"/>
      <c r="M641" s="539"/>
      <c r="N641" s="539"/>
      <c r="O641" s="539"/>
      <c r="P641" s="278"/>
      <c r="Q641" s="539"/>
      <c r="R641" s="539"/>
      <c r="S641" s="539"/>
      <c r="T641" s="539"/>
      <c r="U641" s="539"/>
      <c r="V641" s="539"/>
      <c r="W641" s="539"/>
      <c r="X641" s="539"/>
      <c r="Y641" s="539"/>
      <c r="Z641" s="539"/>
      <c r="AA641" s="539"/>
      <c r="AB641" s="539"/>
      <c r="AC641" s="539"/>
      <c r="AD641" s="43"/>
      <c r="AE641" s="43"/>
      <c r="AF641" s="238"/>
      <c r="AG641" s="43"/>
      <c r="AH641" s="43"/>
      <c r="AI641" s="238"/>
      <c r="AJ641" s="238"/>
      <c r="AK641" s="238"/>
      <c r="AL641" s="238"/>
      <c r="AM641" s="197">
        <f>IF(AQ641=1,SUM(H641:I641,L641:O641,R641:U641,X641:AA641,AD641:AG641,AI641:AK641),
IF(AQ641=2,SUM(H641:K641,N641:Q641,T641:W641,Z641:AC641,AF641:AI641),
IF(AQ641=3,SUM(J641:M641,P641:S641,V641:Y641,AB641:AE641,AH641:AK641),SUM(Таблица1[[#This Row],[1]:[31]])-Таблица1[[#This Row],[Столбец1]])))</f>
        <v>0</v>
      </c>
      <c r="AN641" s="269">
        <f t="array" ref="AN641">IF(AQ641=1,SUM(J641:K641,P641:Q641,V641:W641,AB641:AC641,AH641:AI641),
IF(AQ641=2,SUM(L641:M641,R641:S641,X641:Y641,AD641:AE641),
IF(AQ641=3,SUM(H641:I641,N641:O641,T641:U641,Z641:AA641,AF641:AG641),
SUM(IFERROR(WEEKDAY($H$2:$AL$2,2)&gt;5,)*H641:AL641))))</f>
        <v>0</v>
      </c>
      <c r="AO641" s="271" t="b">
        <f>IF(AR641&lt;=3,(IF((G641="5/24"),((база!$M$6*Таблица1[[#This Row],[сумма]]*Таблица1[[#This Row],[коэф]])),
IF((G641="4/24"),((база!$M$5*Таблица1[[#This Row],[сумма]]*Таблица1[[#This Row],[коэф]])),
IF((G641="3/24"),((база!$M$4*Таблица1[[#This Row],[сумма]]*Таблица1[[#This Row],[коэф]])),
IF((G641="5/16"),((база!$L$6*Таблица1[[#This Row],[сумма]]*Таблица1[[#This Row],[коэф]])),
IF((G641="4/16"),((база!$L$5*Таблица1[[#This Row],[сумма]]*Таблица1[[#This Row],[коэф]])),
IF((G641="3/16"),((база!$L$4*Таблица1[[#This Row],[сумма]]*Таблица1[[#This Row],[коэф]])),
IF((G641="4/4"),((база!$I$5*Таблица1[[#This Row],[сумма]]*Таблица1[[#This Row],[коэф]])),
IF(OR(G641="2/4",G641="3/4"),((база!$I$4*Таблица1[[#This Row],[сумма]]*Таблица1[[#This Row],[коэф]])),
IF((G641="5/8"),((база!$J$6*Таблица1[[#This Row],[сумма]]*Таблица1[[#This Row],[коэф]])),
IF((G641="4/8"),((база!$J$5*Таблица1[[#This Row],[сумма]]*Таблица1[[#This Row],[коэф]])),
IF(OR(G641="3/8",G641="2/8"),((база!$J$4*Таблица1[[#This Row],[сумма]]*Таблица1[[#This Row],[коэф]])))))))))))))),
(IF((G641="5/24"),((база!$M$6*Таблица1[[#This Row],[сумма]]*Таблица1[[#This Row],[коэф]])),
IF(OR(G641="4/24",G641="3/24"),((база!$M$5*Таблица1[[#This Row],[сумма]]*Таблица1[[#This Row],[коэф]])),
IF((G641="5/16"),((база!$L$6*Таблица1[[#This Row],[сумма]]*Таблица1[[#This Row],[коэф]])),
IF(OR(G641="4/16",G641="3/16"),((база!$L$5*Таблица1[[#This Row],[сумма]]*Таблица1[[#This Row],[коэф]])),
IF(OR(G641="2/4",G641="3/4",G641="4/4"),((база!$I$5*Таблица1[[#This Row],[сумма]]*Таблица1[[#This Row],[коэф]])),
IF((G641="5/8"),((база!$J$6*Таблица1[[#This Row],[сумма]]*Таблица1[[#This Row],[коэф]])),
IF(OR(G641="4/8",G641="3/8",G641="2/8"),((база!$J$5*Таблица1[[#This Row],[сумма]]*Таблица1[[#This Row],[коэф]])))))))))))</f>
        <v>0</v>
      </c>
      <c r="AP641" s="696" t="b">
        <f>IF(AR641&lt;=3,(IF((G641="5/24"),((база!$M$6*2*Таблица1[[#This Row],[Столбец1]]*Таблица1[[#This Row],[коэф]])),
IF((G641="4/24"),((база!$M$5*2*Таблица1[[#This Row],[Столбец1]]*Таблица1[[#This Row],[коэф]])),
IF((G641="3/24"),((база!$M$4*2*Таблица1[[#This Row],[Столбец1]]*Таблица1[[#This Row],[коэф]])),
IF((G641="5/16"),((база!$L$6*2*Таблица1[[#This Row],[Столбец1]]*Таблица1[[#This Row],[коэф]])),
IF((G641="4/16"),((база!$L$5*2*Таблица1[[#This Row],[Столбец1]]*Таблица1[[#This Row],[коэф]])),
IF((G641="3/16"),((база!$L$4*2*Таблица1[[#This Row],[Столбец1]]*Таблица1[[#This Row],[коэф]])),
IF((G641="4/4"),((база!$I$5*2*Таблица1[[#This Row],[Столбец1]]*Таблица1[[#This Row],[коэф]])),
IF(OR(G641="2/4",G641="3/4"),((база!$I$4*2*Таблица1[[#This Row],[Столбец1]]*Таблица1[[#This Row],[коэф]])),
IF((G641="5/8"),((база!$J$6*2*Таблица1[[#This Row],[Столбец1]]*Таблица1[[#This Row],[коэф]])),
IF((G641="4/8"),((база!$J$5*2*Таблица1[[#This Row],[Столбец1]]*Таблица1[[#This Row],[коэф]])),
IF(OR(G641="3/8",G641="2/8"),((база!$J$4*2*Таблица1[[#This Row],[Столбец1]]*Таблица1[[#This Row],[коэф]])))))))))))))),
(IF((G641="5/24"),((база!$M$6*2*Таблица1[[#This Row],[Столбец1]]*Таблица1[[#This Row],[коэф]])),
IF(OR(G641="4/24",G641="3/24"),((база!$M$5*2*Таблица1[[#This Row],[Столбец1]]*Таблица1[[#This Row],[коэф]])),
IF((G641="5/16"),((база!$L$6*2*Таблица1[[#This Row],[Столбец1]]*Таблица1[[#This Row],[коэф]])),
IF(OR(G641="4/16",G641="3/16"),((база!$L$5*2*Таблица1[[#This Row],[Столбец1]]*Таблица1[[#This Row],[коэф]])),
IF(OR(G641="2/4",G641="3/4",G641="4/4"),((база!$I$5*2*Таблица1[[#This Row],[Столбец1]]*Таблица1[[#This Row],[коэф]])),
IF((G641="5/8"),((база!$J$6*2*Таблица1[[#This Row],[Столбец1]]*Таблица1[[#This Row],[коэф]])),
IF(OR(G641="4/8",G641="3/8",G641="2/8"),((база!$J$5*2*Таблица1[[#This Row],[Столбец1]]*Таблица1[[#This Row],[коэф]])))))))))))</f>
        <v>0</v>
      </c>
      <c r="AQ641" s="678" t="str">
        <f>IFERROR(INDEX(база!T:T, MATCH(F641,база!Q:Q,0)),"")</f>
        <v/>
      </c>
      <c r="AR641" s="193">
        <f>IFERROR(INDEX(база!D:D, MATCH(F641,база!B:B,0)),"")</f>
        <v>0</v>
      </c>
    </row>
    <row r="642" spans="1:44" ht="15">
      <c r="A642" s="59"/>
      <c r="B642" s="215"/>
      <c r="C642" s="277"/>
      <c r="D642" s="55"/>
      <c r="E642" s="196"/>
      <c r="F642" s="651"/>
      <c r="G642" s="42"/>
      <c r="H642" s="539"/>
      <c r="I642" s="539"/>
      <c r="J642" s="539"/>
      <c r="K642" s="539"/>
      <c r="L642" s="539"/>
      <c r="M642" s="539"/>
      <c r="N642" s="539"/>
      <c r="O642" s="539"/>
      <c r="P642" s="278"/>
      <c r="Q642" s="539"/>
      <c r="R642" s="539"/>
      <c r="S642" s="539"/>
      <c r="T642" s="539"/>
      <c r="U642" s="539"/>
      <c r="V642" s="539"/>
      <c r="W642" s="539"/>
      <c r="X642" s="539"/>
      <c r="Y642" s="539"/>
      <c r="Z642" s="539"/>
      <c r="AA642" s="539"/>
      <c r="AB642" s="539"/>
      <c r="AC642" s="539"/>
      <c r="AD642" s="43"/>
      <c r="AE642" s="43"/>
      <c r="AF642" s="238"/>
      <c r="AG642" s="43"/>
      <c r="AH642" s="43"/>
      <c r="AI642" s="43"/>
      <c r="AJ642" s="43"/>
      <c r="AK642" s="43"/>
      <c r="AL642" s="45"/>
      <c r="AM642" s="197">
        <f>IF(AQ642=1,SUM(H642:I642,L642:O642,R642:U642,X642:AA642,AD642:AG642,AI642:AK642),
IF(AQ642=2,SUM(H642:K642,N642:Q642,T642:W642,Z642:AC642,AF642:AI642),
IF(AQ642=3,SUM(J642:M642,P642:S642,V642:Y642,AB642:AE642,AH642:AK642),SUM(Таблица1[[#This Row],[1]:[31]])-Таблица1[[#This Row],[Столбец1]])))</f>
        <v>0</v>
      </c>
      <c r="AN642" s="269">
        <f t="array" ref="AN642">IF(AQ642=1,SUM(J642:K642,P642:Q642,V642:W642,AB642:AC642,AH642:AI642),
IF(AQ642=2,SUM(L642:M642,R642:S642,X642:Y642,AD642:AE642),
IF(AQ642=3,SUM(H642:I642,N642:O642,T642:U642,Z642:AA642,AF642:AG642),
SUM(IFERROR(WEEKDAY($H$2:$AL$2,2)&gt;5,)*H642:AL642))))</f>
        <v>0</v>
      </c>
      <c r="AO642" s="271" t="b">
        <f>IF(AR642&lt;=3,(IF((G642="5/24"),((база!$M$6*Таблица1[[#This Row],[сумма]]*Таблица1[[#This Row],[коэф]])),
IF((G642="4/24"),((база!$M$5*Таблица1[[#This Row],[сумма]]*Таблица1[[#This Row],[коэф]])),
IF((G642="3/24"),((база!$M$4*Таблица1[[#This Row],[сумма]]*Таблица1[[#This Row],[коэф]])),
IF((G642="5/16"),((база!$L$6*Таблица1[[#This Row],[сумма]]*Таблица1[[#This Row],[коэф]])),
IF((G642="4/16"),((база!$L$5*Таблица1[[#This Row],[сумма]]*Таблица1[[#This Row],[коэф]])),
IF((G642="3/16"),((база!$L$4*Таблица1[[#This Row],[сумма]]*Таблица1[[#This Row],[коэф]])),
IF((G642="4/4"),((база!$I$5*Таблица1[[#This Row],[сумма]]*Таблица1[[#This Row],[коэф]])),
IF(OR(G642="2/4",G642="3/4"),((база!$I$4*Таблица1[[#This Row],[сумма]]*Таблица1[[#This Row],[коэф]])),
IF((G642="5/8"),((база!$J$6*Таблица1[[#This Row],[сумма]]*Таблица1[[#This Row],[коэф]])),
IF((G642="4/8"),((база!$J$5*Таблица1[[#This Row],[сумма]]*Таблица1[[#This Row],[коэф]])),
IF(OR(G642="3/8",G642="2/8"),((база!$J$4*Таблица1[[#This Row],[сумма]]*Таблица1[[#This Row],[коэф]])))))))))))))),
(IF((G642="5/24"),((база!$M$6*Таблица1[[#This Row],[сумма]]*Таблица1[[#This Row],[коэф]])),
IF(OR(G642="4/24",G642="3/24"),((база!$M$5*Таблица1[[#This Row],[сумма]]*Таблица1[[#This Row],[коэф]])),
IF((G642="5/16"),((база!$L$6*Таблица1[[#This Row],[сумма]]*Таблица1[[#This Row],[коэф]])),
IF(OR(G642="4/16",G642="3/16"),((база!$L$5*Таблица1[[#This Row],[сумма]]*Таблица1[[#This Row],[коэф]])),
IF(OR(G642="2/4",G642="3/4",G642="4/4"),((база!$I$5*Таблица1[[#This Row],[сумма]]*Таблица1[[#This Row],[коэф]])),
IF((G642="5/8"),((база!$J$6*Таблица1[[#This Row],[сумма]]*Таблица1[[#This Row],[коэф]])),
IF(OR(G642="4/8",G642="3/8",G642="2/8"),((база!$J$5*Таблица1[[#This Row],[сумма]]*Таблица1[[#This Row],[коэф]])))))))))))</f>
        <v>0</v>
      </c>
      <c r="AP642" s="696" t="b">
        <f>IF(AR642&lt;=3,(IF((G642="5/24"),((база!$M$6*2*Таблица1[[#This Row],[Столбец1]]*Таблица1[[#This Row],[коэф]])),
IF((G642="4/24"),((база!$M$5*2*Таблица1[[#This Row],[Столбец1]]*Таблица1[[#This Row],[коэф]])),
IF((G642="3/24"),((база!$M$4*2*Таблица1[[#This Row],[Столбец1]]*Таблица1[[#This Row],[коэф]])),
IF((G642="5/16"),((база!$L$6*2*Таблица1[[#This Row],[Столбец1]]*Таблица1[[#This Row],[коэф]])),
IF((G642="4/16"),((база!$L$5*2*Таблица1[[#This Row],[Столбец1]]*Таблица1[[#This Row],[коэф]])),
IF((G642="3/16"),((база!$L$4*2*Таблица1[[#This Row],[Столбец1]]*Таблица1[[#This Row],[коэф]])),
IF((G642="4/4"),((база!$I$5*2*Таблица1[[#This Row],[Столбец1]]*Таблица1[[#This Row],[коэф]])),
IF(OR(G642="2/4",G642="3/4"),((база!$I$4*2*Таблица1[[#This Row],[Столбец1]]*Таблица1[[#This Row],[коэф]])),
IF((G642="5/8"),((база!$J$6*2*Таблица1[[#This Row],[Столбец1]]*Таблица1[[#This Row],[коэф]])),
IF((G642="4/8"),((база!$J$5*2*Таблица1[[#This Row],[Столбец1]]*Таблица1[[#This Row],[коэф]])),
IF(OR(G642="3/8",G642="2/8"),((база!$J$4*2*Таблица1[[#This Row],[Столбец1]]*Таблица1[[#This Row],[коэф]])))))))))))))),
(IF((G642="5/24"),((база!$M$6*2*Таблица1[[#This Row],[Столбец1]]*Таблица1[[#This Row],[коэф]])),
IF(OR(G642="4/24",G642="3/24"),((база!$M$5*2*Таблица1[[#This Row],[Столбец1]]*Таблица1[[#This Row],[коэф]])),
IF((G642="5/16"),((база!$L$6*2*Таблица1[[#This Row],[Столбец1]]*Таблица1[[#This Row],[коэф]])),
IF(OR(G642="4/16",G642="3/16"),((база!$L$5*2*Таблица1[[#This Row],[Столбец1]]*Таблица1[[#This Row],[коэф]])),
IF(OR(G642="2/4",G642="3/4",G642="4/4"),((база!$I$5*2*Таблица1[[#This Row],[Столбец1]]*Таблица1[[#This Row],[коэф]])),
IF((G642="5/8"),((база!$J$6*2*Таблица1[[#This Row],[Столбец1]]*Таблица1[[#This Row],[коэф]])),
IF(OR(G642="4/8",G642="3/8",G642="2/8"),((база!$J$5*2*Таблица1[[#This Row],[Столбец1]]*Таблица1[[#This Row],[коэф]])))))))))))</f>
        <v>0</v>
      </c>
      <c r="AQ642" s="678" t="str">
        <f>IFERROR(INDEX(база!T:T, MATCH(F642,база!Q:Q,0)),"")</f>
        <v/>
      </c>
      <c r="AR642" s="193">
        <f>IFERROR(INDEX(база!D:D, MATCH(F642,база!B:B,0)),"")</f>
        <v>0</v>
      </c>
    </row>
    <row r="643" spans="1:44" ht="15">
      <c r="A643" s="59"/>
      <c r="B643" s="215"/>
      <c r="C643" s="277"/>
      <c r="D643" s="55"/>
      <c r="E643" s="196"/>
      <c r="F643" s="651"/>
      <c r="G643" s="42"/>
      <c r="H643" s="539"/>
      <c r="I643" s="539"/>
      <c r="J643" s="539"/>
      <c r="K643" s="539"/>
      <c r="L643" s="539"/>
      <c r="M643" s="539"/>
      <c r="N643" s="539"/>
      <c r="O643" s="539"/>
      <c r="P643" s="278"/>
      <c r="Q643" s="539"/>
      <c r="R643" s="539"/>
      <c r="S643" s="539"/>
      <c r="T643" s="539"/>
      <c r="U643" s="539"/>
      <c r="V643" s="539"/>
      <c r="W643" s="539"/>
      <c r="X643" s="539"/>
      <c r="Y643" s="539"/>
      <c r="Z643" s="539"/>
      <c r="AA643" s="539"/>
      <c r="AB643" s="539"/>
      <c r="AC643" s="539"/>
      <c r="AD643" s="43"/>
      <c r="AE643" s="43"/>
      <c r="AF643" s="238"/>
      <c r="AG643" s="43"/>
      <c r="AH643" s="43"/>
      <c r="AI643" s="238"/>
      <c r="AJ643" s="238"/>
      <c r="AK643" s="238"/>
      <c r="AL643" s="238"/>
      <c r="AM643" s="197">
        <f>IF(AQ643=1,SUM(H643:I643,L643:O643,R643:U643,X643:AA643,AD643:AG643,AI643:AK643),
IF(AQ643=2,SUM(H643:K643,N643:Q643,T643:W643,Z643:AC643,AF643:AI643),
IF(AQ643=3,SUM(J643:M643,P643:S643,V643:Y643,AB643:AE643,AH643:AK643),SUM(Таблица1[[#This Row],[1]:[31]])-Таблица1[[#This Row],[Столбец1]])))</f>
        <v>0</v>
      </c>
      <c r="AN643" s="269">
        <f t="array" ref="AN643">IF(AQ643=1,SUM(J643:K643,P643:Q643,V643:W643,AB643:AC643,AH643:AI643),
IF(AQ643=2,SUM(L643:M643,R643:S643,X643:Y643,AD643:AE643),
IF(AQ643=3,SUM(H643:I643,N643:O643,T643:U643,Z643:AA643,AF643:AG643),
SUM(IFERROR(WEEKDAY($H$2:$AL$2,2)&gt;5,)*H643:AL643))))</f>
        <v>0</v>
      </c>
      <c r="AO643" s="271" t="b">
        <f>IF(AR643&lt;=3,(IF((G643="5/24"),((база!$M$6*Таблица1[[#This Row],[сумма]]*Таблица1[[#This Row],[коэф]])),
IF((G643="4/24"),((база!$M$5*Таблица1[[#This Row],[сумма]]*Таблица1[[#This Row],[коэф]])),
IF((G643="3/24"),((база!$M$4*Таблица1[[#This Row],[сумма]]*Таблица1[[#This Row],[коэф]])),
IF((G643="5/16"),((база!$L$6*Таблица1[[#This Row],[сумма]]*Таблица1[[#This Row],[коэф]])),
IF((G643="4/16"),((база!$L$5*Таблица1[[#This Row],[сумма]]*Таблица1[[#This Row],[коэф]])),
IF((G643="3/16"),((база!$L$4*Таблица1[[#This Row],[сумма]]*Таблица1[[#This Row],[коэф]])),
IF((G643="4/4"),((база!$I$5*Таблица1[[#This Row],[сумма]]*Таблица1[[#This Row],[коэф]])),
IF(OR(G643="2/4",G643="3/4"),((база!$I$4*Таблица1[[#This Row],[сумма]]*Таблица1[[#This Row],[коэф]])),
IF((G643="5/8"),((база!$J$6*Таблица1[[#This Row],[сумма]]*Таблица1[[#This Row],[коэф]])),
IF((G643="4/8"),((база!$J$5*Таблица1[[#This Row],[сумма]]*Таблица1[[#This Row],[коэф]])),
IF(OR(G643="3/8",G643="2/8"),((база!$J$4*Таблица1[[#This Row],[сумма]]*Таблица1[[#This Row],[коэф]])))))))))))))),
(IF((G643="5/24"),((база!$M$6*Таблица1[[#This Row],[сумма]]*Таблица1[[#This Row],[коэф]])),
IF(OR(G643="4/24",G643="3/24"),((база!$M$5*Таблица1[[#This Row],[сумма]]*Таблица1[[#This Row],[коэф]])),
IF((G643="5/16"),((база!$L$6*Таблица1[[#This Row],[сумма]]*Таблица1[[#This Row],[коэф]])),
IF(OR(G643="4/16",G643="3/16"),((база!$L$5*Таблица1[[#This Row],[сумма]]*Таблица1[[#This Row],[коэф]])),
IF(OR(G643="2/4",G643="3/4",G643="4/4"),((база!$I$5*Таблица1[[#This Row],[сумма]]*Таблица1[[#This Row],[коэф]])),
IF((G643="5/8"),((база!$J$6*Таблица1[[#This Row],[сумма]]*Таблица1[[#This Row],[коэф]])),
IF(OR(G643="4/8",G643="3/8",G643="2/8"),((база!$J$5*Таблица1[[#This Row],[сумма]]*Таблица1[[#This Row],[коэф]])))))))))))</f>
        <v>0</v>
      </c>
      <c r="AP643" s="696" t="b">
        <f>IF(AR643&lt;=3,(IF((G643="5/24"),((база!$M$6*2*Таблица1[[#This Row],[Столбец1]]*Таблица1[[#This Row],[коэф]])),
IF((G643="4/24"),((база!$M$5*2*Таблица1[[#This Row],[Столбец1]]*Таблица1[[#This Row],[коэф]])),
IF((G643="3/24"),((база!$M$4*2*Таблица1[[#This Row],[Столбец1]]*Таблица1[[#This Row],[коэф]])),
IF((G643="5/16"),((база!$L$6*2*Таблица1[[#This Row],[Столбец1]]*Таблица1[[#This Row],[коэф]])),
IF((G643="4/16"),((база!$L$5*2*Таблица1[[#This Row],[Столбец1]]*Таблица1[[#This Row],[коэф]])),
IF((G643="3/16"),((база!$L$4*2*Таблица1[[#This Row],[Столбец1]]*Таблица1[[#This Row],[коэф]])),
IF((G643="4/4"),((база!$I$5*2*Таблица1[[#This Row],[Столбец1]]*Таблица1[[#This Row],[коэф]])),
IF(OR(G643="2/4",G643="3/4"),((база!$I$4*2*Таблица1[[#This Row],[Столбец1]]*Таблица1[[#This Row],[коэф]])),
IF((G643="5/8"),((база!$J$6*2*Таблица1[[#This Row],[Столбец1]]*Таблица1[[#This Row],[коэф]])),
IF((G643="4/8"),((база!$J$5*2*Таблица1[[#This Row],[Столбец1]]*Таблица1[[#This Row],[коэф]])),
IF(OR(G643="3/8",G643="2/8"),((база!$J$4*2*Таблица1[[#This Row],[Столбец1]]*Таблица1[[#This Row],[коэф]])))))))))))))),
(IF((G643="5/24"),((база!$M$6*2*Таблица1[[#This Row],[Столбец1]]*Таблица1[[#This Row],[коэф]])),
IF(OR(G643="4/24",G643="3/24"),((база!$M$5*2*Таблица1[[#This Row],[Столбец1]]*Таблица1[[#This Row],[коэф]])),
IF((G643="5/16"),((база!$L$6*2*Таблица1[[#This Row],[Столбец1]]*Таблица1[[#This Row],[коэф]])),
IF(OR(G643="4/16",G643="3/16"),((база!$L$5*2*Таблица1[[#This Row],[Столбец1]]*Таблица1[[#This Row],[коэф]])),
IF(OR(G643="2/4",G643="3/4",G643="4/4"),((база!$I$5*2*Таблица1[[#This Row],[Столбец1]]*Таблица1[[#This Row],[коэф]])),
IF((G643="5/8"),((база!$J$6*2*Таблица1[[#This Row],[Столбец1]]*Таблица1[[#This Row],[коэф]])),
IF(OR(G643="4/8",G643="3/8",G643="2/8"),((база!$J$5*2*Таблица1[[#This Row],[Столбец1]]*Таблица1[[#This Row],[коэф]])))))))))))</f>
        <v>0</v>
      </c>
      <c r="AQ643" s="678" t="str">
        <f>IFERROR(INDEX(база!T:T, MATCH(F643,база!Q:Q,0)),"")</f>
        <v/>
      </c>
      <c r="AR643" s="193">
        <f>IFERROR(INDEX(база!D:D, MATCH(F643,база!B:B,0)),"")</f>
        <v>0</v>
      </c>
    </row>
    <row r="644" spans="1:44" ht="15">
      <c r="A644" s="59"/>
      <c r="B644" s="215"/>
      <c r="C644" s="54"/>
      <c r="D644" s="55"/>
      <c r="E644" s="196"/>
      <c r="F644" s="651"/>
      <c r="G644" s="42"/>
      <c r="H644" s="539"/>
      <c r="I644" s="539"/>
      <c r="J644" s="539"/>
      <c r="K644" s="539"/>
      <c r="L644" s="539"/>
      <c r="M644" s="539"/>
      <c r="N644" s="539"/>
      <c r="O644" s="539"/>
      <c r="P644" s="278"/>
      <c r="Q644" s="539"/>
      <c r="R644" s="539"/>
      <c r="S644" s="539"/>
      <c r="T644" s="539"/>
      <c r="U644" s="539"/>
      <c r="V644" s="539"/>
      <c r="W644" s="539"/>
      <c r="X644" s="539"/>
      <c r="Y644" s="539"/>
      <c r="Z644" s="539"/>
      <c r="AA644" s="539"/>
      <c r="AB644" s="539"/>
      <c r="AC644" s="539"/>
      <c r="AD644" s="43"/>
      <c r="AE644" s="43"/>
      <c r="AF644" s="238"/>
      <c r="AG644" s="43"/>
      <c r="AH644" s="43"/>
      <c r="AI644" s="43"/>
      <c r="AJ644" s="43"/>
      <c r="AK644" s="43"/>
      <c r="AL644" s="45"/>
      <c r="AM644" s="197">
        <f>IF(AQ644=1,SUM(H644:I644,L644:O644,R644:U644,X644:AA644,AD644:AG644,AI644:AK644),
IF(AQ644=2,SUM(H644:K644,N644:Q644,T644:W644,Z644:AC644,AF644:AI644),
IF(AQ644=3,SUM(J644:M644,P644:S644,V644:Y644,AB644:AE644,AH644:AK644),SUM(Таблица1[[#This Row],[1]:[31]])-Таблица1[[#This Row],[Столбец1]])))</f>
        <v>0</v>
      </c>
      <c r="AN644" s="269">
        <f t="array" ref="AN644">IF(AQ644=1,SUM(J644:K644,P644:Q644,V644:W644,AB644:AC644,AH644:AI644),
IF(AQ644=2,SUM(L644:M644,R644:S644,X644:Y644,AD644:AE644),
IF(AQ644=3,SUM(H644:I644,N644:O644,T644:U644,Z644:AA644,AF644:AG644),
SUM(IFERROR(WEEKDAY($H$2:$AL$2,2)&gt;5,)*H644:AL644))))</f>
        <v>0</v>
      </c>
      <c r="AO644" s="271" t="b">
        <f>IF(AR644&lt;=3,(IF((G644="5/24"),((база!$M$6*Таблица1[[#This Row],[сумма]]*Таблица1[[#This Row],[коэф]])),
IF((G644="4/24"),((база!$M$5*Таблица1[[#This Row],[сумма]]*Таблица1[[#This Row],[коэф]])),
IF((G644="3/24"),((база!$M$4*Таблица1[[#This Row],[сумма]]*Таблица1[[#This Row],[коэф]])),
IF((G644="5/16"),((база!$L$6*Таблица1[[#This Row],[сумма]]*Таблица1[[#This Row],[коэф]])),
IF((G644="4/16"),((база!$L$5*Таблица1[[#This Row],[сумма]]*Таблица1[[#This Row],[коэф]])),
IF((G644="3/16"),((база!$L$4*Таблица1[[#This Row],[сумма]]*Таблица1[[#This Row],[коэф]])),
IF((G644="4/4"),((база!$I$5*Таблица1[[#This Row],[сумма]]*Таблица1[[#This Row],[коэф]])),
IF(OR(G644="2/4",G644="3/4"),((база!$I$4*Таблица1[[#This Row],[сумма]]*Таблица1[[#This Row],[коэф]])),
IF((G644="5/8"),((база!$J$6*Таблица1[[#This Row],[сумма]]*Таблица1[[#This Row],[коэф]])),
IF((G644="4/8"),((база!$J$5*Таблица1[[#This Row],[сумма]]*Таблица1[[#This Row],[коэф]])),
IF(OR(G644="3/8",G644="2/8"),((база!$J$4*Таблица1[[#This Row],[сумма]]*Таблица1[[#This Row],[коэф]])))))))))))))),
(IF((G644="5/24"),((база!$M$6*Таблица1[[#This Row],[сумма]]*Таблица1[[#This Row],[коэф]])),
IF(OR(G644="4/24",G644="3/24"),((база!$M$5*Таблица1[[#This Row],[сумма]]*Таблица1[[#This Row],[коэф]])),
IF((G644="5/16"),((база!$L$6*Таблица1[[#This Row],[сумма]]*Таблица1[[#This Row],[коэф]])),
IF(OR(G644="4/16",G644="3/16"),((база!$L$5*Таблица1[[#This Row],[сумма]]*Таблица1[[#This Row],[коэф]])),
IF(OR(G644="2/4",G644="3/4",G644="4/4"),((база!$I$5*Таблица1[[#This Row],[сумма]]*Таблица1[[#This Row],[коэф]])),
IF((G644="5/8"),((база!$J$6*Таблица1[[#This Row],[сумма]]*Таблица1[[#This Row],[коэф]])),
IF(OR(G644="4/8",G644="3/8",G644="2/8"),((база!$J$5*Таблица1[[#This Row],[сумма]]*Таблица1[[#This Row],[коэф]])))))))))))</f>
        <v>0</v>
      </c>
      <c r="AP644" s="696" t="b">
        <f>IF(AR644&lt;=3,(IF((G644="5/24"),((база!$M$6*2*Таблица1[[#This Row],[Столбец1]]*Таблица1[[#This Row],[коэф]])),
IF((G644="4/24"),((база!$M$5*2*Таблица1[[#This Row],[Столбец1]]*Таблица1[[#This Row],[коэф]])),
IF((G644="3/24"),((база!$M$4*2*Таблица1[[#This Row],[Столбец1]]*Таблица1[[#This Row],[коэф]])),
IF((G644="5/16"),((база!$L$6*2*Таблица1[[#This Row],[Столбец1]]*Таблица1[[#This Row],[коэф]])),
IF((G644="4/16"),((база!$L$5*2*Таблица1[[#This Row],[Столбец1]]*Таблица1[[#This Row],[коэф]])),
IF((G644="3/16"),((база!$L$4*2*Таблица1[[#This Row],[Столбец1]]*Таблица1[[#This Row],[коэф]])),
IF((G644="4/4"),((база!$I$5*2*Таблица1[[#This Row],[Столбец1]]*Таблица1[[#This Row],[коэф]])),
IF(OR(G644="2/4",G644="3/4"),((база!$I$4*2*Таблица1[[#This Row],[Столбец1]]*Таблица1[[#This Row],[коэф]])),
IF((G644="5/8"),((база!$J$6*2*Таблица1[[#This Row],[Столбец1]]*Таблица1[[#This Row],[коэф]])),
IF((G644="4/8"),((база!$J$5*2*Таблица1[[#This Row],[Столбец1]]*Таблица1[[#This Row],[коэф]])),
IF(OR(G644="3/8",G644="2/8"),((база!$J$4*2*Таблица1[[#This Row],[Столбец1]]*Таблица1[[#This Row],[коэф]])))))))))))))),
(IF((G644="5/24"),((база!$M$6*2*Таблица1[[#This Row],[Столбец1]]*Таблица1[[#This Row],[коэф]])),
IF(OR(G644="4/24",G644="3/24"),((база!$M$5*2*Таблица1[[#This Row],[Столбец1]]*Таблица1[[#This Row],[коэф]])),
IF((G644="5/16"),((база!$L$6*2*Таблица1[[#This Row],[Столбец1]]*Таблица1[[#This Row],[коэф]])),
IF(OR(G644="4/16",G644="3/16"),((база!$L$5*2*Таблица1[[#This Row],[Столбец1]]*Таблица1[[#This Row],[коэф]])),
IF(OR(G644="2/4",G644="3/4",G644="4/4"),((база!$I$5*2*Таблица1[[#This Row],[Столбец1]]*Таблица1[[#This Row],[коэф]])),
IF((G644="5/8"),((база!$J$6*2*Таблица1[[#This Row],[Столбец1]]*Таблица1[[#This Row],[коэф]])),
IF(OR(G644="4/8",G644="3/8",G644="2/8"),((база!$J$5*2*Таблица1[[#This Row],[Столбец1]]*Таблица1[[#This Row],[коэф]])))))))))))</f>
        <v>0</v>
      </c>
      <c r="AQ644" s="678" t="str">
        <f>IFERROR(INDEX(база!T:T, MATCH(F644,база!Q:Q,0)),"")</f>
        <v/>
      </c>
      <c r="AR644" s="193">
        <f>IFERROR(INDEX(база!D:D, MATCH(F644,база!B:B,0)),"")</f>
        <v>0</v>
      </c>
    </row>
    <row r="645" spans="1:44" ht="15">
      <c r="A645" s="59"/>
      <c r="B645" s="215"/>
      <c r="C645" s="277"/>
      <c r="D645" s="55"/>
      <c r="E645" s="196"/>
      <c r="F645" s="651"/>
      <c r="G645" s="42"/>
      <c r="H645" s="539"/>
      <c r="I645" s="539"/>
      <c r="J645" s="539"/>
      <c r="K645" s="539"/>
      <c r="L645" s="539"/>
      <c r="M645" s="539"/>
      <c r="N645" s="539"/>
      <c r="O645" s="539"/>
      <c r="P645" s="278"/>
      <c r="Q645" s="539"/>
      <c r="R645" s="539"/>
      <c r="S645" s="539"/>
      <c r="T645" s="539"/>
      <c r="U645" s="539"/>
      <c r="V645" s="539"/>
      <c r="W645" s="539"/>
      <c r="X645" s="539"/>
      <c r="Y645" s="539"/>
      <c r="Z645" s="539"/>
      <c r="AA645" s="539"/>
      <c r="AB645" s="539"/>
      <c r="AC645" s="539"/>
      <c r="AD645" s="43"/>
      <c r="AE645" s="43"/>
      <c r="AF645" s="238"/>
      <c r="AG645" s="43"/>
      <c r="AH645" s="43"/>
      <c r="AI645" s="238"/>
      <c r="AJ645" s="238"/>
      <c r="AK645" s="238"/>
      <c r="AL645" s="238"/>
      <c r="AM645" s="197">
        <f>IF(AQ645=1,SUM(H645:I645,L645:O645,R645:U645,X645:AA645,AD645:AG645,AI645:AK645),
IF(AQ645=2,SUM(H645:K645,N645:Q645,T645:W645,Z645:AC645,AF645:AI645),
IF(AQ645=3,SUM(J645:M645,P645:S645,V645:Y645,AB645:AE645,AH645:AK645),SUM(Таблица1[[#This Row],[1]:[31]])-Таблица1[[#This Row],[Столбец1]])))</f>
        <v>0</v>
      </c>
      <c r="AN645" s="269">
        <f t="array" ref="AN645">IF(AQ645=1,SUM(J645:K645,P645:Q645,V645:W645,AB645:AC645,AH645:AI645),
IF(AQ645=2,SUM(L645:M645,R645:S645,X645:Y645,AD645:AE645),
IF(AQ645=3,SUM(H645:I645,N645:O645,T645:U645,Z645:AA645,AF645:AG645),
SUM(IFERROR(WEEKDAY($H$2:$AL$2,2)&gt;5,)*H645:AL645))))</f>
        <v>0</v>
      </c>
      <c r="AO645" s="271" t="b">
        <f>IF(AR645&lt;=3,(IF((G645="5/24"),((база!$M$6*Таблица1[[#This Row],[сумма]]*Таблица1[[#This Row],[коэф]])),
IF((G645="4/24"),((база!$M$5*Таблица1[[#This Row],[сумма]]*Таблица1[[#This Row],[коэф]])),
IF((G645="3/24"),((база!$M$4*Таблица1[[#This Row],[сумма]]*Таблица1[[#This Row],[коэф]])),
IF((G645="5/16"),((база!$L$6*Таблица1[[#This Row],[сумма]]*Таблица1[[#This Row],[коэф]])),
IF((G645="4/16"),((база!$L$5*Таблица1[[#This Row],[сумма]]*Таблица1[[#This Row],[коэф]])),
IF((G645="3/16"),((база!$L$4*Таблица1[[#This Row],[сумма]]*Таблица1[[#This Row],[коэф]])),
IF((G645="4/4"),((база!$I$5*Таблица1[[#This Row],[сумма]]*Таблица1[[#This Row],[коэф]])),
IF(OR(G645="2/4",G645="3/4"),((база!$I$4*Таблица1[[#This Row],[сумма]]*Таблица1[[#This Row],[коэф]])),
IF((G645="5/8"),((база!$J$6*Таблица1[[#This Row],[сумма]]*Таблица1[[#This Row],[коэф]])),
IF((G645="4/8"),((база!$J$5*Таблица1[[#This Row],[сумма]]*Таблица1[[#This Row],[коэф]])),
IF(OR(G645="3/8",G645="2/8"),((база!$J$4*Таблица1[[#This Row],[сумма]]*Таблица1[[#This Row],[коэф]])))))))))))))),
(IF((G645="5/24"),((база!$M$6*Таблица1[[#This Row],[сумма]]*Таблица1[[#This Row],[коэф]])),
IF(OR(G645="4/24",G645="3/24"),((база!$M$5*Таблица1[[#This Row],[сумма]]*Таблица1[[#This Row],[коэф]])),
IF((G645="5/16"),((база!$L$6*Таблица1[[#This Row],[сумма]]*Таблица1[[#This Row],[коэф]])),
IF(OR(G645="4/16",G645="3/16"),((база!$L$5*Таблица1[[#This Row],[сумма]]*Таблица1[[#This Row],[коэф]])),
IF(OR(G645="2/4",G645="3/4",G645="4/4"),((база!$I$5*Таблица1[[#This Row],[сумма]]*Таблица1[[#This Row],[коэф]])),
IF((G645="5/8"),((база!$J$6*Таблица1[[#This Row],[сумма]]*Таблица1[[#This Row],[коэф]])),
IF(OR(G645="4/8",G645="3/8",G645="2/8"),((база!$J$5*Таблица1[[#This Row],[сумма]]*Таблица1[[#This Row],[коэф]])))))))))))</f>
        <v>0</v>
      </c>
      <c r="AP645" s="696" t="b">
        <f>IF(AR645&lt;=3,(IF((G645="5/24"),((база!$M$6*2*Таблица1[[#This Row],[Столбец1]]*Таблица1[[#This Row],[коэф]])),
IF((G645="4/24"),((база!$M$5*2*Таблица1[[#This Row],[Столбец1]]*Таблица1[[#This Row],[коэф]])),
IF((G645="3/24"),((база!$M$4*2*Таблица1[[#This Row],[Столбец1]]*Таблица1[[#This Row],[коэф]])),
IF((G645="5/16"),((база!$L$6*2*Таблица1[[#This Row],[Столбец1]]*Таблица1[[#This Row],[коэф]])),
IF((G645="4/16"),((база!$L$5*2*Таблица1[[#This Row],[Столбец1]]*Таблица1[[#This Row],[коэф]])),
IF((G645="3/16"),((база!$L$4*2*Таблица1[[#This Row],[Столбец1]]*Таблица1[[#This Row],[коэф]])),
IF((G645="4/4"),((база!$I$5*2*Таблица1[[#This Row],[Столбец1]]*Таблица1[[#This Row],[коэф]])),
IF(OR(G645="2/4",G645="3/4"),((база!$I$4*2*Таблица1[[#This Row],[Столбец1]]*Таблица1[[#This Row],[коэф]])),
IF((G645="5/8"),((база!$J$6*2*Таблица1[[#This Row],[Столбец1]]*Таблица1[[#This Row],[коэф]])),
IF((G645="4/8"),((база!$J$5*2*Таблица1[[#This Row],[Столбец1]]*Таблица1[[#This Row],[коэф]])),
IF(OR(G645="3/8",G645="2/8"),((база!$J$4*2*Таблица1[[#This Row],[Столбец1]]*Таблица1[[#This Row],[коэф]])))))))))))))),
(IF((G645="5/24"),((база!$M$6*2*Таблица1[[#This Row],[Столбец1]]*Таблица1[[#This Row],[коэф]])),
IF(OR(G645="4/24",G645="3/24"),((база!$M$5*2*Таблица1[[#This Row],[Столбец1]]*Таблица1[[#This Row],[коэф]])),
IF((G645="5/16"),((база!$L$6*2*Таблица1[[#This Row],[Столбец1]]*Таблица1[[#This Row],[коэф]])),
IF(OR(G645="4/16",G645="3/16"),((база!$L$5*2*Таблица1[[#This Row],[Столбец1]]*Таблица1[[#This Row],[коэф]])),
IF(OR(G645="2/4",G645="3/4",G645="4/4"),((база!$I$5*2*Таблица1[[#This Row],[Столбец1]]*Таблица1[[#This Row],[коэф]])),
IF((G645="5/8"),((база!$J$6*2*Таблица1[[#This Row],[Столбец1]]*Таблица1[[#This Row],[коэф]])),
IF(OR(G645="4/8",G645="3/8",G645="2/8"),((база!$J$5*2*Таблица1[[#This Row],[Столбец1]]*Таблица1[[#This Row],[коэф]])))))))))))</f>
        <v>0</v>
      </c>
      <c r="AQ645" s="678" t="str">
        <f>IFERROR(INDEX(база!T:T, MATCH(F645,база!Q:Q,0)),"")</f>
        <v/>
      </c>
      <c r="AR645" s="193">
        <f>IFERROR(INDEX(база!D:D, MATCH(F645,база!B:B,0)),"")</f>
        <v>0</v>
      </c>
    </row>
    <row r="646" spans="1:44" ht="15">
      <c r="A646" s="59"/>
      <c r="B646" s="215"/>
      <c r="C646" s="277"/>
      <c r="D646" s="55"/>
      <c r="E646" s="196"/>
      <c r="F646" s="651"/>
      <c r="G646" s="42"/>
      <c r="H646" s="539"/>
      <c r="I646" s="539"/>
      <c r="J646" s="539"/>
      <c r="K646" s="539"/>
      <c r="L646" s="539"/>
      <c r="M646" s="539"/>
      <c r="N646" s="539"/>
      <c r="O646" s="539"/>
      <c r="P646" s="278"/>
      <c r="Q646" s="539"/>
      <c r="R646" s="539"/>
      <c r="S646" s="539"/>
      <c r="T646" s="539"/>
      <c r="U646" s="539"/>
      <c r="V646" s="539"/>
      <c r="W646" s="539"/>
      <c r="X646" s="539"/>
      <c r="Y646" s="539"/>
      <c r="Z646" s="539"/>
      <c r="AA646" s="539"/>
      <c r="AB646" s="539"/>
      <c r="AC646" s="539"/>
      <c r="AD646" s="43"/>
      <c r="AE646" s="43"/>
      <c r="AF646" s="238"/>
      <c r="AG646" s="43"/>
      <c r="AH646" s="43"/>
      <c r="AI646" s="43"/>
      <c r="AJ646" s="43"/>
      <c r="AK646" s="43"/>
      <c r="AL646" s="45"/>
      <c r="AM646" s="197">
        <f>IF(AQ646=1,SUM(H646:I646,L646:O646,R646:U646,X646:AA646,AD646:AG646,AI646:AK646),
IF(AQ646=2,SUM(H646:K646,N646:Q646,T646:W646,Z646:AC646,AF646:AI646),
IF(AQ646=3,SUM(J646:M646,P646:S646,V646:Y646,AB646:AE646,AH646:AK646),SUM(Таблица1[[#This Row],[1]:[31]])-Таблица1[[#This Row],[Столбец1]])))</f>
        <v>0</v>
      </c>
      <c r="AN646" s="269">
        <f t="array" ref="AN646">IF(AQ646=1,SUM(J646:K646,P646:Q646,V646:W646,AB646:AC646,AH646:AI646),
IF(AQ646=2,SUM(L646:M646,R646:S646,X646:Y646,AD646:AE646),
IF(AQ646=3,SUM(H646:I646,N646:O646,T646:U646,Z646:AA646,AF646:AG646),
SUM(IFERROR(WEEKDAY($H$2:$AL$2,2)&gt;5,)*H646:AL646))))</f>
        <v>0</v>
      </c>
      <c r="AO646" s="271" t="b">
        <f>IF(AR646&lt;=3,(IF((G646="5/24"),((база!$M$6*Таблица1[[#This Row],[сумма]]*Таблица1[[#This Row],[коэф]])),
IF((G646="4/24"),((база!$M$5*Таблица1[[#This Row],[сумма]]*Таблица1[[#This Row],[коэф]])),
IF((G646="3/24"),((база!$M$4*Таблица1[[#This Row],[сумма]]*Таблица1[[#This Row],[коэф]])),
IF((G646="5/16"),((база!$L$6*Таблица1[[#This Row],[сумма]]*Таблица1[[#This Row],[коэф]])),
IF((G646="4/16"),((база!$L$5*Таблица1[[#This Row],[сумма]]*Таблица1[[#This Row],[коэф]])),
IF((G646="3/16"),((база!$L$4*Таблица1[[#This Row],[сумма]]*Таблица1[[#This Row],[коэф]])),
IF((G646="4/4"),((база!$I$5*Таблица1[[#This Row],[сумма]]*Таблица1[[#This Row],[коэф]])),
IF(OR(G646="2/4",G646="3/4"),((база!$I$4*Таблица1[[#This Row],[сумма]]*Таблица1[[#This Row],[коэф]])),
IF((G646="5/8"),((база!$J$6*Таблица1[[#This Row],[сумма]]*Таблица1[[#This Row],[коэф]])),
IF((G646="4/8"),((база!$J$5*Таблица1[[#This Row],[сумма]]*Таблица1[[#This Row],[коэф]])),
IF(OR(G646="3/8",G646="2/8"),((база!$J$4*Таблица1[[#This Row],[сумма]]*Таблица1[[#This Row],[коэф]])))))))))))))),
(IF((G646="5/24"),((база!$M$6*Таблица1[[#This Row],[сумма]]*Таблица1[[#This Row],[коэф]])),
IF(OR(G646="4/24",G646="3/24"),((база!$M$5*Таблица1[[#This Row],[сумма]]*Таблица1[[#This Row],[коэф]])),
IF((G646="5/16"),((база!$L$6*Таблица1[[#This Row],[сумма]]*Таблица1[[#This Row],[коэф]])),
IF(OR(G646="4/16",G646="3/16"),((база!$L$5*Таблица1[[#This Row],[сумма]]*Таблица1[[#This Row],[коэф]])),
IF(OR(G646="2/4",G646="3/4",G646="4/4"),((база!$I$5*Таблица1[[#This Row],[сумма]]*Таблица1[[#This Row],[коэф]])),
IF((G646="5/8"),((база!$J$6*Таблица1[[#This Row],[сумма]]*Таблица1[[#This Row],[коэф]])),
IF(OR(G646="4/8",G646="3/8",G646="2/8"),((база!$J$5*Таблица1[[#This Row],[сумма]]*Таблица1[[#This Row],[коэф]])))))))))))</f>
        <v>0</v>
      </c>
      <c r="AP646" s="696" t="b">
        <f>IF(AR646&lt;=3,(IF((G646="5/24"),((база!$M$6*2*Таблица1[[#This Row],[Столбец1]]*Таблица1[[#This Row],[коэф]])),
IF((G646="4/24"),((база!$M$5*2*Таблица1[[#This Row],[Столбец1]]*Таблица1[[#This Row],[коэф]])),
IF((G646="3/24"),((база!$M$4*2*Таблица1[[#This Row],[Столбец1]]*Таблица1[[#This Row],[коэф]])),
IF((G646="5/16"),((база!$L$6*2*Таблица1[[#This Row],[Столбец1]]*Таблица1[[#This Row],[коэф]])),
IF((G646="4/16"),((база!$L$5*2*Таблица1[[#This Row],[Столбец1]]*Таблица1[[#This Row],[коэф]])),
IF((G646="3/16"),((база!$L$4*2*Таблица1[[#This Row],[Столбец1]]*Таблица1[[#This Row],[коэф]])),
IF((G646="4/4"),((база!$I$5*2*Таблица1[[#This Row],[Столбец1]]*Таблица1[[#This Row],[коэф]])),
IF(OR(G646="2/4",G646="3/4"),((база!$I$4*2*Таблица1[[#This Row],[Столбец1]]*Таблица1[[#This Row],[коэф]])),
IF((G646="5/8"),((база!$J$6*2*Таблица1[[#This Row],[Столбец1]]*Таблица1[[#This Row],[коэф]])),
IF((G646="4/8"),((база!$J$5*2*Таблица1[[#This Row],[Столбец1]]*Таблица1[[#This Row],[коэф]])),
IF(OR(G646="3/8",G646="2/8"),((база!$J$4*2*Таблица1[[#This Row],[Столбец1]]*Таблица1[[#This Row],[коэф]])))))))))))))),
(IF((G646="5/24"),((база!$M$6*2*Таблица1[[#This Row],[Столбец1]]*Таблица1[[#This Row],[коэф]])),
IF(OR(G646="4/24",G646="3/24"),((база!$M$5*2*Таблица1[[#This Row],[Столбец1]]*Таблица1[[#This Row],[коэф]])),
IF((G646="5/16"),((база!$L$6*2*Таблица1[[#This Row],[Столбец1]]*Таблица1[[#This Row],[коэф]])),
IF(OR(G646="4/16",G646="3/16"),((база!$L$5*2*Таблица1[[#This Row],[Столбец1]]*Таблица1[[#This Row],[коэф]])),
IF(OR(G646="2/4",G646="3/4",G646="4/4"),((база!$I$5*2*Таблица1[[#This Row],[Столбец1]]*Таблица1[[#This Row],[коэф]])),
IF((G646="5/8"),((база!$J$6*2*Таблица1[[#This Row],[Столбец1]]*Таблица1[[#This Row],[коэф]])),
IF(OR(G646="4/8",G646="3/8",G646="2/8"),((база!$J$5*2*Таблица1[[#This Row],[Столбец1]]*Таблица1[[#This Row],[коэф]])))))))))))</f>
        <v>0</v>
      </c>
      <c r="AQ646" s="678" t="str">
        <f>IFERROR(INDEX(база!T:T, MATCH(F646,база!Q:Q,0)),"")</f>
        <v/>
      </c>
      <c r="AR646" s="193">
        <f>IFERROR(INDEX(база!D:D, MATCH(F646,база!B:B,0)),"")</f>
        <v>0</v>
      </c>
    </row>
    <row r="647" spans="1:44" ht="15">
      <c r="A647" s="59"/>
      <c r="B647" s="215"/>
      <c r="C647" s="277"/>
      <c r="D647" s="55"/>
      <c r="E647" s="196"/>
      <c r="F647" s="651"/>
      <c r="G647" s="42"/>
      <c r="H647" s="539"/>
      <c r="I647" s="539"/>
      <c r="J647" s="539"/>
      <c r="K647" s="539"/>
      <c r="L647" s="539"/>
      <c r="M647" s="539"/>
      <c r="N647" s="539"/>
      <c r="O647" s="539"/>
      <c r="P647" s="278"/>
      <c r="Q647" s="539"/>
      <c r="R647" s="539"/>
      <c r="S647" s="539"/>
      <c r="T647" s="539"/>
      <c r="U647" s="539"/>
      <c r="V647" s="539"/>
      <c r="W647" s="539"/>
      <c r="X647" s="539"/>
      <c r="Y647" s="539"/>
      <c r="Z647" s="539"/>
      <c r="AA647" s="539"/>
      <c r="AB647" s="539"/>
      <c r="AC647" s="539"/>
      <c r="AD647" s="43"/>
      <c r="AE647" s="43"/>
      <c r="AF647" s="238"/>
      <c r="AG647" s="43"/>
      <c r="AH647" s="43"/>
      <c r="AI647" s="238"/>
      <c r="AJ647" s="238"/>
      <c r="AK647" s="238"/>
      <c r="AL647" s="238"/>
      <c r="AM647" s="197">
        <f>IF(AQ647=1,SUM(H647:I647,L647:O647,R647:U647,X647:AA647,AD647:AG647,AI647:AK647),
IF(AQ647=2,SUM(H647:K647,N647:Q647,T647:W647,Z647:AC647,AF647:AI647),
IF(AQ647=3,SUM(J647:M647,P647:S647,V647:Y647,AB647:AE647,AH647:AK647),SUM(Таблица1[[#This Row],[1]:[31]])-Таблица1[[#This Row],[Столбец1]])))</f>
        <v>0</v>
      </c>
      <c r="AN647" s="269">
        <f t="array" ref="AN647">IF(AQ647=1,SUM(J647:K647,P647:Q647,V647:W647,AB647:AC647,AH647:AI647),
IF(AQ647=2,SUM(L647:M647,R647:S647,X647:Y647,AD647:AE647),
IF(AQ647=3,SUM(H647:I647,N647:O647,T647:U647,Z647:AA647,AF647:AG647),
SUM(IFERROR(WEEKDAY($H$2:$AL$2,2)&gt;5,)*H647:AL647))))</f>
        <v>0</v>
      </c>
      <c r="AO647" s="271" t="b">
        <f>IF(AR647&lt;=3,(IF((G647="5/24"),((база!$M$6*Таблица1[[#This Row],[сумма]]*Таблица1[[#This Row],[коэф]])),
IF((G647="4/24"),((база!$M$5*Таблица1[[#This Row],[сумма]]*Таблица1[[#This Row],[коэф]])),
IF((G647="3/24"),((база!$M$4*Таблица1[[#This Row],[сумма]]*Таблица1[[#This Row],[коэф]])),
IF((G647="5/16"),((база!$L$6*Таблица1[[#This Row],[сумма]]*Таблица1[[#This Row],[коэф]])),
IF((G647="4/16"),((база!$L$5*Таблица1[[#This Row],[сумма]]*Таблица1[[#This Row],[коэф]])),
IF((G647="3/16"),((база!$L$4*Таблица1[[#This Row],[сумма]]*Таблица1[[#This Row],[коэф]])),
IF((G647="4/4"),((база!$I$5*Таблица1[[#This Row],[сумма]]*Таблица1[[#This Row],[коэф]])),
IF(OR(G647="2/4",G647="3/4"),((база!$I$4*Таблица1[[#This Row],[сумма]]*Таблица1[[#This Row],[коэф]])),
IF((G647="5/8"),((база!$J$6*Таблица1[[#This Row],[сумма]]*Таблица1[[#This Row],[коэф]])),
IF((G647="4/8"),((база!$J$5*Таблица1[[#This Row],[сумма]]*Таблица1[[#This Row],[коэф]])),
IF(OR(G647="3/8",G647="2/8"),((база!$J$4*Таблица1[[#This Row],[сумма]]*Таблица1[[#This Row],[коэф]])))))))))))))),
(IF((G647="5/24"),((база!$M$6*Таблица1[[#This Row],[сумма]]*Таблица1[[#This Row],[коэф]])),
IF(OR(G647="4/24",G647="3/24"),((база!$M$5*Таблица1[[#This Row],[сумма]]*Таблица1[[#This Row],[коэф]])),
IF((G647="5/16"),((база!$L$6*Таблица1[[#This Row],[сумма]]*Таблица1[[#This Row],[коэф]])),
IF(OR(G647="4/16",G647="3/16"),((база!$L$5*Таблица1[[#This Row],[сумма]]*Таблица1[[#This Row],[коэф]])),
IF(OR(G647="2/4",G647="3/4",G647="4/4"),((база!$I$5*Таблица1[[#This Row],[сумма]]*Таблица1[[#This Row],[коэф]])),
IF((G647="5/8"),((база!$J$6*Таблица1[[#This Row],[сумма]]*Таблица1[[#This Row],[коэф]])),
IF(OR(G647="4/8",G647="3/8",G647="2/8"),((база!$J$5*Таблица1[[#This Row],[сумма]]*Таблица1[[#This Row],[коэф]])))))))))))</f>
        <v>0</v>
      </c>
      <c r="AP647" s="696" t="b">
        <f>IF(AR647&lt;=3,(IF((G647="5/24"),((база!$M$6*2*Таблица1[[#This Row],[Столбец1]]*Таблица1[[#This Row],[коэф]])),
IF((G647="4/24"),((база!$M$5*2*Таблица1[[#This Row],[Столбец1]]*Таблица1[[#This Row],[коэф]])),
IF((G647="3/24"),((база!$M$4*2*Таблица1[[#This Row],[Столбец1]]*Таблица1[[#This Row],[коэф]])),
IF((G647="5/16"),((база!$L$6*2*Таблица1[[#This Row],[Столбец1]]*Таблица1[[#This Row],[коэф]])),
IF((G647="4/16"),((база!$L$5*2*Таблица1[[#This Row],[Столбец1]]*Таблица1[[#This Row],[коэф]])),
IF((G647="3/16"),((база!$L$4*2*Таблица1[[#This Row],[Столбец1]]*Таблица1[[#This Row],[коэф]])),
IF((G647="4/4"),((база!$I$5*2*Таблица1[[#This Row],[Столбец1]]*Таблица1[[#This Row],[коэф]])),
IF(OR(G647="2/4",G647="3/4"),((база!$I$4*2*Таблица1[[#This Row],[Столбец1]]*Таблица1[[#This Row],[коэф]])),
IF((G647="5/8"),((база!$J$6*2*Таблица1[[#This Row],[Столбец1]]*Таблица1[[#This Row],[коэф]])),
IF((G647="4/8"),((база!$J$5*2*Таблица1[[#This Row],[Столбец1]]*Таблица1[[#This Row],[коэф]])),
IF(OR(G647="3/8",G647="2/8"),((база!$J$4*2*Таблица1[[#This Row],[Столбец1]]*Таблица1[[#This Row],[коэф]])))))))))))))),
(IF((G647="5/24"),((база!$M$6*2*Таблица1[[#This Row],[Столбец1]]*Таблица1[[#This Row],[коэф]])),
IF(OR(G647="4/24",G647="3/24"),((база!$M$5*2*Таблица1[[#This Row],[Столбец1]]*Таблица1[[#This Row],[коэф]])),
IF((G647="5/16"),((база!$L$6*2*Таблица1[[#This Row],[Столбец1]]*Таблица1[[#This Row],[коэф]])),
IF(OR(G647="4/16",G647="3/16"),((база!$L$5*2*Таблица1[[#This Row],[Столбец1]]*Таблица1[[#This Row],[коэф]])),
IF(OR(G647="2/4",G647="3/4",G647="4/4"),((база!$I$5*2*Таблица1[[#This Row],[Столбец1]]*Таблица1[[#This Row],[коэф]])),
IF((G647="5/8"),((база!$J$6*2*Таблица1[[#This Row],[Столбец1]]*Таблица1[[#This Row],[коэф]])),
IF(OR(G647="4/8",G647="3/8",G647="2/8"),((база!$J$5*2*Таблица1[[#This Row],[Столбец1]]*Таблица1[[#This Row],[коэф]])))))))))))</f>
        <v>0</v>
      </c>
      <c r="AQ647" s="678" t="str">
        <f>IFERROR(INDEX(база!T:T, MATCH(F647,база!Q:Q,0)),"")</f>
        <v/>
      </c>
      <c r="AR647" s="193">
        <f>IFERROR(INDEX(база!D:D, MATCH(F647,база!B:B,0)),"")</f>
        <v>0</v>
      </c>
    </row>
    <row r="648" spans="1:44" ht="15">
      <c r="A648" s="59"/>
      <c r="B648" s="215"/>
      <c r="C648" s="277"/>
      <c r="D648" s="55"/>
      <c r="E648" s="196"/>
      <c r="F648" s="651"/>
      <c r="G648" s="42"/>
      <c r="H648" s="539"/>
      <c r="I648" s="539"/>
      <c r="J648" s="539"/>
      <c r="K648" s="539"/>
      <c r="L648" s="539"/>
      <c r="M648" s="539"/>
      <c r="N648" s="539"/>
      <c r="O648" s="539"/>
      <c r="P648" s="278"/>
      <c r="Q648" s="539"/>
      <c r="R648" s="539"/>
      <c r="S648" s="539"/>
      <c r="T648" s="539"/>
      <c r="U648" s="539"/>
      <c r="V648" s="539"/>
      <c r="W648" s="539"/>
      <c r="X648" s="539"/>
      <c r="Y648" s="539"/>
      <c r="Z648" s="539"/>
      <c r="AA648" s="539"/>
      <c r="AB648" s="539"/>
      <c r="AC648" s="539"/>
      <c r="AD648" s="43"/>
      <c r="AE648" s="43"/>
      <c r="AF648" s="238"/>
      <c r="AG648" s="43"/>
      <c r="AH648" s="43"/>
      <c r="AI648" s="43"/>
      <c r="AJ648" s="43"/>
      <c r="AK648" s="43"/>
      <c r="AL648" s="45"/>
      <c r="AM648" s="197">
        <f>IF(AQ648=1,SUM(H648:I648,L648:O648,R648:U648,X648:AA648,AD648:AG648,AI648:AK648),
IF(AQ648=2,SUM(H648:K648,N648:Q648,T648:W648,Z648:AC648,AF648:AI648),
IF(AQ648=3,SUM(J648:M648,P648:S648,V648:Y648,AB648:AE648,AH648:AK648),SUM(Таблица1[[#This Row],[1]:[31]])-Таблица1[[#This Row],[Столбец1]])))</f>
        <v>0</v>
      </c>
      <c r="AN648" s="269">
        <f t="array" ref="AN648">IF(AQ648=1,SUM(J648:K648,P648:Q648,V648:W648,AB648:AC648,AH648:AI648),
IF(AQ648=2,SUM(L648:M648,R648:S648,X648:Y648,AD648:AE648),
IF(AQ648=3,SUM(H648:I648,N648:O648,T648:U648,Z648:AA648,AF648:AG648),
SUM(IFERROR(WEEKDAY($H$2:$AL$2,2)&gt;5,)*H648:AL648))))</f>
        <v>0</v>
      </c>
      <c r="AO648" s="271" t="b">
        <f>IF(AR648&lt;=3,(IF((G648="5/24"),((база!$M$6*Таблица1[[#This Row],[сумма]]*Таблица1[[#This Row],[коэф]])),
IF((G648="4/24"),((база!$M$5*Таблица1[[#This Row],[сумма]]*Таблица1[[#This Row],[коэф]])),
IF((G648="3/24"),((база!$M$4*Таблица1[[#This Row],[сумма]]*Таблица1[[#This Row],[коэф]])),
IF((G648="5/16"),((база!$L$6*Таблица1[[#This Row],[сумма]]*Таблица1[[#This Row],[коэф]])),
IF((G648="4/16"),((база!$L$5*Таблица1[[#This Row],[сумма]]*Таблица1[[#This Row],[коэф]])),
IF((G648="3/16"),((база!$L$4*Таблица1[[#This Row],[сумма]]*Таблица1[[#This Row],[коэф]])),
IF((G648="4/4"),((база!$I$5*Таблица1[[#This Row],[сумма]]*Таблица1[[#This Row],[коэф]])),
IF(OR(G648="2/4",G648="3/4"),((база!$I$4*Таблица1[[#This Row],[сумма]]*Таблица1[[#This Row],[коэф]])),
IF((G648="5/8"),((база!$J$6*Таблица1[[#This Row],[сумма]]*Таблица1[[#This Row],[коэф]])),
IF((G648="4/8"),((база!$J$5*Таблица1[[#This Row],[сумма]]*Таблица1[[#This Row],[коэф]])),
IF(OR(G648="3/8",G648="2/8"),((база!$J$4*Таблица1[[#This Row],[сумма]]*Таблица1[[#This Row],[коэф]])))))))))))))),
(IF((G648="5/24"),((база!$M$6*Таблица1[[#This Row],[сумма]]*Таблица1[[#This Row],[коэф]])),
IF(OR(G648="4/24",G648="3/24"),((база!$M$5*Таблица1[[#This Row],[сумма]]*Таблица1[[#This Row],[коэф]])),
IF((G648="5/16"),((база!$L$6*Таблица1[[#This Row],[сумма]]*Таблица1[[#This Row],[коэф]])),
IF(OR(G648="4/16",G648="3/16"),((база!$L$5*Таблица1[[#This Row],[сумма]]*Таблица1[[#This Row],[коэф]])),
IF(OR(G648="2/4",G648="3/4",G648="4/4"),((база!$I$5*Таблица1[[#This Row],[сумма]]*Таблица1[[#This Row],[коэф]])),
IF((G648="5/8"),((база!$J$6*Таблица1[[#This Row],[сумма]]*Таблица1[[#This Row],[коэф]])),
IF(OR(G648="4/8",G648="3/8",G648="2/8"),((база!$J$5*Таблица1[[#This Row],[сумма]]*Таблица1[[#This Row],[коэф]])))))))))))</f>
        <v>0</v>
      </c>
      <c r="AP648" s="696" t="b">
        <f>IF(AR648&lt;=3,(IF((G648="5/24"),((база!$M$6*2*Таблица1[[#This Row],[Столбец1]]*Таблица1[[#This Row],[коэф]])),
IF((G648="4/24"),((база!$M$5*2*Таблица1[[#This Row],[Столбец1]]*Таблица1[[#This Row],[коэф]])),
IF((G648="3/24"),((база!$M$4*2*Таблица1[[#This Row],[Столбец1]]*Таблица1[[#This Row],[коэф]])),
IF((G648="5/16"),((база!$L$6*2*Таблица1[[#This Row],[Столбец1]]*Таблица1[[#This Row],[коэф]])),
IF((G648="4/16"),((база!$L$5*2*Таблица1[[#This Row],[Столбец1]]*Таблица1[[#This Row],[коэф]])),
IF((G648="3/16"),((база!$L$4*2*Таблица1[[#This Row],[Столбец1]]*Таблица1[[#This Row],[коэф]])),
IF((G648="4/4"),((база!$I$5*2*Таблица1[[#This Row],[Столбец1]]*Таблица1[[#This Row],[коэф]])),
IF(OR(G648="2/4",G648="3/4"),((база!$I$4*2*Таблица1[[#This Row],[Столбец1]]*Таблица1[[#This Row],[коэф]])),
IF((G648="5/8"),((база!$J$6*2*Таблица1[[#This Row],[Столбец1]]*Таблица1[[#This Row],[коэф]])),
IF((G648="4/8"),((база!$J$5*2*Таблица1[[#This Row],[Столбец1]]*Таблица1[[#This Row],[коэф]])),
IF(OR(G648="3/8",G648="2/8"),((база!$J$4*2*Таблица1[[#This Row],[Столбец1]]*Таблица1[[#This Row],[коэф]])))))))))))))),
(IF((G648="5/24"),((база!$M$6*2*Таблица1[[#This Row],[Столбец1]]*Таблица1[[#This Row],[коэф]])),
IF(OR(G648="4/24",G648="3/24"),((база!$M$5*2*Таблица1[[#This Row],[Столбец1]]*Таблица1[[#This Row],[коэф]])),
IF((G648="5/16"),((база!$L$6*2*Таблица1[[#This Row],[Столбец1]]*Таблица1[[#This Row],[коэф]])),
IF(OR(G648="4/16",G648="3/16"),((база!$L$5*2*Таблица1[[#This Row],[Столбец1]]*Таблица1[[#This Row],[коэф]])),
IF(OR(G648="2/4",G648="3/4",G648="4/4"),((база!$I$5*2*Таблица1[[#This Row],[Столбец1]]*Таблица1[[#This Row],[коэф]])),
IF((G648="5/8"),((база!$J$6*2*Таблица1[[#This Row],[Столбец1]]*Таблица1[[#This Row],[коэф]])),
IF(OR(G648="4/8",G648="3/8",G648="2/8"),((база!$J$5*2*Таблица1[[#This Row],[Столбец1]]*Таблица1[[#This Row],[коэф]])))))))))))</f>
        <v>0</v>
      </c>
      <c r="AQ648" s="678" t="str">
        <f>IFERROR(INDEX(база!T:T, MATCH(F648,база!Q:Q,0)),"")</f>
        <v/>
      </c>
      <c r="AR648" s="193">
        <f>IFERROR(INDEX(база!D:D, MATCH(F648,база!B:B,0)),"")</f>
        <v>0</v>
      </c>
    </row>
    <row r="649" spans="1:44" ht="15">
      <c r="A649" s="59"/>
      <c r="B649" s="215"/>
      <c r="C649" s="277"/>
      <c r="D649" s="55"/>
      <c r="E649" s="196"/>
      <c r="F649" s="651"/>
      <c r="G649" s="42"/>
      <c r="H649" s="539"/>
      <c r="I649" s="539"/>
      <c r="J649" s="539"/>
      <c r="K649" s="539"/>
      <c r="L649" s="539"/>
      <c r="M649" s="539"/>
      <c r="N649" s="539"/>
      <c r="O649" s="539"/>
      <c r="P649" s="278"/>
      <c r="Q649" s="539"/>
      <c r="R649" s="539"/>
      <c r="S649" s="539"/>
      <c r="T649" s="539"/>
      <c r="U649" s="539"/>
      <c r="V649" s="539"/>
      <c r="W649" s="539"/>
      <c r="X649" s="539"/>
      <c r="Y649" s="539"/>
      <c r="Z649" s="539"/>
      <c r="AA649" s="539"/>
      <c r="AB649" s="539"/>
      <c r="AC649" s="539"/>
      <c r="AD649" s="43"/>
      <c r="AE649" s="43"/>
      <c r="AF649" s="238"/>
      <c r="AG649" s="43"/>
      <c r="AH649" s="43"/>
      <c r="AI649" s="238"/>
      <c r="AJ649" s="238"/>
      <c r="AK649" s="238"/>
      <c r="AL649" s="238"/>
      <c r="AM649" s="197">
        <f>IF(AQ649=1,SUM(H649:I649,L649:O649,R649:U649,X649:AA649,AD649:AG649,AI649:AK649),
IF(AQ649=2,SUM(H649:K649,N649:Q649,T649:W649,Z649:AC649,AF649:AI649),
IF(AQ649=3,SUM(J649:M649,P649:S649,V649:Y649,AB649:AE649,AH649:AK649),SUM(Таблица1[[#This Row],[1]:[31]])-Таблица1[[#This Row],[Столбец1]])))</f>
        <v>0</v>
      </c>
      <c r="AN649" s="269">
        <f t="array" ref="AN649">IF(AQ649=1,SUM(J649:K649,P649:Q649,V649:W649,AB649:AC649,AH649:AI649),
IF(AQ649=2,SUM(L649:M649,R649:S649,X649:Y649,AD649:AE649),
IF(AQ649=3,SUM(H649:I649,N649:O649,T649:U649,Z649:AA649,AF649:AG649),
SUM(IFERROR(WEEKDAY($H$2:$AL$2,2)&gt;5,)*H649:AL649))))</f>
        <v>0</v>
      </c>
      <c r="AO649" s="271" t="b">
        <f>IF(AR649&lt;=3,(IF((G649="5/24"),((база!$M$6*Таблица1[[#This Row],[сумма]]*Таблица1[[#This Row],[коэф]])),
IF((G649="4/24"),((база!$M$5*Таблица1[[#This Row],[сумма]]*Таблица1[[#This Row],[коэф]])),
IF((G649="3/24"),((база!$M$4*Таблица1[[#This Row],[сумма]]*Таблица1[[#This Row],[коэф]])),
IF((G649="5/16"),((база!$L$6*Таблица1[[#This Row],[сумма]]*Таблица1[[#This Row],[коэф]])),
IF((G649="4/16"),((база!$L$5*Таблица1[[#This Row],[сумма]]*Таблица1[[#This Row],[коэф]])),
IF((G649="3/16"),((база!$L$4*Таблица1[[#This Row],[сумма]]*Таблица1[[#This Row],[коэф]])),
IF((G649="4/4"),((база!$I$5*Таблица1[[#This Row],[сумма]]*Таблица1[[#This Row],[коэф]])),
IF(OR(G649="2/4",G649="3/4"),((база!$I$4*Таблица1[[#This Row],[сумма]]*Таблица1[[#This Row],[коэф]])),
IF((G649="5/8"),((база!$J$6*Таблица1[[#This Row],[сумма]]*Таблица1[[#This Row],[коэф]])),
IF((G649="4/8"),((база!$J$5*Таблица1[[#This Row],[сумма]]*Таблица1[[#This Row],[коэф]])),
IF(OR(G649="3/8",G649="2/8"),((база!$J$4*Таблица1[[#This Row],[сумма]]*Таблица1[[#This Row],[коэф]])))))))))))))),
(IF((G649="5/24"),((база!$M$6*Таблица1[[#This Row],[сумма]]*Таблица1[[#This Row],[коэф]])),
IF(OR(G649="4/24",G649="3/24"),((база!$M$5*Таблица1[[#This Row],[сумма]]*Таблица1[[#This Row],[коэф]])),
IF((G649="5/16"),((база!$L$6*Таблица1[[#This Row],[сумма]]*Таблица1[[#This Row],[коэф]])),
IF(OR(G649="4/16",G649="3/16"),((база!$L$5*Таблица1[[#This Row],[сумма]]*Таблица1[[#This Row],[коэф]])),
IF(OR(G649="2/4",G649="3/4",G649="4/4"),((база!$I$5*Таблица1[[#This Row],[сумма]]*Таблица1[[#This Row],[коэф]])),
IF((G649="5/8"),((база!$J$6*Таблица1[[#This Row],[сумма]]*Таблица1[[#This Row],[коэф]])),
IF(OR(G649="4/8",G649="3/8",G649="2/8"),((база!$J$5*Таблица1[[#This Row],[сумма]]*Таблица1[[#This Row],[коэф]])))))))))))</f>
        <v>0</v>
      </c>
      <c r="AP649" s="696" t="b">
        <f>IF(AR649&lt;=3,(IF((G649="5/24"),((база!$M$6*2*Таблица1[[#This Row],[Столбец1]]*Таблица1[[#This Row],[коэф]])),
IF((G649="4/24"),((база!$M$5*2*Таблица1[[#This Row],[Столбец1]]*Таблица1[[#This Row],[коэф]])),
IF((G649="3/24"),((база!$M$4*2*Таблица1[[#This Row],[Столбец1]]*Таблица1[[#This Row],[коэф]])),
IF((G649="5/16"),((база!$L$6*2*Таблица1[[#This Row],[Столбец1]]*Таблица1[[#This Row],[коэф]])),
IF((G649="4/16"),((база!$L$5*2*Таблица1[[#This Row],[Столбец1]]*Таблица1[[#This Row],[коэф]])),
IF((G649="3/16"),((база!$L$4*2*Таблица1[[#This Row],[Столбец1]]*Таблица1[[#This Row],[коэф]])),
IF((G649="4/4"),((база!$I$5*2*Таблица1[[#This Row],[Столбец1]]*Таблица1[[#This Row],[коэф]])),
IF(OR(G649="2/4",G649="3/4"),((база!$I$4*2*Таблица1[[#This Row],[Столбец1]]*Таблица1[[#This Row],[коэф]])),
IF((G649="5/8"),((база!$J$6*2*Таблица1[[#This Row],[Столбец1]]*Таблица1[[#This Row],[коэф]])),
IF((G649="4/8"),((база!$J$5*2*Таблица1[[#This Row],[Столбец1]]*Таблица1[[#This Row],[коэф]])),
IF(OR(G649="3/8",G649="2/8"),((база!$J$4*2*Таблица1[[#This Row],[Столбец1]]*Таблица1[[#This Row],[коэф]])))))))))))))),
(IF((G649="5/24"),((база!$M$6*2*Таблица1[[#This Row],[Столбец1]]*Таблица1[[#This Row],[коэф]])),
IF(OR(G649="4/24",G649="3/24"),((база!$M$5*2*Таблица1[[#This Row],[Столбец1]]*Таблица1[[#This Row],[коэф]])),
IF((G649="5/16"),((база!$L$6*2*Таблица1[[#This Row],[Столбец1]]*Таблица1[[#This Row],[коэф]])),
IF(OR(G649="4/16",G649="3/16"),((база!$L$5*2*Таблица1[[#This Row],[Столбец1]]*Таблица1[[#This Row],[коэф]])),
IF(OR(G649="2/4",G649="3/4",G649="4/4"),((база!$I$5*2*Таблица1[[#This Row],[Столбец1]]*Таблица1[[#This Row],[коэф]])),
IF((G649="5/8"),((база!$J$6*2*Таблица1[[#This Row],[Столбец1]]*Таблица1[[#This Row],[коэф]])),
IF(OR(G649="4/8",G649="3/8",G649="2/8"),((база!$J$5*2*Таблица1[[#This Row],[Столбец1]]*Таблица1[[#This Row],[коэф]])))))))))))</f>
        <v>0</v>
      </c>
      <c r="AQ649" s="678" t="str">
        <f>IFERROR(INDEX(база!T:T, MATCH(F649,база!Q:Q,0)),"")</f>
        <v/>
      </c>
      <c r="AR649" s="193">
        <f>IFERROR(INDEX(база!D:D, MATCH(F649,база!B:B,0)),"")</f>
        <v>0</v>
      </c>
    </row>
    <row r="650" spans="1:44" ht="15">
      <c r="A650" s="59"/>
      <c r="B650" s="215"/>
      <c r="C650" s="277"/>
      <c r="D650" s="55"/>
      <c r="E650" s="196"/>
      <c r="F650" s="651"/>
      <c r="G650" s="42"/>
      <c r="H650" s="539"/>
      <c r="I650" s="539"/>
      <c r="J650" s="539"/>
      <c r="K650" s="539"/>
      <c r="L650" s="539"/>
      <c r="M650" s="539"/>
      <c r="N650" s="539"/>
      <c r="O650" s="539"/>
      <c r="P650" s="278"/>
      <c r="Q650" s="539"/>
      <c r="R650" s="539"/>
      <c r="S650" s="539"/>
      <c r="T650" s="539"/>
      <c r="U650" s="539"/>
      <c r="V650" s="539"/>
      <c r="W650" s="539"/>
      <c r="X650" s="539"/>
      <c r="Y650" s="539"/>
      <c r="Z650" s="539"/>
      <c r="AA650" s="539"/>
      <c r="AB650" s="539"/>
      <c r="AC650" s="539"/>
      <c r="AD650" s="43"/>
      <c r="AE650" s="43"/>
      <c r="AF650" s="238"/>
      <c r="AG650" s="43"/>
      <c r="AH650" s="43"/>
      <c r="AI650" s="43"/>
      <c r="AJ650" s="43"/>
      <c r="AK650" s="43"/>
      <c r="AL650" s="45"/>
      <c r="AM650" s="197">
        <f>IF(AQ650=1,SUM(H650:I650,L650:O650,R650:U650,X650:AA650,AD650:AG650,AI650:AK650),
IF(AQ650=2,SUM(H650:K650,N650:Q650,T650:W650,Z650:AC650,AF650:AI650),
IF(AQ650=3,SUM(J650:M650,P650:S650,V650:Y650,AB650:AE650,AH650:AK650),SUM(Таблица1[[#This Row],[1]:[31]])-Таблица1[[#This Row],[Столбец1]])))</f>
        <v>0</v>
      </c>
      <c r="AN650" s="269">
        <f t="array" ref="AN650">IF(AQ650=1,SUM(J650:K650,P650:Q650,V650:W650,AB650:AC650,AH650:AI650),
IF(AQ650=2,SUM(L650:M650,R650:S650,X650:Y650,AD650:AE650),
IF(AQ650=3,SUM(H650:I650,N650:O650,T650:U650,Z650:AA650,AF650:AG650),
SUM(IFERROR(WEEKDAY($H$2:$AL$2,2)&gt;5,)*H650:AL650))))</f>
        <v>0</v>
      </c>
      <c r="AO650" s="271" t="b">
        <f>IF(AR650&lt;=3,(IF((G650="5/24"),((база!$M$6*Таблица1[[#This Row],[сумма]]*Таблица1[[#This Row],[коэф]])),
IF((G650="4/24"),((база!$M$5*Таблица1[[#This Row],[сумма]]*Таблица1[[#This Row],[коэф]])),
IF((G650="3/24"),((база!$M$4*Таблица1[[#This Row],[сумма]]*Таблица1[[#This Row],[коэф]])),
IF((G650="5/16"),((база!$L$6*Таблица1[[#This Row],[сумма]]*Таблица1[[#This Row],[коэф]])),
IF((G650="4/16"),((база!$L$5*Таблица1[[#This Row],[сумма]]*Таблица1[[#This Row],[коэф]])),
IF((G650="3/16"),((база!$L$4*Таблица1[[#This Row],[сумма]]*Таблица1[[#This Row],[коэф]])),
IF((G650="4/4"),((база!$I$5*Таблица1[[#This Row],[сумма]]*Таблица1[[#This Row],[коэф]])),
IF(OR(G650="2/4",G650="3/4"),((база!$I$4*Таблица1[[#This Row],[сумма]]*Таблица1[[#This Row],[коэф]])),
IF((G650="5/8"),((база!$J$6*Таблица1[[#This Row],[сумма]]*Таблица1[[#This Row],[коэф]])),
IF((G650="4/8"),((база!$J$5*Таблица1[[#This Row],[сумма]]*Таблица1[[#This Row],[коэф]])),
IF(OR(G650="3/8",G650="2/8"),((база!$J$4*Таблица1[[#This Row],[сумма]]*Таблица1[[#This Row],[коэф]])))))))))))))),
(IF((G650="5/24"),((база!$M$6*Таблица1[[#This Row],[сумма]]*Таблица1[[#This Row],[коэф]])),
IF(OR(G650="4/24",G650="3/24"),((база!$M$5*Таблица1[[#This Row],[сумма]]*Таблица1[[#This Row],[коэф]])),
IF((G650="5/16"),((база!$L$6*Таблица1[[#This Row],[сумма]]*Таблица1[[#This Row],[коэф]])),
IF(OR(G650="4/16",G650="3/16"),((база!$L$5*Таблица1[[#This Row],[сумма]]*Таблица1[[#This Row],[коэф]])),
IF(OR(G650="2/4",G650="3/4",G650="4/4"),((база!$I$5*Таблица1[[#This Row],[сумма]]*Таблица1[[#This Row],[коэф]])),
IF((G650="5/8"),((база!$J$6*Таблица1[[#This Row],[сумма]]*Таблица1[[#This Row],[коэф]])),
IF(OR(G650="4/8",G650="3/8",G650="2/8"),((база!$J$5*Таблица1[[#This Row],[сумма]]*Таблица1[[#This Row],[коэф]])))))))))))</f>
        <v>0</v>
      </c>
      <c r="AP650" s="696" t="b">
        <f>IF(AR650&lt;=3,(IF((G650="5/24"),((база!$M$6*2*Таблица1[[#This Row],[Столбец1]]*Таблица1[[#This Row],[коэф]])),
IF((G650="4/24"),((база!$M$5*2*Таблица1[[#This Row],[Столбец1]]*Таблица1[[#This Row],[коэф]])),
IF((G650="3/24"),((база!$M$4*2*Таблица1[[#This Row],[Столбец1]]*Таблица1[[#This Row],[коэф]])),
IF((G650="5/16"),((база!$L$6*2*Таблица1[[#This Row],[Столбец1]]*Таблица1[[#This Row],[коэф]])),
IF((G650="4/16"),((база!$L$5*2*Таблица1[[#This Row],[Столбец1]]*Таблица1[[#This Row],[коэф]])),
IF((G650="3/16"),((база!$L$4*2*Таблица1[[#This Row],[Столбец1]]*Таблица1[[#This Row],[коэф]])),
IF((G650="4/4"),((база!$I$5*2*Таблица1[[#This Row],[Столбец1]]*Таблица1[[#This Row],[коэф]])),
IF(OR(G650="2/4",G650="3/4"),((база!$I$4*2*Таблица1[[#This Row],[Столбец1]]*Таблица1[[#This Row],[коэф]])),
IF((G650="5/8"),((база!$J$6*2*Таблица1[[#This Row],[Столбец1]]*Таблица1[[#This Row],[коэф]])),
IF((G650="4/8"),((база!$J$5*2*Таблица1[[#This Row],[Столбец1]]*Таблица1[[#This Row],[коэф]])),
IF(OR(G650="3/8",G650="2/8"),((база!$J$4*2*Таблица1[[#This Row],[Столбец1]]*Таблица1[[#This Row],[коэф]])))))))))))))),
(IF((G650="5/24"),((база!$M$6*2*Таблица1[[#This Row],[Столбец1]]*Таблица1[[#This Row],[коэф]])),
IF(OR(G650="4/24",G650="3/24"),((база!$M$5*2*Таблица1[[#This Row],[Столбец1]]*Таблица1[[#This Row],[коэф]])),
IF((G650="5/16"),((база!$L$6*2*Таблица1[[#This Row],[Столбец1]]*Таблица1[[#This Row],[коэф]])),
IF(OR(G650="4/16",G650="3/16"),((база!$L$5*2*Таблица1[[#This Row],[Столбец1]]*Таблица1[[#This Row],[коэф]])),
IF(OR(G650="2/4",G650="3/4",G650="4/4"),((база!$I$5*2*Таблица1[[#This Row],[Столбец1]]*Таблица1[[#This Row],[коэф]])),
IF((G650="5/8"),((база!$J$6*2*Таблица1[[#This Row],[Столбец1]]*Таблица1[[#This Row],[коэф]])),
IF(OR(G650="4/8",G650="3/8",G650="2/8"),((база!$J$5*2*Таблица1[[#This Row],[Столбец1]]*Таблица1[[#This Row],[коэф]])))))))))))</f>
        <v>0</v>
      </c>
      <c r="AQ650" s="678" t="str">
        <f>IFERROR(INDEX(база!T:T, MATCH(F650,база!Q:Q,0)),"")</f>
        <v/>
      </c>
      <c r="AR650" s="193">
        <f>IFERROR(INDEX(база!D:D, MATCH(F650,база!B:B,0)),"")</f>
        <v>0</v>
      </c>
    </row>
    <row r="651" spans="1:44" ht="15">
      <c r="A651" s="59"/>
      <c r="B651" s="215"/>
      <c r="C651" s="277"/>
      <c r="D651" s="55"/>
      <c r="E651" s="196"/>
      <c r="F651" s="651"/>
      <c r="G651" s="42"/>
      <c r="H651" s="539"/>
      <c r="I651" s="539"/>
      <c r="J651" s="539"/>
      <c r="K651" s="539"/>
      <c r="L651" s="539"/>
      <c r="M651" s="539"/>
      <c r="N651" s="539"/>
      <c r="O651" s="539"/>
      <c r="P651" s="278"/>
      <c r="Q651" s="539"/>
      <c r="R651" s="539"/>
      <c r="S651" s="539"/>
      <c r="T651" s="539"/>
      <c r="U651" s="539"/>
      <c r="V651" s="539"/>
      <c r="W651" s="539"/>
      <c r="X651" s="539"/>
      <c r="Y651" s="539"/>
      <c r="Z651" s="539"/>
      <c r="AA651" s="539"/>
      <c r="AB651" s="539"/>
      <c r="AC651" s="539"/>
      <c r="AD651" s="43"/>
      <c r="AE651" s="43"/>
      <c r="AF651" s="238"/>
      <c r="AG651" s="43"/>
      <c r="AH651" s="43"/>
      <c r="AI651" s="238"/>
      <c r="AJ651" s="238"/>
      <c r="AK651" s="238"/>
      <c r="AL651" s="238"/>
      <c r="AM651" s="197">
        <f>IF(AQ651=1,SUM(H651:I651,L651:O651,R651:U651,X651:AA651,AD651:AG651,AI651:AK651),
IF(AQ651=2,SUM(H651:K651,N651:Q651,T651:W651,Z651:AC651,AF651:AI651),
IF(AQ651=3,SUM(J651:M651,P651:S651,V651:Y651,AB651:AE651,AH651:AK651),SUM(Таблица1[[#This Row],[1]:[31]])-Таблица1[[#This Row],[Столбец1]])))</f>
        <v>0</v>
      </c>
      <c r="AN651" s="269">
        <f t="array" ref="AN651">IF(AQ651=1,SUM(J651:K651,P651:Q651,V651:W651,AB651:AC651,AH651:AI651),
IF(AQ651=2,SUM(L651:M651,R651:S651,X651:Y651,AD651:AE651),
IF(AQ651=3,SUM(H651:I651,N651:O651,T651:U651,Z651:AA651,AF651:AG651),
SUM(IFERROR(WEEKDAY($H$2:$AL$2,2)&gt;5,)*H651:AL651))))</f>
        <v>0</v>
      </c>
      <c r="AO651" s="271" t="b">
        <f>IF(AR651&lt;=3,(IF((G651="5/24"),((база!$M$6*Таблица1[[#This Row],[сумма]]*Таблица1[[#This Row],[коэф]])),
IF((G651="4/24"),((база!$M$5*Таблица1[[#This Row],[сумма]]*Таблица1[[#This Row],[коэф]])),
IF((G651="3/24"),((база!$M$4*Таблица1[[#This Row],[сумма]]*Таблица1[[#This Row],[коэф]])),
IF((G651="5/16"),((база!$L$6*Таблица1[[#This Row],[сумма]]*Таблица1[[#This Row],[коэф]])),
IF((G651="4/16"),((база!$L$5*Таблица1[[#This Row],[сумма]]*Таблица1[[#This Row],[коэф]])),
IF((G651="3/16"),((база!$L$4*Таблица1[[#This Row],[сумма]]*Таблица1[[#This Row],[коэф]])),
IF((G651="4/4"),((база!$I$5*Таблица1[[#This Row],[сумма]]*Таблица1[[#This Row],[коэф]])),
IF(OR(G651="2/4",G651="3/4"),((база!$I$4*Таблица1[[#This Row],[сумма]]*Таблица1[[#This Row],[коэф]])),
IF((G651="5/8"),((база!$J$6*Таблица1[[#This Row],[сумма]]*Таблица1[[#This Row],[коэф]])),
IF((G651="4/8"),((база!$J$5*Таблица1[[#This Row],[сумма]]*Таблица1[[#This Row],[коэф]])),
IF(OR(G651="3/8",G651="2/8"),((база!$J$4*Таблица1[[#This Row],[сумма]]*Таблица1[[#This Row],[коэф]])))))))))))))),
(IF((G651="5/24"),((база!$M$6*Таблица1[[#This Row],[сумма]]*Таблица1[[#This Row],[коэф]])),
IF(OR(G651="4/24",G651="3/24"),((база!$M$5*Таблица1[[#This Row],[сумма]]*Таблица1[[#This Row],[коэф]])),
IF((G651="5/16"),((база!$L$6*Таблица1[[#This Row],[сумма]]*Таблица1[[#This Row],[коэф]])),
IF(OR(G651="4/16",G651="3/16"),((база!$L$5*Таблица1[[#This Row],[сумма]]*Таблица1[[#This Row],[коэф]])),
IF(OR(G651="2/4",G651="3/4",G651="4/4"),((база!$I$5*Таблица1[[#This Row],[сумма]]*Таблица1[[#This Row],[коэф]])),
IF((G651="5/8"),((база!$J$6*Таблица1[[#This Row],[сумма]]*Таблица1[[#This Row],[коэф]])),
IF(OR(G651="4/8",G651="3/8",G651="2/8"),((база!$J$5*Таблица1[[#This Row],[сумма]]*Таблица1[[#This Row],[коэф]])))))))))))</f>
        <v>0</v>
      </c>
      <c r="AP651" s="696" t="b">
        <f>IF(AR651&lt;=3,(IF((G651="5/24"),((база!$M$6*2*Таблица1[[#This Row],[Столбец1]]*Таблица1[[#This Row],[коэф]])),
IF((G651="4/24"),((база!$M$5*2*Таблица1[[#This Row],[Столбец1]]*Таблица1[[#This Row],[коэф]])),
IF((G651="3/24"),((база!$M$4*2*Таблица1[[#This Row],[Столбец1]]*Таблица1[[#This Row],[коэф]])),
IF((G651="5/16"),((база!$L$6*2*Таблица1[[#This Row],[Столбец1]]*Таблица1[[#This Row],[коэф]])),
IF((G651="4/16"),((база!$L$5*2*Таблица1[[#This Row],[Столбец1]]*Таблица1[[#This Row],[коэф]])),
IF((G651="3/16"),((база!$L$4*2*Таблица1[[#This Row],[Столбец1]]*Таблица1[[#This Row],[коэф]])),
IF((G651="4/4"),((база!$I$5*2*Таблица1[[#This Row],[Столбец1]]*Таблица1[[#This Row],[коэф]])),
IF(OR(G651="2/4",G651="3/4"),((база!$I$4*2*Таблица1[[#This Row],[Столбец1]]*Таблица1[[#This Row],[коэф]])),
IF((G651="5/8"),((база!$J$6*2*Таблица1[[#This Row],[Столбец1]]*Таблица1[[#This Row],[коэф]])),
IF((G651="4/8"),((база!$J$5*2*Таблица1[[#This Row],[Столбец1]]*Таблица1[[#This Row],[коэф]])),
IF(OR(G651="3/8",G651="2/8"),((база!$J$4*2*Таблица1[[#This Row],[Столбец1]]*Таблица1[[#This Row],[коэф]])))))))))))))),
(IF((G651="5/24"),((база!$M$6*2*Таблица1[[#This Row],[Столбец1]]*Таблица1[[#This Row],[коэф]])),
IF(OR(G651="4/24",G651="3/24"),((база!$M$5*2*Таблица1[[#This Row],[Столбец1]]*Таблица1[[#This Row],[коэф]])),
IF((G651="5/16"),((база!$L$6*2*Таблица1[[#This Row],[Столбец1]]*Таблица1[[#This Row],[коэф]])),
IF(OR(G651="4/16",G651="3/16"),((база!$L$5*2*Таблица1[[#This Row],[Столбец1]]*Таблица1[[#This Row],[коэф]])),
IF(OR(G651="2/4",G651="3/4",G651="4/4"),((база!$I$5*2*Таблица1[[#This Row],[Столбец1]]*Таблица1[[#This Row],[коэф]])),
IF((G651="5/8"),((база!$J$6*2*Таблица1[[#This Row],[Столбец1]]*Таблица1[[#This Row],[коэф]])),
IF(OR(G651="4/8",G651="3/8",G651="2/8"),((база!$J$5*2*Таблица1[[#This Row],[Столбец1]]*Таблица1[[#This Row],[коэф]])))))))))))</f>
        <v>0</v>
      </c>
      <c r="AQ651" s="678" t="str">
        <f>IFERROR(INDEX(база!T:T, MATCH(F651,база!Q:Q,0)),"")</f>
        <v/>
      </c>
      <c r="AR651" s="193">
        <f>IFERROR(INDEX(база!D:D, MATCH(F651,база!B:B,0)),"")</f>
        <v>0</v>
      </c>
    </row>
    <row r="652" spans="1:44" ht="15">
      <c r="A652" s="59"/>
      <c r="B652" s="215"/>
      <c r="C652" s="277"/>
      <c r="D652" s="55"/>
      <c r="E652" s="196"/>
      <c r="F652" s="651"/>
      <c r="G652" s="42"/>
      <c r="H652" s="539"/>
      <c r="I652" s="539"/>
      <c r="J652" s="539"/>
      <c r="K652" s="539"/>
      <c r="L652" s="539"/>
      <c r="M652" s="539"/>
      <c r="N652" s="539"/>
      <c r="O652" s="539"/>
      <c r="P652" s="278"/>
      <c r="Q652" s="539"/>
      <c r="R652" s="539"/>
      <c r="S652" s="539"/>
      <c r="T652" s="539"/>
      <c r="U652" s="539"/>
      <c r="V652" s="539"/>
      <c r="W652" s="539"/>
      <c r="X652" s="539"/>
      <c r="Y652" s="539"/>
      <c r="Z652" s="539"/>
      <c r="AA652" s="539"/>
      <c r="AB652" s="539"/>
      <c r="AC652" s="539"/>
      <c r="AD652" s="43"/>
      <c r="AE652" s="43"/>
      <c r="AF652" s="238"/>
      <c r="AG652" s="43"/>
      <c r="AH652" s="43"/>
      <c r="AI652" s="43"/>
      <c r="AJ652" s="43"/>
      <c r="AK652" s="43"/>
      <c r="AL652" s="45"/>
      <c r="AM652" s="197">
        <f>IF(AQ652=1,SUM(H652:I652,L652:O652,R652:U652,X652:AA652,AD652:AG652,AI652:AK652),
IF(AQ652=2,SUM(H652:K652,N652:Q652,T652:W652,Z652:AC652,AF652:AI652),
IF(AQ652=3,SUM(J652:M652,P652:S652,V652:Y652,AB652:AE652,AH652:AK652),SUM(Таблица1[[#This Row],[1]:[31]])-Таблица1[[#This Row],[Столбец1]])))</f>
        <v>0</v>
      </c>
      <c r="AN652" s="269">
        <f t="array" ref="AN652">IF(AQ652=1,SUM(J652:K652,P652:Q652,V652:W652,AB652:AC652,AH652:AI652),
IF(AQ652=2,SUM(L652:M652,R652:S652,X652:Y652,AD652:AE652),
IF(AQ652=3,SUM(H652:I652,N652:O652,T652:U652,Z652:AA652,AF652:AG652),
SUM(IFERROR(WEEKDAY($H$2:$AL$2,2)&gt;5,)*H652:AL652))))</f>
        <v>0</v>
      </c>
      <c r="AO652" s="271" t="b">
        <f>IF(AR652&lt;=3,(IF((G652="5/24"),((база!$M$6*Таблица1[[#This Row],[сумма]]*Таблица1[[#This Row],[коэф]])),
IF((G652="4/24"),((база!$M$5*Таблица1[[#This Row],[сумма]]*Таблица1[[#This Row],[коэф]])),
IF((G652="3/24"),((база!$M$4*Таблица1[[#This Row],[сумма]]*Таблица1[[#This Row],[коэф]])),
IF((G652="5/16"),((база!$L$6*Таблица1[[#This Row],[сумма]]*Таблица1[[#This Row],[коэф]])),
IF((G652="4/16"),((база!$L$5*Таблица1[[#This Row],[сумма]]*Таблица1[[#This Row],[коэф]])),
IF((G652="3/16"),((база!$L$4*Таблица1[[#This Row],[сумма]]*Таблица1[[#This Row],[коэф]])),
IF((G652="4/4"),((база!$I$5*Таблица1[[#This Row],[сумма]]*Таблица1[[#This Row],[коэф]])),
IF(OR(G652="2/4",G652="3/4"),((база!$I$4*Таблица1[[#This Row],[сумма]]*Таблица1[[#This Row],[коэф]])),
IF((G652="5/8"),((база!$J$6*Таблица1[[#This Row],[сумма]]*Таблица1[[#This Row],[коэф]])),
IF((G652="4/8"),((база!$J$5*Таблица1[[#This Row],[сумма]]*Таблица1[[#This Row],[коэф]])),
IF(OR(G652="3/8",G652="2/8"),((база!$J$4*Таблица1[[#This Row],[сумма]]*Таблица1[[#This Row],[коэф]])))))))))))))),
(IF((G652="5/24"),((база!$M$6*Таблица1[[#This Row],[сумма]]*Таблица1[[#This Row],[коэф]])),
IF(OR(G652="4/24",G652="3/24"),((база!$M$5*Таблица1[[#This Row],[сумма]]*Таблица1[[#This Row],[коэф]])),
IF((G652="5/16"),((база!$L$6*Таблица1[[#This Row],[сумма]]*Таблица1[[#This Row],[коэф]])),
IF(OR(G652="4/16",G652="3/16"),((база!$L$5*Таблица1[[#This Row],[сумма]]*Таблица1[[#This Row],[коэф]])),
IF(OR(G652="2/4",G652="3/4",G652="4/4"),((база!$I$5*Таблица1[[#This Row],[сумма]]*Таблица1[[#This Row],[коэф]])),
IF((G652="5/8"),((база!$J$6*Таблица1[[#This Row],[сумма]]*Таблица1[[#This Row],[коэф]])),
IF(OR(G652="4/8",G652="3/8",G652="2/8"),((база!$J$5*Таблица1[[#This Row],[сумма]]*Таблица1[[#This Row],[коэф]])))))))))))</f>
        <v>0</v>
      </c>
      <c r="AP652" s="696" t="b">
        <f>IF(AR652&lt;=3,(IF((G652="5/24"),((база!$M$6*2*Таблица1[[#This Row],[Столбец1]]*Таблица1[[#This Row],[коэф]])),
IF((G652="4/24"),((база!$M$5*2*Таблица1[[#This Row],[Столбец1]]*Таблица1[[#This Row],[коэф]])),
IF((G652="3/24"),((база!$M$4*2*Таблица1[[#This Row],[Столбец1]]*Таблица1[[#This Row],[коэф]])),
IF((G652="5/16"),((база!$L$6*2*Таблица1[[#This Row],[Столбец1]]*Таблица1[[#This Row],[коэф]])),
IF((G652="4/16"),((база!$L$5*2*Таблица1[[#This Row],[Столбец1]]*Таблица1[[#This Row],[коэф]])),
IF((G652="3/16"),((база!$L$4*2*Таблица1[[#This Row],[Столбец1]]*Таблица1[[#This Row],[коэф]])),
IF((G652="4/4"),((база!$I$5*2*Таблица1[[#This Row],[Столбец1]]*Таблица1[[#This Row],[коэф]])),
IF(OR(G652="2/4",G652="3/4"),((база!$I$4*2*Таблица1[[#This Row],[Столбец1]]*Таблица1[[#This Row],[коэф]])),
IF((G652="5/8"),((база!$J$6*2*Таблица1[[#This Row],[Столбец1]]*Таблица1[[#This Row],[коэф]])),
IF((G652="4/8"),((база!$J$5*2*Таблица1[[#This Row],[Столбец1]]*Таблица1[[#This Row],[коэф]])),
IF(OR(G652="3/8",G652="2/8"),((база!$J$4*2*Таблица1[[#This Row],[Столбец1]]*Таблица1[[#This Row],[коэф]])))))))))))))),
(IF((G652="5/24"),((база!$M$6*2*Таблица1[[#This Row],[Столбец1]]*Таблица1[[#This Row],[коэф]])),
IF(OR(G652="4/24",G652="3/24"),((база!$M$5*2*Таблица1[[#This Row],[Столбец1]]*Таблица1[[#This Row],[коэф]])),
IF((G652="5/16"),((база!$L$6*2*Таблица1[[#This Row],[Столбец1]]*Таблица1[[#This Row],[коэф]])),
IF(OR(G652="4/16",G652="3/16"),((база!$L$5*2*Таблица1[[#This Row],[Столбец1]]*Таблица1[[#This Row],[коэф]])),
IF(OR(G652="2/4",G652="3/4",G652="4/4"),((база!$I$5*2*Таблица1[[#This Row],[Столбец1]]*Таблица1[[#This Row],[коэф]])),
IF((G652="5/8"),((база!$J$6*2*Таблица1[[#This Row],[Столбец1]]*Таблица1[[#This Row],[коэф]])),
IF(OR(G652="4/8",G652="3/8",G652="2/8"),((база!$J$5*2*Таблица1[[#This Row],[Столбец1]]*Таблица1[[#This Row],[коэф]])))))))))))</f>
        <v>0</v>
      </c>
      <c r="AQ652" s="678" t="str">
        <f>IFERROR(INDEX(база!T:T, MATCH(F652,база!Q:Q,0)),"")</f>
        <v/>
      </c>
      <c r="AR652" s="193">
        <f>IFERROR(INDEX(база!D:D, MATCH(F652,база!B:B,0)),"")</f>
        <v>0</v>
      </c>
    </row>
    <row r="653" spans="1:44" ht="15">
      <c r="A653" s="59"/>
      <c r="B653" s="215"/>
      <c r="C653" s="277"/>
      <c r="D653" s="55"/>
      <c r="E653" s="196"/>
      <c r="F653" s="651"/>
      <c r="G653" s="42"/>
      <c r="H653" s="539"/>
      <c r="I653" s="539"/>
      <c r="J653" s="539"/>
      <c r="K653" s="539"/>
      <c r="L653" s="539"/>
      <c r="M653" s="539"/>
      <c r="N653" s="539"/>
      <c r="O653" s="539"/>
      <c r="P653" s="278"/>
      <c r="Q653" s="539"/>
      <c r="R653" s="539"/>
      <c r="S653" s="539"/>
      <c r="T653" s="539"/>
      <c r="U653" s="539"/>
      <c r="V653" s="539"/>
      <c r="W653" s="539"/>
      <c r="X653" s="539"/>
      <c r="Y653" s="539"/>
      <c r="Z653" s="539"/>
      <c r="AA653" s="539"/>
      <c r="AB653" s="539"/>
      <c r="AC653" s="539"/>
      <c r="AD653" s="43"/>
      <c r="AE653" s="43"/>
      <c r="AF653" s="238"/>
      <c r="AG653" s="43"/>
      <c r="AH653" s="43"/>
      <c r="AI653" s="238"/>
      <c r="AJ653" s="238"/>
      <c r="AK653" s="238"/>
      <c r="AL653" s="238"/>
      <c r="AM653" s="197">
        <f>IF(AQ653=1,SUM(H653:I653,L653:O653,R653:U653,X653:AA653,AD653:AG653,AI653:AK653),
IF(AQ653=2,SUM(H653:K653,N653:Q653,T653:W653,Z653:AC653,AF653:AI653),
IF(AQ653=3,SUM(J653:M653,P653:S653,V653:Y653,AB653:AE653,AH653:AK653),SUM(Таблица1[[#This Row],[1]:[31]])-Таблица1[[#This Row],[Столбец1]])))</f>
        <v>0</v>
      </c>
      <c r="AN653" s="269">
        <f t="array" ref="AN653">IF(AQ653=1,SUM(J653:K653,P653:Q653,V653:W653,AB653:AC653,AH653:AI653),
IF(AQ653=2,SUM(L653:M653,R653:S653,X653:Y653,AD653:AE653),
IF(AQ653=3,SUM(H653:I653,N653:O653,T653:U653,Z653:AA653,AF653:AG653),
SUM(IFERROR(WEEKDAY($H$2:$AL$2,2)&gt;5,)*H653:AL653))))</f>
        <v>0</v>
      </c>
      <c r="AO653" s="271" t="b">
        <f>IF(AR653&lt;=3,(IF((G653="5/24"),((база!$M$6*Таблица1[[#This Row],[сумма]]*Таблица1[[#This Row],[коэф]])),
IF((G653="4/24"),((база!$M$5*Таблица1[[#This Row],[сумма]]*Таблица1[[#This Row],[коэф]])),
IF((G653="3/24"),((база!$M$4*Таблица1[[#This Row],[сумма]]*Таблица1[[#This Row],[коэф]])),
IF((G653="5/16"),((база!$L$6*Таблица1[[#This Row],[сумма]]*Таблица1[[#This Row],[коэф]])),
IF((G653="4/16"),((база!$L$5*Таблица1[[#This Row],[сумма]]*Таблица1[[#This Row],[коэф]])),
IF((G653="3/16"),((база!$L$4*Таблица1[[#This Row],[сумма]]*Таблица1[[#This Row],[коэф]])),
IF((G653="4/4"),((база!$I$5*Таблица1[[#This Row],[сумма]]*Таблица1[[#This Row],[коэф]])),
IF(OR(G653="2/4",G653="3/4"),((база!$I$4*Таблица1[[#This Row],[сумма]]*Таблица1[[#This Row],[коэф]])),
IF((G653="5/8"),((база!$J$6*Таблица1[[#This Row],[сумма]]*Таблица1[[#This Row],[коэф]])),
IF((G653="4/8"),((база!$J$5*Таблица1[[#This Row],[сумма]]*Таблица1[[#This Row],[коэф]])),
IF(OR(G653="3/8",G653="2/8"),((база!$J$4*Таблица1[[#This Row],[сумма]]*Таблица1[[#This Row],[коэф]])))))))))))))),
(IF((G653="5/24"),((база!$M$6*Таблица1[[#This Row],[сумма]]*Таблица1[[#This Row],[коэф]])),
IF(OR(G653="4/24",G653="3/24"),((база!$M$5*Таблица1[[#This Row],[сумма]]*Таблица1[[#This Row],[коэф]])),
IF((G653="5/16"),((база!$L$6*Таблица1[[#This Row],[сумма]]*Таблица1[[#This Row],[коэф]])),
IF(OR(G653="4/16",G653="3/16"),((база!$L$5*Таблица1[[#This Row],[сумма]]*Таблица1[[#This Row],[коэф]])),
IF(OR(G653="2/4",G653="3/4",G653="4/4"),((база!$I$5*Таблица1[[#This Row],[сумма]]*Таблица1[[#This Row],[коэф]])),
IF((G653="5/8"),((база!$J$6*Таблица1[[#This Row],[сумма]]*Таблица1[[#This Row],[коэф]])),
IF(OR(G653="4/8",G653="3/8",G653="2/8"),((база!$J$5*Таблица1[[#This Row],[сумма]]*Таблица1[[#This Row],[коэф]])))))))))))</f>
        <v>0</v>
      </c>
      <c r="AP653" s="696" t="b">
        <f>IF(AR653&lt;=3,(IF((G653="5/24"),((база!$M$6*2*Таблица1[[#This Row],[Столбец1]]*Таблица1[[#This Row],[коэф]])),
IF((G653="4/24"),((база!$M$5*2*Таблица1[[#This Row],[Столбец1]]*Таблица1[[#This Row],[коэф]])),
IF((G653="3/24"),((база!$M$4*2*Таблица1[[#This Row],[Столбец1]]*Таблица1[[#This Row],[коэф]])),
IF((G653="5/16"),((база!$L$6*2*Таблица1[[#This Row],[Столбец1]]*Таблица1[[#This Row],[коэф]])),
IF((G653="4/16"),((база!$L$5*2*Таблица1[[#This Row],[Столбец1]]*Таблица1[[#This Row],[коэф]])),
IF((G653="3/16"),((база!$L$4*2*Таблица1[[#This Row],[Столбец1]]*Таблица1[[#This Row],[коэф]])),
IF((G653="4/4"),((база!$I$5*2*Таблица1[[#This Row],[Столбец1]]*Таблица1[[#This Row],[коэф]])),
IF(OR(G653="2/4",G653="3/4"),((база!$I$4*2*Таблица1[[#This Row],[Столбец1]]*Таблица1[[#This Row],[коэф]])),
IF((G653="5/8"),((база!$J$6*2*Таблица1[[#This Row],[Столбец1]]*Таблица1[[#This Row],[коэф]])),
IF((G653="4/8"),((база!$J$5*2*Таблица1[[#This Row],[Столбец1]]*Таблица1[[#This Row],[коэф]])),
IF(OR(G653="3/8",G653="2/8"),((база!$J$4*2*Таблица1[[#This Row],[Столбец1]]*Таблица1[[#This Row],[коэф]])))))))))))))),
(IF((G653="5/24"),((база!$M$6*2*Таблица1[[#This Row],[Столбец1]]*Таблица1[[#This Row],[коэф]])),
IF(OR(G653="4/24",G653="3/24"),((база!$M$5*2*Таблица1[[#This Row],[Столбец1]]*Таблица1[[#This Row],[коэф]])),
IF((G653="5/16"),((база!$L$6*2*Таблица1[[#This Row],[Столбец1]]*Таблица1[[#This Row],[коэф]])),
IF(OR(G653="4/16",G653="3/16"),((база!$L$5*2*Таблица1[[#This Row],[Столбец1]]*Таблица1[[#This Row],[коэф]])),
IF(OR(G653="2/4",G653="3/4",G653="4/4"),((база!$I$5*2*Таблица1[[#This Row],[Столбец1]]*Таблица1[[#This Row],[коэф]])),
IF((G653="5/8"),((база!$J$6*2*Таблица1[[#This Row],[Столбец1]]*Таблица1[[#This Row],[коэф]])),
IF(OR(G653="4/8",G653="3/8",G653="2/8"),((база!$J$5*2*Таблица1[[#This Row],[Столбец1]]*Таблица1[[#This Row],[коэф]])))))))))))</f>
        <v>0</v>
      </c>
      <c r="AQ653" s="678" t="str">
        <f>IFERROR(INDEX(база!T:T, MATCH(F653,база!Q:Q,0)),"")</f>
        <v/>
      </c>
      <c r="AR653" s="193">
        <f>IFERROR(INDEX(база!D:D, MATCH(F653,база!B:B,0)),"")</f>
        <v>0</v>
      </c>
    </row>
    <row r="654" spans="1:44" ht="15">
      <c r="A654" s="59"/>
      <c r="B654" s="215"/>
      <c r="C654" s="54"/>
      <c r="D654" s="55"/>
      <c r="E654" s="196"/>
      <c r="F654" s="651"/>
      <c r="G654" s="42"/>
      <c r="H654" s="539"/>
      <c r="I654" s="539"/>
      <c r="J654" s="539"/>
      <c r="K654" s="539"/>
      <c r="L654" s="539"/>
      <c r="M654" s="539"/>
      <c r="N654" s="539"/>
      <c r="O654" s="539"/>
      <c r="P654" s="278"/>
      <c r="Q654" s="539"/>
      <c r="R654" s="539"/>
      <c r="S654" s="539"/>
      <c r="T654" s="539"/>
      <c r="U654" s="539"/>
      <c r="V654" s="539"/>
      <c r="W654" s="539"/>
      <c r="X654" s="539"/>
      <c r="Y654" s="539"/>
      <c r="Z654" s="539"/>
      <c r="AA654" s="539"/>
      <c r="AB654" s="539"/>
      <c r="AC654" s="539"/>
      <c r="AD654" s="43"/>
      <c r="AE654" s="43"/>
      <c r="AF654" s="238"/>
      <c r="AG654" s="43"/>
      <c r="AH654" s="43"/>
      <c r="AI654" s="43"/>
      <c r="AJ654" s="43"/>
      <c r="AK654" s="43"/>
      <c r="AL654" s="45"/>
      <c r="AM654" s="197">
        <f>IF(AQ654=1,SUM(H654:I654,L654:O654,R654:U654,X654:AA654,AD654:AG654,AI654:AK654),
IF(AQ654=2,SUM(H654:K654,N654:Q654,T654:W654,Z654:AC654,AF654:AI654),
IF(AQ654=3,SUM(J654:M654,P654:S654,V654:Y654,AB654:AE654,AH654:AK654),SUM(Таблица1[[#This Row],[1]:[31]])-Таблица1[[#This Row],[Столбец1]])))</f>
        <v>0</v>
      </c>
      <c r="AN654" s="269">
        <f t="array" ref="AN654">IF(AQ654=1,SUM(J654:K654,P654:Q654,V654:W654,AB654:AC654,AH654:AI654),
IF(AQ654=2,SUM(L654:M654,R654:S654,X654:Y654,AD654:AE654),
IF(AQ654=3,SUM(H654:I654,N654:O654,T654:U654,Z654:AA654,AF654:AG654),
SUM(IFERROR(WEEKDAY($H$2:$AL$2,2)&gt;5,)*H654:AL654))))</f>
        <v>0</v>
      </c>
      <c r="AO654" s="271" t="b">
        <f>IF(AR654&lt;=3,(IF((G654="5/24"),((база!$M$6*Таблица1[[#This Row],[сумма]]*Таблица1[[#This Row],[коэф]])),
IF((G654="4/24"),((база!$M$5*Таблица1[[#This Row],[сумма]]*Таблица1[[#This Row],[коэф]])),
IF((G654="3/24"),((база!$M$4*Таблица1[[#This Row],[сумма]]*Таблица1[[#This Row],[коэф]])),
IF((G654="5/16"),((база!$L$6*Таблица1[[#This Row],[сумма]]*Таблица1[[#This Row],[коэф]])),
IF((G654="4/16"),((база!$L$5*Таблица1[[#This Row],[сумма]]*Таблица1[[#This Row],[коэф]])),
IF((G654="3/16"),((база!$L$4*Таблица1[[#This Row],[сумма]]*Таблица1[[#This Row],[коэф]])),
IF((G654="4/4"),((база!$I$5*Таблица1[[#This Row],[сумма]]*Таблица1[[#This Row],[коэф]])),
IF(OR(G654="2/4",G654="3/4"),((база!$I$4*Таблица1[[#This Row],[сумма]]*Таблица1[[#This Row],[коэф]])),
IF((G654="5/8"),((база!$J$6*Таблица1[[#This Row],[сумма]]*Таблица1[[#This Row],[коэф]])),
IF((G654="4/8"),((база!$J$5*Таблица1[[#This Row],[сумма]]*Таблица1[[#This Row],[коэф]])),
IF(OR(G654="3/8",G654="2/8"),((база!$J$4*Таблица1[[#This Row],[сумма]]*Таблица1[[#This Row],[коэф]])))))))))))))),
(IF((G654="5/24"),((база!$M$6*Таблица1[[#This Row],[сумма]]*Таблица1[[#This Row],[коэф]])),
IF(OR(G654="4/24",G654="3/24"),((база!$M$5*Таблица1[[#This Row],[сумма]]*Таблица1[[#This Row],[коэф]])),
IF((G654="5/16"),((база!$L$6*Таблица1[[#This Row],[сумма]]*Таблица1[[#This Row],[коэф]])),
IF(OR(G654="4/16",G654="3/16"),((база!$L$5*Таблица1[[#This Row],[сумма]]*Таблица1[[#This Row],[коэф]])),
IF(OR(G654="2/4",G654="3/4",G654="4/4"),((база!$I$5*Таблица1[[#This Row],[сумма]]*Таблица1[[#This Row],[коэф]])),
IF((G654="5/8"),((база!$J$6*Таблица1[[#This Row],[сумма]]*Таблица1[[#This Row],[коэф]])),
IF(OR(G654="4/8",G654="3/8",G654="2/8"),((база!$J$5*Таблица1[[#This Row],[сумма]]*Таблица1[[#This Row],[коэф]])))))))))))</f>
        <v>0</v>
      </c>
      <c r="AP654" s="696" t="b">
        <f>IF(AR654&lt;=3,(IF((G654="5/24"),((база!$M$6*2*Таблица1[[#This Row],[Столбец1]]*Таблица1[[#This Row],[коэф]])),
IF((G654="4/24"),((база!$M$5*2*Таблица1[[#This Row],[Столбец1]]*Таблица1[[#This Row],[коэф]])),
IF((G654="3/24"),((база!$M$4*2*Таблица1[[#This Row],[Столбец1]]*Таблица1[[#This Row],[коэф]])),
IF((G654="5/16"),((база!$L$6*2*Таблица1[[#This Row],[Столбец1]]*Таблица1[[#This Row],[коэф]])),
IF((G654="4/16"),((база!$L$5*2*Таблица1[[#This Row],[Столбец1]]*Таблица1[[#This Row],[коэф]])),
IF((G654="3/16"),((база!$L$4*2*Таблица1[[#This Row],[Столбец1]]*Таблица1[[#This Row],[коэф]])),
IF((G654="4/4"),((база!$I$5*2*Таблица1[[#This Row],[Столбец1]]*Таблица1[[#This Row],[коэф]])),
IF(OR(G654="2/4",G654="3/4"),((база!$I$4*2*Таблица1[[#This Row],[Столбец1]]*Таблица1[[#This Row],[коэф]])),
IF((G654="5/8"),((база!$J$6*2*Таблица1[[#This Row],[Столбец1]]*Таблица1[[#This Row],[коэф]])),
IF((G654="4/8"),((база!$J$5*2*Таблица1[[#This Row],[Столбец1]]*Таблица1[[#This Row],[коэф]])),
IF(OR(G654="3/8",G654="2/8"),((база!$J$4*2*Таблица1[[#This Row],[Столбец1]]*Таблица1[[#This Row],[коэф]])))))))))))))),
(IF((G654="5/24"),((база!$M$6*2*Таблица1[[#This Row],[Столбец1]]*Таблица1[[#This Row],[коэф]])),
IF(OR(G654="4/24",G654="3/24"),((база!$M$5*2*Таблица1[[#This Row],[Столбец1]]*Таблица1[[#This Row],[коэф]])),
IF((G654="5/16"),((база!$L$6*2*Таблица1[[#This Row],[Столбец1]]*Таблица1[[#This Row],[коэф]])),
IF(OR(G654="4/16",G654="3/16"),((база!$L$5*2*Таблица1[[#This Row],[Столбец1]]*Таблица1[[#This Row],[коэф]])),
IF(OR(G654="2/4",G654="3/4",G654="4/4"),((база!$I$5*2*Таблица1[[#This Row],[Столбец1]]*Таблица1[[#This Row],[коэф]])),
IF((G654="5/8"),((база!$J$6*2*Таблица1[[#This Row],[Столбец1]]*Таблица1[[#This Row],[коэф]])),
IF(OR(G654="4/8",G654="3/8",G654="2/8"),((база!$J$5*2*Таблица1[[#This Row],[Столбец1]]*Таблица1[[#This Row],[коэф]])))))))))))</f>
        <v>0</v>
      </c>
      <c r="AQ654" s="678" t="str">
        <f>IFERROR(INDEX(база!T:T, MATCH(F654,база!Q:Q,0)),"")</f>
        <v/>
      </c>
      <c r="AR654" s="193">
        <f>IFERROR(INDEX(база!D:D, MATCH(F654,база!B:B,0)),"")</f>
        <v>0</v>
      </c>
    </row>
    <row r="655" spans="1:44" ht="15">
      <c r="A655" s="59"/>
      <c r="B655" s="215"/>
      <c r="C655" s="277"/>
      <c r="D655" s="55"/>
      <c r="E655" s="196"/>
      <c r="F655" s="651"/>
      <c r="G655" s="42"/>
      <c r="H655" s="539"/>
      <c r="I655" s="539"/>
      <c r="J655" s="539"/>
      <c r="K655" s="539"/>
      <c r="L655" s="539"/>
      <c r="M655" s="539"/>
      <c r="N655" s="539"/>
      <c r="O655" s="539"/>
      <c r="P655" s="278"/>
      <c r="Q655" s="539"/>
      <c r="R655" s="539"/>
      <c r="S655" s="539"/>
      <c r="T655" s="539"/>
      <c r="U655" s="539"/>
      <c r="V655" s="539"/>
      <c r="W655" s="539"/>
      <c r="X655" s="539"/>
      <c r="Y655" s="539"/>
      <c r="Z655" s="539"/>
      <c r="AA655" s="539"/>
      <c r="AB655" s="539"/>
      <c r="AC655" s="539"/>
      <c r="AD655" s="43"/>
      <c r="AE655" s="43"/>
      <c r="AF655" s="238"/>
      <c r="AG655" s="43"/>
      <c r="AH655" s="43"/>
      <c r="AI655" s="238"/>
      <c r="AJ655" s="238"/>
      <c r="AK655" s="238"/>
      <c r="AL655" s="238"/>
      <c r="AM655" s="197">
        <f>IF(AQ655=1,SUM(H655:I655,L655:O655,R655:U655,X655:AA655,AD655:AG655,AI655:AK655),
IF(AQ655=2,SUM(H655:K655,N655:Q655,T655:W655,Z655:AC655,AF655:AI655),
IF(AQ655=3,SUM(J655:M655,P655:S655,V655:Y655,AB655:AE655,AH655:AK655),SUM(Таблица1[[#This Row],[1]:[31]])-Таблица1[[#This Row],[Столбец1]])))</f>
        <v>0</v>
      </c>
      <c r="AN655" s="269">
        <f t="array" ref="AN655">IF(AQ655=1,SUM(J655:K655,P655:Q655,V655:W655,AB655:AC655,AH655:AI655),
IF(AQ655=2,SUM(L655:M655,R655:S655,X655:Y655,AD655:AE655),
IF(AQ655=3,SUM(H655:I655,N655:O655,T655:U655,Z655:AA655,AF655:AG655),
SUM(IFERROR(WEEKDAY($H$2:$AL$2,2)&gt;5,)*H655:AL655))))</f>
        <v>0</v>
      </c>
      <c r="AO655" s="271" t="b">
        <f>IF(AR655&lt;=3,(IF((G655="5/24"),((база!$M$6*Таблица1[[#This Row],[сумма]]*Таблица1[[#This Row],[коэф]])),
IF((G655="4/24"),((база!$M$5*Таблица1[[#This Row],[сумма]]*Таблица1[[#This Row],[коэф]])),
IF((G655="3/24"),((база!$M$4*Таблица1[[#This Row],[сумма]]*Таблица1[[#This Row],[коэф]])),
IF((G655="5/16"),((база!$L$6*Таблица1[[#This Row],[сумма]]*Таблица1[[#This Row],[коэф]])),
IF((G655="4/16"),((база!$L$5*Таблица1[[#This Row],[сумма]]*Таблица1[[#This Row],[коэф]])),
IF((G655="3/16"),((база!$L$4*Таблица1[[#This Row],[сумма]]*Таблица1[[#This Row],[коэф]])),
IF((G655="4/4"),((база!$I$5*Таблица1[[#This Row],[сумма]]*Таблица1[[#This Row],[коэф]])),
IF(OR(G655="2/4",G655="3/4"),((база!$I$4*Таблица1[[#This Row],[сумма]]*Таблица1[[#This Row],[коэф]])),
IF((G655="5/8"),((база!$J$6*Таблица1[[#This Row],[сумма]]*Таблица1[[#This Row],[коэф]])),
IF((G655="4/8"),((база!$J$5*Таблица1[[#This Row],[сумма]]*Таблица1[[#This Row],[коэф]])),
IF(OR(G655="3/8",G655="2/8"),((база!$J$4*Таблица1[[#This Row],[сумма]]*Таблица1[[#This Row],[коэф]])))))))))))))),
(IF((G655="5/24"),((база!$M$6*Таблица1[[#This Row],[сумма]]*Таблица1[[#This Row],[коэф]])),
IF(OR(G655="4/24",G655="3/24"),((база!$M$5*Таблица1[[#This Row],[сумма]]*Таблица1[[#This Row],[коэф]])),
IF((G655="5/16"),((база!$L$6*Таблица1[[#This Row],[сумма]]*Таблица1[[#This Row],[коэф]])),
IF(OR(G655="4/16",G655="3/16"),((база!$L$5*Таблица1[[#This Row],[сумма]]*Таблица1[[#This Row],[коэф]])),
IF(OR(G655="2/4",G655="3/4",G655="4/4"),((база!$I$5*Таблица1[[#This Row],[сумма]]*Таблица1[[#This Row],[коэф]])),
IF((G655="5/8"),((база!$J$6*Таблица1[[#This Row],[сумма]]*Таблица1[[#This Row],[коэф]])),
IF(OR(G655="4/8",G655="3/8",G655="2/8"),((база!$J$5*Таблица1[[#This Row],[сумма]]*Таблица1[[#This Row],[коэф]])))))))))))</f>
        <v>0</v>
      </c>
      <c r="AP655" s="696" t="b">
        <f>IF(AR655&lt;=3,(IF((G655="5/24"),((база!$M$6*2*Таблица1[[#This Row],[Столбец1]]*Таблица1[[#This Row],[коэф]])),
IF((G655="4/24"),((база!$M$5*2*Таблица1[[#This Row],[Столбец1]]*Таблица1[[#This Row],[коэф]])),
IF((G655="3/24"),((база!$M$4*2*Таблица1[[#This Row],[Столбец1]]*Таблица1[[#This Row],[коэф]])),
IF((G655="5/16"),((база!$L$6*2*Таблица1[[#This Row],[Столбец1]]*Таблица1[[#This Row],[коэф]])),
IF((G655="4/16"),((база!$L$5*2*Таблица1[[#This Row],[Столбец1]]*Таблица1[[#This Row],[коэф]])),
IF((G655="3/16"),((база!$L$4*2*Таблица1[[#This Row],[Столбец1]]*Таблица1[[#This Row],[коэф]])),
IF((G655="4/4"),((база!$I$5*2*Таблица1[[#This Row],[Столбец1]]*Таблица1[[#This Row],[коэф]])),
IF(OR(G655="2/4",G655="3/4"),((база!$I$4*2*Таблица1[[#This Row],[Столбец1]]*Таблица1[[#This Row],[коэф]])),
IF((G655="5/8"),((база!$J$6*2*Таблица1[[#This Row],[Столбец1]]*Таблица1[[#This Row],[коэф]])),
IF((G655="4/8"),((база!$J$5*2*Таблица1[[#This Row],[Столбец1]]*Таблица1[[#This Row],[коэф]])),
IF(OR(G655="3/8",G655="2/8"),((база!$J$4*2*Таблица1[[#This Row],[Столбец1]]*Таблица1[[#This Row],[коэф]])))))))))))))),
(IF((G655="5/24"),((база!$M$6*2*Таблица1[[#This Row],[Столбец1]]*Таблица1[[#This Row],[коэф]])),
IF(OR(G655="4/24",G655="3/24"),((база!$M$5*2*Таблица1[[#This Row],[Столбец1]]*Таблица1[[#This Row],[коэф]])),
IF((G655="5/16"),((база!$L$6*2*Таблица1[[#This Row],[Столбец1]]*Таблица1[[#This Row],[коэф]])),
IF(OR(G655="4/16",G655="3/16"),((база!$L$5*2*Таблица1[[#This Row],[Столбец1]]*Таблица1[[#This Row],[коэф]])),
IF(OR(G655="2/4",G655="3/4",G655="4/4"),((база!$I$5*2*Таблица1[[#This Row],[Столбец1]]*Таблица1[[#This Row],[коэф]])),
IF((G655="5/8"),((база!$J$6*2*Таблица1[[#This Row],[Столбец1]]*Таблица1[[#This Row],[коэф]])),
IF(OR(G655="4/8",G655="3/8",G655="2/8"),((база!$J$5*2*Таблица1[[#This Row],[Столбец1]]*Таблица1[[#This Row],[коэф]])))))))))))</f>
        <v>0</v>
      </c>
      <c r="AQ655" s="678" t="str">
        <f>IFERROR(INDEX(база!T:T, MATCH(F655,база!Q:Q,0)),"")</f>
        <v/>
      </c>
      <c r="AR655" s="193">
        <f>IFERROR(INDEX(база!D:D, MATCH(F655,база!B:B,0)),"")</f>
        <v>0</v>
      </c>
    </row>
    <row r="656" spans="1:44" ht="15">
      <c r="A656" s="59"/>
      <c r="B656" s="215"/>
      <c r="C656" s="277"/>
      <c r="D656" s="55"/>
      <c r="E656" s="196"/>
      <c r="F656" s="651"/>
      <c r="G656" s="42"/>
      <c r="H656" s="539"/>
      <c r="I656" s="539"/>
      <c r="J656" s="539"/>
      <c r="K656" s="539"/>
      <c r="L656" s="539"/>
      <c r="M656" s="539"/>
      <c r="N656" s="539"/>
      <c r="O656" s="539"/>
      <c r="P656" s="278"/>
      <c r="Q656" s="539"/>
      <c r="R656" s="539"/>
      <c r="S656" s="539"/>
      <c r="T656" s="539"/>
      <c r="U656" s="539"/>
      <c r="V656" s="539"/>
      <c r="W656" s="539"/>
      <c r="X656" s="539"/>
      <c r="Y656" s="539"/>
      <c r="Z656" s="539"/>
      <c r="AA656" s="539"/>
      <c r="AB656" s="539"/>
      <c r="AC656" s="539"/>
      <c r="AD656" s="43"/>
      <c r="AE656" s="43"/>
      <c r="AF656" s="238"/>
      <c r="AG656" s="43"/>
      <c r="AH656" s="43"/>
      <c r="AI656" s="43"/>
      <c r="AJ656" s="43"/>
      <c r="AK656" s="43"/>
      <c r="AL656" s="45"/>
      <c r="AM656" s="197">
        <f>IF(AQ656=1,SUM(H656:I656,L656:O656,R656:U656,X656:AA656,AD656:AG656,AI656:AK656),
IF(AQ656=2,SUM(H656:K656,N656:Q656,T656:W656,Z656:AC656,AF656:AI656),
IF(AQ656=3,SUM(J656:M656,P656:S656,V656:Y656,AB656:AE656,AH656:AK656),SUM(Таблица1[[#This Row],[1]:[31]])-Таблица1[[#This Row],[Столбец1]])))</f>
        <v>0</v>
      </c>
      <c r="AN656" s="269">
        <f t="array" ref="AN656">IF(AQ656=1,SUM(J656:K656,P656:Q656,V656:W656,AB656:AC656,AH656:AI656),
IF(AQ656=2,SUM(L656:M656,R656:S656,X656:Y656,AD656:AE656),
IF(AQ656=3,SUM(H656:I656,N656:O656,T656:U656,Z656:AA656,AF656:AG656),
SUM(IFERROR(WEEKDAY($H$2:$AL$2,2)&gt;5,)*H656:AL656))))</f>
        <v>0</v>
      </c>
      <c r="AO656" s="271" t="b">
        <f>IF(AR656&lt;=3,(IF((G656="5/24"),((база!$M$6*Таблица1[[#This Row],[сумма]]*Таблица1[[#This Row],[коэф]])),
IF((G656="4/24"),((база!$M$5*Таблица1[[#This Row],[сумма]]*Таблица1[[#This Row],[коэф]])),
IF((G656="3/24"),((база!$M$4*Таблица1[[#This Row],[сумма]]*Таблица1[[#This Row],[коэф]])),
IF((G656="5/16"),((база!$L$6*Таблица1[[#This Row],[сумма]]*Таблица1[[#This Row],[коэф]])),
IF((G656="4/16"),((база!$L$5*Таблица1[[#This Row],[сумма]]*Таблица1[[#This Row],[коэф]])),
IF((G656="3/16"),((база!$L$4*Таблица1[[#This Row],[сумма]]*Таблица1[[#This Row],[коэф]])),
IF((G656="4/4"),((база!$I$5*Таблица1[[#This Row],[сумма]]*Таблица1[[#This Row],[коэф]])),
IF(OR(G656="2/4",G656="3/4"),((база!$I$4*Таблица1[[#This Row],[сумма]]*Таблица1[[#This Row],[коэф]])),
IF((G656="5/8"),((база!$J$6*Таблица1[[#This Row],[сумма]]*Таблица1[[#This Row],[коэф]])),
IF((G656="4/8"),((база!$J$5*Таблица1[[#This Row],[сумма]]*Таблица1[[#This Row],[коэф]])),
IF(OR(G656="3/8",G656="2/8"),((база!$J$4*Таблица1[[#This Row],[сумма]]*Таблица1[[#This Row],[коэф]])))))))))))))),
(IF((G656="5/24"),((база!$M$6*Таблица1[[#This Row],[сумма]]*Таблица1[[#This Row],[коэф]])),
IF(OR(G656="4/24",G656="3/24"),((база!$M$5*Таблица1[[#This Row],[сумма]]*Таблица1[[#This Row],[коэф]])),
IF((G656="5/16"),((база!$L$6*Таблица1[[#This Row],[сумма]]*Таблица1[[#This Row],[коэф]])),
IF(OR(G656="4/16",G656="3/16"),((база!$L$5*Таблица1[[#This Row],[сумма]]*Таблица1[[#This Row],[коэф]])),
IF(OR(G656="2/4",G656="3/4",G656="4/4"),((база!$I$5*Таблица1[[#This Row],[сумма]]*Таблица1[[#This Row],[коэф]])),
IF((G656="5/8"),((база!$J$6*Таблица1[[#This Row],[сумма]]*Таблица1[[#This Row],[коэф]])),
IF(OR(G656="4/8",G656="3/8",G656="2/8"),((база!$J$5*Таблица1[[#This Row],[сумма]]*Таблица1[[#This Row],[коэф]])))))))))))</f>
        <v>0</v>
      </c>
      <c r="AP656" s="696" t="b">
        <f>IF(AR656&lt;=3,(IF((G656="5/24"),((база!$M$6*2*Таблица1[[#This Row],[Столбец1]]*Таблица1[[#This Row],[коэф]])),
IF((G656="4/24"),((база!$M$5*2*Таблица1[[#This Row],[Столбец1]]*Таблица1[[#This Row],[коэф]])),
IF((G656="3/24"),((база!$M$4*2*Таблица1[[#This Row],[Столбец1]]*Таблица1[[#This Row],[коэф]])),
IF((G656="5/16"),((база!$L$6*2*Таблица1[[#This Row],[Столбец1]]*Таблица1[[#This Row],[коэф]])),
IF((G656="4/16"),((база!$L$5*2*Таблица1[[#This Row],[Столбец1]]*Таблица1[[#This Row],[коэф]])),
IF((G656="3/16"),((база!$L$4*2*Таблица1[[#This Row],[Столбец1]]*Таблица1[[#This Row],[коэф]])),
IF((G656="4/4"),((база!$I$5*2*Таблица1[[#This Row],[Столбец1]]*Таблица1[[#This Row],[коэф]])),
IF(OR(G656="2/4",G656="3/4"),((база!$I$4*2*Таблица1[[#This Row],[Столбец1]]*Таблица1[[#This Row],[коэф]])),
IF((G656="5/8"),((база!$J$6*2*Таблица1[[#This Row],[Столбец1]]*Таблица1[[#This Row],[коэф]])),
IF((G656="4/8"),((база!$J$5*2*Таблица1[[#This Row],[Столбец1]]*Таблица1[[#This Row],[коэф]])),
IF(OR(G656="3/8",G656="2/8"),((база!$J$4*2*Таблица1[[#This Row],[Столбец1]]*Таблица1[[#This Row],[коэф]])))))))))))))),
(IF((G656="5/24"),((база!$M$6*2*Таблица1[[#This Row],[Столбец1]]*Таблица1[[#This Row],[коэф]])),
IF(OR(G656="4/24",G656="3/24"),((база!$M$5*2*Таблица1[[#This Row],[Столбец1]]*Таблица1[[#This Row],[коэф]])),
IF((G656="5/16"),((база!$L$6*2*Таблица1[[#This Row],[Столбец1]]*Таблица1[[#This Row],[коэф]])),
IF(OR(G656="4/16",G656="3/16"),((база!$L$5*2*Таблица1[[#This Row],[Столбец1]]*Таблица1[[#This Row],[коэф]])),
IF(OR(G656="2/4",G656="3/4",G656="4/4"),((база!$I$5*2*Таблица1[[#This Row],[Столбец1]]*Таблица1[[#This Row],[коэф]])),
IF((G656="5/8"),((база!$J$6*2*Таблица1[[#This Row],[Столбец1]]*Таблица1[[#This Row],[коэф]])),
IF(OR(G656="4/8",G656="3/8",G656="2/8"),((база!$J$5*2*Таблица1[[#This Row],[Столбец1]]*Таблица1[[#This Row],[коэф]])))))))))))</f>
        <v>0</v>
      </c>
      <c r="AQ656" s="678" t="str">
        <f>IFERROR(INDEX(база!T:T, MATCH(F656,база!Q:Q,0)),"")</f>
        <v/>
      </c>
      <c r="AR656" s="193">
        <f>IFERROR(INDEX(база!D:D, MATCH(F656,база!B:B,0)),"")</f>
        <v>0</v>
      </c>
    </row>
    <row r="657" spans="1:44" ht="15">
      <c r="A657" s="59"/>
      <c r="B657" s="215"/>
      <c r="C657" s="277"/>
      <c r="D657" s="55"/>
      <c r="E657" s="196"/>
      <c r="F657" s="651"/>
      <c r="G657" s="42"/>
      <c r="H657" s="539"/>
      <c r="I657" s="539"/>
      <c r="J657" s="539"/>
      <c r="K657" s="539"/>
      <c r="L657" s="539"/>
      <c r="M657" s="539"/>
      <c r="N657" s="539"/>
      <c r="O657" s="539"/>
      <c r="P657" s="278"/>
      <c r="Q657" s="539"/>
      <c r="R657" s="539"/>
      <c r="S657" s="539"/>
      <c r="T657" s="539"/>
      <c r="U657" s="539"/>
      <c r="V657" s="539"/>
      <c r="W657" s="539"/>
      <c r="X657" s="539"/>
      <c r="Y657" s="539"/>
      <c r="Z657" s="539"/>
      <c r="AA657" s="539"/>
      <c r="AB657" s="539"/>
      <c r="AC657" s="539"/>
      <c r="AD657" s="43"/>
      <c r="AE657" s="43"/>
      <c r="AF657" s="238"/>
      <c r="AG657" s="43"/>
      <c r="AH657" s="43"/>
      <c r="AI657" s="238"/>
      <c r="AJ657" s="238"/>
      <c r="AK657" s="238"/>
      <c r="AL657" s="238"/>
      <c r="AM657" s="197">
        <f>IF(AQ657=1,SUM(H657:I657,L657:O657,R657:U657,X657:AA657,AD657:AG657,AI657:AK657),
IF(AQ657=2,SUM(H657:K657,N657:Q657,T657:W657,Z657:AC657,AF657:AI657),
IF(AQ657=3,SUM(J657:M657,P657:S657,V657:Y657,AB657:AE657,AH657:AK657),SUM(Таблица1[[#This Row],[1]:[31]])-Таблица1[[#This Row],[Столбец1]])))</f>
        <v>0</v>
      </c>
      <c r="AN657" s="269">
        <f t="array" ref="AN657">IF(AQ657=1,SUM(J657:K657,P657:Q657,V657:W657,AB657:AC657,AH657:AI657),
IF(AQ657=2,SUM(L657:M657,R657:S657,X657:Y657,AD657:AE657),
IF(AQ657=3,SUM(H657:I657,N657:O657,T657:U657,Z657:AA657,AF657:AG657),
SUM(IFERROR(WEEKDAY($H$2:$AL$2,2)&gt;5,)*H657:AL657))))</f>
        <v>0</v>
      </c>
      <c r="AO657" s="271" t="b">
        <f>IF(AR657&lt;=3,(IF((G657="5/24"),((база!$M$6*Таблица1[[#This Row],[сумма]]*Таблица1[[#This Row],[коэф]])),
IF((G657="4/24"),((база!$M$5*Таблица1[[#This Row],[сумма]]*Таблица1[[#This Row],[коэф]])),
IF((G657="3/24"),((база!$M$4*Таблица1[[#This Row],[сумма]]*Таблица1[[#This Row],[коэф]])),
IF((G657="5/16"),((база!$L$6*Таблица1[[#This Row],[сумма]]*Таблица1[[#This Row],[коэф]])),
IF((G657="4/16"),((база!$L$5*Таблица1[[#This Row],[сумма]]*Таблица1[[#This Row],[коэф]])),
IF((G657="3/16"),((база!$L$4*Таблица1[[#This Row],[сумма]]*Таблица1[[#This Row],[коэф]])),
IF((G657="4/4"),((база!$I$5*Таблица1[[#This Row],[сумма]]*Таблица1[[#This Row],[коэф]])),
IF(OR(G657="2/4",G657="3/4"),((база!$I$4*Таблица1[[#This Row],[сумма]]*Таблица1[[#This Row],[коэф]])),
IF((G657="5/8"),((база!$J$6*Таблица1[[#This Row],[сумма]]*Таблица1[[#This Row],[коэф]])),
IF((G657="4/8"),((база!$J$5*Таблица1[[#This Row],[сумма]]*Таблица1[[#This Row],[коэф]])),
IF(OR(G657="3/8",G657="2/8"),((база!$J$4*Таблица1[[#This Row],[сумма]]*Таблица1[[#This Row],[коэф]])))))))))))))),
(IF((G657="5/24"),((база!$M$6*Таблица1[[#This Row],[сумма]]*Таблица1[[#This Row],[коэф]])),
IF(OR(G657="4/24",G657="3/24"),((база!$M$5*Таблица1[[#This Row],[сумма]]*Таблица1[[#This Row],[коэф]])),
IF((G657="5/16"),((база!$L$6*Таблица1[[#This Row],[сумма]]*Таблица1[[#This Row],[коэф]])),
IF(OR(G657="4/16",G657="3/16"),((база!$L$5*Таблица1[[#This Row],[сумма]]*Таблица1[[#This Row],[коэф]])),
IF(OR(G657="2/4",G657="3/4",G657="4/4"),((база!$I$5*Таблица1[[#This Row],[сумма]]*Таблица1[[#This Row],[коэф]])),
IF((G657="5/8"),((база!$J$6*Таблица1[[#This Row],[сумма]]*Таблица1[[#This Row],[коэф]])),
IF(OR(G657="4/8",G657="3/8",G657="2/8"),((база!$J$5*Таблица1[[#This Row],[сумма]]*Таблица1[[#This Row],[коэф]])))))))))))</f>
        <v>0</v>
      </c>
      <c r="AP657" s="696" t="b">
        <f>IF(AR657&lt;=3,(IF((G657="5/24"),((база!$M$6*2*Таблица1[[#This Row],[Столбец1]]*Таблица1[[#This Row],[коэф]])),
IF((G657="4/24"),((база!$M$5*2*Таблица1[[#This Row],[Столбец1]]*Таблица1[[#This Row],[коэф]])),
IF((G657="3/24"),((база!$M$4*2*Таблица1[[#This Row],[Столбец1]]*Таблица1[[#This Row],[коэф]])),
IF((G657="5/16"),((база!$L$6*2*Таблица1[[#This Row],[Столбец1]]*Таблица1[[#This Row],[коэф]])),
IF((G657="4/16"),((база!$L$5*2*Таблица1[[#This Row],[Столбец1]]*Таблица1[[#This Row],[коэф]])),
IF((G657="3/16"),((база!$L$4*2*Таблица1[[#This Row],[Столбец1]]*Таблица1[[#This Row],[коэф]])),
IF((G657="4/4"),((база!$I$5*2*Таблица1[[#This Row],[Столбец1]]*Таблица1[[#This Row],[коэф]])),
IF(OR(G657="2/4",G657="3/4"),((база!$I$4*2*Таблица1[[#This Row],[Столбец1]]*Таблица1[[#This Row],[коэф]])),
IF((G657="5/8"),((база!$J$6*2*Таблица1[[#This Row],[Столбец1]]*Таблица1[[#This Row],[коэф]])),
IF((G657="4/8"),((база!$J$5*2*Таблица1[[#This Row],[Столбец1]]*Таблица1[[#This Row],[коэф]])),
IF(OR(G657="3/8",G657="2/8"),((база!$J$4*2*Таблица1[[#This Row],[Столбец1]]*Таблица1[[#This Row],[коэф]])))))))))))))),
(IF((G657="5/24"),((база!$M$6*2*Таблица1[[#This Row],[Столбец1]]*Таблица1[[#This Row],[коэф]])),
IF(OR(G657="4/24",G657="3/24"),((база!$M$5*2*Таблица1[[#This Row],[Столбец1]]*Таблица1[[#This Row],[коэф]])),
IF((G657="5/16"),((база!$L$6*2*Таблица1[[#This Row],[Столбец1]]*Таблица1[[#This Row],[коэф]])),
IF(OR(G657="4/16",G657="3/16"),((база!$L$5*2*Таблица1[[#This Row],[Столбец1]]*Таблица1[[#This Row],[коэф]])),
IF(OR(G657="2/4",G657="3/4",G657="4/4"),((база!$I$5*2*Таблица1[[#This Row],[Столбец1]]*Таблица1[[#This Row],[коэф]])),
IF((G657="5/8"),((база!$J$6*2*Таблица1[[#This Row],[Столбец1]]*Таблица1[[#This Row],[коэф]])),
IF(OR(G657="4/8",G657="3/8",G657="2/8"),((база!$J$5*2*Таблица1[[#This Row],[Столбец1]]*Таблица1[[#This Row],[коэф]])))))))))))</f>
        <v>0</v>
      </c>
      <c r="AQ657" s="678" t="str">
        <f>IFERROR(INDEX(база!T:T, MATCH(F657,база!Q:Q,0)),"")</f>
        <v/>
      </c>
      <c r="AR657" s="193">
        <f>IFERROR(INDEX(база!D:D, MATCH(F657,база!B:B,0)),"")</f>
        <v>0</v>
      </c>
    </row>
    <row r="658" spans="1:44" ht="15">
      <c r="A658" s="59"/>
      <c r="B658" s="215"/>
      <c r="C658" s="277"/>
      <c r="D658" s="55"/>
      <c r="E658" s="196"/>
      <c r="F658" s="651"/>
      <c r="G658" s="42"/>
      <c r="H658" s="539"/>
      <c r="I658" s="539"/>
      <c r="J658" s="539"/>
      <c r="K658" s="539"/>
      <c r="L658" s="539"/>
      <c r="M658" s="539"/>
      <c r="N658" s="539"/>
      <c r="O658" s="539"/>
      <c r="P658" s="278"/>
      <c r="Q658" s="539"/>
      <c r="R658" s="539"/>
      <c r="S658" s="539"/>
      <c r="T658" s="539"/>
      <c r="U658" s="539"/>
      <c r="V658" s="539"/>
      <c r="W658" s="539"/>
      <c r="X658" s="539"/>
      <c r="Y658" s="539"/>
      <c r="Z658" s="539"/>
      <c r="AA658" s="539"/>
      <c r="AB658" s="539"/>
      <c r="AC658" s="539"/>
      <c r="AD658" s="43"/>
      <c r="AE658" s="43"/>
      <c r="AF658" s="238"/>
      <c r="AG658" s="43"/>
      <c r="AH658" s="43"/>
      <c r="AI658" s="43"/>
      <c r="AJ658" s="43"/>
      <c r="AK658" s="43"/>
      <c r="AL658" s="45"/>
      <c r="AM658" s="197">
        <f>IF(AQ658=1,SUM(H658:I658,L658:O658,R658:U658,X658:AA658,AD658:AG658,AI658:AK658),
IF(AQ658=2,SUM(H658:K658,N658:Q658,T658:W658,Z658:AC658,AF658:AI658),
IF(AQ658=3,SUM(J658:M658,P658:S658,V658:Y658,AB658:AE658,AH658:AK658),SUM(Таблица1[[#This Row],[1]:[31]])-Таблица1[[#This Row],[Столбец1]])))</f>
        <v>0</v>
      </c>
      <c r="AN658" s="269">
        <f t="array" ref="AN658">IF(AQ658=1,SUM(J658:K658,P658:Q658,V658:W658,AB658:AC658,AH658:AI658),
IF(AQ658=2,SUM(L658:M658,R658:S658,X658:Y658,AD658:AE658),
IF(AQ658=3,SUM(H658:I658,N658:O658,T658:U658,Z658:AA658,AF658:AG658),
SUM(IFERROR(WEEKDAY($H$2:$AL$2,2)&gt;5,)*H658:AL658))))</f>
        <v>0</v>
      </c>
      <c r="AO658" s="271" t="b">
        <f>IF(AR658&lt;=3,(IF((G658="5/24"),((база!$M$6*Таблица1[[#This Row],[сумма]]*Таблица1[[#This Row],[коэф]])),
IF((G658="4/24"),((база!$M$5*Таблица1[[#This Row],[сумма]]*Таблица1[[#This Row],[коэф]])),
IF((G658="3/24"),((база!$M$4*Таблица1[[#This Row],[сумма]]*Таблица1[[#This Row],[коэф]])),
IF((G658="5/16"),((база!$L$6*Таблица1[[#This Row],[сумма]]*Таблица1[[#This Row],[коэф]])),
IF((G658="4/16"),((база!$L$5*Таблица1[[#This Row],[сумма]]*Таблица1[[#This Row],[коэф]])),
IF((G658="3/16"),((база!$L$4*Таблица1[[#This Row],[сумма]]*Таблица1[[#This Row],[коэф]])),
IF((G658="4/4"),((база!$I$5*Таблица1[[#This Row],[сумма]]*Таблица1[[#This Row],[коэф]])),
IF(OR(G658="2/4",G658="3/4"),((база!$I$4*Таблица1[[#This Row],[сумма]]*Таблица1[[#This Row],[коэф]])),
IF((G658="5/8"),((база!$J$6*Таблица1[[#This Row],[сумма]]*Таблица1[[#This Row],[коэф]])),
IF((G658="4/8"),((база!$J$5*Таблица1[[#This Row],[сумма]]*Таблица1[[#This Row],[коэф]])),
IF(OR(G658="3/8",G658="2/8"),((база!$J$4*Таблица1[[#This Row],[сумма]]*Таблица1[[#This Row],[коэф]])))))))))))))),
(IF((G658="5/24"),((база!$M$6*Таблица1[[#This Row],[сумма]]*Таблица1[[#This Row],[коэф]])),
IF(OR(G658="4/24",G658="3/24"),((база!$M$5*Таблица1[[#This Row],[сумма]]*Таблица1[[#This Row],[коэф]])),
IF((G658="5/16"),((база!$L$6*Таблица1[[#This Row],[сумма]]*Таблица1[[#This Row],[коэф]])),
IF(OR(G658="4/16",G658="3/16"),((база!$L$5*Таблица1[[#This Row],[сумма]]*Таблица1[[#This Row],[коэф]])),
IF(OR(G658="2/4",G658="3/4",G658="4/4"),((база!$I$5*Таблица1[[#This Row],[сумма]]*Таблица1[[#This Row],[коэф]])),
IF((G658="5/8"),((база!$J$6*Таблица1[[#This Row],[сумма]]*Таблица1[[#This Row],[коэф]])),
IF(OR(G658="4/8",G658="3/8",G658="2/8"),((база!$J$5*Таблица1[[#This Row],[сумма]]*Таблица1[[#This Row],[коэф]])))))))))))</f>
        <v>0</v>
      </c>
      <c r="AP658" s="696" t="b">
        <f>IF(AR658&lt;=3,(IF((G658="5/24"),((база!$M$6*2*Таблица1[[#This Row],[Столбец1]]*Таблица1[[#This Row],[коэф]])),
IF((G658="4/24"),((база!$M$5*2*Таблица1[[#This Row],[Столбец1]]*Таблица1[[#This Row],[коэф]])),
IF((G658="3/24"),((база!$M$4*2*Таблица1[[#This Row],[Столбец1]]*Таблица1[[#This Row],[коэф]])),
IF((G658="5/16"),((база!$L$6*2*Таблица1[[#This Row],[Столбец1]]*Таблица1[[#This Row],[коэф]])),
IF((G658="4/16"),((база!$L$5*2*Таблица1[[#This Row],[Столбец1]]*Таблица1[[#This Row],[коэф]])),
IF((G658="3/16"),((база!$L$4*2*Таблица1[[#This Row],[Столбец1]]*Таблица1[[#This Row],[коэф]])),
IF((G658="4/4"),((база!$I$5*2*Таблица1[[#This Row],[Столбец1]]*Таблица1[[#This Row],[коэф]])),
IF(OR(G658="2/4",G658="3/4"),((база!$I$4*2*Таблица1[[#This Row],[Столбец1]]*Таблица1[[#This Row],[коэф]])),
IF((G658="5/8"),((база!$J$6*2*Таблица1[[#This Row],[Столбец1]]*Таблица1[[#This Row],[коэф]])),
IF((G658="4/8"),((база!$J$5*2*Таблица1[[#This Row],[Столбец1]]*Таблица1[[#This Row],[коэф]])),
IF(OR(G658="3/8",G658="2/8"),((база!$J$4*2*Таблица1[[#This Row],[Столбец1]]*Таблица1[[#This Row],[коэф]])))))))))))))),
(IF((G658="5/24"),((база!$M$6*2*Таблица1[[#This Row],[Столбец1]]*Таблица1[[#This Row],[коэф]])),
IF(OR(G658="4/24",G658="3/24"),((база!$M$5*2*Таблица1[[#This Row],[Столбец1]]*Таблица1[[#This Row],[коэф]])),
IF((G658="5/16"),((база!$L$6*2*Таблица1[[#This Row],[Столбец1]]*Таблица1[[#This Row],[коэф]])),
IF(OR(G658="4/16",G658="3/16"),((база!$L$5*2*Таблица1[[#This Row],[Столбец1]]*Таблица1[[#This Row],[коэф]])),
IF(OR(G658="2/4",G658="3/4",G658="4/4"),((база!$I$5*2*Таблица1[[#This Row],[Столбец1]]*Таблица1[[#This Row],[коэф]])),
IF((G658="5/8"),((база!$J$6*2*Таблица1[[#This Row],[Столбец1]]*Таблица1[[#This Row],[коэф]])),
IF(OR(G658="4/8",G658="3/8",G658="2/8"),((база!$J$5*2*Таблица1[[#This Row],[Столбец1]]*Таблица1[[#This Row],[коэф]])))))))))))</f>
        <v>0</v>
      </c>
      <c r="AQ658" s="678" t="str">
        <f>IFERROR(INDEX(база!T:T, MATCH(F658,база!Q:Q,0)),"")</f>
        <v/>
      </c>
      <c r="AR658" s="193">
        <f>IFERROR(INDEX(база!D:D, MATCH(F658,база!B:B,0)),"")</f>
        <v>0</v>
      </c>
    </row>
    <row r="659" spans="1:44" ht="15">
      <c r="A659" s="59"/>
      <c r="B659" s="215"/>
      <c r="C659" s="54"/>
      <c r="D659" s="55"/>
      <c r="E659" s="196"/>
      <c r="F659" s="651"/>
      <c r="G659" s="42"/>
      <c r="H659" s="539"/>
      <c r="I659" s="539"/>
      <c r="J659" s="539"/>
      <c r="K659" s="539"/>
      <c r="L659" s="539"/>
      <c r="M659" s="539"/>
      <c r="N659" s="539"/>
      <c r="O659" s="539"/>
      <c r="P659" s="278"/>
      <c r="Q659" s="539"/>
      <c r="R659" s="539"/>
      <c r="S659" s="539"/>
      <c r="T659" s="539"/>
      <c r="U659" s="539"/>
      <c r="V659" s="539"/>
      <c r="W659" s="539"/>
      <c r="X659" s="539"/>
      <c r="Y659" s="539"/>
      <c r="Z659" s="539"/>
      <c r="AA659" s="539"/>
      <c r="AB659" s="539"/>
      <c r="AC659" s="539"/>
      <c r="AD659" s="43"/>
      <c r="AE659" s="43"/>
      <c r="AF659" s="238"/>
      <c r="AG659" s="43"/>
      <c r="AH659" s="43"/>
      <c r="AI659" s="238"/>
      <c r="AJ659" s="238"/>
      <c r="AK659" s="238"/>
      <c r="AL659" s="238"/>
      <c r="AM659" s="197">
        <f>IF(AQ659=1,SUM(H659:I659,L659:O659,R659:U659,X659:AA659,AD659:AG659,AI659:AK659),
IF(AQ659=2,SUM(H659:K659,N659:Q659,T659:W659,Z659:AC659,AF659:AI659),
IF(AQ659=3,SUM(J659:M659,P659:S659,V659:Y659,AB659:AE659,AH659:AK659),SUM(Таблица1[[#This Row],[1]:[31]])-Таблица1[[#This Row],[Столбец1]])))</f>
        <v>0</v>
      </c>
      <c r="AN659" s="269">
        <f t="array" ref="AN659">IF(AQ659=1,SUM(J659:K659,P659:Q659,V659:W659,AB659:AC659,AH659:AI659),
IF(AQ659=2,SUM(L659:M659,R659:S659,X659:Y659,AD659:AE659),
IF(AQ659=3,SUM(H659:I659,N659:O659,T659:U659,Z659:AA659,AF659:AG659),
SUM(IFERROR(WEEKDAY($H$2:$AL$2,2)&gt;5,)*H659:AL659))))</f>
        <v>0</v>
      </c>
      <c r="AO659" s="271" t="b">
        <f>IF(AR659&lt;=3,(IF((G659="5/24"),((база!$M$6*Таблица1[[#This Row],[сумма]]*Таблица1[[#This Row],[коэф]])),
IF((G659="4/24"),((база!$M$5*Таблица1[[#This Row],[сумма]]*Таблица1[[#This Row],[коэф]])),
IF((G659="3/24"),((база!$M$4*Таблица1[[#This Row],[сумма]]*Таблица1[[#This Row],[коэф]])),
IF((G659="5/16"),((база!$L$6*Таблица1[[#This Row],[сумма]]*Таблица1[[#This Row],[коэф]])),
IF((G659="4/16"),((база!$L$5*Таблица1[[#This Row],[сумма]]*Таблица1[[#This Row],[коэф]])),
IF((G659="3/16"),((база!$L$4*Таблица1[[#This Row],[сумма]]*Таблица1[[#This Row],[коэф]])),
IF((G659="4/4"),((база!$I$5*Таблица1[[#This Row],[сумма]]*Таблица1[[#This Row],[коэф]])),
IF(OR(G659="2/4",G659="3/4"),((база!$I$4*Таблица1[[#This Row],[сумма]]*Таблица1[[#This Row],[коэф]])),
IF((G659="5/8"),((база!$J$6*Таблица1[[#This Row],[сумма]]*Таблица1[[#This Row],[коэф]])),
IF((G659="4/8"),((база!$J$5*Таблица1[[#This Row],[сумма]]*Таблица1[[#This Row],[коэф]])),
IF(OR(G659="3/8",G659="2/8"),((база!$J$4*Таблица1[[#This Row],[сумма]]*Таблица1[[#This Row],[коэф]])))))))))))))),
(IF((G659="5/24"),((база!$M$6*Таблица1[[#This Row],[сумма]]*Таблица1[[#This Row],[коэф]])),
IF(OR(G659="4/24",G659="3/24"),((база!$M$5*Таблица1[[#This Row],[сумма]]*Таблица1[[#This Row],[коэф]])),
IF((G659="5/16"),((база!$L$6*Таблица1[[#This Row],[сумма]]*Таблица1[[#This Row],[коэф]])),
IF(OR(G659="4/16",G659="3/16"),((база!$L$5*Таблица1[[#This Row],[сумма]]*Таблица1[[#This Row],[коэф]])),
IF(OR(G659="2/4",G659="3/4",G659="4/4"),((база!$I$5*Таблица1[[#This Row],[сумма]]*Таблица1[[#This Row],[коэф]])),
IF((G659="5/8"),((база!$J$6*Таблица1[[#This Row],[сумма]]*Таблица1[[#This Row],[коэф]])),
IF(OR(G659="4/8",G659="3/8",G659="2/8"),((база!$J$5*Таблица1[[#This Row],[сумма]]*Таблица1[[#This Row],[коэф]])))))))))))</f>
        <v>0</v>
      </c>
      <c r="AP659" s="696" t="b">
        <f>IF(AR659&lt;=3,(IF((G659="5/24"),((база!$M$6*2*Таблица1[[#This Row],[Столбец1]]*Таблица1[[#This Row],[коэф]])),
IF((G659="4/24"),((база!$M$5*2*Таблица1[[#This Row],[Столбец1]]*Таблица1[[#This Row],[коэф]])),
IF((G659="3/24"),((база!$M$4*2*Таблица1[[#This Row],[Столбец1]]*Таблица1[[#This Row],[коэф]])),
IF((G659="5/16"),((база!$L$6*2*Таблица1[[#This Row],[Столбец1]]*Таблица1[[#This Row],[коэф]])),
IF((G659="4/16"),((база!$L$5*2*Таблица1[[#This Row],[Столбец1]]*Таблица1[[#This Row],[коэф]])),
IF((G659="3/16"),((база!$L$4*2*Таблица1[[#This Row],[Столбец1]]*Таблица1[[#This Row],[коэф]])),
IF((G659="4/4"),((база!$I$5*2*Таблица1[[#This Row],[Столбец1]]*Таблица1[[#This Row],[коэф]])),
IF(OR(G659="2/4",G659="3/4"),((база!$I$4*2*Таблица1[[#This Row],[Столбец1]]*Таблица1[[#This Row],[коэф]])),
IF((G659="5/8"),((база!$J$6*2*Таблица1[[#This Row],[Столбец1]]*Таблица1[[#This Row],[коэф]])),
IF((G659="4/8"),((база!$J$5*2*Таблица1[[#This Row],[Столбец1]]*Таблица1[[#This Row],[коэф]])),
IF(OR(G659="3/8",G659="2/8"),((база!$J$4*2*Таблица1[[#This Row],[Столбец1]]*Таблица1[[#This Row],[коэф]])))))))))))))),
(IF((G659="5/24"),((база!$M$6*2*Таблица1[[#This Row],[Столбец1]]*Таблица1[[#This Row],[коэф]])),
IF(OR(G659="4/24",G659="3/24"),((база!$M$5*2*Таблица1[[#This Row],[Столбец1]]*Таблица1[[#This Row],[коэф]])),
IF((G659="5/16"),((база!$L$6*2*Таблица1[[#This Row],[Столбец1]]*Таблица1[[#This Row],[коэф]])),
IF(OR(G659="4/16",G659="3/16"),((база!$L$5*2*Таблица1[[#This Row],[Столбец1]]*Таблица1[[#This Row],[коэф]])),
IF(OR(G659="2/4",G659="3/4",G659="4/4"),((база!$I$5*2*Таблица1[[#This Row],[Столбец1]]*Таблица1[[#This Row],[коэф]])),
IF((G659="5/8"),((база!$J$6*2*Таблица1[[#This Row],[Столбец1]]*Таблица1[[#This Row],[коэф]])),
IF(OR(G659="4/8",G659="3/8",G659="2/8"),((база!$J$5*2*Таблица1[[#This Row],[Столбец1]]*Таблица1[[#This Row],[коэф]])))))))))))</f>
        <v>0</v>
      </c>
      <c r="AQ659" s="678" t="str">
        <f>IFERROR(INDEX(база!T:T, MATCH(F659,база!Q:Q,0)),"")</f>
        <v/>
      </c>
      <c r="AR659" s="193">
        <f>IFERROR(INDEX(база!D:D, MATCH(F659,база!B:B,0)),"")</f>
        <v>0</v>
      </c>
    </row>
    <row r="660" spans="1:44" ht="15">
      <c r="A660" s="59"/>
      <c r="B660" s="215"/>
      <c r="C660" s="277"/>
      <c r="D660" s="55"/>
      <c r="E660" s="196"/>
      <c r="F660" s="651"/>
      <c r="G660" s="42"/>
      <c r="H660" s="539"/>
      <c r="I660" s="539"/>
      <c r="J660" s="539"/>
      <c r="K660" s="539"/>
      <c r="L660" s="539"/>
      <c r="M660" s="539"/>
      <c r="N660" s="539"/>
      <c r="O660" s="539"/>
      <c r="P660" s="278"/>
      <c r="Q660" s="539"/>
      <c r="R660" s="539"/>
      <c r="S660" s="539"/>
      <c r="T660" s="539"/>
      <c r="U660" s="539"/>
      <c r="V660" s="539"/>
      <c r="W660" s="539"/>
      <c r="X660" s="539"/>
      <c r="Y660" s="539"/>
      <c r="Z660" s="539"/>
      <c r="AA660" s="539"/>
      <c r="AB660" s="539"/>
      <c r="AC660" s="539"/>
      <c r="AD660" s="43"/>
      <c r="AE660" s="43"/>
      <c r="AF660" s="238"/>
      <c r="AG660" s="43"/>
      <c r="AH660" s="43"/>
      <c r="AI660" s="43"/>
      <c r="AJ660" s="43"/>
      <c r="AK660" s="43"/>
      <c r="AL660" s="45"/>
      <c r="AM660" s="197">
        <f>IF(AQ660=1,SUM(H660:I660,L660:O660,R660:U660,X660:AA660,AD660:AG660,AI660:AK660),
IF(AQ660=2,SUM(H660:K660,N660:Q660,T660:W660,Z660:AC660,AF660:AI660),
IF(AQ660=3,SUM(J660:M660,P660:S660,V660:Y660,AB660:AE660,AH660:AK660),SUM(Таблица1[[#This Row],[1]:[31]])-Таблица1[[#This Row],[Столбец1]])))</f>
        <v>0</v>
      </c>
      <c r="AN660" s="269">
        <f t="array" ref="AN660">IF(AQ660=1,SUM(J660:K660,P660:Q660,V660:W660,AB660:AC660,AH660:AI660),
IF(AQ660=2,SUM(L660:M660,R660:S660,X660:Y660,AD660:AE660),
IF(AQ660=3,SUM(H660:I660,N660:O660,T660:U660,Z660:AA660,AF660:AG660),
SUM(IFERROR(WEEKDAY($H$2:$AL$2,2)&gt;5,)*H660:AL660))))</f>
        <v>0</v>
      </c>
      <c r="AO660" s="271" t="b">
        <f>IF(AR660&lt;=3,(IF((G660="5/24"),((база!$M$6*Таблица1[[#This Row],[сумма]]*Таблица1[[#This Row],[коэф]])),
IF((G660="4/24"),((база!$M$5*Таблица1[[#This Row],[сумма]]*Таблица1[[#This Row],[коэф]])),
IF((G660="3/24"),((база!$M$4*Таблица1[[#This Row],[сумма]]*Таблица1[[#This Row],[коэф]])),
IF((G660="5/16"),((база!$L$6*Таблица1[[#This Row],[сумма]]*Таблица1[[#This Row],[коэф]])),
IF((G660="4/16"),((база!$L$5*Таблица1[[#This Row],[сумма]]*Таблица1[[#This Row],[коэф]])),
IF((G660="3/16"),((база!$L$4*Таблица1[[#This Row],[сумма]]*Таблица1[[#This Row],[коэф]])),
IF((G660="4/4"),((база!$I$5*Таблица1[[#This Row],[сумма]]*Таблица1[[#This Row],[коэф]])),
IF(OR(G660="2/4",G660="3/4"),((база!$I$4*Таблица1[[#This Row],[сумма]]*Таблица1[[#This Row],[коэф]])),
IF((G660="5/8"),((база!$J$6*Таблица1[[#This Row],[сумма]]*Таблица1[[#This Row],[коэф]])),
IF((G660="4/8"),((база!$J$5*Таблица1[[#This Row],[сумма]]*Таблица1[[#This Row],[коэф]])),
IF(OR(G660="3/8",G660="2/8"),((база!$J$4*Таблица1[[#This Row],[сумма]]*Таблица1[[#This Row],[коэф]])))))))))))))),
(IF((G660="5/24"),((база!$M$6*Таблица1[[#This Row],[сумма]]*Таблица1[[#This Row],[коэф]])),
IF(OR(G660="4/24",G660="3/24"),((база!$M$5*Таблица1[[#This Row],[сумма]]*Таблица1[[#This Row],[коэф]])),
IF((G660="5/16"),((база!$L$6*Таблица1[[#This Row],[сумма]]*Таблица1[[#This Row],[коэф]])),
IF(OR(G660="4/16",G660="3/16"),((база!$L$5*Таблица1[[#This Row],[сумма]]*Таблица1[[#This Row],[коэф]])),
IF(OR(G660="2/4",G660="3/4",G660="4/4"),((база!$I$5*Таблица1[[#This Row],[сумма]]*Таблица1[[#This Row],[коэф]])),
IF((G660="5/8"),((база!$J$6*Таблица1[[#This Row],[сумма]]*Таблица1[[#This Row],[коэф]])),
IF(OR(G660="4/8",G660="3/8",G660="2/8"),((база!$J$5*Таблица1[[#This Row],[сумма]]*Таблица1[[#This Row],[коэф]])))))))))))</f>
        <v>0</v>
      </c>
      <c r="AP660" s="696" t="b">
        <f>IF(AR660&lt;=3,(IF((G660="5/24"),((база!$M$6*2*Таблица1[[#This Row],[Столбец1]]*Таблица1[[#This Row],[коэф]])),
IF((G660="4/24"),((база!$M$5*2*Таблица1[[#This Row],[Столбец1]]*Таблица1[[#This Row],[коэф]])),
IF((G660="3/24"),((база!$M$4*2*Таблица1[[#This Row],[Столбец1]]*Таблица1[[#This Row],[коэф]])),
IF((G660="5/16"),((база!$L$6*2*Таблица1[[#This Row],[Столбец1]]*Таблица1[[#This Row],[коэф]])),
IF((G660="4/16"),((база!$L$5*2*Таблица1[[#This Row],[Столбец1]]*Таблица1[[#This Row],[коэф]])),
IF((G660="3/16"),((база!$L$4*2*Таблица1[[#This Row],[Столбец1]]*Таблица1[[#This Row],[коэф]])),
IF((G660="4/4"),((база!$I$5*2*Таблица1[[#This Row],[Столбец1]]*Таблица1[[#This Row],[коэф]])),
IF(OR(G660="2/4",G660="3/4"),((база!$I$4*2*Таблица1[[#This Row],[Столбец1]]*Таблица1[[#This Row],[коэф]])),
IF((G660="5/8"),((база!$J$6*2*Таблица1[[#This Row],[Столбец1]]*Таблица1[[#This Row],[коэф]])),
IF((G660="4/8"),((база!$J$5*2*Таблица1[[#This Row],[Столбец1]]*Таблица1[[#This Row],[коэф]])),
IF(OR(G660="3/8",G660="2/8"),((база!$J$4*2*Таблица1[[#This Row],[Столбец1]]*Таблица1[[#This Row],[коэф]])))))))))))))),
(IF((G660="5/24"),((база!$M$6*2*Таблица1[[#This Row],[Столбец1]]*Таблица1[[#This Row],[коэф]])),
IF(OR(G660="4/24",G660="3/24"),((база!$M$5*2*Таблица1[[#This Row],[Столбец1]]*Таблица1[[#This Row],[коэф]])),
IF((G660="5/16"),((база!$L$6*2*Таблица1[[#This Row],[Столбец1]]*Таблица1[[#This Row],[коэф]])),
IF(OR(G660="4/16",G660="3/16"),((база!$L$5*2*Таблица1[[#This Row],[Столбец1]]*Таблица1[[#This Row],[коэф]])),
IF(OR(G660="2/4",G660="3/4",G660="4/4"),((база!$I$5*2*Таблица1[[#This Row],[Столбец1]]*Таблица1[[#This Row],[коэф]])),
IF((G660="5/8"),((база!$J$6*2*Таблица1[[#This Row],[Столбец1]]*Таблица1[[#This Row],[коэф]])),
IF(OR(G660="4/8",G660="3/8",G660="2/8"),((база!$J$5*2*Таблица1[[#This Row],[Столбец1]]*Таблица1[[#This Row],[коэф]])))))))))))</f>
        <v>0</v>
      </c>
      <c r="AQ660" s="678" t="str">
        <f>IFERROR(INDEX(база!T:T, MATCH(F660,база!Q:Q,0)),"")</f>
        <v/>
      </c>
      <c r="AR660" s="193">
        <f>IFERROR(INDEX(база!D:D, MATCH(F660,база!B:B,0)),"")</f>
        <v>0</v>
      </c>
    </row>
    <row r="661" spans="1:44" ht="15">
      <c r="A661" s="59"/>
      <c r="B661" s="215"/>
      <c r="C661" s="277"/>
      <c r="D661" s="55"/>
      <c r="E661" s="196"/>
      <c r="F661" s="651"/>
      <c r="G661" s="42"/>
      <c r="H661" s="539"/>
      <c r="I661" s="539"/>
      <c r="J661" s="539"/>
      <c r="K661" s="539"/>
      <c r="L661" s="539"/>
      <c r="M661" s="539"/>
      <c r="N661" s="539"/>
      <c r="O661" s="539"/>
      <c r="P661" s="278"/>
      <c r="Q661" s="539"/>
      <c r="R661" s="539"/>
      <c r="S661" s="539"/>
      <c r="T661" s="539"/>
      <c r="U661" s="539"/>
      <c r="V661" s="539"/>
      <c r="W661" s="539"/>
      <c r="X661" s="539"/>
      <c r="Y661" s="539"/>
      <c r="Z661" s="539"/>
      <c r="AA661" s="539"/>
      <c r="AB661" s="539"/>
      <c r="AC661" s="539"/>
      <c r="AD661" s="43"/>
      <c r="AE661" s="43"/>
      <c r="AF661" s="238"/>
      <c r="AG661" s="43"/>
      <c r="AH661" s="43"/>
      <c r="AI661" s="238"/>
      <c r="AJ661" s="238"/>
      <c r="AK661" s="238"/>
      <c r="AL661" s="238"/>
      <c r="AM661" s="197">
        <f>IF(AQ661=1,SUM(H661:I661,L661:O661,R661:U661,X661:AA661,AD661:AG661,AI661:AK661),
IF(AQ661=2,SUM(H661:K661,N661:Q661,T661:W661,Z661:AC661,AF661:AI661),
IF(AQ661=3,SUM(J661:M661,P661:S661,V661:Y661,AB661:AE661,AH661:AK661),SUM(Таблица1[[#This Row],[1]:[31]])-Таблица1[[#This Row],[Столбец1]])))</f>
        <v>0</v>
      </c>
      <c r="AN661" s="269">
        <f t="array" ref="AN661">IF(AQ661=1,SUM(J661:K661,P661:Q661,V661:W661,AB661:AC661,AH661:AI661),
IF(AQ661=2,SUM(L661:M661,R661:S661,X661:Y661,AD661:AE661),
IF(AQ661=3,SUM(H661:I661,N661:O661,T661:U661,Z661:AA661,AF661:AG661),
SUM(IFERROR(WEEKDAY($H$2:$AL$2,2)&gt;5,)*H661:AL661))))</f>
        <v>0</v>
      </c>
      <c r="AO661" s="271" t="b">
        <f>IF(AR661&lt;=3,(IF((G661="5/24"),((база!$M$6*Таблица1[[#This Row],[сумма]]*Таблица1[[#This Row],[коэф]])),
IF((G661="4/24"),((база!$M$5*Таблица1[[#This Row],[сумма]]*Таблица1[[#This Row],[коэф]])),
IF((G661="3/24"),((база!$M$4*Таблица1[[#This Row],[сумма]]*Таблица1[[#This Row],[коэф]])),
IF((G661="5/16"),((база!$L$6*Таблица1[[#This Row],[сумма]]*Таблица1[[#This Row],[коэф]])),
IF((G661="4/16"),((база!$L$5*Таблица1[[#This Row],[сумма]]*Таблица1[[#This Row],[коэф]])),
IF((G661="3/16"),((база!$L$4*Таблица1[[#This Row],[сумма]]*Таблица1[[#This Row],[коэф]])),
IF((G661="4/4"),((база!$I$5*Таблица1[[#This Row],[сумма]]*Таблица1[[#This Row],[коэф]])),
IF(OR(G661="2/4",G661="3/4"),((база!$I$4*Таблица1[[#This Row],[сумма]]*Таблица1[[#This Row],[коэф]])),
IF((G661="5/8"),((база!$J$6*Таблица1[[#This Row],[сумма]]*Таблица1[[#This Row],[коэф]])),
IF((G661="4/8"),((база!$J$5*Таблица1[[#This Row],[сумма]]*Таблица1[[#This Row],[коэф]])),
IF(OR(G661="3/8",G661="2/8"),((база!$J$4*Таблица1[[#This Row],[сумма]]*Таблица1[[#This Row],[коэф]])))))))))))))),
(IF((G661="5/24"),((база!$M$6*Таблица1[[#This Row],[сумма]]*Таблица1[[#This Row],[коэф]])),
IF(OR(G661="4/24",G661="3/24"),((база!$M$5*Таблица1[[#This Row],[сумма]]*Таблица1[[#This Row],[коэф]])),
IF((G661="5/16"),((база!$L$6*Таблица1[[#This Row],[сумма]]*Таблица1[[#This Row],[коэф]])),
IF(OR(G661="4/16",G661="3/16"),((база!$L$5*Таблица1[[#This Row],[сумма]]*Таблица1[[#This Row],[коэф]])),
IF(OR(G661="2/4",G661="3/4",G661="4/4"),((база!$I$5*Таблица1[[#This Row],[сумма]]*Таблица1[[#This Row],[коэф]])),
IF((G661="5/8"),((база!$J$6*Таблица1[[#This Row],[сумма]]*Таблица1[[#This Row],[коэф]])),
IF(OR(G661="4/8",G661="3/8",G661="2/8"),((база!$J$5*Таблица1[[#This Row],[сумма]]*Таблица1[[#This Row],[коэф]])))))))))))</f>
        <v>0</v>
      </c>
      <c r="AP661" s="696" t="b">
        <f>IF(AR661&lt;=3,(IF((G661="5/24"),((база!$M$6*2*Таблица1[[#This Row],[Столбец1]]*Таблица1[[#This Row],[коэф]])),
IF((G661="4/24"),((база!$M$5*2*Таблица1[[#This Row],[Столбец1]]*Таблица1[[#This Row],[коэф]])),
IF((G661="3/24"),((база!$M$4*2*Таблица1[[#This Row],[Столбец1]]*Таблица1[[#This Row],[коэф]])),
IF((G661="5/16"),((база!$L$6*2*Таблица1[[#This Row],[Столбец1]]*Таблица1[[#This Row],[коэф]])),
IF((G661="4/16"),((база!$L$5*2*Таблица1[[#This Row],[Столбец1]]*Таблица1[[#This Row],[коэф]])),
IF((G661="3/16"),((база!$L$4*2*Таблица1[[#This Row],[Столбец1]]*Таблица1[[#This Row],[коэф]])),
IF((G661="4/4"),((база!$I$5*2*Таблица1[[#This Row],[Столбец1]]*Таблица1[[#This Row],[коэф]])),
IF(OR(G661="2/4",G661="3/4"),((база!$I$4*2*Таблица1[[#This Row],[Столбец1]]*Таблица1[[#This Row],[коэф]])),
IF((G661="5/8"),((база!$J$6*2*Таблица1[[#This Row],[Столбец1]]*Таблица1[[#This Row],[коэф]])),
IF((G661="4/8"),((база!$J$5*2*Таблица1[[#This Row],[Столбец1]]*Таблица1[[#This Row],[коэф]])),
IF(OR(G661="3/8",G661="2/8"),((база!$J$4*2*Таблица1[[#This Row],[Столбец1]]*Таблица1[[#This Row],[коэф]])))))))))))))),
(IF((G661="5/24"),((база!$M$6*2*Таблица1[[#This Row],[Столбец1]]*Таблица1[[#This Row],[коэф]])),
IF(OR(G661="4/24",G661="3/24"),((база!$M$5*2*Таблица1[[#This Row],[Столбец1]]*Таблица1[[#This Row],[коэф]])),
IF((G661="5/16"),((база!$L$6*2*Таблица1[[#This Row],[Столбец1]]*Таблица1[[#This Row],[коэф]])),
IF(OR(G661="4/16",G661="3/16"),((база!$L$5*2*Таблица1[[#This Row],[Столбец1]]*Таблица1[[#This Row],[коэф]])),
IF(OR(G661="2/4",G661="3/4",G661="4/4"),((база!$I$5*2*Таблица1[[#This Row],[Столбец1]]*Таблица1[[#This Row],[коэф]])),
IF((G661="5/8"),((база!$J$6*2*Таблица1[[#This Row],[Столбец1]]*Таблица1[[#This Row],[коэф]])),
IF(OR(G661="4/8",G661="3/8",G661="2/8"),((база!$J$5*2*Таблица1[[#This Row],[Столбец1]]*Таблица1[[#This Row],[коэф]])))))))))))</f>
        <v>0</v>
      </c>
      <c r="AQ661" s="678" t="str">
        <f>IFERROR(INDEX(база!T:T, MATCH(F661,база!Q:Q,0)),"")</f>
        <v/>
      </c>
      <c r="AR661" s="193">
        <f>IFERROR(INDEX(база!D:D, MATCH(F661,база!B:B,0)),"")</f>
        <v>0</v>
      </c>
    </row>
    <row r="662" spans="1:44" ht="15">
      <c r="A662" s="59"/>
      <c r="B662" s="215"/>
      <c r="C662" s="277"/>
      <c r="D662" s="55"/>
      <c r="E662" s="196"/>
      <c r="F662" s="651"/>
      <c r="G662" s="42"/>
      <c r="H662" s="539"/>
      <c r="I662" s="539"/>
      <c r="J662" s="539"/>
      <c r="K662" s="539"/>
      <c r="L662" s="539"/>
      <c r="M662" s="539"/>
      <c r="N662" s="539"/>
      <c r="O662" s="539"/>
      <c r="P662" s="278"/>
      <c r="Q662" s="539"/>
      <c r="R662" s="539"/>
      <c r="S662" s="539"/>
      <c r="T662" s="539"/>
      <c r="U662" s="539"/>
      <c r="V662" s="539"/>
      <c r="W662" s="539"/>
      <c r="X662" s="539"/>
      <c r="Y662" s="539"/>
      <c r="Z662" s="539"/>
      <c r="AA662" s="539"/>
      <c r="AB662" s="539"/>
      <c r="AC662" s="539"/>
      <c r="AD662" s="43"/>
      <c r="AE662" s="43"/>
      <c r="AF662" s="238"/>
      <c r="AG662" s="43"/>
      <c r="AH662" s="43"/>
      <c r="AI662" s="43"/>
      <c r="AJ662" s="43"/>
      <c r="AK662" s="43"/>
      <c r="AL662" s="45"/>
      <c r="AM662" s="197">
        <f>IF(AQ662=1,SUM(H662:I662,L662:O662,R662:U662,X662:AA662,AD662:AG662,AI662:AK662),
IF(AQ662=2,SUM(H662:K662,N662:Q662,T662:W662,Z662:AC662,AF662:AI662),
IF(AQ662=3,SUM(J662:M662,P662:S662,V662:Y662,AB662:AE662,AH662:AK662),SUM(Таблица1[[#This Row],[1]:[31]])-Таблица1[[#This Row],[Столбец1]])))</f>
        <v>0</v>
      </c>
      <c r="AN662" s="269">
        <f t="array" ref="AN662">IF(AQ662=1,SUM(J662:K662,P662:Q662,V662:W662,AB662:AC662,AH662:AI662),
IF(AQ662=2,SUM(L662:M662,R662:S662,X662:Y662,AD662:AE662),
IF(AQ662=3,SUM(H662:I662,N662:O662,T662:U662,Z662:AA662,AF662:AG662),
SUM(IFERROR(WEEKDAY($H$2:$AL$2,2)&gt;5,)*H662:AL662))))</f>
        <v>0</v>
      </c>
      <c r="AO662" s="271" t="b">
        <f>IF(AR662&lt;=3,(IF((G662="5/24"),((база!$M$6*Таблица1[[#This Row],[сумма]]*Таблица1[[#This Row],[коэф]])),
IF((G662="4/24"),((база!$M$5*Таблица1[[#This Row],[сумма]]*Таблица1[[#This Row],[коэф]])),
IF((G662="3/24"),((база!$M$4*Таблица1[[#This Row],[сумма]]*Таблица1[[#This Row],[коэф]])),
IF((G662="5/16"),((база!$L$6*Таблица1[[#This Row],[сумма]]*Таблица1[[#This Row],[коэф]])),
IF((G662="4/16"),((база!$L$5*Таблица1[[#This Row],[сумма]]*Таблица1[[#This Row],[коэф]])),
IF((G662="3/16"),((база!$L$4*Таблица1[[#This Row],[сумма]]*Таблица1[[#This Row],[коэф]])),
IF((G662="4/4"),((база!$I$5*Таблица1[[#This Row],[сумма]]*Таблица1[[#This Row],[коэф]])),
IF(OR(G662="2/4",G662="3/4"),((база!$I$4*Таблица1[[#This Row],[сумма]]*Таблица1[[#This Row],[коэф]])),
IF((G662="5/8"),((база!$J$6*Таблица1[[#This Row],[сумма]]*Таблица1[[#This Row],[коэф]])),
IF((G662="4/8"),((база!$J$5*Таблица1[[#This Row],[сумма]]*Таблица1[[#This Row],[коэф]])),
IF(OR(G662="3/8",G662="2/8"),((база!$J$4*Таблица1[[#This Row],[сумма]]*Таблица1[[#This Row],[коэф]])))))))))))))),
(IF((G662="5/24"),((база!$M$6*Таблица1[[#This Row],[сумма]]*Таблица1[[#This Row],[коэф]])),
IF(OR(G662="4/24",G662="3/24"),((база!$M$5*Таблица1[[#This Row],[сумма]]*Таблица1[[#This Row],[коэф]])),
IF((G662="5/16"),((база!$L$6*Таблица1[[#This Row],[сумма]]*Таблица1[[#This Row],[коэф]])),
IF(OR(G662="4/16",G662="3/16"),((база!$L$5*Таблица1[[#This Row],[сумма]]*Таблица1[[#This Row],[коэф]])),
IF(OR(G662="2/4",G662="3/4",G662="4/4"),((база!$I$5*Таблица1[[#This Row],[сумма]]*Таблица1[[#This Row],[коэф]])),
IF((G662="5/8"),((база!$J$6*Таблица1[[#This Row],[сумма]]*Таблица1[[#This Row],[коэф]])),
IF(OR(G662="4/8",G662="3/8",G662="2/8"),((база!$J$5*Таблица1[[#This Row],[сумма]]*Таблица1[[#This Row],[коэф]])))))))))))</f>
        <v>0</v>
      </c>
      <c r="AP662" s="696" t="b">
        <f>IF(AR662&lt;=3,(IF((G662="5/24"),((база!$M$6*2*Таблица1[[#This Row],[Столбец1]]*Таблица1[[#This Row],[коэф]])),
IF((G662="4/24"),((база!$M$5*2*Таблица1[[#This Row],[Столбец1]]*Таблица1[[#This Row],[коэф]])),
IF((G662="3/24"),((база!$M$4*2*Таблица1[[#This Row],[Столбец1]]*Таблица1[[#This Row],[коэф]])),
IF((G662="5/16"),((база!$L$6*2*Таблица1[[#This Row],[Столбец1]]*Таблица1[[#This Row],[коэф]])),
IF((G662="4/16"),((база!$L$5*2*Таблица1[[#This Row],[Столбец1]]*Таблица1[[#This Row],[коэф]])),
IF((G662="3/16"),((база!$L$4*2*Таблица1[[#This Row],[Столбец1]]*Таблица1[[#This Row],[коэф]])),
IF((G662="4/4"),((база!$I$5*2*Таблица1[[#This Row],[Столбец1]]*Таблица1[[#This Row],[коэф]])),
IF(OR(G662="2/4",G662="3/4"),((база!$I$4*2*Таблица1[[#This Row],[Столбец1]]*Таблица1[[#This Row],[коэф]])),
IF((G662="5/8"),((база!$J$6*2*Таблица1[[#This Row],[Столбец1]]*Таблица1[[#This Row],[коэф]])),
IF((G662="4/8"),((база!$J$5*2*Таблица1[[#This Row],[Столбец1]]*Таблица1[[#This Row],[коэф]])),
IF(OR(G662="3/8",G662="2/8"),((база!$J$4*2*Таблица1[[#This Row],[Столбец1]]*Таблица1[[#This Row],[коэф]])))))))))))))),
(IF((G662="5/24"),((база!$M$6*2*Таблица1[[#This Row],[Столбец1]]*Таблица1[[#This Row],[коэф]])),
IF(OR(G662="4/24",G662="3/24"),((база!$M$5*2*Таблица1[[#This Row],[Столбец1]]*Таблица1[[#This Row],[коэф]])),
IF((G662="5/16"),((база!$L$6*2*Таблица1[[#This Row],[Столбец1]]*Таблица1[[#This Row],[коэф]])),
IF(OR(G662="4/16",G662="3/16"),((база!$L$5*2*Таблица1[[#This Row],[Столбец1]]*Таблица1[[#This Row],[коэф]])),
IF(OR(G662="2/4",G662="3/4",G662="4/4"),((база!$I$5*2*Таблица1[[#This Row],[Столбец1]]*Таблица1[[#This Row],[коэф]])),
IF((G662="5/8"),((база!$J$6*2*Таблица1[[#This Row],[Столбец1]]*Таблица1[[#This Row],[коэф]])),
IF(OR(G662="4/8",G662="3/8",G662="2/8"),((база!$J$5*2*Таблица1[[#This Row],[Столбец1]]*Таблица1[[#This Row],[коэф]])))))))))))</f>
        <v>0</v>
      </c>
      <c r="AQ662" s="678" t="str">
        <f>IFERROR(INDEX(база!T:T, MATCH(F662,база!Q:Q,0)),"")</f>
        <v/>
      </c>
      <c r="AR662" s="193">
        <f>IFERROR(INDEX(база!D:D, MATCH(F662,база!B:B,0)),"")</f>
        <v>0</v>
      </c>
    </row>
    <row r="663" spans="1:44" ht="15">
      <c r="A663" s="59"/>
      <c r="B663" s="215"/>
      <c r="C663" s="277"/>
      <c r="D663" s="55"/>
      <c r="E663" s="196"/>
      <c r="F663" s="651"/>
      <c r="G663" s="42"/>
      <c r="H663" s="539"/>
      <c r="I663" s="539"/>
      <c r="J663" s="539"/>
      <c r="K663" s="539"/>
      <c r="L663" s="539"/>
      <c r="M663" s="539"/>
      <c r="N663" s="539"/>
      <c r="O663" s="539"/>
      <c r="P663" s="278"/>
      <c r="Q663" s="539"/>
      <c r="R663" s="539"/>
      <c r="S663" s="539"/>
      <c r="T663" s="539"/>
      <c r="U663" s="539"/>
      <c r="V663" s="539"/>
      <c r="W663" s="539"/>
      <c r="X663" s="539"/>
      <c r="Y663" s="539"/>
      <c r="Z663" s="539"/>
      <c r="AA663" s="539"/>
      <c r="AB663" s="539"/>
      <c r="AC663" s="539"/>
      <c r="AD663" s="43"/>
      <c r="AE663" s="43"/>
      <c r="AF663" s="238"/>
      <c r="AG663" s="43"/>
      <c r="AH663" s="43"/>
      <c r="AI663" s="238"/>
      <c r="AJ663" s="238"/>
      <c r="AK663" s="238"/>
      <c r="AL663" s="238"/>
      <c r="AM663" s="197">
        <f>IF(AQ663=1,SUM(H663:I663,L663:O663,R663:U663,X663:AA663,AD663:AG663,AI663:AK663),
IF(AQ663=2,SUM(H663:K663,N663:Q663,T663:W663,Z663:AC663,AF663:AI663),
IF(AQ663=3,SUM(J663:M663,P663:S663,V663:Y663,AB663:AE663,AH663:AK663),SUM(Таблица1[[#This Row],[1]:[31]])-Таблица1[[#This Row],[Столбец1]])))</f>
        <v>0</v>
      </c>
      <c r="AN663" s="269">
        <f t="array" ref="AN663">IF(AQ663=1,SUM(J663:K663,P663:Q663,V663:W663,AB663:AC663,AH663:AI663),
IF(AQ663=2,SUM(L663:M663,R663:S663,X663:Y663,AD663:AE663),
IF(AQ663=3,SUM(H663:I663,N663:O663,T663:U663,Z663:AA663,AF663:AG663),
SUM(IFERROR(WEEKDAY($H$2:$AL$2,2)&gt;5,)*H663:AL663))))</f>
        <v>0</v>
      </c>
      <c r="AO663" s="271" t="b">
        <f>IF(AR663&lt;=3,(IF((G663="5/24"),((база!$M$6*Таблица1[[#This Row],[сумма]]*Таблица1[[#This Row],[коэф]])),
IF((G663="4/24"),((база!$M$5*Таблица1[[#This Row],[сумма]]*Таблица1[[#This Row],[коэф]])),
IF((G663="3/24"),((база!$M$4*Таблица1[[#This Row],[сумма]]*Таблица1[[#This Row],[коэф]])),
IF((G663="5/16"),((база!$L$6*Таблица1[[#This Row],[сумма]]*Таблица1[[#This Row],[коэф]])),
IF((G663="4/16"),((база!$L$5*Таблица1[[#This Row],[сумма]]*Таблица1[[#This Row],[коэф]])),
IF((G663="3/16"),((база!$L$4*Таблица1[[#This Row],[сумма]]*Таблица1[[#This Row],[коэф]])),
IF((G663="4/4"),((база!$I$5*Таблица1[[#This Row],[сумма]]*Таблица1[[#This Row],[коэф]])),
IF(OR(G663="2/4",G663="3/4"),((база!$I$4*Таблица1[[#This Row],[сумма]]*Таблица1[[#This Row],[коэф]])),
IF((G663="5/8"),((база!$J$6*Таблица1[[#This Row],[сумма]]*Таблица1[[#This Row],[коэф]])),
IF((G663="4/8"),((база!$J$5*Таблица1[[#This Row],[сумма]]*Таблица1[[#This Row],[коэф]])),
IF(OR(G663="3/8",G663="2/8"),((база!$J$4*Таблица1[[#This Row],[сумма]]*Таблица1[[#This Row],[коэф]])))))))))))))),
(IF((G663="5/24"),((база!$M$6*Таблица1[[#This Row],[сумма]]*Таблица1[[#This Row],[коэф]])),
IF(OR(G663="4/24",G663="3/24"),((база!$M$5*Таблица1[[#This Row],[сумма]]*Таблица1[[#This Row],[коэф]])),
IF((G663="5/16"),((база!$L$6*Таблица1[[#This Row],[сумма]]*Таблица1[[#This Row],[коэф]])),
IF(OR(G663="4/16",G663="3/16"),((база!$L$5*Таблица1[[#This Row],[сумма]]*Таблица1[[#This Row],[коэф]])),
IF(OR(G663="2/4",G663="3/4",G663="4/4"),((база!$I$5*Таблица1[[#This Row],[сумма]]*Таблица1[[#This Row],[коэф]])),
IF((G663="5/8"),((база!$J$6*Таблица1[[#This Row],[сумма]]*Таблица1[[#This Row],[коэф]])),
IF(OR(G663="4/8",G663="3/8",G663="2/8"),((база!$J$5*Таблица1[[#This Row],[сумма]]*Таблица1[[#This Row],[коэф]])))))))))))</f>
        <v>0</v>
      </c>
      <c r="AP663" s="696" t="b">
        <f>IF(AR663&lt;=3,(IF((G663="5/24"),((база!$M$6*2*Таблица1[[#This Row],[Столбец1]]*Таблица1[[#This Row],[коэф]])),
IF((G663="4/24"),((база!$M$5*2*Таблица1[[#This Row],[Столбец1]]*Таблица1[[#This Row],[коэф]])),
IF((G663="3/24"),((база!$M$4*2*Таблица1[[#This Row],[Столбец1]]*Таблица1[[#This Row],[коэф]])),
IF((G663="5/16"),((база!$L$6*2*Таблица1[[#This Row],[Столбец1]]*Таблица1[[#This Row],[коэф]])),
IF((G663="4/16"),((база!$L$5*2*Таблица1[[#This Row],[Столбец1]]*Таблица1[[#This Row],[коэф]])),
IF((G663="3/16"),((база!$L$4*2*Таблица1[[#This Row],[Столбец1]]*Таблица1[[#This Row],[коэф]])),
IF((G663="4/4"),((база!$I$5*2*Таблица1[[#This Row],[Столбец1]]*Таблица1[[#This Row],[коэф]])),
IF(OR(G663="2/4",G663="3/4"),((база!$I$4*2*Таблица1[[#This Row],[Столбец1]]*Таблица1[[#This Row],[коэф]])),
IF((G663="5/8"),((база!$J$6*2*Таблица1[[#This Row],[Столбец1]]*Таблица1[[#This Row],[коэф]])),
IF((G663="4/8"),((база!$J$5*2*Таблица1[[#This Row],[Столбец1]]*Таблица1[[#This Row],[коэф]])),
IF(OR(G663="3/8",G663="2/8"),((база!$J$4*2*Таблица1[[#This Row],[Столбец1]]*Таблица1[[#This Row],[коэф]])))))))))))))),
(IF((G663="5/24"),((база!$M$6*2*Таблица1[[#This Row],[Столбец1]]*Таблица1[[#This Row],[коэф]])),
IF(OR(G663="4/24",G663="3/24"),((база!$M$5*2*Таблица1[[#This Row],[Столбец1]]*Таблица1[[#This Row],[коэф]])),
IF((G663="5/16"),((база!$L$6*2*Таблица1[[#This Row],[Столбец1]]*Таблица1[[#This Row],[коэф]])),
IF(OR(G663="4/16",G663="3/16"),((база!$L$5*2*Таблица1[[#This Row],[Столбец1]]*Таблица1[[#This Row],[коэф]])),
IF(OR(G663="2/4",G663="3/4",G663="4/4"),((база!$I$5*2*Таблица1[[#This Row],[Столбец1]]*Таблица1[[#This Row],[коэф]])),
IF((G663="5/8"),((база!$J$6*2*Таблица1[[#This Row],[Столбец1]]*Таблица1[[#This Row],[коэф]])),
IF(OR(G663="4/8",G663="3/8",G663="2/8"),((база!$J$5*2*Таблица1[[#This Row],[Столбец1]]*Таблица1[[#This Row],[коэф]])))))))))))</f>
        <v>0</v>
      </c>
      <c r="AQ663" s="678" t="str">
        <f>IFERROR(INDEX(база!T:T, MATCH(F663,база!Q:Q,0)),"")</f>
        <v/>
      </c>
      <c r="AR663" s="193">
        <f>IFERROR(INDEX(база!D:D, MATCH(F663,база!B:B,0)),"")</f>
        <v>0</v>
      </c>
    </row>
    <row r="664" spans="1:44" ht="15">
      <c r="A664" s="59"/>
      <c r="B664" s="215"/>
      <c r="C664" s="277"/>
      <c r="D664" s="55"/>
      <c r="E664" s="196"/>
      <c r="F664" s="651"/>
      <c r="G664" s="42"/>
      <c r="H664" s="539"/>
      <c r="I664" s="539"/>
      <c r="J664" s="539"/>
      <c r="K664" s="539"/>
      <c r="L664" s="539"/>
      <c r="M664" s="539"/>
      <c r="N664" s="539"/>
      <c r="O664" s="539"/>
      <c r="P664" s="278"/>
      <c r="Q664" s="539"/>
      <c r="R664" s="539"/>
      <c r="S664" s="539"/>
      <c r="T664" s="539"/>
      <c r="U664" s="539"/>
      <c r="V664" s="539"/>
      <c r="W664" s="539"/>
      <c r="X664" s="539"/>
      <c r="Y664" s="539"/>
      <c r="Z664" s="539"/>
      <c r="AA664" s="539"/>
      <c r="AB664" s="539"/>
      <c r="AC664" s="539"/>
      <c r="AD664" s="43"/>
      <c r="AE664" s="43"/>
      <c r="AF664" s="238"/>
      <c r="AG664" s="43"/>
      <c r="AH664" s="43"/>
      <c r="AI664" s="43"/>
      <c r="AJ664" s="43"/>
      <c r="AK664" s="43"/>
      <c r="AL664" s="45"/>
      <c r="AM664" s="197">
        <f>IF(AQ664=1,SUM(H664:I664,L664:O664,R664:U664,X664:AA664,AD664:AG664,AI664:AK664),
IF(AQ664=2,SUM(H664:K664,N664:Q664,T664:W664,Z664:AC664,AF664:AI664),
IF(AQ664=3,SUM(J664:M664,P664:S664,V664:Y664,AB664:AE664,AH664:AK664),SUM(Таблица1[[#This Row],[1]:[31]])-Таблица1[[#This Row],[Столбец1]])))</f>
        <v>0</v>
      </c>
      <c r="AN664" s="269">
        <f t="array" ref="AN664">IF(AQ664=1,SUM(J664:K664,P664:Q664,V664:W664,AB664:AC664,AH664:AI664),
IF(AQ664=2,SUM(L664:M664,R664:S664,X664:Y664,AD664:AE664),
IF(AQ664=3,SUM(H664:I664,N664:O664,T664:U664,Z664:AA664,AF664:AG664),
SUM(IFERROR(WEEKDAY($H$2:$AL$2,2)&gt;5,)*H664:AL664))))</f>
        <v>0</v>
      </c>
      <c r="AO664" s="271" t="b">
        <f>IF(AR664&lt;=3,(IF((G664="5/24"),((база!$M$6*Таблица1[[#This Row],[сумма]]*Таблица1[[#This Row],[коэф]])),
IF((G664="4/24"),((база!$M$5*Таблица1[[#This Row],[сумма]]*Таблица1[[#This Row],[коэф]])),
IF((G664="3/24"),((база!$M$4*Таблица1[[#This Row],[сумма]]*Таблица1[[#This Row],[коэф]])),
IF((G664="5/16"),((база!$L$6*Таблица1[[#This Row],[сумма]]*Таблица1[[#This Row],[коэф]])),
IF((G664="4/16"),((база!$L$5*Таблица1[[#This Row],[сумма]]*Таблица1[[#This Row],[коэф]])),
IF((G664="3/16"),((база!$L$4*Таблица1[[#This Row],[сумма]]*Таблица1[[#This Row],[коэф]])),
IF((G664="4/4"),((база!$I$5*Таблица1[[#This Row],[сумма]]*Таблица1[[#This Row],[коэф]])),
IF(OR(G664="2/4",G664="3/4"),((база!$I$4*Таблица1[[#This Row],[сумма]]*Таблица1[[#This Row],[коэф]])),
IF((G664="5/8"),((база!$J$6*Таблица1[[#This Row],[сумма]]*Таблица1[[#This Row],[коэф]])),
IF((G664="4/8"),((база!$J$5*Таблица1[[#This Row],[сумма]]*Таблица1[[#This Row],[коэф]])),
IF(OR(G664="3/8",G664="2/8"),((база!$J$4*Таблица1[[#This Row],[сумма]]*Таблица1[[#This Row],[коэф]])))))))))))))),
(IF((G664="5/24"),((база!$M$6*Таблица1[[#This Row],[сумма]]*Таблица1[[#This Row],[коэф]])),
IF(OR(G664="4/24",G664="3/24"),((база!$M$5*Таблица1[[#This Row],[сумма]]*Таблица1[[#This Row],[коэф]])),
IF((G664="5/16"),((база!$L$6*Таблица1[[#This Row],[сумма]]*Таблица1[[#This Row],[коэф]])),
IF(OR(G664="4/16",G664="3/16"),((база!$L$5*Таблица1[[#This Row],[сумма]]*Таблица1[[#This Row],[коэф]])),
IF(OR(G664="2/4",G664="3/4",G664="4/4"),((база!$I$5*Таблица1[[#This Row],[сумма]]*Таблица1[[#This Row],[коэф]])),
IF((G664="5/8"),((база!$J$6*Таблица1[[#This Row],[сумма]]*Таблица1[[#This Row],[коэф]])),
IF(OR(G664="4/8",G664="3/8",G664="2/8"),((база!$J$5*Таблица1[[#This Row],[сумма]]*Таблица1[[#This Row],[коэф]])))))))))))</f>
        <v>0</v>
      </c>
      <c r="AP664" s="696" t="b">
        <f>IF(AR664&lt;=3,(IF((G664="5/24"),((база!$M$6*2*Таблица1[[#This Row],[Столбец1]]*Таблица1[[#This Row],[коэф]])),
IF((G664="4/24"),((база!$M$5*2*Таблица1[[#This Row],[Столбец1]]*Таблица1[[#This Row],[коэф]])),
IF((G664="3/24"),((база!$M$4*2*Таблица1[[#This Row],[Столбец1]]*Таблица1[[#This Row],[коэф]])),
IF((G664="5/16"),((база!$L$6*2*Таблица1[[#This Row],[Столбец1]]*Таблица1[[#This Row],[коэф]])),
IF((G664="4/16"),((база!$L$5*2*Таблица1[[#This Row],[Столбец1]]*Таблица1[[#This Row],[коэф]])),
IF((G664="3/16"),((база!$L$4*2*Таблица1[[#This Row],[Столбец1]]*Таблица1[[#This Row],[коэф]])),
IF((G664="4/4"),((база!$I$5*2*Таблица1[[#This Row],[Столбец1]]*Таблица1[[#This Row],[коэф]])),
IF(OR(G664="2/4",G664="3/4"),((база!$I$4*2*Таблица1[[#This Row],[Столбец1]]*Таблица1[[#This Row],[коэф]])),
IF((G664="5/8"),((база!$J$6*2*Таблица1[[#This Row],[Столбец1]]*Таблица1[[#This Row],[коэф]])),
IF((G664="4/8"),((база!$J$5*2*Таблица1[[#This Row],[Столбец1]]*Таблица1[[#This Row],[коэф]])),
IF(OR(G664="3/8",G664="2/8"),((база!$J$4*2*Таблица1[[#This Row],[Столбец1]]*Таблица1[[#This Row],[коэф]])))))))))))))),
(IF((G664="5/24"),((база!$M$6*2*Таблица1[[#This Row],[Столбец1]]*Таблица1[[#This Row],[коэф]])),
IF(OR(G664="4/24",G664="3/24"),((база!$M$5*2*Таблица1[[#This Row],[Столбец1]]*Таблица1[[#This Row],[коэф]])),
IF((G664="5/16"),((база!$L$6*2*Таблица1[[#This Row],[Столбец1]]*Таблица1[[#This Row],[коэф]])),
IF(OR(G664="4/16",G664="3/16"),((база!$L$5*2*Таблица1[[#This Row],[Столбец1]]*Таблица1[[#This Row],[коэф]])),
IF(OR(G664="2/4",G664="3/4",G664="4/4"),((база!$I$5*2*Таблица1[[#This Row],[Столбец1]]*Таблица1[[#This Row],[коэф]])),
IF((G664="5/8"),((база!$J$6*2*Таблица1[[#This Row],[Столбец1]]*Таблица1[[#This Row],[коэф]])),
IF(OR(G664="4/8",G664="3/8",G664="2/8"),((база!$J$5*2*Таблица1[[#This Row],[Столбец1]]*Таблица1[[#This Row],[коэф]])))))))))))</f>
        <v>0</v>
      </c>
      <c r="AQ664" s="678" t="str">
        <f>IFERROR(INDEX(база!T:T, MATCH(F664,база!Q:Q,0)),"")</f>
        <v/>
      </c>
      <c r="AR664" s="193">
        <f>IFERROR(INDEX(база!D:D, MATCH(F664,база!B:B,0)),"")</f>
        <v>0</v>
      </c>
    </row>
    <row r="665" spans="1:44" ht="15">
      <c r="A665" s="59"/>
      <c r="B665" s="215"/>
      <c r="C665" s="277"/>
      <c r="D665" s="55"/>
      <c r="E665" s="196"/>
      <c r="F665" s="651"/>
      <c r="G665" s="42"/>
      <c r="H665" s="539"/>
      <c r="I665" s="539"/>
      <c r="J665" s="539"/>
      <c r="K665" s="539"/>
      <c r="L665" s="539"/>
      <c r="M665" s="539"/>
      <c r="N665" s="539"/>
      <c r="O665" s="539"/>
      <c r="P665" s="278"/>
      <c r="Q665" s="539"/>
      <c r="R665" s="539"/>
      <c r="S665" s="539"/>
      <c r="T665" s="539"/>
      <c r="U665" s="539"/>
      <c r="V665" s="539"/>
      <c r="W665" s="539"/>
      <c r="X665" s="539"/>
      <c r="Y665" s="539"/>
      <c r="Z665" s="539"/>
      <c r="AA665" s="539"/>
      <c r="AB665" s="539"/>
      <c r="AC665" s="539"/>
      <c r="AD665" s="43"/>
      <c r="AE665" s="43"/>
      <c r="AF665" s="238"/>
      <c r="AG665" s="43"/>
      <c r="AH665" s="43"/>
      <c r="AI665" s="238"/>
      <c r="AJ665" s="238"/>
      <c r="AK665" s="238"/>
      <c r="AL665" s="238"/>
      <c r="AM665" s="197">
        <f>IF(AQ665=1,SUM(H665:I665,L665:O665,R665:U665,X665:AA665,AD665:AG665,AI665:AK665),
IF(AQ665=2,SUM(H665:K665,N665:Q665,T665:W665,Z665:AC665,AF665:AI665),
IF(AQ665=3,SUM(J665:M665,P665:S665,V665:Y665,AB665:AE665,AH665:AK665),SUM(Таблица1[[#This Row],[1]:[31]])-Таблица1[[#This Row],[Столбец1]])))</f>
        <v>0</v>
      </c>
      <c r="AN665" s="269">
        <f t="array" ref="AN665">IF(AQ665=1,SUM(J665:K665,P665:Q665,V665:W665,AB665:AC665,AH665:AI665),
IF(AQ665=2,SUM(L665:M665,R665:S665,X665:Y665,AD665:AE665),
IF(AQ665=3,SUM(H665:I665,N665:O665,T665:U665,Z665:AA665,AF665:AG665),
SUM(IFERROR(WEEKDAY($H$2:$AL$2,2)&gt;5,)*H665:AL665))))</f>
        <v>0</v>
      </c>
      <c r="AO665" s="271" t="b">
        <f>IF(AR665&lt;=3,(IF((G665="5/24"),((база!$M$6*Таблица1[[#This Row],[сумма]]*Таблица1[[#This Row],[коэф]])),
IF((G665="4/24"),((база!$M$5*Таблица1[[#This Row],[сумма]]*Таблица1[[#This Row],[коэф]])),
IF((G665="3/24"),((база!$M$4*Таблица1[[#This Row],[сумма]]*Таблица1[[#This Row],[коэф]])),
IF((G665="5/16"),((база!$L$6*Таблица1[[#This Row],[сумма]]*Таблица1[[#This Row],[коэф]])),
IF((G665="4/16"),((база!$L$5*Таблица1[[#This Row],[сумма]]*Таблица1[[#This Row],[коэф]])),
IF((G665="3/16"),((база!$L$4*Таблица1[[#This Row],[сумма]]*Таблица1[[#This Row],[коэф]])),
IF((G665="4/4"),((база!$I$5*Таблица1[[#This Row],[сумма]]*Таблица1[[#This Row],[коэф]])),
IF(OR(G665="2/4",G665="3/4"),((база!$I$4*Таблица1[[#This Row],[сумма]]*Таблица1[[#This Row],[коэф]])),
IF((G665="5/8"),((база!$J$6*Таблица1[[#This Row],[сумма]]*Таблица1[[#This Row],[коэф]])),
IF((G665="4/8"),((база!$J$5*Таблица1[[#This Row],[сумма]]*Таблица1[[#This Row],[коэф]])),
IF(OR(G665="3/8",G665="2/8"),((база!$J$4*Таблица1[[#This Row],[сумма]]*Таблица1[[#This Row],[коэф]])))))))))))))),
(IF((G665="5/24"),((база!$M$6*Таблица1[[#This Row],[сумма]]*Таблица1[[#This Row],[коэф]])),
IF(OR(G665="4/24",G665="3/24"),((база!$M$5*Таблица1[[#This Row],[сумма]]*Таблица1[[#This Row],[коэф]])),
IF((G665="5/16"),((база!$L$6*Таблица1[[#This Row],[сумма]]*Таблица1[[#This Row],[коэф]])),
IF(OR(G665="4/16",G665="3/16"),((база!$L$5*Таблица1[[#This Row],[сумма]]*Таблица1[[#This Row],[коэф]])),
IF(OR(G665="2/4",G665="3/4",G665="4/4"),((база!$I$5*Таблица1[[#This Row],[сумма]]*Таблица1[[#This Row],[коэф]])),
IF((G665="5/8"),((база!$J$6*Таблица1[[#This Row],[сумма]]*Таблица1[[#This Row],[коэф]])),
IF(OR(G665="4/8",G665="3/8",G665="2/8"),((база!$J$5*Таблица1[[#This Row],[сумма]]*Таблица1[[#This Row],[коэф]])))))))))))</f>
        <v>0</v>
      </c>
      <c r="AP665" s="696" t="b">
        <f>IF(AR665&lt;=3,(IF((G665="5/24"),((база!$M$6*2*Таблица1[[#This Row],[Столбец1]]*Таблица1[[#This Row],[коэф]])),
IF((G665="4/24"),((база!$M$5*2*Таблица1[[#This Row],[Столбец1]]*Таблица1[[#This Row],[коэф]])),
IF((G665="3/24"),((база!$M$4*2*Таблица1[[#This Row],[Столбец1]]*Таблица1[[#This Row],[коэф]])),
IF((G665="5/16"),((база!$L$6*2*Таблица1[[#This Row],[Столбец1]]*Таблица1[[#This Row],[коэф]])),
IF((G665="4/16"),((база!$L$5*2*Таблица1[[#This Row],[Столбец1]]*Таблица1[[#This Row],[коэф]])),
IF((G665="3/16"),((база!$L$4*2*Таблица1[[#This Row],[Столбец1]]*Таблица1[[#This Row],[коэф]])),
IF((G665="4/4"),((база!$I$5*2*Таблица1[[#This Row],[Столбец1]]*Таблица1[[#This Row],[коэф]])),
IF(OR(G665="2/4",G665="3/4"),((база!$I$4*2*Таблица1[[#This Row],[Столбец1]]*Таблица1[[#This Row],[коэф]])),
IF((G665="5/8"),((база!$J$6*2*Таблица1[[#This Row],[Столбец1]]*Таблица1[[#This Row],[коэф]])),
IF((G665="4/8"),((база!$J$5*2*Таблица1[[#This Row],[Столбец1]]*Таблица1[[#This Row],[коэф]])),
IF(OR(G665="3/8",G665="2/8"),((база!$J$4*2*Таблица1[[#This Row],[Столбец1]]*Таблица1[[#This Row],[коэф]])))))))))))))),
(IF((G665="5/24"),((база!$M$6*2*Таблица1[[#This Row],[Столбец1]]*Таблица1[[#This Row],[коэф]])),
IF(OR(G665="4/24",G665="3/24"),((база!$M$5*2*Таблица1[[#This Row],[Столбец1]]*Таблица1[[#This Row],[коэф]])),
IF((G665="5/16"),((база!$L$6*2*Таблица1[[#This Row],[Столбец1]]*Таблица1[[#This Row],[коэф]])),
IF(OR(G665="4/16",G665="3/16"),((база!$L$5*2*Таблица1[[#This Row],[Столбец1]]*Таблица1[[#This Row],[коэф]])),
IF(OR(G665="2/4",G665="3/4",G665="4/4"),((база!$I$5*2*Таблица1[[#This Row],[Столбец1]]*Таблица1[[#This Row],[коэф]])),
IF((G665="5/8"),((база!$J$6*2*Таблица1[[#This Row],[Столбец1]]*Таблица1[[#This Row],[коэф]])),
IF(OR(G665="4/8",G665="3/8",G665="2/8"),((база!$J$5*2*Таблица1[[#This Row],[Столбец1]]*Таблица1[[#This Row],[коэф]])))))))))))</f>
        <v>0</v>
      </c>
      <c r="AQ665" s="678" t="str">
        <f>IFERROR(INDEX(база!T:T, MATCH(F665,база!Q:Q,0)),"")</f>
        <v/>
      </c>
      <c r="AR665" s="193">
        <f>IFERROR(INDEX(база!D:D, MATCH(F665,база!B:B,0)),"")</f>
        <v>0</v>
      </c>
    </row>
    <row r="666" spans="1:44" ht="15">
      <c r="A666" s="59"/>
      <c r="B666" s="215"/>
      <c r="C666" s="277"/>
      <c r="D666" s="55"/>
      <c r="E666" s="196"/>
      <c r="F666" s="651"/>
      <c r="G666" s="42"/>
      <c r="H666" s="539"/>
      <c r="I666" s="539"/>
      <c r="J666" s="539"/>
      <c r="K666" s="539"/>
      <c r="L666" s="539"/>
      <c r="M666" s="539"/>
      <c r="N666" s="539"/>
      <c r="O666" s="539"/>
      <c r="P666" s="278"/>
      <c r="Q666" s="539"/>
      <c r="R666" s="539"/>
      <c r="S666" s="539"/>
      <c r="T666" s="539"/>
      <c r="U666" s="539"/>
      <c r="V666" s="539"/>
      <c r="W666" s="539"/>
      <c r="X666" s="539"/>
      <c r="Y666" s="539"/>
      <c r="Z666" s="539"/>
      <c r="AA666" s="539"/>
      <c r="AB666" s="539"/>
      <c r="AC666" s="539"/>
      <c r="AD666" s="43"/>
      <c r="AE666" s="43"/>
      <c r="AF666" s="238"/>
      <c r="AG666" s="43"/>
      <c r="AH666" s="43"/>
      <c r="AI666" s="43"/>
      <c r="AJ666" s="43"/>
      <c r="AK666" s="43"/>
      <c r="AL666" s="45"/>
      <c r="AM666" s="197">
        <f>IF(AQ666=1,SUM(H666:I666,L666:O666,R666:U666,X666:AA666,AD666:AG666,AI666:AK666),
IF(AQ666=2,SUM(H666:K666,N666:Q666,T666:W666,Z666:AC666,AF666:AI666),
IF(AQ666=3,SUM(J666:M666,P666:S666,V666:Y666,AB666:AE666,AH666:AK666),SUM(Таблица1[[#This Row],[1]:[31]])-Таблица1[[#This Row],[Столбец1]])))</f>
        <v>0</v>
      </c>
      <c r="AN666" s="269">
        <f t="array" ref="AN666">IF(AQ666=1,SUM(J666:K666,P666:Q666,V666:W666,AB666:AC666,AH666:AI666),
IF(AQ666=2,SUM(L666:M666,R666:S666,X666:Y666,AD666:AE666),
IF(AQ666=3,SUM(H666:I666,N666:O666,T666:U666,Z666:AA666,AF666:AG666),
SUM(IFERROR(WEEKDAY($H$2:$AL$2,2)&gt;5,)*H666:AL666))))</f>
        <v>0</v>
      </c>
      <c r="AO666" s="271" t="b">
        <f>IF(AR666&lt;=3,(IF((G666="5/24"),((база!$M$6*Таблица1[[#This Row],[сумма]]*Таблица1[[#This Row],[коэф]])),
IF((G666="4/24"),((база!$M$5*Таблица1[[#This Row],[сумма]]*Таблица1[[#This Row],[коэф]])),
IF((G666="3/24"),((база!$M$4*Таблица1[[#This Row],[сумма]]*Таблица1[[#This Row],[коэф]])),
IF((G666="5/16"),((база!$L$6*Таблица1[[#This Row],[сумма]]*Таблица1[[#This Row],[коэф]])),
IF((G666="4/16"),((база!$L$5*Таблица1[[#This Row],[сумма]]*Таблица1[[#This Row],[коэф]])),
IF((G666="3/16"),((база!$L$4*Таблица1[[#This Row],[сумма]]*Таблица1[[#This Row],[коэф]])),
IF((G666="4/4"),((база!$I$5*Таблица1[[#This Row],[сумма]]*Таблица1[[#This Row],[коэф]])),
IF(OR(G666="2/4",G666="3/4"),((база!$I$4*Таблица1[[#This Row],[сумма]]*Таблица1[[#This Row],[коэф]])),
IF((G666="5/8"),((база!$J$6*Таблица1[[#This Row],[сумма]]*Таблица1[[#This Row],[коэф]])),
IF((G666="4/8"),((база!$J$5*Таблица1[[#This Row],[сумма]]*Таблица1[[#This Row],[коэф]])),
IF(OR(G666="3/8",G666="2/8"),((база!$J$4*Таблица1[[#This Row],[сумма]]*Таблица1[[#This Row],[коэф]])))))))))))))),
(IF((G666="5/24"),((база!$M$6*Таблица1[[#This Row],[сумма]]*Таблица1[[#This Row],[коэф]])),
IF(OR(G666="4/24",G666="3/24"),((база!$M$5*Таблица1[[#This Row],[сумма]]*Таблица1[[#This Row],[коэф]])),
IF((G666="5/16"),((база!$L$6*Таблица1[[#This Row],[сумма]]*Таблица1[[#This Row],[коэф]])),
IF(OR(G666="4/16",G666="3/16"),((база!$L$5*Таблица1[[#This Row],[сумма]]*Таблица1[[#This Row],[коэф]])),
IF(OR(G666="2/4",G666="3/4",G666="4/4"),((база!$I$5*Таблица1[[#This Row],[сумма]]*Таблица1[[#This Row],[коэф]])),
IF((G666="5/8"),((база!$J$6*Таблица1[[#This Row],[сумма]]*Таблица1[[#This Row],[коэф]])),
IF(OR(G666="4/8",G666="3/8",G666="2/8"),((база!$J$5*Таблица1[[#This Row],[сумма]]*Таблица1[[#This Row],[коэф]])))))))))))</f>
        <v>0</v>
      </c>
      <c r="AP666" s="696" t="b">
        <f>IF(AR666&lt;=3,(IF((G666="5/24"),((база!$M$6*2*Таблица1[[#This Row],[Столбец1]]*Таблица1[[#This Row],[коэф]])),
IF((G666="4/24"),((база!$M$5*2*Таблица1[[#This Row],[Столбец1]]*Таблица1[[#This Row],[коэф]])),
IF((G666="3/24"),((база!$M$4*2*Таблица1[[#This Row],[Столбец1]]*Таблица1[[#This Row],[коэф]])),
IF((G666="5/16"),((база!$L$6*2*Таблица1[[#This Row],[Столбец1]]*Таблица1[[#This Row],[коэф]])),
IF((G666="4/16"),((база!$L$5*2*Таблица1[[#This Row],[Столбец1]]*Таблица1[[#This Row],[коэф]])),
IF((G666="3/16"),((база!$L$4*2*Таблица1[[#This Row],[Столбец1]]*Таблица1[[#This Row],[коэф]])),
IF((G666="4/4"),((база!$I$5*2*Таблица1[[#This Row],[Столбец1]]*Таблица1[[#This Row],[коэф]])),
IF(OR(G666="2/4",G666="3/4"),((база!$I$4*2*Таблица1[[#This Row],[Столбец1]]*Таблица1[[#This Row],[коэф]])),
IF((G666="5/8"),((база!$J$6*2*Таблица1[[#This Row],[Столбец1]]*Таблица1[[#This Row],[коэф]])),
IF((G666="4/8"),((база!$J$5*2*Таблица1[[#This Row],[Столбец1]]*Таблица1[[#This Row],[коэф]])),
IF(OR(G666="3/8",G666="2/8"),((база!$J$4*2*Таблица1[[#This Row],[Столбец1]]*Таблица1[[#This Row],[коэф]])))))))))))))),
(IF((G666="5/24"),((база!$M$6*2*Таблица1[[#This Row],[Столбец1]]*Таблица1[[#This Row],[коэф]])),
IF(OR(G666="4/24",G666="3/24"),((база!$M$5*2*Таблица1[[#This Row],[Столбец1]]*Таблица1[[#This Row],[коэф]])),
IF((G666="5/16"),((база!$L$6*2*Таблица1[[#This Row],[Столбец1]]*Таблица1[[#This Row],[коэф]])),
IF(OR(G666="4/16",G666="3/16"),((база!$L$5*2*Таблица1[[#This Row],[Столбец1]]*Таблица1[[#This Row],[коэф]])),
IF(OR(G666="2/4",G666="3/4",G666="4/4"),((база!$I$5*2*Таблица1[[#This Row],[Столбец1]]*Таблица1[[#This Row],[коэф]])),
IF((G666="5/8"),((база!$J$6*2*Таблица1[[#This Row],[Столбец1]]*Таблица1[[#This Row],[коэф]])),
IF(OR(G666="4/8",G666="3/8",G666="2/8"),((база!$J$5*2*Таблица1[[#This Row],[Столбец1]]*Таблица1[[#This Row],[коэф]])))))))))))</f>
        <v>0</v>
      </c>
      <c r="AQ666" s="678" t="str">
        <f>IFERROR(INDEX(база!T:T, MATCH(F666,база!Q:Q,0)),"")</f>
        <v/>
      </c>
      <c r="AR666" s="193">
        <f>IFERROR(INDEX(база!D:D, MATCH(F666,база!B:B,0)),"")</f>
        <v>0</v>
      </c>
    </row>
    <row r="667" spans="1:44" ht="15">
      <c r="A667" s="59"/>
      <c r="B667" s="215"/>
      <c r="C667" s="277"/>
      <c r="D667" s="55"/>
      <c r="E667" s="196"/>
      <c r="F667" s="651"/>
      <c r="G667" s="42"/>
      <c r="H667" s="539"/>
      <c r="I667" s="539"/>
      <c r="J667" s="539"/>
      <c r="K667" s="539"/>
      <c r="L667" s="539"/>
      <c r="M667" s="539"/>
      <c r="N667" s="539"/>
      <c r="O667" s="539"/>
      <c r="P667" s="278"/>
      <c r="Q667" s="539"/>
      <c r="R667" s="539"/>
      <c r="S667" s="539"/>
      <c r="T667" s="539"/>
      <c r="U667" s="539"/>
      <c r="V667" s="539"/>
      <c r="W667" s="539"/>
      <c r="X667" s="539"/>
      <c r="Y667" s="539"/>
      <c r="Z667" s="539"/>
      <c r="AA667" s="539"/>
      <c r="AB667" s="539"/>
      <c r="AC667" s="539"/>
      <c r="AD667" s="43"/>
      <c r="AE667" s="43"/>
      <c r="AF667" s="238"/>
      <c r="AG667" s="43"/>
      <c r="AH667" s="43"/>
      <c r="AI667" s="238"/>
      <c r="AJ667" s="238"/>
      <c r="AK667" s="238"/>
      <c r="AL667" s="238"/>
      <c r="AM667" s="197">
        <f>IF(AQ667=1,SUM(H667:I667,L667:O667,R667:U667,X667:AA667,AD667:AG667,AI667:AK667),
IF(AQ667=2,SUM(H667:K667,N667:Q667,T667:W667,Z667:AC667,AF667:AI667),
IF(AQ667=3,SUM(J667:M667,P667:S667,V667:Y667,AB667:AE667,AH667:AK667),SUM(Таблица1[[#This Row],[1]:[31]])-Таблица1[[#This Row],[Столбец1]])))</f>
        <v>0</v>
      </c>
      <c r="AN667" s="269">
        <f t="array" ref="AN667">IF(AQ667=1,SUM(J667:K667,P667:Q667,V667:W667,AB667:AC667,AH667:AI667),
IF(AQ667=2,SUM(L667:M667,R667:S667,X667:Y667,AD667:AE667),
IF(AQ667=3,SUM(H667:I667,N667:O667,T667:U667,Z667:AA667,AF667:AG667),
SUM(IFERROR(WEEKDAY($H$2:$AL$2,2)&gt;5,)*H667:AL667))))</f>
        <v>0</v>
      </c>
      <c r="AO667" s="271" t="b">
        <f>IF(AR667&lt;=3,(IF((G667="5/24"),((база!$M$6*Таблица1[[#This Row],[сумма]]*Таблица1[[#This Row],[коэф]])),
IF((G667="4/24"),((база!$M$5*Таблица1[[#This Row],[сумма]]*Таблица1[[#This Row],[коэф]])),
IF((G667="3/24"),((база!$M$4*Таблица1[[#This Row],[сумма]]*Таблица1[[#This Row],[коэф]])),
IF((G667="5/16"),((база!$L$6*Таблица1[[#This Row],[сумма]]*Таблица1[[#This Row],[коэф]])),
IF((G667="4/16"),((база!$L$5*Таблица1[[#This Row],[сумма]]*Таблица1[[#This Row],[коэф]])),
IF((G667="3/16"),((база!$L$4*Таблица1[[#This Row],[сумма]]*Таблица1[[#This Row],[коэф]])),
IF((G667="4/4"),((база!$I$5*Таблица1[[#This Row],[сумма]]*Таблица1[[#This Row],[коэф]])),
IF(OR(G667="2/4",G667="3/4"),((база!$I$4*Таблица1[[#This Row],[сумма]]*Таблица1[[#This Row],[коэф]])),
IF((G667="5/8"),((база!$J$6*Таблица1[[#This Row],[сумма]]*Таблица1[[#This Row],[коэф]])),
IF((G667="4/8"),((база!$J$5*Таблица1[[#This Row],[сумма]]*Таблица1[[#This Row],[коэф]])),
IF(OR(G667="3/8",G667="2/8"),((база!$J$4*Таблица1[[#This Row],[сумма]]*Таблица1[[#This Row],[коэф]])))))))))))))),
(IF((G667="5/24"),((база!$M$6*Таблица1[[#This Row],[сумма]]*Таблица1[[#This Row],[коэф]])),
IF(OR(G667="4/24",G667="3/24"),((база!$M$5*Таблица1[[#This Row],[сумма]]*Таблица1[[#This Row],[коэф]])),
IF((G667="5/16"),((база!$L$6*Таблица1[[#This Row],[сумма]]*Таблица1[[#This Row],[коэф]])),
IF(OR(G667="4/16",G667="3/16"),((база!$L$5*Таблица1[[#This Row],[сумма]]*Таблица1[[#This Row],[коэф]])),
IF(OR(G667="2/4",G667="3/4",G667="4/4"),((база!$I$5*Таблица1[[#This Row],[сумма]]*Таблица1[[#This Row],[коэф]])),
IF((G667="5/8"),((база!$J$6*Таблица1[[#This Row],[сумма]]*Таблица1[[#This Row],[коэф]])),
IF(OR(G667="4/8",G667="3/8",G667="2/8"),((база!$J$5*Таблица1[[#This Row],[сумма]]*Таблица1[[#This Row],[коэф]])))))))))))</f>
        <v>0</v>
      </c>
      <c r="AP667" s="696" t="b">
        <f>IF(AR667&lt;=3,(IF((G667="5/24"),((база!$M$6*2*Таблица1[[#This Row],[Столбец1]]*Таблица1[[#This Row],[коэф]])),
IF((G667="4/24"),((база!$M$5*2*Таблица1[[#This Row],[Столбец1]]*Таблица1[[#This Row],[коэф]])),
IF((G667="3/24"),((база!$M$4*2*Таблица1[[#This Row],[Столбец1]]*Таблица1[[#This Row],[коэф]])),
IF((G667="5/16"),((база!$L$6*2*Таблица1[[#This Row],[Столбец1]]*Таблица1[[#This Row],[коэф]])),
IF((G667="4/16"),((база!$L$5*2*Таблица1[[#This Row],[Столбец1]]*Таблица1[[#This Row],[коэф]])),
IF((G667="3/16"),((база!$L$4*2*Таблица1[[#This Row],[Столбец1]]*Таблица1[[#This Row],[коэф]])),
IF((G667="4/4"),((база!$I$5*2*Таблица1[[#This Row],[Столбец1]]*Таблица1[[#This Row],[коэф]])),
IF(OR(G667="2/4",G667="3/4"),((база!$I$4*2*Таблица1[[#This Row],[Столбец1]]*Таблица1[[#This Row],[коэф]])),
IF((G667="5/8"),((база!$J$6*2*Таблица1[[#This Row],[Столбец1]]*Таблица1[[#This Row],[коэф]])),
IF((G667="4/8"),((база!$J$5*2*Таблица1[[#This Row],[Столбец1]]*Таблица1[[#This Row],[коэф]])),
IF(OR(G667="3/8",G667="2/8"),((база!$J$4*2*Таблица1[[#This Row],[Столбец1]]*Таблица1[[#This Row],[коэф]])))))))))))))),
(IF((G667="5/24"),((база!$M$6*2*Таблица1[[#This Row],[Столбец1]]*Таблица1[[#This Row],[коэф]])),
IF(OR(G667="4/24",G667="3/24"),((база!$M$5*2*Таблица1[[#This Row],[Столбец1]]*Таблица1[[#This Row],[коэф]])),
IF((G667="5/16"),((база!$L$6*2*Таблица1[[#This Row],[Столбец1]]*Таблица1[[#This Row],[коэф]])),
IF(OR(G667="4/16",G667="3/16"),((база!$L$5*2*Таблица1[[#This Row],[Столбец1]]*Таблица1[[#This Row],[коэф]])),
IF(OR(G667="2/4",G667="3/4",G667="4/4"),((база!$I$5*2*Таблица1[[#This Row],[Столбец1]]*Таблица1[[#This Row],[коэф]])),
IF((G667="5/8"),((база!$J$6*2*Таблица1[[#This Row],[Столбец1]]*Таблица1[[#This Row],[коэф]])),
IF(OR(G667="4/8",G667="3/8",G667="2/8"),((база!$J$5*2*Таблица1[[#This Row],[Столбец1]]*Таблица1[[#This Row],[коэф]])))))))))))</f>
        <v>0</v>
      </c>
      <c r="AQ667" s="678" t="str">
        <f>IFERROR(INDEX(база!T:T, MATCH(F667,база!Q:Q,0)),"")</f>
        <v/>
      </c>
      <c r="AR667" s="193">
        <f>IFERROR(INDEX(база!D:D, MATCH(F667,база!B:B,0)),"")</f>
        <v>0</v>
      </c>
    </row>
    <row r="668" spans="1:44" ht="15">
      <c r="A668" s="59"/>
      <c r="B668" s="215"/>
      <c r="C668" s="277"/>
      <c r="D668" s="55"/>
      <c r="E668" s="196"/>
      <c r="F668" s="651"/>
      <c r="G668" s="42"/>
      <c r="H668" s="539"/>
      <c r="I668" s="539"/>
      <c r="J668" s="539"/>
      <c r="K668" s="539"/>
      <c r="L668" s="539"/>
      <c r="M668" s="539"/>
      <c r="N668" s="539"/>
      <c r="O668" s="539"/>
      <c r="P668" s="278"/>
      <c r="Q668" s="539"/>
      <c r="R668" s="539"/>
      <c r="S668" s="539"/>
      <c r="T668" s="539"/>
      <c r="U668" s="539"/>
      <c r="V668" s="539"/>
      <c r="W668" s="539"/>
      <c r="X668" s="539"/>
      <c r="Y668" s="539"/>
      <c r="Z668" s="539"/>
      <c r="AA668" s="539"/>
      <c r="AB668" s="539"/>
      <c r="AC668" s="539"/>
      <c r="AD668" s="43"/>
      <c r="AE668" s="43"/>
      <c r="AF668" s="238"/>
      <c r="AG668" s="43"/>
      <c r="AH668" s="43"/>
      <c r="AI668" s="43"/>
      <c r="AJ668" s="43"/>
      <c r="AK668" s="43"/>
      <c r="AL668" s="45"/>
      <c r="AM668" s="197">
        <f>IF(AQ668=1,SUM(H668:I668,L668:O668,R668:U668,X668:AA668,AD668:AG668,AI668:AK668),
IF(AQ668=2,SUM(H668:K668,N668:Q668,T668:W668,Z668:AC668,AF668:AI668),
IF(AQ668=3,SUM(J668:M668,P668:S668,V668:Y668,AB668:AE668,AH668:AK668),SUM(Таблица1[[#This Row],[1]:[31]])-Таблица1[[#This Row],[Столбец1]])))</f>
        <v>0</v>
      </c>
      <c r="AN668" s="269">
        <f t="array" ref="AN668">IF(AQ668=1,SUM(J668:K668,P668:Q668,V668:W668,AB668:AC668,AH668:AI668),
IF(AQ668=2,SUM(L668:M668,R668:S668,X668:Y668,AD668:AE668),
IF(AQ668=3,SUM(H668:I668,N668:O668,T668:U668,Z668:AA668,AF668:AG668),
SUM(IFERROR(WEEKDAY($H$2:$AL$2,2)&gt;5,)*H668:AL668))))</f>
        <v>0</v>
      </c>
      <c r="AO668" s="271" t="b">
        <f>IF(AR668&lt;=3,(IF((G668="5/24"),((база!$M$6*Таблица1[[#This Row],[сумма]]*Таблица1[[#This Row],[коэф]])),
IF((G668="4/24"),((база!$M$5*Таблица1[[#This Row],[сумма]]*Таблица1[[#This Row],[коэф]])),
IF((G668="3/24"),((база!$M$4*Таблица1[[#This Row],[сумма]]*Таблица1[[#This Row],[коэф]])),
IF((G668="5/16"),((база!$L$6*Таблица1[[#This Row],[сумма]]*Таблица1[[#This Row],[коэф]])),
IF((G668="4/16"),((база!$L$5*Таблица1[[#This Row],[сумма]]*Таблица1[[#This Row],[коэф]])),
IF((G668="3/16"),((база!$L$4*Таблица1[[#This Row],[сумма]]*Таблица1[[#This Row],[коэф]])),
IF((G668="4/4"),((база!$I$5*Таблица1[[#This Row],[сумма]]*Таблица1[[#This Row],[коэф]])),
IF(OR(G668="2/4",G668="3/4"),((база!$I$4*Таблица1[[#This Row],[сумма]]*Таблица1[[#This Row],[коэф]])),
IF((G668="5/8"),((база!$J$6*Таблица1[[#This Row],[сумма]]*Таблица1[[#This Row],[коэф]])),
IF((G668="4/8"),((база!$J$5*Таблица1[[#This Row],[сумма]]*Таблица1[[#This Row],[коэф]])),
IF(OR(G668="3/8",G668="2/8"),((база!$J$4*Таблица1[[#This Row],[сумма]]*Таблица1[[#This Row],[коэф]])))))))))))))),
(IF((G668="5/24"),((база!$M$6*Таблица1[[#This Row],[сумма]]*Таблица1[[#This Row],[коэф]])),
IF(OR(G668="4/24",G668="3/24"),((база!$M$5*Таблица1[[#This Row],[сумма]]*Таблица1[[#This Row],[коэф]])),
IF((G668="5/16"),((база!$L$6*Таблица1[[#This Row],[сумма]]*Таблица1[[#This Row],[коэф]])),
IF(OR(G668="4/16",G668="3/16"),((база!$L$5*Таблица1[[#This Row],[сумма]]*Таблица1[[#This Row],[коэф]])),
IF(OR(G668="2/4",G668="3/4",G668="4/4"),((база!$I$5*Таблица1[[#This Row],[сумма]]*Таблица1[[#This Row],[коэф]])),
IF((G668="5/8"),((база!$J$6*Таблица1[[#This Row],[сумма]]*Таблица1[[#This Row],[коэф]])),
IF(OR(G668="4/8",G668="3/8",G668="2/8"),((база!$J$5*Таблица1[[#This Row],[сумма]]*Таблица1[[#This Row],[коэф]])))))))))))</f>
        <v>0</v>
      </c>
      <c r="AP668" s="696" t="b">
        <f>IF(AR668&lt;=3,(IF((G668="5/24"),((база!$M$6*2*Таблица1[[#This Row],[Столбец1]]*Таблица1[[#This Row],[коэф]])),
IF((G668="4/24"),((база!$M$5*2*Таблица1[[#This Row],[Столбец1]]*Таблица1[[#This Row],[коэф]])),
IF((G668="3/24"),((база!$M$4*2*Таблица1[[#This Row],[Столбец1]]*Таблица1[[#This Row],[коэф]])),
IF((G668="5/16"),((база!$L$6*2*Таблица1[[#This Row],[Столбец1]]*Таблица1[[#This Row],[коэф]])),
IF((G668="4/16"),((база!$L$5*2*Таблица1[[#This Row],[Столбец1]]*Таблица1[[#This Row],[коэф]])),
IF((G668="3/16"),((база!$L$4*2*Таблица1[[#This Row],[Столбец1]]*Таблица1[[#This Row],[коэф]])),
IF((G668="4/4"),((база!$I$5*2*Таблица1[[#This Row],[Столбец1]]*Таблица1[[#This Row],[коэф]])),
IF(OR(G668="2/4",G668="3/4"),((база!$I$4*2*Таблица1[[#This Row],[Столбец1]]*Таблица1[[#This Row],[коэф]])),
IF((G668="5/8"),((база!$J$6*2*Таблица1[[#This Row],[Столбец1]]*Таблица1[[#This Row],[коэф]])),
IF((G668="4/8"),((база!$J$5*2*Таблица1[[#This Row],[Столбец1]]*Таблица1[[#This Row],[коэф]])),
IF(OR(G668="3/8",G668="2/8"),((база!$J$4*2*Таблица1[[#This Row],[Столбец1]]*Таблица1[[#This Row],[коэф]])))))))))))))),
(IF((G668="5/24"),((база!$M$6*2*Таблица1[[#This Row],[Столбец1]]*Таблица1[[#This Row],[коэф]])),
IF(OR(G668="4/24",G668="3/24"),((база!$M$5*2*Таблица1[[#This Row],[Столбец1]]*Таблица1[[#This Row],[коэф]])),
IF((G668="5/16"),((база!$L$6*2*Таблица1[[#This Row],[Столбец1]]*Таблица1[[#This Row],[коэф]])),
IF(OR(G668="4/16",G668="3/16"),((база!$L$5*2*Таблица1[[#This Row],[Столбец1]]*Таблица1[[#This Row],[коэф]])),
IF(OR(G668="2/4",G668="3/4",G668="4/4"),((база!$I$5*2*Таблица1[[#This Row],[Столбец1]]*Таблица1[[#This Row],[коэф]])),
IF((G668="5/8"),((база!$J$6*2*Таблица1[[#This Row],[Столбец1]]*Таблица1[[#This Row],[коэф]])),
IF(OR(G668="4/8",G668="3/8",G668="2/8"),((база!$J$5*2*Таблица1[[#This Row],[Столбец1]]*Таблица1[[#This Row],[коэф]])))))))))))</f>
        <v>0</v>
      </c>
      <c r="AQ668" s="678" t="str">
        <f>IFERROR(INDEX(база!T:T, MATCH(F668,база!Q:Q,0)),"")</f>
        <v/>
      </c>
      <c r="AR668" s="193">
        <f>IFERROR(INDEX(база!D:D, MATCH(F668,база!B:B,0)),"")</f>
        <v>0</v>
      </c>
    </row>
    <row r="669" spans="1:44" ht="15">
      <c r="A669" s="59"/>
      <c r="B669" s="215"/>
      <c r="C669" s="54"/>
      <c r="D669" s="55"/>
      <c r="E669" s="196"/>
      <c r="F669" s="651"/>
      <c r="G669" s="42"/>
      <c r="H669" s="539"/>
      <c r="I669" s="539"/>
      <c r="J669" s="539"/>
      <c r="K669" s="539"/>
      <c r="L669" s="539"/>
      <c r="M669" s="539"/>
      <c r="N669" s="539"/>
      <c r="O669" s="539"/>
      <c r="P669" s="278"/>
      <c r="Q669" s="539"/>
      <c r="R669" s="539"/>
      <c r="S669" s="539"/>
      <c r="T669" s="539"/>
      <c r="U669" s="539"/>
      <c r="V669" s="539"/>
      <c r="W669" s="539"/>
      <c r="X669" s="539"/>
      <c r="Y669" s="539"/>
      <c r="Z669" s="539"/>
      <c r="AA669" s="539"/>
      <c r="AB669" s="539"/>
      <c r="AC669" s="539"/>
      <c r="AD669" s="43"/>
      <c r="AE669" s="43"/>
      <c r="AF669" s="238"/>
      <c r="AG669" s="43"/>
      <c r="AH669" s="43"/>
      <c r="AI669" s="238"/>
      <c r="AJ669" s="238"/>
      <c r="AK669" s="238"/>
      <c r="AL669" s="238"/>
      <c r="AM669" s="197">
        <f>IF(AQ669=1,SUM(H669:I669,L669:O669,R669:U669,X669:AA669,AD669:AG669,AI669:AK669),
IF(AQ669=2,SUM(H669:K669,N669:Q669,T669:W669,Z669:AC669,AF669:AI669),
IF(AQ669=3,SUM(J669:M669,P669:S669,V669:Y669,AB669:AE669,AH669:AK669),SUM(Таблица1[[#This Row],[1]:[31]])-Таблица1[[#This Row],[Столбец1]])))</f>
        <v>0</v>
      </c>
      <c r="AN669" s="269">
        <f t="array" ref="AN669">IF(AQ669=1,SUM(J669:K669,P669:Q669,V669:W669,AB669:AC669,AH669:AI669),
IF(AQ669=2,SUM(L669:M669,R669:S669,X669:Y669,AD669:AE669),
IF(AQ669=3,SUM(H669:I669,N669:O669,T669:U669,Z669:AA669,AF669:AG669),
SUM(IFERROR(WEEKDAY($H$2:$AL$2,2)&gt;5,)*H669:AL669))))</f>
        <v>0</v>
      </c>
      <c r="AO669" s="271" t="b">
        <f>IF(AR669&lt;=3,(IF((G669="5/24"),((база!$M$6*Таблица1[[#This Row],[сумма]]*Таблица1[[#This Row],[коэф]])),
IF((G669="4/24"),((база!$M$5*Таблица1[[#This Row],[сумма]]*Таблица1[[#This Row],[коэф]])),
IF((G669="3/24"),((база!$M$4*Таблица1[[#This Row],[сумма]]*Таблица1[[#This Row],[коэф]])),
IF((G669="5/16"),((база!$L$6*Таблица1[[#This Row],[сумма]]*Таблица1[[#This Row],[коэф]])),
IF((G669="4/16"),((база!$L$5*Таблица1[[#This Row],[сумма]]*Таблица1[[#This Row],[коэф]])),
IF((G669="3/16"),((база!$L$4*Таблица1[[#This Row],[сумма]]*Таблица1[[#This Row],[коэф]])),
IF((G669="4/4"),((база!$I$5*Таблица1[[#This Row],[сумма]]*Таблица1[[#This Row],[коэф]])),
IF(OR(G669="2/4",G669="3/4"),((база!$I$4*Таблица1[[#This Row],[сумма]]*Таблица1[[#This Row],[коэф]])),
IF((G669="5/8"),((база!$J$6*Таблица1[[#This Row],[сумма]]*Таблица1[[#This Row],[коэф]])),
IF((G669="4/8"),((база!$J$5*Таблица1[[#This Row],[сумма]]*Таблица1[[#This Row],[коэф]])),
IF(OR(G669="3/8",G669="2/8"),((база!$J$4*Таблица1[[#This Row],[сумма]]*Таблица1[[#This Row],[коэф]])))))))))))))),
(IF((G669="5/24"),((база!$M$6*Таблица1[[#This Row],[сумма]]*Таблица1[[#This Row],[коэф]])),
IF(OR(G669="4/24",G669="3/24"),((база!$M$5*Таблица1[[#This Row],[сумма]]*Таблица1[[#This Row],[коэф]])),
IF((G669="5/16"),((база!$L$6*Таблица1[[#This Row],[сумма]]*Таблица1[[#This Row],[коэф]])),
IF(OR(G669="4/16",G669="3/16"),((база!$L$5*Таблица1[[#This Row],[сумма]]*Таблица1[[#This Row],[коэф]])),
IF(OR(G669="2/4",G669="3/4",G669="4/4"),((база!$I$5*Таблица1[[#This Row],[сумма]]*Таблица1[[#This Row],[коэф]])),
IF((G669="5/8"),((база!$J$6*Таблица1[[#This Row],[сумма]]*Таблица1[[#This Row],[коэф]])),
IF(OR(G669="4/8",G669="3/8",G669="2/8"),((база!$J$5*Таблица1[[#This Row],[сумма]]*Таблица1[[#This Row],[коэф]])))))))))))</f>
        <v>0</v>
      </c>
      <c r="AP669" s="696" t="b">
        <f>IF(AR669&lt;=3,(IF((G669="5/24"),((база!$M$6*2*Таблица1[[#This Row],[Столбец1]]*Таблица1[[#This Row],[коэф]])),
IF((G669="4/24"),((база!$M$5*2*Таблица1[[#This Row],[Столбец1]]*Таблица1[[#This Row],[коэф]])),
IF((G669="3/24"),((база!$M$4*2*Таблица1[[#This Row],[Столбец1]]*Таблица1[[#This Row],[коэф]])),
IF((G669="5/16"),((база!$L$6*2*Таблица1[[#This Row],[Столбец1]]*Таблица1[[#This Row],[коэф]])),
IF((G669="4/16"),((база!$L$5*2*Таблица1[[#This Row],[Столбец1]]*Таблица1[[#This Row],[коэф]])),
IF((G669="3/16"),((база!$L$4*2*Таблица1[[#This Row],[Столбец1]]*Таблица1[[#This Row],[коэф]])),
IF((G669="4/4"),((база!$I$5*2*Таблица1[[#This Row],[Столбец1]]*Таблица1[[#This Row],[коэф]])),
IF(OR(G669="2/4",G669="3/4"),((база!$I$4*2*Таблица1[[#This Row],[Столбец1]]*Таблица1[[#This Row],[коэф]])),
IF((G669="5/8"),((база!$J$6*2*Таблица1[[#This Row],[Столбец1]]*Таблица1[[#This Row],[коэф]])),
IF((G669="4/8"),((база!$J$5*2*Таблица1[[#This Row],[Столбец1]]*Таблица1[[#This Row],[коэф]])),
IF(OR(G669="3/8",G669="2/8"),((база!$J$4*2*Таблица1[[#This Row],[Столбец1]]*Таблица1[[#This Row],[коэф]])))))))))))))),
(IF((G669="5/24"),((база!$M$6*2*Таблица1[[#This Row],[Столбец1]]*Таблица1[[#This Row],[коэф]])),
IF(OR(G669="4/24",G669="3/24"),((база!$M$5*2*Таблица1[[#This Row],[Столбец1]]*Таблица1[[#This Row],[коэф]])),
IF((G669="5/16"),((база!$L$6*2*Таблица1[[#This Row],[Столбец1]]*Таблица1[[#This Row],[коэф]])),
IF(OR(G669="4/16",G669="3/16"),((база!$L$5*2*Таблица1[[#This Row],[Столбец1]]*Таблица1[[#This Row],[коэф]])),
IF(OR(G669="2/4",G669="3/4",G669="4/4"),((база!$I$5*2*Таблица1[[#This Row],[Столбец1]]*Таблица1[[#This Row],[коэф]])),
IF((G669="5/8"),((база!$J$6*2*Таблица1[[#This Row],[Столбец1]]*Таблица1[[#This Row],[коэф]])),
IF(OR(G669="4/8",G669="3/8",G669="2/8"),((база!$J$5*2*Таблица1[[#This Row],[Столбец1]]*Таблица1[[#This Row],[коэф]])))))))))))</f>
        <v>0</v>
      </c>
      <c r="AQ669" s="678" t="str">
        <f>IFERROR(INDEX(база!T:T, MATCH(F669,база!Q:Q,0)),"")</f>
        <v/>
      </c>
      <c r="AR669" s="193">
        <f>IFERROR(INDEX(база!D:D, MATCH(F669,база!B:B,0)),"")</f>
        <v>0</v>
      </c>
    </row>
    <row r="670" spans="1:44" ht="15">
      <c r="A670" s="59"/>
      <c r="B670" s="215"/>
      <c r="C670" s="277"/>
      <c r="D670" s="55"/>
      <c r="E670" s="196"/>
      <c r="F670" s="651"/>
      <c r="G670" s="42"/>
      <c r="H670" s="539"/>
      <c r="I670" s="539"/>
      <c r="J670" s="539"/>
      <c r="K670" s="539"/>
      <c r="L670" s="539"/>
      <c r="M670" s="539"/>
      <c r="N670" s="539"/>
      <c r="O670" s="539"/>
      <c r="P670" s="278"/>
      <c r="Q670" s="539"/>
      <c r="R670" s="539"/>
      <c r="S670" s="539"/>
      <c r="T670" s="539"/>
      <c r="U670" s="539"/>
      <c r="V670" s="539"/>
      <c r="W670" s="539"/>
      <c r="X670" s="539"/>
      <c r="Y670" s="539"/>
      <c r="Z670" s="539"/>
      <c r="AA670" s="539"/>
      <c r="AB670" s="539"/>
      <c r="AC670" s="539"/>
      <c r="AD670" s="43"/>
      <c r="AE670" s="43"/>
      <c r="AF670" s="238"/>
      <c r="AG670" s="43"/>
      <c r="AH670" s="43"/>
      <c r="AI670" s="43"/>
      <c r="AJ670" s="43"/>
      <c r="AK670" s="43"/>
      <c r="AL670" s="45"/>
      <c r="AM670" s="197">
        <f>IF(AQ670=1,SUM(H670:I670,L670:O670,R670:U670,X670:AA670,AD670:AG670,AI670:AK670),
IF(AQ670=2,SUM(H670:K670,N670:Q670,T670:W670,Z670:AC670,AF670:AI670),
IF(AQ670=3,SUM(J670:M670,P670:S670,V670:Y670,AB670:AE670,AH670:AK670),SUM(Таблица1[[#This Row],[1]:[31]])-Таблица1[[#This Row],[Столбец1]])))</f>
        <v>0</v>
      </c>
      <c r="AN670" s="269">
        <f t="array" ref="AN670">IF(AQ670=1,SUM(J670:K670,P670:Q670,V670:W670,AB670:AC670,AH670:AI670),
IF(AQ670=2,SUM(L670:M670,R670:S670,X670:Y670,AD670:AE670),
IF(AQ670=3,SUM(H670:I670,N670:O670,T670:U670,Z670:AA670,AF670:AG670),
SUM(IFERROR(WEEKDAY($H$2:$AL$2,2)&gt;5,)*H670:AL670))))</f>
        <v>0</v>
      </c>
      <c r="AO670" s="271" t="b">
        <f>IF(AR670&lt;=3,(IF((G670="5/24"),((база!$M$6*Таблица1[[#This Row],[сумма]]*Таблица1[[#This Row],[коэф]])),
IF((G670="4/24"),((база!$M$5*Таблица1[[#This Row],[сумма]]*Таблица1[[#This Row],[коэф]])),
IF((G670="3/24"),((база!$M$4*Таблица1[[#This Row],[сумма]]*Таблица1[[#This Row],[коэф]])),
IF((G670="5/16"),((база!$L$6*Таблица1[[#This Row],[сумма]]*Таблица1[[#This Row],[коэф]])),
IF((G670="4/16"),((база!$L$5*Таблица1[[#This Row],[сумма]]*Таблица1[[#This Row],[коэф]])),
IF((G670="3/16"),((база!$L$4*Таблица1[[#This Row],[сумма]]*Таблица1[[#This Row],[коэф]])),
IF((G670="4/4"),((база!$I$5*Таблица1[[#This Row],[сумма]]*Таблица1[[#This Row],[коэф]])),
IF(OR(G670="2/4",G670="3/4"),((база!$I$4*Таблица1[[#This Row],[сумма]]*Таблица1[[#This Row],[коэф]])),
IF((G670="5/8"),((база!$J$6*Таблица1[[#This Row],[сумма]]*Таблица1[[#This Row],[коэф]])),
IF((G670="4/8"),((база!$J$5*Таблица1[[#This Row],[сумма]]*Таблица1[[#This Row],[коэф]])),
IF(OR(G670="3/8",G670="2/8"),((база!$J$4*Таблица1[[#This Row],[сумма]]*Таблица1[[#This Row],[коэф]])))))))))))))),
(IF((G670="5/24"),((база!$M$6*Таблица1[[#This Row],[сумма]]*Таблица1[[#This Row],[коэф]])),
IF(OR(G670="4/24",G670="3/24"),((база!$M$5*Таблица1[[#This Row],[сумма]]*Таблица1[[#This Row],[коэф]])),
IF((G670="5/16"),((база!$L$6*Таблица1[[#This Row],[сумма]]*Таблица1[[#This Row],[коэф]])),
IF(OR(G670="4/16",G670="3/16"),((база!$L$5*Таблица1[[#This Row],[сумма]]*Таблица1[[#This Row],[коэф]])),
IF(OR(G670="2/4",G670="3/4",G670="4/4"),((база!$I$5*Таблица1[[#This Row],[сумма]]*Таблица1[[#This Row],[коэф]])),
IF((G670="5/8"),((база!$J$6*Таблица1[[#This Row],[сумма]]*Таблица1[[#This Row],[коэф]])),
IF(OR(G670="4/8",G670="3/8",G670="2/8"),((база!$J$5*Таблица1[[#This Row],[сумма]]*Таблица1[[#This Row],[коэф]])))))))))))</f>
        <v>0</v>
      </c>
      <c r="AP670" s="696" t="b">
        <f>IF(AR670&lt;=3,(IF((G670="5/24"),((база!$M$6*2*Таблица1[[#This Row],[Столбец1]]*Таблица1[[#This Row],[коэф]])),
IF((G670="4/24"),((база!$M$5*2*Таблица1[[#This Row],[Столбец1]]*Таблица1[[#This Row],[коэф]])),
IF((G670="3/24"),((база!$M$4*2*Таблица1[[#This Row],[Столбец1]]*Таблица1[[#This Row],[коэф]])),
IF((G670="5/16"),((база!$L$6*2*Таблица1[[#This Row],[Столбец1]]*Таблица1[[#This Row],[коэф]])),
IF((G670="4/16"),((база!$L$5*2*Таблица1[[#This Row],[Столбец1]]*Таблица1[[#This Row],[коэф]])),
IF((G670="3/16"),((база!$L$4*2*Таблица1[[#This Row],[Столбец1]]*Таблица1[[#This Row],[коэф]])),
IF((G670="4/4"),((база!$I$5*2*Таблица1[[#This Row],[Столбец1]]*Таблица1[[#This Row],[коэф]])),
IF(OR(G670="2/4",G670="3/4"),((база!$I$4*2*Таблица1[[#This Row],[Столбец1]]*Таблица1[[#This Row],[коэф]])),
IF((G670="5/8"),((база!$J$6*2*Таблица1[[#This Row],[Столбец1]]*Таблица1[[#This Row],[коэф]])),
IF((G670="4/8"),((база!$J$5*2*Таблица1[[#This Row],[Столбец1]]*Таблица1[[#This Row],[коэф]])),
IF(OR(G670="3/8",G670="2/8"),((база!$J$4*2*Таблица1[[#This Row],[Столбец1]]*Таблица1[[#This Row],[коэф]])))))))))))))),
(IF((G670="5/24"),((база!$M$6*2*Таблица1[[#This Row],[Столбец1]]*Таблица1[[#This Row],[коэф]])),
IF(OR(G670="4/24",G670="3/24"),((база!$M$5*2*Таблица1[[#This Row],[Столбец1]]*Таблица1[[#This Row],[коэф]])),
IF((G670="5/16"),((база!$L$6*2*Таблица1[[#This Row],[Столбец1]]*Таблица1[[#This Row],[коэф]])),
IF(OR(G670="4/16",G670="3/16"),((база!$L$5*2*Таблица1[[#This Row],[Столбец1]]*Таблица1[[#This Row],[коэф]])),
IF(OR(G670="2/4",G670="3/4",G670="4/4"),((база!$I$5*2*Таблица1[[#This Row],[Столбец1]]*Таблица1[[#This Row],[коэф]])),
IF((G670="5/8"),((база!$J$6*2*Таблица1[[#This Row],[Столбец1]]*Таблица1[[#This Row],[коэф]])),
IF(OR(G670="4/8",G670="3/8",G670="2/8"),((база!$J$5*2*Таблица1[[#This Row],[Столбец1]]*Таблица1[[#This Row],[коэф]])))))))))))</f>
        <v>0</v>
      </c>
      <c r="AQ670" s="678" t="str">
        <f>IFERROR(INDEX(база!T:T, MATCH(F670,база!Q:Q,0)),"")</f>
        <v/>
      </c>
      <c r="AR670" s="193">
        <f>IFERROR(INDEX(база!D:D, MATCH(F670,база!B:B,0)),"")</f>
        <v>0</v>
      </c>
    </row>
    <row r="671" spans="1:44" ht="15">
      <c r="A671" s="59"/>
      <c r="B671" s="215"/>
      <c r="C671" s="277"/>
      <c r="D671" s="55"/>
      <c r="E671" s="196"/>
      <c r="F671" s="651"/>
      <c r="G671" s="42"/>
      <c r="H671" s="539"/>
      <c r="I671" s="539"/>
      <c r="J671" s="539"/>
      <c r="K671" s="539"/>
      <c r="L671" s="539"/>
      <c r="M671" s="539"/>
      <c r="N671" s="539"/>
      <c r="O671" s="539"/>
      <c r="P671" s="278"/>
      <c r="Q671" s="539"/>
      <c r="R671" s="539"/>
      <c r="S671" s="539"/>
      <c r="T671" s="539"/>
      <c r="U671" s="539"/>
      <c r="V671" s="539"/>
      <c r="W671" s="539"/>
      <c r="X671" s="539"/>
      <c r="Y671" s="539"/>
      <c r="Z671" s="539"/>
      <c r="AA671" s="539"/>
      <c r="AB671" s="539"/>
      <c r="AC671" s="539"/>
      <c r="AD671" s="43"/>
      <c r="AE671" s="43"/>
      <c r="AF671" s="238"/>
      <c r="AG671" s="43"/>
      <c r="AH671" s="43"/>
      <c r="AI671" s="238"/>
      <c r="AJ671" s="238"/>
      <c r="AK671" s="238"/>
      <c r="AL671" s="238"/>
      <c r="AM671" s="197">
        <f>IF(AQ671=1,SUM(H671:I671,L671:O671,R671:U671,X671:AA671,AD671:AG671,AI671:AK671),
IF(AQ671=2,SUM(H671:K671,N671:Q671,T671:W671,Z671:AC671,AF671:AI671),
IF(AQ671=3,SUM(J671:M671,P671:S671,V671:Y671,AB671:AE671,AH671:AK671),SUM(Таблица1[[#This Row],[1]:[31]])-Таблица1[[#This Row],[Столбец1]])))</f>
        <v>0</v>
      </c>
      <c r="AN671" s="269">
        <f t="array" ref="AN671">IF(AQ671=1,SUM(J671:K671,P671:Q671,V671:W671,AB671:AC671,AH671:AI671),
IF(AQ671=2,SUM(L671:M671,R671:S671,X671:Y671,AD671:AE671),
IF(AQ671=3,SUM(H671:I671,N671:O671,T671:U671,Z671:AA671,AF671:AG671),
SUM(IFERROR(WEEKDAY($H$2:$AL$2,2)&gt;5,)*H671:AL671))))</f>
        <v>0</v>
      </c>
      <c r="AO671" s="271" t="b">
        <f>IF(AR671&lt;=3,(IF((G671="5/24"),((база!$M$6*Таблица1[[#This Row],[сумма]]*Таблица1[[#This Row],[коэф]])),
IF((G671="4/24"),((база!$M$5*Таблица1[[#This Row],[сумма]]*Таблица1[[#This Row],[коэф]])),
IF((G671="3/24"),((база!$M$4*Таблица1[[#This Row],[сумма]]*Таблица1[[#This Row],[коэф]])),
IF((G671="5/16"),((база!$L$6*Таблица1[[#This Row],[сумма]]*Таблица1[[#This Row],[коэф]])),
IF((G671="4/16"),((база!$L$5*Таблица1[[#This Row],[сумма]]*Таблица1[[#This Row],[коэф]])),
IF((G671="3/16"),((база!$L$4*Таблица1[[#This Row],[сумма]]*Таблица1[[#This Row],[коэф]])),
IF((G671="4/4"),((база!$I$5*Таблица1[[#This Row],[сумма]]*Таблица1[[#This Row],[коэф]])),
IF(OR(G671="2/4",G671="3/4"),((база!$I$4*Таблица1[[#This Row],[сумма]]*Таблица1[[#This Row],[коэф]])),
IF((G671="5/8"),((база!$J$6*Таблица1[[#This Row],[сумма]]*Таблица1[[#This Row],[коэф]])),
IF((G671="4/8"),((база!$J$5*Таблица1[[#This Row],[сумма]]*Таблица1[[#This Row],[коэф]])),
IF(OR(G671="3/8",G671="2/8"),((база!$J$4*Таблица1[[#This Row],[сумма]]*Таблица1[[#This Row],[коэф]])))))))))))))),
(IF((G671="5/24"),((база!$M$6*Таблица1[[#This Row],[сумма]]*Таблица1[[#This Row],[коэф]])),
IF(OR(G671="4/24",G671="3/24"),((база!$M$5*Таблица1[[#This Row],[сумма]]*Таблица1[[#This Row],[коэф]])),
IF((G671="5/16"),((база!$L$6*Таблица1[[#This Row],[сумма]]*Таблица1[[#This Row],[коэф]])),
IF(OR(G671="4/16",G671="3/16"),((база!$L$5*Таблица1[[#This Row],[сумма]]*Таблица1[[#This Row],[коэф]])),
IF(OR(G671="2/4",G671="3/4",G671="4/4"),((база!$I$5*Таблица1[[#This Row],[сумма]]*Таблица1[[#This Row],[коэф]])),
IF((G671="5/8"),((база!$J$6*Таблица1[[#This Row],[сумма]]*Таблица1[[#This Row],[коэф]])),
IF(OR(G671="4/8",G671="3/8",G671="2/8"),((база!$J$5*Таблица1[[#This Row],[сумма]]*Таблица1[[#This Row],[коэф]])))))))))))</f>
        <v>0</v>
      </c>
      <c r="AP671" s="696" t="b">
        <f>IF(AR671&lt;=3,(IF((G671="5/24"),((база!$M$6*2*Таблица1[[#This Row],[Столбец1]]*Таблица1[[#This Row],[коэф]])),
IF((G671="4/24"),((база!$M$5*2*Таблица1[[#This Row],[Столбец1]]*Таблица1[[#This Row],[коэф]])),
IF((G671="3/24"),((база!$M$4*2*Таблица1[[#This Row],[Столбец1]]*Таблица1[[#This Row],[коэф]])),
IF((G671="5/16"),((база!$L$6*2*Таблица1[[#This Row],[Столбец1]]*Таблица1[[#This Row],[коэф]])),
IF((G671="4/16"),((база!$L$5*2*Таблица1[[#This Row],[Столбец1]]*Таблица1[[#This Row],[коэф]])),
IF((G671="3/16"),((база!$L$4*2*Таблица1[[#This Row],[Столбец1]]*Таблица1[[#This Row],[коэф]])),
IF((G671="4/4"),((база!$I$5*2*Таблица1[[#This Row],[Столбец1]]*Таблица1[[#This Row],[коэф]])),
IF(OR(G671="2/4",G671="3/4"),((база!$I$4*2*Таблица1[[#This Row],[Столбец1]]*Таблица1[[#This Row],[коэф]])),
IF((G671="5/8"),((база!$J$6*2*Таблица1[[#This Row],[Столбец1]]*Таблица1[[#This Row],[коэф]])),
IF((G671="4/8"),((база!$J$5*2*Таблица1[[#This Row],[Столбец1]]*Таблица1[[#This Row],[коэф]])),
IF(OR(G671="3/8",G671="2/8"),((база!$J$4*2*Таблица1[[#This Row],[Столбец1]]*Таблица1[[#This Row],[коэф]])))))))))))))),
(IF((G671="5/24"),((база!$M$6*2*Таблица1[[#This Row],[Столбец1]]*Таблица1[[#This Row],[коэф]])),
IF(OR(G671="4/24",G671="3/24"),((база!$M$5*2*Таблица1[[#This Row],[Столбец1]]*Таблица1[[#This Row],[коэф]])),
IF((G671="5/16"),((база!$L$6*2*Таблица1[[#This Row],[Столбец1]]*Таблица1[[#This Row],[коэф]])),
IF(OR(G671="4/16",G671="3/16"),((база!$L$5*2*Таблица1[[#This Row],[Столбец1]]*Таблица1[[#This Row],[коэф]])),
IF(OR(G671="2/4",G671="3/4",G671="4/4"),((база!$I$5*2*Таблица1[[#This Row],[Столбец1]]*Таблица1[[#This Row],[коэф]])),
IF((G671="5/8"),((база!$J$6*2*Таблица1[[#This Row],[Столбец1]]*Таблица1[[#This Row],[коэф]])),
IF(OR(G671="4/8",G671="3/8",G671="2/8"),((база!$J$5*2*Таблица1[[#This Row],[Столбец1]]*Таблица1[[#This Row],[коэф]])))))))))))</f>
        <v>0</v>
      </c>
      <c r="AQ671" s="678" t="str">
        <f>IFERROR(INDEX(база!T:T, MATCH(F671,база!Q:Q,0)),"")</f>
        <v/>
      </c>
      <c r="AR671" s="193">
        <f>IFERROR(INDEX(база!D:D, MATCH(F671,база!B:B,0)),"")</f>
        <v>0</v>
      </c>
    </row>
    <row r="672" spans="1:44" ht="15">
      <c r="A672" s="59"/>
      <c r="B672" s="215"/>
      <c r="C672" s="277"/>
      <c r="D672" s="55"/>
      <c r="E672" s="196"/>
      <c r="F672" s="651"/>
      <c r="G672" s="42"/>
      <c r="H672" s="539"/>
      <c r="I672" s="539"/>
      <c r="J672" s="539"/>
      <c r="K672" s="539"/>
      <c r="L672" s="539"/>
      <c r="M672" s="539"/>
      <c r="N672" s="539"/>
      <c r="O672" s="539"/>
      <c r="P672" s="278"/>
      <c r="Q672" s="539"/>
      <c r="R672" s="539"/>
      <c r="S672" s="539"/>
      <c r="T672" s="539"/>
      <c r="U672" s="539"/>
      <c r="V672" s="539"/>
      <c r="W672" s="539"/>
      <c r="X672" s="539"/>
      <c r="Y672" s="539"/>
      <c r="Z672" s="539"/>
      <c r="AA672" s="539"/>
      <c r="AB672" s="539"/>
      <c r="AC672" s="539"/>
      <c r="AD672" s="43"/>
      <c r="AE672" s="43"/>
      <c r="AF672" s="238"/>
      <c r="AG672" s="43"/>
      <c r="AH672" s="43"/>
      <c r="AI672" s="43"/>
      <c r="AJ672" s="43"/>
      <c r="AK672" s="43"/>
      <c r="AL672" s="45"/>
      <c r="AM672" s="197">
        <f>IF(AQ672=1,SUM(H672:I672,L672:O672,R672:U672,X672:AA672,AD672:AG672,AI672:AK672),
IF(AQ672=2,SUM(H672:K672,N672:Q672,T672:W672,Z672:AC672,AF672:AI672),
IF(AQ672=3,SUM(J672:M672,P672:S672,V672:Y672,AB672:AE672,AH672:AK672),SUM(Таблица1[[#This Row],[1]:[31]])-Таблица1[[#This Row],[Столбец1]])))</f>
        <v>0</v>
      </c>
      <c r="AN672" s="269">
        <f t="array" ref="AN672">IF(AQ672=1,SUM(J672:K672,P672:Q672,V672:W672,AB672:AC672,AH672:AI672),
IF(AQ672=2,SUM(L672:M672,R672:S672,X672:Y672,AD672:AE672),
IF(AQ672=3,SUM(H672:I672,N672:O672,T672:U672,Z672:AA672,AF672:AG672),
SUM(IFERROR(WEEKDAY($H$2:$AL$2,2)&gt;5,)*H672:AL672))))</f>
        <v>0</v>
      </c>
      <c r="AO672" s="271" t="b">
        <f>IF(AR672&lt;=3,(IF((G672="5/24"),((база!$M$6*Таблица1[[#This Row],[сумма]]*Таблица1[[#This Row],[коэф]])),
IF((G672="4/24"),((база!$M$5*Таблица1[[#This Row],[сумма]]*Таблица1[[#This Row],[коэф]])),
IF((G672="3/24"),((база!$M$4*Таблица1[[#This Row],[сумма]]*Таблица1[[#This Row],[коэф]])),
IF((G672="5/16"),((база!$L$6*Таблица1[[#This Row],[сумма]]*Таблица1[[#This Row],[коэф]])),
IF((G672="4/16"),((база!$L$5*Таблица1[[#This Row],[сумма]]*Таблица1[[#This Row],[коэф]])),
IF((G672="3/16"),((база!$L$4*Таблица1[[#This Row],[сумма]]*Таблица1[[#This Row],[коэф]])),
IF((G672="4/4"),((база!$I$5*Таблица1[[#This Row],[сумма]]*Таблица1[[#This Row],[коэф]])),
IF(OR(G672="2/4",G672="3/4"),((база!$I$4*Таблица1[[#This Row],[сумма]]*Таблица1[[#This Row],[коэф]])),
IF((G672="5/8"),((база!$J$6*Таблица1[[#This Row],[сумма]]*Таблица1[[#This Row],[коэф]])),
IF((G672="4/8"),((база!$J$5*Таблица1[[#This Row],[сумма]]*Таблица1[[#This Row],[коэф]])),
IF(OR(G672="3/8",G672="2/8"),((база!$J$4*Таблица1[[#This Row],[сумма]]*Таблица1[[#This Row],[коэф]])))))))))))))),
(IF((G672="5/24"),((база!$M$6*Таблица1[[#This Row],[сумма]]*Таблица1[[#This Row],[коэф]])),
IF(OR(G672="4/24",G672="3/24"),((база!$M$5*Таблица1[[#This Row],[сумма]]*Таблица1[[#This Row],[коэф]])),
IF((G672="5/16"),((база!$L$6*Таблица1[[#This Row],[сумма]]*Таблица1[[#This Row],[коэф]])),
IF(OR(G672="4/16",G672="3/16"),((база!$L$5*Таблица1[[#This Row],[сумма]]*Таблица1[[#This Row],[коэф]])),
IF(OR(G672="2/4",G672="3/4",G672="4/4"),((база!$I$5*Таблица1[[#This Row],[сумма]]*Таблица1[[#This Row],[коэф]])),
IF((G672="5/8"),((база!$J$6*Таблица1[[#This Row],[сумма]]*Таблица1[[#This Row],[коэф]])),
IF(OR(G672="4/8",G672="3/8",G672="2/8"),((база!$J$5*Таблица1[[#This Row],[сумма]]*Таблица1[[#This Row],[коэф]])))))))))))</f>
        <v>0</v>
      </c>
      <c r="AP672" s="696" t="b">
        <f>IF(AR672&lt;=3,(IF((G672="5/24"),((база!$M$6*2*Таблица1[[#This Row],[Столбец1]]*Таблица1[[#This Row],[коэф]])),
IF((G672="4/24"),((база!$M$5*2*Таблица1[[#This Row],[Столбец1]]*Таблица1[[#This Row],[коэф]])),
IF((G672="3/24"),((база!$M$4*2*Таблица1[[#This Row],[Столбец1]]*Таблица1[[#This Row],[коэф]])),
IF((G672="5/16"),((база!$L$6*2*Таблица1[[#This Row],[Столбец1]]*Таблица1[[#This Row],[коэф]])),
IF((G672="4/16"),((база!$L$5*2*Таблица1[[#This Row],[Столбец1]]*Таблица1[[#This Row],[коэф]])),
IF((G672="3/16"),((база!$L$4*2*Таблица1[[#This Row],[Столбец1]]*Таблица1[[#This Row],[коэф]])),
IF((G672="4/4"),((база!$I$5*2*Таблица1[[#This Row],[Столбец1]]*Таблица1[[#This Row],[коэф]])),
IF(OR(G672="2/4",G672="3/4"),((база!$I$4*2*Таблица1[[#This Row],[Столбец1]]*Таблица1[[#This Row],[коэф]])),
IF((G672="5/8"),((база!$J$6*2*Таблица1[[#This Row],[Столбец1]]*Таблица1[[#This Row],[коэф]])),
IF((G672="4/8"),((база!$J$5*2*Таблица1[[#This Row],[Столбец1]]*Таблица1[[#This Row],[коэф]])),
IF(OR(G672="3/8",G672="2/8"),((база!$J$4*2*Таблица1[[#This Row],[Столбец1]]*Таблица1[[#This Row],[коэф]])))))))))))))),
(IF((G672="5/24"),((база!$M$6*2*Таблица1[[#This Row],[Столбец1]]*Таблица1[[#This Row],[коэф]])),
IF(OR(G672="4/24",G672="3/24"),((база!$M$5*2*Таблица1[[#This Row],[Столбец1]]*Таблица1[[#This Row],[коэф]])),
IF((G672="5/16"),((база!$L$6*2*Таблица1[[#This Row],[Столбец1]]*Таблица1[[#This Row],[коэф]])),
IF(OR(G672="4/16",G672="3/16"),((база!$L$5*2*Таблица1[[#This Row],[Столбец1]]*Таблица1[[#This Row],[коэф]])),
IF(OR(G672="2/4",G672="3/4",G672="4/4"),((база!$I$5*2*Таблица1[[#This Row],[Столбец1]]*Таблица1[[#This Row],[коэф]])),
IF((G672="5/8"),((база!$J$6*2*Таблица1[[#This Row],[Столбец1]]*Таблица1[[#This Row],[коэф]])),
IF(OR(G672="4/8",G672="3/8",G672="2/8"),((база!$J$5*2*Таблица1[[#This Row],[Столбец1]]*Таблица1[[#This Row],[коэф]])))))))))))</f>
        <v>0</v>
      </c>
      <c r="AQ672" s="678" t="str">
        <f>IFERROR(INDEX(база!T:T, MATCH(F672,база!Q:Q,0)),"")</f>
        <v/>
      </c>
      <c r="AR672" s="193">
        <f>IFERROR(INDEX(база!D:D, MATCH(F672,база!B:B,0)),"")</f>
        <v>0</v>
      </c>
    </row>
    <row r="673" spans="1:44" ht="15">
      <c r="A673" s="59"/>
      <c r="B673" s="215"/>
      <c r="C673" s="277"/>
      <c r="D673" s="55"/>
      <c r="E673" s="196"/>
      <c r="F673" s="651"/>
      <c r="G673" s="42"/>
      <c r="H673" s="539"/>
      <c r="I673" s="539"/>
      <c r="J673" s="539"/>
      <c r="K673" s="539"/>
      <c r="L673" s="539"/>
      <c r="M673" s="539"/>
      <c r="N673" s="539"/>
      <c r="O673" s="539"/>
      <c r="P673" s="278"/>
      <c r="Q673" s="539"/>
      <c r="R673" s="539"/>
      <c r="S673" s="539"/>
      <c r="T673" s="539"/>
      <c r="U673" s="539"/>
      <c r="V673" s="539"/>
      <c r="W673" s="539"/>
      <c r="X673" s="539"/>
      <c r="Y673" s="539"/>
      <c r="Z673" s="539"/>
      <c r="AA673" s="539"/>
      <c r="AB673" s="539"/>
      <c r="AC673" s="539"/>
      <c r="AD673" s="43"/>
      <c r="AE673" s="43"/>
      <c r="AF673" s="238"/>
      <c r="AG673" s="43"/>
      <c r="AH673" s="43"/>
      <c r="AI673" s="238"/>
      <c r="AJ673" s="238"/>
      <c r="AK673" s="238"/>
      <c r="AL673" s="238"/>
      <c r="AM673" s="197">
        <f>IF(AQ673=1,SUM(H673:I673,L673:O673,R673:U673,X673:AA673,AD673:AG673,AI673:AK673),
IF(AQ673=2,SUM(H673:K673,N673:Q673,T673:W673,Z673:AC673,AF673:AI673),
IF(AQ673=3,SUM(J673:M673,P673:S673,V673:Y673,AB673:AE673,AH673:AK673),SUM(Таблица1[[#This Row],[1]:[31]])-Таблица1[[#This Row],[Столбец1]])))</f>
        <v>0</v>
      </c>
      <c r="AN673" s="269">
        <f t="array" ref="AN673">IF(AQ673=1,SUM(J673:K673,P673:Q673,V673:W673,AB673:AC673,AH673:AI673),
IF(AQ673=2,SUM(L673:M673,R673:S673,X673:Y673,AD673:AE673),
IF(AQ673=3,SUM(H673:I673,N673:O673,T673:U673,Z673:AA673,AF673:AG673),
SUM(IFERROR(WEEKDAY($H$2:$AL$2,2)&gt;5,)*H673:AL673))))</f>
        <v>0</v>
      </c>
      <c r="AO673" s="271" t="b">
        <f>IF(AR673&lt;=3,(IF((G673="5/24"),((база!$M$6*Таблица1[[#This Row],[сумма]]*Таблица1[[#This Row],[коэф]])),
IF((G673="4/24"),((база!$M$5*Таблица1[[#This Row],[сумма]]*Таблица1[[#This Row],[коэф]])),
IF((G673="3/24"),((база!$M$4*Таблица1[[#This Row],[сумма]]*Таблица1[[#This Row],[коэф]])),
IF((G673="5/16"),((база!$L$6*Таблица1[[#This Row],[сумма]]*Таблица1[[#This Row],[коэф]])),
IF((G673="4/16"),((база!$L$5*Таблица1[[#This Row],[сумма]]*Таблица1[[#This Row],[коэф]])),
IF((G673="3/16"),((база!$L$4*Таблица1[[#This Row],[сумма]]*Таблица1[[#This Row],[коэф]])),
IF((G673="4/4"),((база!$I$5*Таблица1[[#This Row],[сумма]]*Таблица1[[#This Row],[коэф]])),
IF(OR(G673="2/4",G673="3/4"),((база!$I$4*Таблица1[[#This Row],[сумма]]*Таблица1[[#This Row],[коэф]])),
IF((G673="5/8"),((база!$J$6*Таблица1[[#This Row],[сумма]]*Таблица1[[#This Row],[коэф]])),
IF((G673="4/8"),((база!$J$5*Таблица1[[#This Row],[сумма]]*Таблица1[[#This Row],[коэф]])),
IF(OR(G673="3/8",G673="2/8"),((база!$J$4*Таблица1[[#This Row],[сумма]]*Таблица1[[#This Row],[коэф]])))))))))))))),
(IF((G673="5/24"),((база!$M$6*Таблица1[[#This Row],[сумма]]*Таблица1[[#This Row],[коэф]])),
IF(OR(G673="4/24",G673="3/24"),((база!$M$5*Таблица1[[#This Row],[сумма]]*Таблица1[[#This Row],[коэф]])),
IF((G673="5/16"),((база!$L$6*Таблица1[[#This Row],[сумма]]*Таблица1[[#This Row],[коэф]])),
IF(OR(G673="4/16",G673="3/16"),((база!$L$5*Таблица1[[#This Row],[сумма]]*Таблица1[[#This Row],[коэф]])),
IF(OR(G673="2/4",G673="3/4",G673="4/4"),((база!$I$5*Таблица1[[#This Row],[сумма]]*Таблица1[[#This Row],[коэф]])),
IF((G673="5/8"),((база!$J$6*Таблица1[[#This Row],[сумма]]*Таблица1[[#This Row],[коэф]])),
IF(OR(G673="4/8",G673="3/8",G673="2/8"),((база!$J$5*Таблица1[[#This Row],[сумма]]*Таблица1[[#This Row],[коэф]])))))))))))</f>
        <v>0</v>
      </c>
      <c r="AP673" s="696" t="b">
        <f>IF(AR673&lt;=3,(IF((G673="5/24"),((база!$M$6*2*Таблица1[[#This Row],[Столбец1]]*Таблица1[[#This Row],[коэф]])),
IF((G673="4/24"),((база!$M$5*2*Таблица1[[#This Row],[Столбец1]]*Таблица1[[#This Row],[коэф]])),
IF((G673="3/24"),((база!$M$4*2*Таблица1[[#This Row],[Столбец1]]*Таблица1[[#This Row],[коэф]])),
IF((G673="5/16"),((база!$L$6*2*Таблица1[[#This Row],[Столбец1]]*Таблица1[[#This Row],[коэф]])),
IF((G673="4/16"),((база!$L$5*2*Таблица1[[#This Row],[Столбец1]]*Таблица1[[#This Row],[коэф]])),
IF((G673="3/16"),((база!$L$4*2*Таблица1[[#This Row],[Столбец1]]*Таблица1[[#This Row],[коэф]])),
IF((G673="4/4"),((база!$I$5*2*Таблица1[[#This Row],[Столбец1]]*Таблица1[[#This Row],[коэф]])),
IF(OR(G673="2/4",G673="3/4"),((база!$I$4*2*Таблица1[[#This Row],[Столбец1]]*Таблица1[[#This Row],[коэф]])),
IF((G673="5/8"),((база!$J$6*2*Таблица1[[#This Row],[Столбец1]]*Таблица1[[#This Row],[коэф]])),
IF((G673="4/8"),((база!$J$5*2*Таблица1[[#This Row],[Столбец1]]*Таблица1[[#This Row],[коэф]])),
IF(OR(G673="3/8",G673="2/8"),((база!$J$4*2*Таблица1[[#This Row],[Столбец1]]*Таблица1[[#This Row],[коэф]])))))))))))))),
(IF((G673="5/24"),((база!$M$6*2*Таблица1[[#This Row],[Столбец1]]*Таблица1[[#This Row],[коэф]])),
IF(OR(G673="4/24",G673="3/24"),((база!$M$5*2*Таблица1[[#This Row],[Столбец1]]*Таблица1[[#This Row],[коэф]])),
IF((G673="5/16"),((база!$L$6*2*Таблица1[[#This Row],[Столбец1]]*Таблица1[[#This Row],[коэф]])),
IF(OR(G673="4/16",G673="3/16"),((база!$L$5*2*Таблица1[[#This Row],[Столбец1]]*Таблица1[[#This Row],[коэф]])),
IF(OR(G673="2/4",G673="3/4",G673="4/4"),((база!$I$5*2*Таблица1[[#This Row],[Столбец1]]*Таблица1[[#This Row],[коэф]])),
IF((G673="5/8"),((база!$J$6*2*Таблица1[[#This Row],[Столбец1]]*Таблица1[[#This Row],[коэф]])),
IF(OR(G673="4/8",G673="3/8",G673="2/8"),((база!$J$5*2*Таблица1[[#This Row],[Столбец1]]*Таблица1[[#This Row],[коэф]])))))))))))</f>
        <v>0</v>
      </c>
      <c r="AQ673" s="678" t="str">
        <f>IFERROR(INDEX(база!T:T, MATCH(F673,база!Q:Q,0)),"")</f>
        <v/>
      </c>
      <c r="AR673" s="193">
        <f>IFERROR(INDEX(база!D:D, MATCH(F673,база!B:B,0)),"")</f>
        <v>0</v>
      </c>
    </row>
    <row r="674" spans="1:44" ht="15">
      <c r="A674" s="59"/>
      <c r="B674" s="215"/>
      <c r="C674" s="277"/>
      <c r="D674" s="55"/>
      <c r="E674" s="196"/>
      <c r="F674" s="651"/>
      <c r="G674" s="42"/>
      <c r="H674" s="539"/>
      <c r="I674" s="539"/>
      <c r="J674" s="539"/>
      <c r="K674" s="539"/>
      <c r="L674" s="539"/>
      <c r="M674" s="539"/>
      <c r="N674" s="539"/>
      <c r="O674" s="539"/>
      <c r="P674" s="278"/>
      <c r="Q674" s="539"/>
      <c r="R674" s="539"/>
      <c r="S674" s="539"/>
      <c r="T674" s="539"/>
      <c r="U674" s="539"/>
      <c r="V674" s="539"/>
      <c r="W674" s="539"/>
      <c r="X674" s="539"/>
      <c r="Y674" s="539"/>
      <c r="Z674" s="539"/>
      <c r="AA674" s="539"/>
      <c r="AB674" s="539"/>
      <c r="AC674" s="539"/>
      <c r="AD674" s="43"/>
      <c r="AE674" s="43"/>
      <c r="AF674" s="238"/>
      <c r="AG674" s="43"/>
      <c r="AH674" s="43"/>
      <c r="AI674" s="43"/>
      <c r="AJ674" s="43"/>
      <c r="AK674" s="43"/>
      <c r="AL674" s="45"/>
      <c r="AM674" s="197">
        <f>IF(AQ674=1,SUM(H674:I674,L674:O674,R674:U674,X674:AA674,AD674:AG674,AI674:AK674),
IF(AQ674=2,SUM(H674:K674,N674:Q674,T674:W674,Z674:AC674,AF674:AI674),
IF(AQ674=3,SUM(J674:M674,P674:S674,V674:Y674,AB674:AE674,AH674:AK674),SUM(Таблица1[[#This Row],[1]:[31]])-Таблица1[[#This Row],[Столбец1]])))</f>
        <v>0</v>
      </c>
      <c r="AN674" s="269">
        <f t="array" ref="AN674">IF(AQ674=1,SUM(J674:K674,P674:Q674,V674:W674,AB674:AC674,AH674:AI674),
IF(AQ674=2,SUM(L674:M674,R674:S674,X674:Y674,AD674:AE674),
IF(AQ674=3,SUM(H674:I674,N674:O674,T674:U674,Z674:AA674,AF674:AG674),
SUM(IFERROR(WEEKDAY($H$2:$AL$2,2)&gt;5,)*H674:AL674))))</f>
        <v>0</v>
      </c>
      <c r="AO674" s="271" t="b">
        <f>IF(AR674&lt;=3,(IF((G674="5/24"),((база!$M$6*Таблица1[[#This Row],[сумма]]*Таблица1[[#This Row],[коэф]])),
IF((G674="4/24"),((база!$M$5*Таблица1[[#This Row],[сумма]]*Таблица1[[#This Row],[коэф]])),
IF((G674="3/24"),((база!$M$4*Таблица1[[#This Row],[сумма]]*Таблица1[[#This Row],[коэф]])),
IF((G674="5/16"),((база!$L$6*Таблица1[[#This Row],[сумма]]*Таблица1[[#This Row],[коэф]])),
IF((G674="4/16"),((база!$L$5*Таблица1[[#This Row],[сумма]]*Таблица1[[#This Row],[коэф]])),
IF((G674="3/16"),((база!$L$4*Таблица1[[#This Row],[сумма]]*Таблица1[[#This Row],[коэф]])),
IF((G674="4/4"),((база!$I$5*Таблица1[[#This Row],[сумма]]*Таблица1[[#This Row],[коэф]])),
IF(OR(G674="2/4",G674="3/4"),((база!$I$4*Таблица1[[#This Row],[сумма]]*Таблица1[[#This Row],[коэф]])),
IF((G674="5/8"),((база!$J$6*Таблица1[[#This Row],[сумма]]*Таблица1[[#This Row],[коэф]])),
IF((G674="4/8"),((база!$J$5*Таблица1[[#This Row],[сумма]]*Таблица1[[#This Row],[коэф]])),
IF(OR(G674="3/8",G674="2/8"),((база!$J$4*Таблица1[[#This Row],[сумма]]*Таблица1[[#This Row],[коэф]])))))))))))))),
(IF((G674="5/24"),((база!$M$6*Таблица1[[#This Row],[сумма]]*Таблица1[[#This Row],[коэф]])),
IF(OR(G674="4/24",G674="3/24"),((база!$M$5*Таблица1[[#This Row],[сумма]]*Таблица1[[#This Row],[коэф]])),
IF((G674="5/16"),((база!$L$6*Таблица1[[#This Row],[сумма]]*Таблица1[[#This Row],[коэф]])),
IF(OR(G674="4/16",G674="3/16"),((база!$L$5*Таблица1[[#This Row],[сумма]]*Таблица1[[#This Row],[коэф]])),
IF(OR(G674="2/4",G674="3/4",G674="4/4"),((база!$I$5*Таблица1[[#This Row],[сумма]]*Таблица1[[#This Row],[коэф]])),
IF((G674="5/8"),((база!$J$6*Таблица1[[#This Row],[сумма]]*Таблица1[[#This Row],[коэф]])),
IF(OR(G674="4/8",G674="3/8",G674="2/8"),((база!$J$5*Таблица1[[#This Row],[сумма]]*Таблица1[[#This Row],[коэф]])))))))))))</f>
        <v>0</v>
      </c>
      <c r="AP674" s="696" t="b">
        <f>IF(AR674&lt;=3,(IF((G674="5/24"),((база!$M$6*2*Таблица1[[#This Row],[Столбец1]]*Таблица1[[#This Row],[коэф]])),
IF((G674="4/24"),((база!$M$5*2*Таблица1[[#This Row],[Столбец1]]*Таблица1[[#This Row],[коэф]])),
IF((G674="3/24"),((база!$M$4*2*Таблица1[[#This Row],[Столбец1]]*Таблица1[[#This Row],[коэф]])),
IF((G674="5/16"),((база!$L$6*2*Таблица1[[#This Row],[Столбец1]]*Таблица1[[#This Row],[коэф]])),
IF((G674="4/16"),((база!$L$5*2*Таблица1[[#This Row],[Столбец1]]*Таблица1[[#This Row],[коэф]])),
IF((G674="3/16"),((база!$L$4*2*Таблица1[[#This Row],[Столбец1]]*Таблица1[[#This Row],[коэф]])),
IF((G674="4/4"),((база!$I$5*2*Таблица1[[#This Row],[Столбец1]]*Таблица1[[#This Row],[коэф]])),
IF(OR(G674="2/4",G674="3/4"),((база!$I$4*2*Таблица1[[#This Row],[Столбец1]]*Таблица1[[#This Row],[коэф]])),
IF((G674="5/8"),((база!$J$6*2*Таблица1[[#This Row],[Столбец1]]*Таблица1[[#This Row],[коэф]])),
IF((G674="4/8"),((база!$J$5*2*Таблица1[[#This Row],[Столбец1]]*Таблица1[[#This Row],[коэф]])),
IF(OR(G674="3/8",G674="2/8"),((база!$J$4*2*Таблица1[[#This Row],[Столбец1]]*Таблица1[[#This Row],[коэф]])))))))))))))),
(IF((G674="5/24"),((база!$M$6*2*Таблица1[[#This Row],[Столбец1]]*Таблица1[[#This Row],[коэф]])),
IF(OR(G674="4/24",G674="3/24"),((база!$M$5*2*Таблица1[[#This Row],[Столбец1]]*Таблица1[[#This Row],[коэф]])),
IF((G674="5/16"),((база!$L$6*2*Таблица1[[#This Row],[Столбец1]]*Таблица1[[#This Row],[коэф]])),
IF(OR(G674="4/16",G674="3/16"),((база!$L$5*2*Таблица1[[#This Row],[Столбец1]]*Таблица1[[#This Row],[коэф]])),
IF(OR(G674="2/4",G674="3/4",G674="4/4"),((база!$I$5*2*Таблица1[[#This Row],[Столбец1]]*Таблица1[[#This Row],[коэф]])),
IF((G674="5/8"),((база!$J$6*2*Таблица1[[#This Row],[Столбец1]]*Таблица1[[#This Row],[коэф]])),
IF(OR(G674="4/8",G674="3/8",G674="2/8"),((база!$J$5*2*Таблица1[[#This Row],[Столбец1]]*Таблица1[[#This Row],[коэф]])))))))))))</f>
        <v>0</v>
      </c>
      <c r="AQ674" s="678" t="str">
        <f>IFERROR(INDEX(база!T:T, MATCH(F674,база!Q:Q,0)),"")</f>
        <v/>
      </c>
      <c r="AR674" s="193">
        <f>IFERROR(INDEX(база!D:D, MATCH(F674,база!B:B,0)),"")</f>
        <v>0</v>
      </c>
    </row>
    <row r="675" spans="1:44" ht="15">
      <c r="A675" s="59"/>
      <c r="B675" s="215"/>
      <c r="C675" s="277"/>
      <c r="D675" s="55"/>
      <c r="E675" s="196"/>
      <c r="F675" s="651"/>
      <c r="G675" s="42"/>
      <c r="H675" s="539"/>
      <c r="I675" s="539"/>
      <c r="J675" s="539"/>
      <c r="K675" s="539"/>
      <c r="L675" s="539"/>
      <c r="M675" s="539"/>
      <c r="N675" s="539"/>
      <c r="O675" s="539"/>
      <c r="P675" s="278"/>
      <c r="Q675" s="539"/>
      <c r="R675" s="539"/>
      <c r="S675" s="539"/>
      <c r="T675" s="539"/>
      <c r="U675" s="539"/>
      <c r="V675" s="539"/>
      <c r="W675" s="539"/>
      <c r="X675" s="539"/>
      <c r="Y675" s="539"/>
      <c r="Z675" s="539"/>
      <c r="AA675" s="539"/>
      <c r="AB675" s="539"/>
      <c r="AC675" s="539"/>
      <c r="AD675" s="43"/>
      <c r="AE675" s="43"/>
      <c r="AF675" s="238"/>
      <c r="AG675" s="43"/>
      <c r="AH675" s="43"/>
      <c r="AI675" s="238"/>
      <c r="AJ675" s="238"/>
      <c r="AK675" s="238"/>
      <c r="AL675" s="238"/>
      <c r="AM675" s="197">
        <f>IF(AQ675=1,SUM(H675:I675,L675:O675,R675:U675,X675:AA675,AD675:AG675,AI675:AK675),
IF(AQ675=2,SUM(H675:K675,N675:Q675,T675:W675,Z675:AC675,AF675:AI675),
IF(AQ675=3,SUM(J675:M675,P675:S675,V675:Y675,AB675:AE675,AH675:AK675),SUM(Таблица1[[#This Row],[1]:[31]])-Таблица1[[#This Row],[Столбец1]])))</f>
        <v>0</v>
      </c>
      <c r="AN675" s="269">
        <f t="array" ref="AN675">IF(AQ675=1,SUM(J675:K675,P675:Q675,V675:W675,AB675:AC675,AH675:AI675),
IF(AQ675=2,SUM(L675:M675,R675:S675,X675:Y675,AD675:AE675),
IF(AQ675=3,SUM(H675:I675,N675:O675,T675:U675,Z675:AA675,AF675:AG675),
SUM(IFERROR(WEEKDAY($H$2:$AL$2,2)&gt;5,)*H675:AL675))))</f>
        <v>0</v>
      </c>
      <c r="AO675" s="271" t="b">
        <f>IF(AR675&lt;=3,(IF((G675="5/24"),((база!$M$6*Таблица1[[#This Row],[сумма]]*Таблица1[[#This Row],[коэф]])),
IF((G675="4/24"),((база!$M$5*Таблица1[[#This Row],[сумма]]*Таблица1[[#This Row],[коэф]])),
IF((G675="3/24"),((база!$M$4*Таблица1[[#This Row],[сумма]]*Таблица1[[#This Row],[коэф]])),
IF((G675="5/16"),((база!$L$6*Таблица1[[#This Row],[сумма]]*Таблица1[[#This Row],[коэф]])),
IF((G675="4/16"),((база!$L$5*Таблица1[[#This Row],[сумма]]*Таблица1[[#This Row],[коэф]])),
IF((G675="3/16"),((база!$L$4*Таблица1[[#This Row],[сумма]]*Таблица1[[#This Row],[коэф]])),
IF((G675="4/4"),((база!$I$5*Таблица1[[#This Row],[сумма]]*Таблица1[[#This Row],[коэф]])),
IF(OR(G675="2/4",G675="3/4"),((база!$I$4*Таблица1[[#This Row],[сумма]]*Таблица1[[#This Row],[коэф]])),
IF((G675="5/8"),((база!$J$6*Таблица1[[#This Row],[сумма]]*Таблица1[[#This Row],[коэф]])),
IF((G675="4/8"),((база!$J$5*Таблица1[[#This Row],[сумма]]*Таблица1[[#This Row],[коэф]])),
IF(OR(G675="3/8",G675="2/8"),((база!$J$4*Таблица1[[#This Row],[сумма]]*Таблица1[[#This Row],[коэф]])))))))))))))),
(IF((G675="5/24"),((база!$M$6*Таблица1[[#This Row],[сумма]]*Таблица1[[#This Row],[коэф]])),
IF(OR(G675="4/24",G675="3/24"),((база!$M$5*Таблица1[[#This Row],[сумма]]*Таблица1[[#This Row],[коэф]])),
IF((G675="5/16"),((база!$L$6*Таблица1[[#This Row],[сумма]]*Таблица1[[#This Row],[коэф]])),
IF(OR(G675="4/16",G675="3/16"),((база!$L$5*Таблица1[[#This Row],[сумма]]*Таблица1[[#This Row],[коэф]])),
IF(OR(G675="2/4",G675="3/4",G675="4/4"),((база!$I$5*Таблица1[[#This Row],[сумма]]*Таблица1[[#This Row],[коэф]])),
IF((G675="5/8"),((база!$J$6*Таблица1[[#This Row],[сумма]]*Таблица1[[#This Row],[коэф]])),
IF(OR(G675="4/8",G675="3/8",G675="2/8"),((база!$J$5*Таблица1[[#This Row],[сумма]]*Таблица1[[#This Row],[коэф]])))))))))))</f>
        <v>0</v>
      </c>
      <c r="AP675" s="696" t="b">
        <f>IF(AR675&lt;=3,(IF((G675="5/24"),((база!$M$6*2*Таблица1[[#This Row],[Столбец1]]*Таблица1[[#This Row],[коэф]])),
IF((G675="4/24"),((база!$M$5*2*Таблица1[[#This Row],[Столбец1]]*Таблица1[[#This Row],[коэф]])),
IF((G675="3/24"),((база!$M$4*2*Таблица1[[#This Row],[Столбец1]]*Таблица1[[#This Row],[коэф]])),
IF((G675="5/16"),((база!$L$6*2*Таблица1[[#This Row],[Столбец1]]*Таблица1[[#This Row],[коэф]])),
IF((G675="4/16"),((база!$L$5*2*Таблица1[[#This Row],[Столбец1]]*Таблица1[[#This Row],[коэф]])),
IF((G675="3/16"),((база!$L$4*2*Таблица1[[#This Row],[Столбец1]]*Таблица1[[#This Row],[коэф]])),
IF((G675="4/4"),((база!$I$5*2*Таблица1[[#This Row],[Столбец1]]*Таблица1[[#This Row],[коэф]])),
IF(OR(G675="2/4",G675="3/4"),((база!$I$4*2*Таблица1[[#This Row],[Столбец1]]*Таблица1[[#This Row],[коэф]])),
IF((G675="5/8"),((база!$J$6*2*Таблица1[[#This Row],[Столбец1]]*Таблица1[[#This Row],[коэф]])),
IF((G675="4/8"),((база!$J$5*2*Таблица1[[#This Row],[Столбец1]]*Таблица1[[#This Row],[коэф]])),
IF(OR(G675="3/8",G675="2/8"),((база!$J$4*2*Таблица1[[#This Row],[Столбец1]]*Таблица1[[#This Row],[коэф]])))))))))))))),
(IF((G675="5/24"),((база!$M$6*2*Таблица1[[#This Row],[Столбец1]]*Таблица1[[#This Row],[коэф]])),
IF(OR(G675="4/24",G675="3/24"),((база!$M$5*2*Таблица1[[#This Row],[Столбец1]]*Таблица1[[#This Row],[коэф]])),
IF((G675="5/16"),((база!$L$6*2*Таблица1[[#This Row],[Столбец1]]*Таблица1[[#This Row],[коэф]])),
IF(OR(G675="4/16",G675="3/16"),((база!$L$5*2*Таблица1[[#This Row],[Столбец1]]*Таблица1[[#This Row],[коэф]])),
IF(OR(G675="2/4",G675="3/4",G675="4/4"),((база!$I$5*2*Таблица1[[#This Row],[Столбец1]]*Таблица1[[#This Row],[коэф]])),
IF((G675="5/8"),((база!$J$6*2*Таблица1[[#This Row],[Столбец1]]*Таблица1[[#This Row],[коэф]])),
IF(OR(G675="4/8",G675="3/8",G675="2/8"),((база!$J$5*2*Таблица1[[#This Row],[Столбец1]]*Таблица1[[#This Row],[коэф]])))))))))))</f>
        <v>0</v>
      </c>
      <c r="AQ675" s="678" t="str">
        <f>IFERROR(INDEX(база!T:T, MATCH(F675,база!Q:Q,0)),"")</f>
        <v/>
      </c>
      <c r="AR675" s="193">
        <f>IFERROR(INDEX(база!D:D, MATCH(F675,база!B:B,0)),"")</f>
        <v>0</v>
      </c>
    </row>
    <row r="676" spans="1:44" ht="15">
      <c r="A676" s="59"/>
      <c r="B676" s="215"/>
      <c r="C676" s="277"/>
      <c r="D676" s="55"/>
      <c r="E676" s="196"/>
      <c r="F676" s="651"/>
      <c r="G676" s="42"/>
      <c r="H676" s="539"/>
      <c r="I676" s="539"/>
      <c r="J676" s="539"/>
      <c r="K676" s="539"/>
      <c r="L676" s="539"/>
      <c r="M676" s="539"/>
      <c r="N676" s="539"/>
      <c r="O676" s="539"/>
      <c r="P676" s="278"/>
      <c r="Q676" s="539"/>
      <c r="R676" s="539"/>
      <c r="S676" s="539"/>
      <c r="T676" s="539"/>
      <c r="U676" s="539"/>
      <c r="V676" s="539"/>
      <c r="W676" s="539"/>
      <c r="X676" s="539"/>
      <c r="Y676" s="539"/>
      <c r="Z676" s="539"/>
      <c r="AA676" s="539"/>
      <c r="AB676" s="539"/>
      <c r="AC676" s="539"/>
      <c r="AD676" s="43"/>
      <c r="AE676" s="43"/>
      <c r="AF676" s="238"/>
      <c r="AG676" s="43"/>
      <c r="AH676" s="43"/>
      <c r="AI676" s="43"/>
      <c r="AJ676" s="43"/>
      <c r="AK676" s="43"/>
      <c r="AL676" s="45"/>
      <c r="AM676" s="197">
        <f>IF(AQ676=1,SUM(H676:I676,L676:O676,R676:U676,X676:AA676,AD676:AG676,AI676:AK676),
IF(AQ676=2,SUM(H676:K676,N676:Q676,T676:W676,Z676:AC676,AF676:AI676),
IF(AQ676=3,SUM(J676:M676,P676:S676,V676:Y676,AB676:AE676,AH676:AK676),SUM(Таблица1[[#This Row],[1]:[31]])-Таблица1[[#This Row],[Столбец1]])))</f>
        <v>0</v>
      </c>
      <c r="AN676" s="269">
        <f t="array" ref="AN676">IF(AQ676=1,SUM(J676:K676,P676:Q676,V676:W676,AB676:AC676,AH676:AI676),
IF(AQ676=2,SUM(L676:M676,R676:S676,X676:Y676,AD676:AE676),
IF(AQ676=3,SUM(H676:I676,N676:O676,T676:U676,Z676:AA676,AF676:AG676),
SUM(IFERROR(WEEKDAY($H$2:$AL$2,2)&gt;5,)*H676:AL676))))</f>
        <v>0</v>
      </c>
      <c r="AO676" s="271" t="b">
        <f>IF(AR676&lt;=3,(IF((G676="5/24"),((база!$M$6*Таблица1[[#This Row],[сумма]]*Таблица1[[#This Row],[коэф]])),
IF((G676="4/24"),((база!$M$5*Таблица1[[#This Row],[сумма]]*Таблица1[[#This Row],[коэф]])),
IF((G676="3/24"),((база!$M$4*Таблица1[[#This Row],[сумма]]*Таблица1[[#This Row],[коэф]])),
IF((G676="5/16"),((база!$L$6*Таблица1[[#This Row],[сумма]]*Таблица1[[#This Row],[коэф]])),
IF((G676="4/16"),((база!$L$5*Таблица1[[#This Row],[сумма]]*Таблица1[[#This Row],[коэф]])),
IF((G676="3/16"),((база!$L$4*Таблица1[[#This Row],[сумма]]*Таблица1[[#This Row],[коэф]])),
IF((G676="4/4"),((база!$I$5*Таблица1[[#This Row],[сумма]]*Таблица1[[#This Row],[коэф]])),
IF(OR(G676="2/4",G676="3/4"),((база!$I$4*Таблица1[[#This Row],[сумма]]*Таблица1[[#This Row],[коэф]])),
IF((G676="5/8"),((база!$J$6*Таблица1[[#This Row],[сумма]]*Таблица1[[#This Row],[коэф]])),
IF((G676="4/8"),((база!$J$5*Таблица1[[#This Row],[сумма]]*Таблица1[[#This Row],[коэф]])),
IF(OR(G676="3/8",G676="2/8"),((база!$J$4*Таблица1[[#This Row],[сумма]]*Таблица1[[#This Row],[коэф]])))))))))))))),
(IF((G676="5/24"),((база!$M$6*Таблица1[[#This Row],[сумма]]*Таблица1[[#This Row],[коэф]])),
IF(OR(G676="4/24",G676="3/24"),((база!$M$5*Таблица1[[#This Row],[сумма]]*Таблица1[[#This Row],[коэф]])),
IF((G676="5/16"),((база!$L$6*Таблица1[[#This Row],[сумма]]*Таблица1[[#This Row],[коэф]])),
IF(OR(G676="4/16",G676="3/16"),((база!$L$5*Таблица1[[#This Row],[сумма]]*Таблица1[[#This Row],[коэф]])),
IF(OR(G676="2/4",G676="3/4",G676="4/4"),((база!$I$5*Таблица1[[#This Row],[сумма]]*Таблица1[[#This Row],[коэф]])),
IF((G676="5/8"),((база!$J$6*Таблица1[[#This Row],[сумма]]*Таблица1[[#This Row],[коэф]])),
IF(OR(G676="4/8",G676="3/8",G676="2/8"),((база!$J$5*Таблица1[[#This Row],[сумма]]*Таблица1[[#This Row],[коэф]])))))))))))</f>
        <v>0</v>
      </c>
      <c r="AP676" s="696" t="b">
        <f>IF(AR676&lt;=3,(IF((G676="5/24"),((база!$M$6*2*Таблица1[[#This Row],[Столбец1]]*Таблица1[[#This Row],[коэф]])),
IF((G676="4/24"),((база!$M$5*2*Таблица1[[#This Row],[Столбец1]]*Таблица1[[#This Row],[коэф]])),
IF((G676="3/24"),((база!$M$4*2*Таблица1[[#This Row],[Столбец1]]*Таблица1[[#This Row],[коэф]])),
IF((G676="5/16"),((база!$L$6*2*Таблица1[[#This Row],[Столбец1]]*Таблица1[[#This Row],[коэф]])),
IF((G676="4/16"),((база!$L$5*2*Таблица1[[#This Row],[Столбец1]]*Таблица1[[#This Row],[коэф]])),
IF((G676="3/16"),((база!$L$4*2*Таблица1[[#This Row],[Столбец1]]*Таблица1[[#This Row],[коэф]])),
IF((G676="4/4"),((база!$I$5*2*Таблица1[[#This Row],[Столбец1]]*Таблица1[[#This Row],[коэф]])),
IF(OR(G676="2/4",G676="3/4"),((база!$I$4*2*Таблица1[[#This Row],[Столбец1]]*Таблица1[[#This Row],[коэф]])),
IF((G676="5/8"),((база!$J$6*2*Таблица1[[#This Row],[Столбец1]]*Таблица1[[#This Row],[коэф]])),
IF((G676="4/8"),((база!$J$5*2*Таблица1[[#This Row],[Столбец1]]*Таблица1[[#This Row],[коэф]])),
IF(OR(G676="3/8",G676="2/8"),((база!$J$4*2*Таблица1[[#This Row],[Столбец1]]*Таблица1[[#This Row],[коэф]])))))))))))))),
(IF((G676="5/24"),((база!$M$6*2*Таблица1[[#This Row],[Столбец1]]*Таблица1[[#This Row],[коэф]])),
IF(OR(G676="4/24",G676="3/24"),((база!$M$5*2*Таблица1[[#This Row],[Столбец1]]*Таблица1[[#This Row],[коэф]])),
IF((G676="5/16"),((база!$L$6*2*Таблица1[[#This Row],[Столбец1]]*Таблица1[[#This Row],[коэф]])),
IF(OR(G676="4/16",G676="3/16"),((база!$L$5*2*Таблица1[[#This Row],[Столбец1]]*Таблица1[[#This Row],[коэф]])),
IF(OR(G676="2/4",G676="3/4",G676="4/4"),((база!$I$5*2*Таблица1[[#This Row],[Столбец1]]*Таблица1[[#This Row],[коэф]])),
IF((G676="5/8"),((база!$J$6*2*Таблица1[[#This Row],[Столбец1]]*Таблица1[[#This Row],[коэф]])),
IF(OR(G676="4/8",G676="3/8",G676="2/8"),((база!$J$5*2*Таблица1[[#This Row],[Столбец1]]*Таблица1[[#This Row],[коэф]])))))))))))</f>
        <v>0</v>
      </c>
      <c r="AQ676" s="678" t="str">
        <f>IFERROR(INDEX(база!T:T, MATCH(F676,база!Q:Q,0)),"")</f>
        <v/>
      </c>
      <c r="AR676" s="193">
        <f>IFERROR(INDEX(база!D:D, MATCH(F676,база!B:B,0)),"")</f>
        <v>0</v>
      </c>
    </row>
    <row r="677" spans="1:44" ht="15">
      <c r="A677" s="59"/>
      <c r="B677" s="215"/>
      <c r="C677" s="277"/>
      <c r="D677" s="55"/>
      <c r="E677" s="196"/>
      <c r="F677" s="651"/>
      <c r="G677" s="42"/>
      <c r="H677" s="539"/>
      <c r="I677" s="539"/>
      <c r="J677" s="539"/>
      <c r="K677" s="539"/>
      <c r="L677" s="539"/>
      <c r="M677" s="539"/>
      <c r="N677" s="539"/>
      <c r="O677" s="539"/>
      <c r="P677" s="278"/>
      <c r="Q677" s="539"/>
      <c r="R677" s="539"/>
      <c r="S677" s="539"/>
      <c r="T677" s="539"/>
      <c r="U677" s="539"/>
      <c r="V677" s="539"/>
      <c r="W677" s="539"/>
      <c r="X677" s="539"/>
      <c r="Y677" s="539"/>
      <c r="Z677" s="539"/>
      <c r="AA677" s="539"/>
      <c r="AB677" s="539"/>
      <c r="AC677" s="539"/>
      <c r="AD677" s="43"/>
      <c r="AE677" s="43"/>
      <c r="AF677" s="238"/>
      <c r="AG677" s="43"/>
      <c r="AH677" s="43"/>
      <c r="AI677" s="238"/>
      <c r="AJ677" s="238"/>
      <c r="AK677" s="238"/>
      <c r="AL677" s="238"/>
      <c r="AM677" s="197">
        <f>IF(AQ677=1,SUM(H677:I677,L677:O677,R677:U677,X677:AA677,AD677:AG677,AI677:AK677),
IF(AQ677=2,SUM(H677:K677,N677:Q677,T677:W677,Z677:AC677,AF677:AI677),
IF(AQ677=3,SUM(J677:M677,P677:S677,V677:Y677,AB677:AE677,AH677:AK677),SUM(Таблица1[[#This Row],[1]:[31]])-Таблица1[[#This Row],[Столбец1]])))</f>
        <v>0</v>
      </c>
      <c r="AN677" s="269">
        <f t="array" ref="AN677">IF(AQ677=1,SUM(J677:K677,P677:Q677,V677:W677,AB677:AC677,AH677:AI677),
IF(AQ677=2,SUM(L677:M677,R677:S677,X677:Y677,AD677:AE677),
IF(AQ677=3,SUM(H677:I677,N677:O677,T677:U677,Z677:AA677,AF677:AG677),
SUM(IFERROR(WEEKDAY($H$2:$AL$2,2)&gt;5,)*H677:AL677))))</f>
        <v>0</v>
      </c>
      <c r="AO677" s="271" t="b">
        <f>IF(AR677&lt;=3,(IF((G677="5/24"),((база!$M$6*Таблица1[[#This Row],[сумма]]*Таблица1[[#This Row],[коэф]])),
IF((G677="4/24"),((база!$M$5*Таблица1[[#This Row],[сумма]]*Таблица1[[#This Row],[коэф]])),
IF((G677="3/24"),((база!$M$4*Таблица1[[#This Row],[сумма]]*Таблица1[[#This Row],[коэф]])),
IF((G677="5/16"),((база!$L$6*Таблица1[[#This Row],[сумма]]*Таблица1[[#This Row],[коэф]])),
IF((G677="4/16"),((база!$L$5*Таблица1[[#This Row],[сумма]]*Таблица1[[#This Row],[коэф]])),
IF((G677="3/16"),((база!$L$4*Таблица1[[#This Row],[сумма]]*Таблица1[[#This Row],[коэф]])),
IF((G677="4/4"),((база!$I$5*Таблица1[[#This Row],[сумма]]*Таблица1[[#This Row],[коэф]])),
IF(OR(G677="2/4",G677="3/4"),((база!$I$4*Таблица1[[#This Row],[сумма]]*Таблица1[[#This Row],[коэф]])),
IF((G677="5/8"),((база!$J$6*Таблица1[[#This Row],[сумма]]*Таблица1[[#This Row],[коэф]])),
IF((G677="4/8"),((база!$J$5*Таблица1[[#This Row],[сумма]]*Таблица1[[#This Row],[коэф]])),
IF(OR(G677="3/8",G677="2/8"),((база!$J$4*Таблица1[[#This Row],[сумма]]*Таблица1[[#This Row],[коэф]])))))))))))))),
(IF((G677="5/24"),((база!$M$6*Таблица1[[#This Row],[сумма]]*Таблица1[[#This Row],[коэф]])),
IF(OR(G677="4/24",G677="3/24"),((база!$M$5*Таблица1[[#This Row],[сумма]]*Таблица1[[#This Row],[коэф]])),
IF((G677="5/16"),((база!$L$6*Таблица1[[#This Row],[сумма]]*Таблица1[[#This Row],[коэф]])),
IF(OR(G677="4/16",G677="3/16"),((база!$L$5*Таблица1[[#This Row],[сумма]]*Таблица1[[#This Row],[коэф]])),
IF(OR(G677="2/4",G677="3/4",G677="4/4"),((база!$I$5*Таблица1[[#This Row],[сумма]]*Таблица1[[#This Row],[коэф]])),
IF((G677="5/8"),((база!$J$6*Таблица1[[#This Row],[сумма]]*Таблица1[[#This Row],[коэф]])),
IF(OR(G677="4/8",G677="3/8",G677="2/8"),((база!$J$5*Таблица1[[#This Row],[сумма]]*Таблица1[[#This Row],[коэф]])))))))))))</f>
        <v>0</v>
      </c>
      <c r="AP677" s="696" t="b">
        <f>IF(AR677&lt;=3,(IF((G677="5/24"),((база!$M$6*2*Таблица1[[#This Row],[Столбец1]]*Таблица1[[#This Row],[коэф]])),
IF((G677="4/24"),((база!$M$5*2*Таблица1[[#This Row],[Столбец1]]*Таблица1[[#This Row],[коэф]])),
IF((G677="3/24"),((база!$M$4*2*Таблица1[[#This Row],[Столбец1]]*Таблица1[[#This Row],[коэф]])),
IF((G677="5/16"),((база!$L$6*2*Таблица1[[#This Row],[Столбец1]]*Таблица1[[#This Row],[коэф]])),
IF((G677="4/16"),((база!$L$5*2*Таблица1[[#This Row],[Столбец1]]*Таблица1[[#This Row],[коэф]])),
IF((G677="3/16"),((база!$L$4*2*Таблица1[[#This Row],[Столбец1]]*Таблица1[[#This Row],[коэф]])),
IF((G677="4/4"),((база!$I$5*2*Таблица1[[#This Row],[Столбец1]]*Таблица1[[#This Row],[коэф]])),
IF(OR(G677="2/4",G677="3/4"),((база!$I$4*2*Таблица1[[#This Row],[Столбец1]]*Таблица1[[#This Row],[коэф]])),
IF((G677="5/8"),((база!$J$6*2*Таблица1[[#This Row],[Столбец1]]*Таблица1[[#This Row],[коэф]])),
IF((G677="4/8"),((база!$J$5*2*Таблица1[[#This Row],[Столбец1]]*Таблица1[[#This Row],[коэф]])),
IF(OR(G677="3/8",G677="2/8"),((база!$J$4*2*Таблица1[[#This Row],[Столбец1]]*Таблица1[[#This Row],[коэф]])))))))))))))),
(IF((G677="5/24"),((база!$M$6*2*Таблица1[[#This Row],[Столбец1]]*Таблица1[[#This Row],[коэф]])),
IF(OR(G677="4/24",G677="3/24"),((база!$M$5*2*Таблица1[[#This Row],[Столбец1]]*Таблица1[[#This Row],[коэф]])),
IF((G677="5/16"),((база!$L$6*2*Таблица1[[#This Row],[Столбец1]]*Таблица1[[#This Row],[коэф]])),
IF(OR(G677="4/16",G677="3/16"),((база!$L$5*2*Таблица1[[#This Row],[Столбец1]]*Таблица1[[#This Row],[коэф]])),
IF(OR(G677="2/4",G677="3/4",G677="4/4"),((база!$I$5*2*Таблица1[[#This Row],[Столбец1]]*Таблица1[[#This Row],[коэф]])),
IF((G677="5/8"),((база!$J$6*2*Таблица1[[#This Row],[Столбец1]]*Таблица1[[#This Row],[коэф]])),
IF(OR(G677="4/8",G677="3/8",G677="2/8"),((база!$J$5*2*Таблица1[[#This Row],[Столбец1]]*Таблица1[[#This Row],[коэф]])))))))))))</f>
        <v>0</v>
      </c>
      <c r="AQ677" s="678" t="str">
        <f>IFERROR(INDEX(база!T:T, MATCH(F677,база!Q:Q,0)),"")</f>
        <v/>
      </c>
      <c r="AR677" s="193">
        <f>IFERROR(INDEX(база!D:D, MATCH(F677,база!B:B,0)),"")</f>
        <v>0</v>
      </c>
    </row>
    <row r="678" spans="1:44" ht="15">
      <c r="A678" s="59"/>
      <c r="B678" s="215"/>
      <c r="C678" s="277"/>
      <c r="D678" s="55"/>
      <c r="E678" s="196"/>
      <c r="F678" s="651"/>
      <c r="G678" s="42"/>
      <c r="H678" s="539"/>
      <c r="I678" s="539"/>
      <c r="J678" s="539"/>
      <c r="K678" s="539"/>
      <c r="L678" s="539"/>
      <c r="M678" s="539"/>
      <c r="N678" s="539"/>
      <c r="O678" s="539"/>
      <c r="P678" s="278"/>
      <c r="Q678" s="539"/>
      <c r="R678" s="539"/>
      <c r="S678" s="539"/>
      <c r="T678" s="539"/>
      <c r="U678" s="539"/>
      <c r="V678" s="539"/>
      <c r="W678" s="539"/>
      <c r="X678" s="539"/>
      <c r="Y678" s="539"/>
      <c r="Z678" s="539"/>
      <c r="AA678" s="539"/>
      <c r="AB678" s="539"/>
      <c r="AC678" s="539"/>
      <c r="AD678" s="43"/>
      <c r="AE678" s="43"/>
      <c r="AF678" s="238"/>
      <c r="AG678" s="43"/>
      <c r="AH678" s="43"/>
      <c r="AI678" s="43"/>
      <c r="AJ678" s="43"/>
      <c r="AK678" s="43"/>
      <c r="AL678" s="45"/>
      <c r="AM678" s="197">
        <f>IF(AQ678=1,SUM(H678:I678,L678:O678,R678:U678,X678:AA678,AD678:AG678,AI678:AK678),
IF(AQ678=2,SUM(H678:K678,N678:Q678,T678:W678,Z678:AC678,AF678:AI678),
IF(AQ678=3,SUM(J678:M678,P678:S678,V678:Y678,AB678:AE678,AH678:AK678),SUM(Таблица1[[#This Row],[1]:[31]])-Таблица1[[#This Row],[Столбец1]])))</f>
        <v>0</v>
      </c>
      <c r="AN678" s="269">
        <f t="array" ref="AN678">IF(AQ678=1,SUM(J678:K678,P678:Q678,V678:W678,AB678:AC678,AH678:AI678),
IF(AQ678=2,SUM(L678:M678,R678:S678,X678:Y678,AD678:AE678),
IF(AQ678=3,SUM(H678:I678,N678:O678,T678:U678,Z678:AA678,AF678:AG678),
SUM(IFERROR(WEEKDAY($H$2:$AL$2,2)&gt;5,)*H678:AL678))))</f>
        <v>0</v>
      </c>
      <c r="AO678" s="271" t="b">
        <f>IF(AR678&lt;=3,(IF((G678="5/24"),((база!$M$6*Таблица1[[#This Row],[сумма]]*Таблица1[[#This Row],[коэф]])),
IF((G678="4/24"),((база!$M$5*Таблица1[[#This Row],[сумма]]*Таблица1[[#This Row],[коэф]])),
IF((G678="3/24"),((база!$M$4*Таблица1[[#This Row],[сумма]]*Таблица1[[#This Row],[коэф]])),
IF((G678="5/16"),((база!$L$6*Таблица1[[#This Row],[сумма]]*Таблица1[[#This Row],[коэф]])),
IF((G678="4/16"),((база!$L$5*Таблица1[[#This Row],[сумма]]*Таблица1[[#This Row],[коэф]])),
IF((G678="3/16"),((база!$L$4*Таблица1[[#This Row],[сумма]]*Таблица1[[#This Row],[коэф]])),
IF((G678="4/4"),((база!$I$5*Таблица1[[#This Row],[сумма]]*Таблица1[[#This Row],[коэф]])),
IF(OR(G678="2/4",G678="3/4"),((база!$I$4*Таблица1[[#This Row],[сумма]]*Таблица1[[#This Row],[коэф]])),
IF((G678="5/8"),((база!$J$6*Таблица1[[#This Row],[сумма]]*Таблица1[[#This Row],[коэф]])),
IF((G678="4/8"),((база!$J$5*Таблица1[[#This Row],[сумма]]*Таблица1[[#This Row],[коэф]])),
IF(OR(G678="3/8",G678="2/8"),((база!$J$4*Таблица1[[#This Row],[сумма]]*Таблица1[[#This Row],[коэф]])))))))))))))),
(IF((G678="5/24"),((база!$M$6*Таблица1[[#This Row],[сумма]]*Таблица1[[#This Row],[коэф]])),
IF(OR(G678="4/24",G678="3/24"),((база!$M$5*Таблица1[[#This Row],[сумма]]*Таблица1[[#This Row],[коэф]])),
IF((G678="5/16"),((база!$L$6*Таблица1[[#This Row],[сумма]]*Таблица1[[#This Row],[коэф]])),
IF(OR(G678="4/16",G678="3/16"),((база!$L$5*Таблица1[[#This Row],[сумма]]*Таблица1[[#This Row],[коэф]])),
IF(OR(G678="2/4",G678="3/4",G678="4/4"),((база!$I$5*Таблица1[[#This Row],[сумма]]*Таблица1[[#This Row],[коэф]])),
IF((G678="5/8"),((база!$J$6*Таблица1[[#This Row],[сумма]]*Таблица1[[#This Row],[коэф]])),
IF(OR(G678="4/8",G678="3/8",G678="2/8"),((база!$J$5*Таблица1[[#This Row],[сумма]]*Таблица1[[#This Row],[коэф]])))))))))))</f>
        <v>0</v>
      </c>
      <c r="AP678" s="696" t="b">
        <f>IF(AR678&lt;=3,(IF((G678="5/24"),((база!$M$6*2*Таблица1[[#This Row],[Столбец1]]*Таблица1[[#This Row],[коэф]])),
IF((G678="4/24"),((база!$M$5*2*Таблица1[[#This Row],[Столбец1]]*Таблица1[[#This Row],[коэф]])),
IF((G678="3/24"),((база!$M$4*2*Таблица1[[#This Row],[Столбец1]]*Таблица1[[#This Row],[коэф]])),
IF((G678="5/16"),((база!$L$6*2*Таблица1[[#This Row],[Столбец1]]*Таблица1[[#This Row],[коэф]])),
IF((G678="4/16"),((база!$L$5*2*Таблица1[[#This Row],[Столбец1]]*Таблица1[[#This Row],[коэф]])),
IF((G678="3/16"),((база!$L$4*2*Таблица1[[#This Row],[Столбец1]]*Таблица1[[#This Row],[коэф]])),
IF((G678="4/4"),((база!$I$5*2*Таблица1[[#This Row],[Столбец1]]*Таблица1[[#This Row],[коэф]])),
IF(OR(G678="2/4",G678="3/4"),((база!$I$4*2*Таблица1[[#This Row],[Столбец1]]*Таблица1[[#This Row],[коэф]])),
IF((G678="5/8"),((база!$J$6*2*Таблица1[[#This Row],[Столбец1]]*Таблица1[[#This Row],[коэф]])),
IF((G678="4/8"),((база!$J$5*2*Таблица1[[#This Row],[Столбец1]]*Таблица1[[#This Row],[коэф]])),
IF(OR(G678="3/8",G678="2/8"),((база!$J$4*2*Таблица1[[#This Row],[Столбец1]]*Таблица1[[#This Row],[коэф]])))))))))))))),
(IF((G678="5/24"),((база!$M$6*2*Таблица1[[#This Row],[Столбец1]]*Таблица1[[#This Row],[коэф]])),
IF(OR(G678="4/24",G678="3/24"),((база!$M$5*2*Таблица1[[#This Row],[Столбец1]]*Таблица1[[#This Row],[коэф]])),
IF((G678="5/16"),((база!$L$6*2*Таблица1[[#This Row],[Столбец1]]*Таблица1[[#This Row],[коэф]])),
IF(OR(G678="4/16",G678="3/16"),((база!$L$5*2*Таблица1[[#This Row],[Столбец1]]*Таблица1[[#This Row],[коэф]])),
IF(OR(G678="2/4",G678="3/4",G678="4/4"),((база!$I$5*2*Таблица1[[#This Row],[Столбец1]]*Таблица1[[#This Row],[коэф]])),
IF((G678="5/8"),((база!$J$6*2*Таблица1[[#This Row],[Столбец1]]*Таблица1[[#This Row],[коэф]])),
IF(OR(G678="4/8",G678="3/8",G678="2/8"),((база!$J$5*2*Таблица1[[#This Row],[Столбец1]]*Таблица1[[#This Row],[коэф]])))))))))))</f>
        <v>0</v>
      </c>
      <c r="AQ678" s="678" t="str">
        <f>IFERROR(INDEX(база!T:T, MATCH(F678,база!Q:Q,0)),"")</f>
        <v/>
      </c>
      <c r="AR678" s="193">
        <f>IFERROR(INDEX(база!D:D, MATCH(F678,база!B:B,0)),"")</f>
        <v>0</v>
      </c>
    </row>
    <row r="679" spans="1:44" ht="15">
      <c r="A679" s="59"/>
      <c r="B679" s="215"/>
      <c r="C679" s="277"/>
      <c r="D679" s="55"/>
      <c r="E679" s="196"/>
      <c r="F679" s="651"/>
      <c r="G679" s="42"/>
      <c r="H679" s="539"/>
      <c r="I679" s="539"/>
      <c r="J679" s="539"/>
      <c r="K679" s="539"/>
      <c r="L679" s="539"/>
      <c r="M679" s="539"/>
      <c r="N679" s="539"/>
      <c r="O679" s="539"/>
      <c r="P679" s="278"/>
      <c r="Q679" s="539"/>
      <c r="R679" s="539"/>
      <c r="S679" s="539"/>
      <c r="T679" s="539"/>
      <c r="U679" s="539"/>
      <c r="V679" s="539"/>
      <c r="W679" s="539"/>
      <c r="X679" s="539"/>
      <c r="Y679" s="539"/>
      <c r="Z679" s="539"/>
      <c r="AA679" s="539"/>
      <c r="AB679" s="539"/>
      <c r="AC679" s="539"/>
      <c r="AD679" s="43"/>
      <c r="AE679" s="43"/>
      <c r="AF679" s="238"/>
      <c r="AG679" s="43"/>
      <c r="AH679" s="43"/>
      <c r="AI679" s="238"/>
      <c r="AJ679" s="238"/>
      <c r="AK679" s="238"/>
      <c r="AL679" s="238"/>
      <c r="AM679" s="197">
        <f>IF(AQ679=1,SUM(H679:I679,L679:O679,R679:U679,X679:AA679,AD679:AG679,AI679:AK679),
IF(AQ679=2,SUM(H679:K679,N679:Q679,T679:W679,Z679:AC679,AF679:AI679),
IF(AQ679=3,SUM(J679:M679,P679:S679,V679:Y679,AB679:AE679,AH679:AK679),SUM(Таблица1[[#This Row],[1]:[31]])-Таблица1[[#This Row],[Столбец1]])))</f>
        <v>0</v>
      </c>
      <c r="AN679" s="269">
        <f t="array" ref="AN679">IF(AQ679=1,SUM(J679:K679,P679:Q679,V679:W679,AB679:AC679,AH679:AI679),
IF(AQ679=2,SUM(L679:M679,R679:S679,X679:Y679,AD679:AE679),
IF(AQ679=3,SUM(H679:I679,N679:O679,T679:U679,Z679:AA679,AF679:AG679),
SUM(IFERROR(WEEKDAY($H$2:$AL$2,2)&gt;5,)*H679:AL679))))</f>
        <v>0</v>
      </c>
      <c r="AO679" s="271" t="b">
        <f>IF(AR679&lt;=3,(IF((G679="5/24"),((база!$M$6*Таблица1[[#This Row],[сумма]]*Таблица1[[#This Row],[коэф]])),
IF((G679="4/24"),((база!$M$5*Таблица1[[#This Row],[сумма]]*Таблица1[[#This Row],[коэф]])),
IF((G679="3/24"),((база!$M$4*Таблица1[[#This Row],[сумма]]*Таблица1[[#This Row],[коэф]])),
IF((G679="5/16"),((база!$L$6*Таблица1[[#This Row],[сумма]]*Таблица1[[#This Row],[коэф]])),
IF((G679="4/16"),((база!$L$5*Таблица1[[#This Row],[сумма]]*Таблица1[[#This Row],[коэф]])),
IF((G679="3/16"),((база!$L$4*Таблица1[[#This Row],[сумма]]*Таблица1[[#This Row],[коэф]])),
IF((G679="4/4"),((база!$I$5*Таблица1[[#This Row],[сумма]]*Таблица1[[#This Row],[коэф]])),
IF(OR(G679="2/4",G679="3/4"),((база!$I$4*Таблица1[[#This Row],[сумма]]*Таблица1[[#This Row],[коэф]])),
IF((G679="5/8"),((база!$J$6*Таблица1[[#This Row],[сумма]]*Таблица1[[#This Row],[коэф]])),
IF((G679="4/8"),((база!$J$5*Таблица1[[#This Row],[сумма]]*Таблица1[[#This Row],[коэф]])),
IF(OR(G679="3/8",G679="2/8"),((база!$J$4*Таблица1[[#This Row],[сумма]]*Таблица1[[#This Row],[коэф]])))))))))))))),
(IF((G679="5/24"),((база!$M$6*Таблица1[[#This Row],[сумма]]*Таблица1[[#This Row],[коэф]])),
IF(OR(G679="4/24",G679="3/24"),((база!$M$5*Таблица1[[#This Row],[сумма]]*Таблица1[[#This Row],[коэф]])),
IF((G679="5/16"),((база!$L$6*Таблица1[[#This Row],[сумма]]*Таблица1[[#This Row],[коэф]])),
IF(OR(G679="4/16",G679="3/16"),((база!$L$5*Таблица1[[#This Row],[сумма]]*Таблица1[[#This Row],[коэф]])),
IF(OR(G679="2/4",G679="3/4",G679="4/4"),((база!$I$5*Таблица1[[#This Row],[сумма]]*Таблица1[[#This Row],[коэф]])),
IF((G679="5/8"),((база!$J$6*Таблица1[[#This Row],[сумма]]*Таблица1[[#This Row],[коэф]])),
IF(OR(G679="4/8",G679="3/8",G679="2/8"),((база!$J$5*Таблица1[[#This Row],[сумма]]*Таблица1[[#This Row],[коэф]])))))))))))</f>
        <v>0</v>
      </c>
      <c r="AP679" s="696" t="b">
        <f>IF(AR679&lt;=3,(IF((G679="5/24"),((база!$M$6*2*Таблица1[[#This Row],[Столбец1]]*Таблица1[[#This Row],[коэф]])),
IF((G679="4/24"),((база!$M$5*2*Таблица1[[#This Row],[Столбец1]]*Таблица1[[#This Row],[коэф]])),
IF((G679="3/24"),((база!$M$4*2*Таблица1[[#This Row],[Столбец1]]*Таблица1[[#This Row],[коэф]])),
IF((G679="5/16"),((база!$L$6*2*Таблица1[[#This Row],[Столбец1]]*Таблица1[[#This Row],[коэф]])),
IF((G679="4/16"),((база!$L$5*2*Таблица1[[#This Row],[Столбец1]]*Таблица1[[#This Row],[коэф]])),
IF((G679="3/16"),((база!$L$4*2*Таблица1[[#This Row],[Столбец1]]*Таблица1[[#This Row],[коэф]])),
IF((G679="4/4"),((база!$I$5*2*Таблица1[[#This Row],[Столбец1]]*Таблица1[[#This Row],[коэф]])),
IF(OR(G679="2/4",G679="3/4"),((база!$I$4*2*Таблица1[[#This Row],[Столбец1]]*Таблица1[[#This Row],[коэф]])),
IF((G679="5/8"),((база!$J$6*2*Таблица1[[#This Row],[Столбец1]]*Таблица1[[#This Row],[коэф]])),
IF((G679="4/8"),((база!$J$5*2*Таблица1[[#This Row],[Столбец1]]*Таблица1[[#This Row],[коэф]])),
IF(OR(G679="3/8",G679="2/8"),((база!$J$4*2*Таблица1[[#This Row],[Столбец1]]*Таблица1[[#This Row],[коэф]])))))))))))))),
(IF((G679="5/24"),((база!$M$6*2*Таблица1[[#This Row],[Столбец1]]*Таблица1[[#This Row],[коэф]])),
IF(OR(G679="4/24",G679="3/24"),((база!$M$5*2*Таблица1[[#This Row],[Столбец1]]*Таблица1[[#This Row],[коэф]])),
IF((G679="5/16"),((база!$L$6*2*Таблица1[[#This Row],[Столбец1]]*Таблица1[[#This Row],[коэф]])),
IF(OR(G679="4/16",G679="3/16"),((база!$L$5*2*Таблица1[[#This Row],[Столбец1]]*Таблица1[[#This Row],[коэф]])),
IF(OR(G679="2/4",G679="3/4",G679="4/4"),((база!$I$5*2*Таблица1[[#This Row],[Столбец1]]*Таблица1[[#This Row],[коэф]])),
IF((G679="5/8"),((база!$J$6*2*Таблица1[[#This Row],[Столбец1]]*Таблица1[[#This Row],[коэф]])),
IF(OR(G679="4/8",G679="3/8",G679="2/8"),((база!$J$5*2*Таблица1[[#This Row],[Столбец1]]*Таблица1[[#This Row],[коэф]])))))))))))</f>
        <v>0</v>
      </c>
      <c r="AQ679" s="678" t="str">
        <f>IFERROR(INDEX(база!T:T, MATCH(F679,база!Q:Q,0)),"")</f>
        <v/>
      </c>
      <c r="AR679" s="193">
        <f>IFERROR(INDEX(база!D:D, MATCH(F679,база!B:B,0)),"")</f>
        <v>0</v>
      </c>
    </row>
    <row r="680" spans="1:44" ht="15">
      <c r="A680" s="59"/>
      <c r="B680" s="215"/>
      <c r="C680" s="277"/>
      <c r="D680" s="55"/>
      <c r="E680" s="196"/>
      <c r="F680" s="651"/>
      <c r="G680" s="42"/>
      <c r="H680" s="539"/>
      <c r="I680" s="539"/>
      <c r="J680" s="539"/>
      <c r="K680" s="539"/>
      <c r="L680" s="539"/>
      <c r="M680" s="539"/>
      <c r="N680" s="539"/>
      <c r="O680" s="539"/>
      <c r="P680" s="278"/>
      <c r="Q680" s="539"/>
      <c r="R680" s="539"/>
      <c r="S680" s="539"/>
      <c r="T680" s="539"/>
      <c r="U680" s="539"/>
      <c r="V680" s="539"/>
      <c r="W680" s="539"/>
      <c r="X680" s="539"/>
      <c r="Y680" s="539"/>
      <c r="Z680" s="539"/>
      <c r="AA680" s="539"/>
      <c r="AB680" s="539"/>
      <c r="AC680" s="539"/>
      <c r="AD680" s="43"/>
      <c r="AE680" s="43"/>
      <c r="AF680" s="238"/>
      <c r="AG680" s="43"/>
      <c r="AH680" s="43"/>
      <c r="AI680" s="43"/>
      <c r="AJ680" s="43"/>
      <c r="AK680" s="43"/>
      <c r="AL680" s="45"/>
      <c r="AM680" s="197">
        <f>IF(AQ680=1,SUM(H680:I680,L680:O680,R680:U680,X680:AA680,AD680:AG680,AI680:AK680),
IF(AQ680=2,SUM(H680:K680,N680:Q680,T680:W680,Z680:AC680,AF680:AI680),
IF(AQ680=3,SUM(J680:M680,P680:S680,V680:Y680,AB680:AE680,AH680:AK680),SUM(Таблица1[[#This Row],[1]:[31]])-Таблица1[[#This Row],[Столбец1]])))</f>
        <v>0</v>
      </c>
      <c r="AN680" s="269">
        <f t="array" ref="AN680">IF(AQ680=1,SUM(J680:K680,P680:Q680,V680:W680,AB680:AC680,AH680:AI680),
IF(AQ680=2,SUM(L680:M680,R680:S680,X680:Y680,AD680:AE680),
IF(AQ680=3,SUM(H680:I680,N680:O680,T680:U680,Z680:AA680,AF680:AG680),
SUM(IFERROR(WEEKDAY($H$2:$AL$2,2)&gt;5,)*H680:AL680))))</f>
        <v>0</v>
      </c>
      <c r="AO680" s="271" t="b">
        <f>IF(AR680&lt;=3,(IF((G680="5/24"),((база!$M$6*Таблица1[[#This Row],[сумма]]*Таблица1[[#This Row],[коэф]])),
IF((G680="4/24"),((база!$M$5*Таблица1[[#This Row],[сумма]]*Таблица1[[#This Row],[коэф]])),
IF((G680="3/24"),((база!$M$4*Таблица1[[#This Row],[сумма]]*Таблица1[[#This Row],[коэф]])),
IF((G680="5/16"),((база!$L$6*Таблица1[[#This Row],[сумма]]*Таблица1[[#This Row],[коэф]])),
IF((G680="4/16"),((база!$L$5*Таблица1[[#This Row],[сумма]]*Таблица1[[#This Row],[коэф]])),
IF((G680="3/16"),((база!$L$4*Таблица1[[#This Row],[сумма]]*Таблица1[[#This Row],[коэф]])),
IF((G680="4/4"),((база!$I$5*Таблица1[[#This Row],[сумма]]*Таблица1[[#This Row],[коэф]])),
IF(OR(G680="2/4",G680="3/4"),((база!$I$4*Таблица1[[#This Row],[сумма]]*Таблица1[[#This Row],[коэф]])),
IF((G680="5/8"),((база!$J$6*Таблица1[[#This Row],[сумма]]*Таблица1[[#This Row],[коэф]])),
IF((G680="4/8"),((база!$J$5*Таблица1[[#This Row],[сумма]]*Таблица1[[#This Row],[коэф]])),
IF(OR(G680="3/8",G680="2/8"),((база!$J$4*Таблица1[[#This Row],[сумма]]*Таблица1[[#This Row],[коэф]])))))))))))))),
(IF((G680="5/24"),((база!$M$6*Таблица1[[#This Row],[сумма]]*Таблица1[[#This Row],[коэф]])),
IF(OR(G680="4/24",G680="3/24"),((база!$M$5*Таблица1[[#This Row],[сумма]]*Таблица1[[#This Row],[коэф]])),
IF((G680="5/16"),((база!$L$6*Таблица1[[#This Row],[сумма]]*Таблица1[[#This Row],[коэф]])),
IF(OR(G680="4/16",G680="3/16"),((база!$L$5*Таблица1[[#This Row],[сумма]]*Таблица1[[#This Row],[коэф]])),
IF(OR(G680="2/4",G680="3/4",G680="4/4"),((база!$I$5*Таблица1[[#This Row],[сумма]]*Таблица1[[#This Row],[коэф]])),
IF((G680="5/8"),((база!$J$6*Таблица1[[#This Row],[сумма]]*Таблица1[[#This Row],[коэф]])),
IF(OR(G680="4/8",G680="3/8",G680="2/8"),((база!$J$5*Таблица1[[#This Row],[сумма]]*Таблица1[[#This Row],[коэф]])))))))))))</f>
        <v>0</v>
      </c>
      <c r="AP680" s="696" t="b">
        <f>IF(AR680&lt;=3,(IF((G680="5/24"),((база!$M$6*2*Таблица1[[#This Row],[Столбец1]]*Таблица1[[#This Row],[коэф]])),
IF((G680="4/24"),((база!$M$5*2*Таблица1[[#This Row],[Столбец1]]*Таблица1[[#This Row],[коэф]])),
IF((G680="3/24"),((база!$M$4*2*Таблица1[[#This Row],[Столбец1]]*Таблица1[[#This Row],[коэф]])),
IF((G680="5/16"),((база!$L$6*2*Таблица1[[#This Row],[Столбец1]]*Таблица1[[#This Row],[коэф]])),
IF((G680="4/16"),((база!$L$5*2*Таблица1[[#This Row],[Столбец1]]*Таблица1[[#This Row],[коэф]])),
IF((G680="3/16"),((база!$L$4*2*Таблица1[[#This Row],[Столбец1]]*Таблица1[[#This Row],[коэф]])),
IF((G680="4/4"),((база!$I$5*2*Таблица1[[#This Row],[Столбец1]]*Таблица1[[#This Row],[коэф]])),
IF(OR(G680="2/4",G680="3/4"),((база!$I$4*2*Таблица1[[#This Row],[Столбец1]]*Таблица1[[#This Row],[коэф]])),
IF((G680="5/8"),((база!$J$6*2*Таблица1[[#This Row],[Столбец1]]*Таблица1[[#This Row],[коэф]])),
IF((G680="4/8"),((база!$J$5*2*Таблица1[[#This Row],[Столбец1]]*Таблица1[[#This Row],[коэф]])),
IF(OR(G680="3/8",G680="2/8"),((база!$J$4*2*Таблица1[[#This Row],[Столбец1]]*Таблица1[[#This Row],[коэф]])))))))))))))),
(IF((G680="5/24"),((база!$M$6*2*Таблица1[[#This Row],[Столбец1]]*Таблица1[[#This Row],[коэф]])),
IF(OR(G680="4/24",G680="3/24"),((база!$M$5*2*Таблица1[[#This Row],[Столбец1]]*Таблица1[[#This Row],[коэф]])),
IF((G680="5/16"),((база!$L$6*2*Таблица1[[#This Row],[Столбец1]]*Таблица1[[#This Row],[коэф]])),
IF(OR(G680="4/16",G680="3/16"),((база!$L$5*2*Таблица1[[#This Row],[Столбец1]]*Таблица1[[#This Row],[коэф]])),
IF(OR(G680="2/4",G680="3/4",G680="4/4"),((база!$I$5*2*Таблица1[[#This Row],[Столбец1]]*Таблица1[[#This Row],[коэф]])),
IF((G680="5/8"),((база!$J$6*2*Таблица1[[#This Row],[Столбец1]]*Таблица1[[#This Row],[коэф]])),
IF(OR(G680="4/8",G680="3/8",G680="2/8"),((база!$J$5*2*Таблица1[[#This Row],[Столбец1]]*Таблица1[[#This Row],[коэф]])))))))))))</f>
        <v>0</v>
      </c>
      <c r="AQ680" s="678" t="str">
        <f>IFERROR(INDEX(база!T:T, MATCH(F680,база!Q:Q,0)),"")</f>
        <v/>
      </c>
      <c r="AR680" s="193">
        <f>IFERROR(INDEX(база!D:D, MATCH(F680,база!B:B,0)),"")</f>
        <v>0</v>
      </c>
    </row>
    <row r="681" spans="1:44" ht="15">
      <c r="A681" s="59"/>
      <c r="B681" s="215"/>
      <c r="C681" s="277"/>
      <c r="D681" s="55"/>
      <c r="E681" s="196"/>
      <c r="F681" s="651"/>
      <c r="G681" s="42"/>
      <c r="H681" s="539"/>
      <c r="I681" s="539"/>
      <c r="J681" s="539"/>
      <c r="K681" s="539"/>
      <c r="L681" s="539"/>
      <c r="M681" s="539"/>
      <c r="N681" s="539"/>
      <c r="O681" s="539"/>
      <c r="P681" s="278"/>
      <c r="Q681" s="539"/>
      <c r="R681" s="539"/>
      <c r="S681" s="539"/>
      <c r="T681" s="539"/>
      <c r="U681" s="539"/>
      <c r="V681" s="539"/>
      <c r="W681" s="539"/>
      <c r="X681" s="539"/>
      <c r="Y681" s="539"/>
      <c r="Z681" s="539"/>
      <c r="AA681" s="539"/>
      <c r="AB681" s="539"/>
      <c r="AC681" s="539"/>
      <c r="AD681" s="43"/>
      <c r="AE681" s="43"/>
      <c r="AF681" s="238"/>
      <c r="AG681" s="43"/>
      <c r="AH681" s="43"/>
      <c r="AI681" s="238"/>
      <c r="AJ681" s="238"/>
      <c r="AK681" s="238"/>
      <c r="AL681" s="238"/>
      <c r="AM681" s="197">
        <f>IF(AQ681=1,SUM(H681:I681,L681:O681,R681:U681,X681:AA681,AD681:AG681,AI681:AK681),
IF(AQ681=2,SUM(H681:K681,N681:Q681,T681:W681,Z681:AC681,AF681:AI681),
IF(AQ681=3,SUM(J681:M681,P681:S681,V681:Y681,AB681:AE681,AH681:AK681),SUM(Таблица1[[#This Row],[1]:[31]])-Таблица1[[#This Row],[Столбец1]])))</f>
        <v>0</v>
      </c>
      <c r="AN681" s="269">
        <f t="array" ref="AN681">IF(AQ681=1,SUM(J681:K681,P681:Q681,V681:W681,AB681:AC681,AH681:AI681),
IF(AQ681=2,SUM(L681:M681,R681:S681,X681:Y681,AD681:AE681),
IF(AQ681=3,SUM(H681:I681,N681:O681,T681:U681,Z681:AA681,AF681:AG681),
SUM(IFERROR(WEEKDAY($H$2:$AL$2,2)&gt;5,)*H681:AL681))))</f>
        <v>0</v>
      </c>
      <c r="AO681" s="271" t="b">
        <f>IF(AR681&lt;=3,(IF((G681="5/24"),((база!$M$6*Таблица1[[#This Row],[сумма]]*Таблица1[[#This Row],[коэф]])),
IF((G681="4/24"),((база!$M$5*Таблица1[[#This Row],[сумма]]*Таблица1[[#This Row],[коэф]])),
IF((G681="3/24"),((база!$M$4*Таблица1[[#This Row],[сумма]]*Таблица1[[#This Row],[коэф]])),
IF((G681="5/16"),((база!$L$6*Таблица1[[#This Row],[сумма]]*Таблица1[[#This Row],[коэф]])),
IF((G681="4/16"),((база!$L$5*Таблица1[[#This Row],[сумма]]*Таблица1[[#This Row],[коэф]])),
IF((G681="3/16"),((база!$L$4*Таблица1[[#This Row],[сумма]]*Таблица1[[#This Row],[коэф]])),
IF((G681="4/4"),((база!$I$5*Таблица1[[#This Row],[сумма]]*Таблица1[[#This Row],[коэф]])),
IF(OR(G681="2/4",G681="3/4"),((база!$I$4*Таблица1[[#This Row],[сумма]]*Таблица1[[#This Row],[коэф]])),
IF((G681="5/8"),((база!$J$6*Таблица1[[#This Row],[сумма]]*Таблица1[[#This Row],[коэф]])),
IF((G681="4/8"),((база!$J$5*Таблица1[[#This Row],[сумма]]*Таблица1[[#This Row],[коэф]])),
IF(OR(G681="3/8",G681="2/8"),((база!$J$4*Таблица1[[#This Row],[сумма]]*Таблица1[[#This Row],[коэф]])))))))))))))),
(IF((G681="5/24"),((база!$M$6*Таблица1[[#This Row],[сумма]]*Таблица1[[#This Row],[коэф]])),
IF(OR(G681="4/24",G681="3/24"),((база!$M$5*Таблица1[[#This Row],[сумма]]*Таблица1[[#This Row],[коэф]])),
IF((G681="5/16"),((база!$L$6*Таблица1[[#This Row],[сумма]]*Таблица1[[#This Row],[коэф]])),
IF(OR(G681="4/16",G681="3/16"),((база!$L$5*Таблица1[[#This Row],[сумма]]*Таблица1[[#This Row],[коэф]])),
IF(OR(G681="2/4",G681="3/4",G681="4/4"),((база!$I$5*Таблица1[[#This Row],[сумма]]*Таблица1[[#This Row],[коэф]])),
IF((G681="5/8"),((база!$J$6*Таблица1[[#This Row],[сумма]]*Таблица1[[#This Row],[коэф]])),
IF(OR(G681="4/8",G681="3/8",G681="2/8"),((база!$J$5*Таблица1[[#This Row],[сумма]]*Таблица1[[#This Row],[коэф]])))))))))))</f>
        <v>0</v>
      </c>
      <c r="AP681" s="696" t="b">
        <f>IF(AR681&lt;=3,(IF((G681="5/24"),((база!$M$6*2*Таблица1[[#This Row],[Столбец1]]*Таблица1[[#This Row],[коэф]])),
IF((G681="4/24"),((база!$M$5*2*Таблица1[[#This Row],[Столбец1]]*Таблица1[[#This Row],[коэф]])),
IF((G681="3/24"),((база!$M$4*2*Таблица1[[#This Row],[Столбец1]]*Таблица1[[#This Row],[коэф]])),
IF((G681="5/16"),((база!$L$6*2*Таблица1[[#This Row],[Столбец1]]*Таблица1[[#This Row],[коэф]])),
IF((G681="4/16"),((база!$L$5*2*Таблица1[[#This Row],[Столбец1]]*Таблица1[[#This Row],[коэф]])),
IF((G681="3/16"),((база!$L$4*2*Таблица1[[#This Row],[Столбец1]]*Таблица1[[#This Row],[коэф]])),
IF((G681="4/4"),((база!$I$5*2*Таблица1[[#This Row],[Столбец1]]*Таблица1[[#This Row],[коэф]])),
IF(OR(G681="2/4",G681="3/4"),((база!$I$4*2*Таблица1[[#This Row],[Столбец1]]*Таблица1[[#This Row],[коэф]])),
IF((G681="5/8"),((база!$J$6*2*Таблица1[[#This Row],[Столбец1]]*Таблица1[[#This Row],[коэф]])),
IF((G681="4/8"),((база!$J$5*2*Таблица1[[#This Row],[Столбец1]]*Таблица1[[#This Row],[коэф]])),
IF(OR(G681="3/8",G681="2/8"),((база!$J$4*2*Таблица1[[#This Row],[Столбец1]]*Таблица1[[#This Row],[коэф]])))))))))))))),
(IF((G681="5/24"),((база!$M$6*2*Таблица1[[#This Row],[Столбец1]]*Таблица1[[#This Row],[коэф]])),
IF(OR(G681="4/24",G681="3/24"),((база!$M$5*2*Таблица1[[#This Row],[Столбец1]]*Таблица1[[#This Row],[коэф]])),
IF((G681="5/16"),((база!$L$6*2*Таблица1[[#This Row],[Столбец1]]*Таблица1[[#This Row],[коэф]])),
IF(OR(G681="4/16",G681="3/16"),((база!$L$5*2*Таблица1[[#This Row],[Столбец1]]*Таблица1[[#This Row],[коэф]])),
IF(OR(G681="2/4",G681="3/4",G681="4/4"),((база!$I$5*2*Таблица1[[#This Row],[Столбец1]]*Таблица1[[#This Row],[коэф]])),
IF((G681="5/8"),((база!$J$6*2*Таблица1[[#This Row],[Столбец1]]*Таблица1[[#This Row],[коэф]])),
IF(OR(G681="4/8",G681="3/8",G681="2/8"),((база!$J$5*2*Таблица1[[#This Row],[Столбец1]]*Таблица1[[#This Row],[коэф]])))))))))))</f>
        <v>0</v>
      </c>
      <c r="AQ681" s="678" t="str">
        <f>IFERROR(INDEX(база!T:T, MATCH(F681,база!Q:Q,0)),"")</f>
        <v/>
      </c>
      <c r="AR681" s="193">
        <f>IFERROR(INDEX(база!D:D, MATCH(F681,база!B:B,0)),"")</f>
        <v>0</v>
      </c>
    </row>
    <row r="682" spans="1:44" ht="15">
      <c r="A682" s="59"/>
      <c r="B682" s="215"/>
      <c r="C682" s="277"/>
      <c r="D682" s="55"/>
      <c r="E682" s="196"/>
      <c r="F682" s="651"/>
      <c r="G682" s="42"/>
      <c r="H682" s="539"/>
      <c r="I682" s="539"/>
      <c r="J682" s="539"/>
      <c r="K682" s="539"/>
      <c r="L682" s="539"/>
      <c r="M682" s="539"/>
      <c r="N682" s="539"/>
      <c r="O682" s="539"/>
      <c r="P682" s="278"/>
      <c r="Q682" s="539"/>
      <c r="R682" s="539"/>
      <c r="S682" s="539"/>
      <c r="T682" s="539"/>
      <c r="U682" s="539"/>
      <c r="V682" s="539"/>
      <c r="W682" s="539"/>
      <c r="X682" s="539"/>
      <c r="Y682" s="539"/>
      <c r="Z682" s="539"/>
      <c r="AA682" s="539"/>
      <c r="AB682" s="539"/>
      <c r="AC682" s="539"/>
      <c r="AD682" s="43"/>
      <c r="AE682" s="43"/>
      <c r="AF682" s="238"/>
      <c r="AG682" s="43"/>
      <c r="AH682" s="43"/>
      <c r="AI682" s="43"/>
      <c r="AJ682" s="43"/>
      <c r="AK682" s="43"/>
      <c r="AL682" s="45"/>
      <c r="AM682" s="197">
        <f>IF(AQ682=1,SUM(H682:I682,L682:O682,R682:U682,X682:AA682,AD682:AG682,AI682:AK682),
IF(AQ682=2,SUM(H682:K682,N682:Q682,T682:W682,Z682:AC682,AF682:AI682),
IF(AQ682=3,SUM(J682:M682,P682:S682,V682:Y682,AB682:AE682,AH682:AK682),SUM(Таблица1[[#This Row],[1]:[31]])-Таблица1[[#This Row],[Столбец1]])))</f>
        <v>0</v>
      </c>
      <c r="AN682" s="269">
        <f t="array" ref="AN682">IF(AQ682=1,SUM(J682:K682,P682:Q682,V682:W682,AB682:AC682,AH682:AI682),
IF(AQ682=2,SUM(L682:M682,R682:S682,X682:Y682,AD682:AE682),
IF(AQ682=3,SUM(H682:I682,N682:O682,T682:U682,Z682:AA682,AF682:AG682),
SUM(IFERROR(WEEKDAY($H$2:$AL$2,2)&gt;5,)*H682:AL682))))</f>
        <v>0</v>
      </c>
      <c r="AO682" s="271" t="b">
        <f>IF(AR682&lt;=3,(IF((G682="5/24"),((база!$M$6*Таблица1[[#This Row],[сумма]]*Таблица1[[#This Row],[коэф]])),
IF((G682="4/24"),((база!$M$5*Таблица1[[#This Row],[сумма]]*Таблица1[[#This Row],[коэф]])),
IF((G682="3/24"),((база!$M$4*Таблица1[[#This Row],[сумма]]*Таблица1[[#This Row],[коэф]])),
IF((G682="5/16"),((база!$L$6*Таблица1[[#This Row],[сумма]]*Таблица1[[#This Row],[коэф]])),
IF((G682="4/16"),((база!$L$5*Таблица1[[#This Row],[сумма]]*Таблица1[[#This Row],[коэф]])),
IF((G682="3/16"),((база!$L$4*Таблица1[[#This Row],[сумма]]*Таблица1[[#This Row],[коэф]])),
IF((G682="4/4"),((база!$I$5*Таблица1[[#This Row],[сумма]]*Таблица1[[#This Row],[коэф]])),
IF(OR(G682="2/4",G682="3/4"),((база!$I$4*Таблица1[[#This Row],[сумма]]*Таблица1[[#This Row],[коэф]])),
IF((G682="5/8"),((база!$J$6*Таблица1[[#This Row],[сумма]]*Таблица1[[#This Row],[коэф]])),
IF((G682="4/8"),((база!$J$5*Таблица1[[#This Row],[сумма]]*Таблица1[[#This Row],[коэф]])),
IF(OR(G682="3/8",G682="2/8"),((база!$J$4*Таблица1[[#This Row],[сумма]]*Таблица1[[#This Row],[коэф]])))))))))))))),
(IF((G682="5/24"),((база!$M$6*Таблица1[[#This Row],[сумма]]*Таблица1[[#This Row],[коэф]])),
IF(OR(G682="4/24",G682="3/24"),((база!$M$5*Таблица1[[#This Row],[сумма]]*Таблица1[[#This Row],[коэф]])),
IF((G682="5/16"),((база!$L$6*Таблица1[[#This Row],[сумма]]*Таблица1[[#This Row],[коэф]])),
IF(OR(G682="4/16",G682="3/16"),((база!$L$5*Таблица1[[#This Row],[сумма]]*Таблица1[[#This Row],[коэф]])),
IF(OR(G682="2/4",G682="3/4",G682="4/4"),((база!$I$5*Таблица1[[#This Row],[сумма]]*Таблица1[[#This Row],[коэф]])),
IF((G682="5/8"),((база!$J$6*Таблица1[[#This Row],[сумма]]*Таблица1[[#This Row],[коэф]])),
IF(OR(G682="4/8",G682="3/8",G682="2/8"),((база!$J$5*Таблица1[[#This Row],[сумма]]*Таблица1[[#This Row],[коэф]])))))))))))</f>
        <v>0</v>
      </c>
      <c r="AP682" s="696" t="b">
        <f>IF(AR682&lt;=3,(IF((G682="5/24"),((база!$M$6*2*Таблица1[[#This Row],[Столбец1]]*Таблица1[[#This Row],[коэф]])),
IF((G682="4/24"),((база!$M$5*2*Таблица1[[#This Row],[Столбец1]]*Таблица1[[#This Row],[коэф]])),
IF((G682="3/24"),((база!$M$4*2*Таблица1[[#This Row],[Столбец1]]*Таблица1[[#This Row],[коэф]])),
IF((G682="5/16"),((база!$L$6*2*Таблица1[[#This Row],[Столбец1]]*Таблица1[[#This Row],[коэф]])),
IF((G682="4/16"),((база!$L$5*2*Таблица1[[#This Row],[Столбец1]]*Таблица1[[#This Row],[коэф]])),
IF((G682="3/16"),((база!$L$4*2*Таблица1[[#This Row],[Столбец1]]*Таблица1[[#This Row],[коэф]])),
IF((G682="4/4"),((база!$I$5*2*Таблица1[[#This Row],[Столбец1]]*Таблица1[[#This Row],[коэф]])),
IF(OR(G682="2/4",G682="3/4"),((база!$I$4*2*Таблица1[[#This Row],[Столбец1]]*Таблица1[[#This Row],[коэф]])),
IF((G682="5/8"),((база!$J$6*2*Таблица1[[#This Row],[Столбец1]]*Таблица1[[#This Row],[коэф]])),
IF((G682="4/8"),((база!$J$5*2*Таблица1[[#This Row],[Столбец1]]*Таблица1[[#This Row],[коэф]])),
IF(OR(G682="3/8",G682="2/8"),((база!$J$4*2*Таблица1[[#This Row],[Столбец1]]*Таблица1[[#This Row],[коэф]])))))))))))))),
(IF((G682="5/24"),((база!$M$6*2*Таблица1[[#This Row],[Столбец1]]*Таблица1[[#This Row],[коэф]])),
IF(OR(G682="4/24",G682="3/24"),((база!$M$5*2*Таблица1[[#This Row],[Столбец1]]*Таблица1[[#This Row],[коэф]])),
IF((G682="5/16"),((база!$L$6*2*Таблица1[[#This Row],[Столбец1]]*Таблица1[[#This Row],[коэф]])),
IF(OR(G682="4/16",G682="3/16"),((база!$L$5*2*Таблица1[[#This Row],[Столбец1]]*Таблица1[[#This Row],[коэф]])),
IF(OR(G682="2/4",G682="3/4",G682="4/4"),((база!$I$5*2*Таблица1[[#This Row],[Столбец1]]*Таблица1[[#This Row],[коэф]])),
IF((G682="5/8"),((база!$J$6*2*Таблица1[[#This Row],[Столбец1]]*Таблица1[[#This Row],[коэф]])),
IF(OR(G682="4/8",G682="3/8",G682="2/8"),((база!$J$5*2*Таблица1[[#This Row],[Столбец1]]*Таблица1[[#This Row],[коэф]])))))))))))</f>
        <v>0</v>
      </c>
      <c r="AQ682" s="678" t="str">
        <f>IFERROR(INDEX(база!T:T, MATCH(F682,база!Q:Q,0)),"")</f>
        <v/>
      </c>
      <c r="AR682" s="193">
        <f>IFERROR(INDEX(база!D:D, MATCH(F682,база!B:B,0)),"")</f>
        <v>0</v>
      </c>
    </row>
    <row r="683" spans="1:44" ht="15">
      <c r="A683" s="59"/>
      <c r="B683" s="215"/>
      <c r="C683" s="277"/>
      <c r="D683" s="55"/>
      <c r="E683" s="196"/>
      <c r="F683" s="651"/>
      <c r="G683" s="42"/>
      <c r="H683" s="539"/>
      <c r="I683" s="539"/>
      <c r="J683" s="539"/>
      <c r="K683" s="539"/>
      <c r="L683" s="539"/>
      <c r="M683" s="539"/>
      <c r="N683" s="539"/>
      <c r="O683" s="539"/>
      <c r="P683" s="278"/>
      <c r="Q683" s="539"/>
      <c r="R683" s="539"/>
      <c r="S683" s="539"/>
      <c r="T683" s="539"/>
      <c r="U683" s="539"/>
      <c r="V683" s="539"/>
      <c r="W683" s="539"/>
      <c r="X683" s="539"/>
      <c r="Y683" s="539"/>
      <c r="Z683" s="539"/>
      <c r="AA683" s="539"/>
      <c r="AB683" s="539"/>
      <c r="AC683" s="539"/>
      <c r="AD683" s="43"/>
      <c r="AE683" s="43"/>
      <c r="AF683" s="238"/>
      <c r="AG683" s="43"/>
      <c r="AH683" s="43"/>
      <c r="AI683" s="238"/>
      <c r="AJ683" s="238"/>
      <c r="AK683" s="238"/>
      <c r="AL683" s="238"/>
      <c r="AM683" s="197">
        <f>IF(AQ683=1,SUM(H683:I683,L683:O683,R683:U683,X683:AA683,AD683:AG683,AI683:AK683),
IF(AQ683=2,SUM(H683:K683,N683:Q683,T683:W683,Z683:AC683,AF683:AI683),
IF(AQ683=3,SUM(J683:M683,P683:S683,V683:Y683,AB683:AE683,AH683:AK683),SUM(Таблица1[[#This Row],[1]:[31]])-Таблица1[[#This Row],[Столбец1]])))</f>
        <v>0</v>
      </c>
      <c r="AN683" s="269">
        <f t="array" ref="AN683">IF(AQ683=1,SUM(J683:K683,P683:Q683,V683:W683,AB683:AC683,AH683:AI683),
IF(AQ683=2,SUM(L683:M683,R683:S683,X683:Y683,AD683:AE683),
IF(AQ683=3,SUM(H683:I683,N683:O683,T683:U683,Z683:AA683,AF683:AG683),
SUM(IFERROR(WEEKDAY($H$2:$AL$2,2)&gt;5,)*H683:AL683))))</f>
        <v>0</v>
      </c>
      <c r="AO683" s="271" t="b">
        <f>IF(AR683&lt;=3,(IF((G683="5/24"),((база!$M$6*Таблица1[[#This Row],[сумма]]*Таблица1[[#This Row],[коэф]])),
IF((G683="4/24"),((база!$M$5*Таблица1[[#This Row],[сумма]]*Таблица1[[#This Row],[коэф]])),
IF((G683="3/24"),((база!$M$4*Таблица1[[#This Row],[сумма]]*Таблица1[[#This Row],[коэф]])),
IF((G683="5/16"),((база!$L$6*Таблица1[[#This Row],[сумма]]*Таблица1[[#This Row],[коэф]])),
IF((G683="4/16"),((база!$L$5*Таблица1[[#This Row],[сумма]]*Таблица1[[#This Row],[коэф]])),
IF((G683="3/16"),((база!$L$4*Таблица1[[#This Row],[сумма]]*Таблица1[[#This Row],[коэф]])),
IF((G683="4/4"),((база!$I$5*Таблица1[[#This Row],[сумма]]*Таблица1[[#This Row],[коэф]])),
IF(OR(G683="2/4",G683="3/4"),((база!$I$4*Таблица1[[#This Row],[сумма]]*Таблица1[[#This Row],[коэф]])),
IF((G683="5/8"),((база!$J$6*Таблица1[[#This Row],[сумма]]*Таблица1[[#This Row],[коэф]])),
IF((G683="4/8"),((база!$J$5*Таблица1[[#This Row],[сумма]]*Таблица1[[#This Row],[коэф]])),
IF(OR(G683="3/8",G683="2/8"),((база!$J$4*Таблица1[[#This Row],[сумма]]*Таблица1[[#This Row],[коэф]])))))))))))))),
(IF((G683="5/24"),((база!$M$6*Таблица1[[#This Row],[сумма]]*Таблица1[[#This Row],[коэф]])),
IF(OR(G683="4/24",G683="3/24"),((база!$M$5*Таблица1[[#This Row],[сумма]]*Таблица1[[#This Row],[коэф]])),
IF((G683="5/16"),((база!$L$6*Таблица1[[#This Row],[сумма]]*Таблица1[[#This Row],[коэф]])),
IF(OR(G683="4/16",G683="3/16"),((база!$L$5*Таблица1[[#This Row],[сумма]]*Таблица1[[#This Row],[коэф]])),
IF(OR(G683="2/4",G683="3/4",G683="4/4"),((база!$I$5*Таблица1[[#This Row],[сумма]]*Таблица1[[#This Row],[коэф]])),
IF((G683="5/8"),((база!$J$6*Таблица1[[#This Row],[сумма]]*Таблица1[[#This Row],[коэф]])),
IF(OR(G683="4/8",G683="3/8",G683="2/8"),((база!$J$5*Таблица1[[#This Row],[сумма]]*Таблица1[[#This Row],[коэф]])))))))))))</f>
        <v>0</v>
      </c>
      <c r="AP683" s="696" t="b">
        <f>IF(AR683&lt;=3,(IF((G683="5/24"),((база!$M$6*2*Таблица1[[#This Row],[Столбец1]]*Таблица1[[#This Row],[коэф]])),
IF((G683="4/24"),((база!$M$5*2*Таблица1[[#This Row],[Столбец1]]*Таблица1[[#This Row],[коэф]])),
IF((G683="3/24"),((база!$M$4*2*Таблица1[[#This Row],[Столбец1]]*Таблица1[[#This Row],[коэф]])),
IF((G683="5/16"),((база!$L$6*2*Таблица1[[#This Row],[Столбец1]]*Таблица1[[#This Row],[коэф]])),
IF((G683="4/16"),((база!$L$5*2*Таблица1[[#This Row],[Столбец1]]*Таблица1[[#This Row],[коэф]])),
IF((G683="3/16"),((база!$L$4*2*Таблица1[[#This Row],[Столбец1]]*Таблица1[[#This Row],[коэф]])),
IF((G683="4/4"),((база!$I$5*2*Таблица1[[#This Row],[Столбец1]]*Таблица1[[#This Row],[коэф]])),
IF(OR(G683="2/4",G683="3/4"),((база!$I$4*2*Таблица1[[#This Row],[Столбец1]]*Таблица1[[#This Row],[коэф]])),
IF((G683="5/8"),((база!$J$6*2*Таблица1[[#This Row],[Столбец1]]*Таблица1[[#This Row],[коэф]])),
IF((G683="4/8"),((база!$J$5*2*Таблица1[[#This Row],[Столбец1]]*Таблица1[[#This Row],[коэф]])),
IF(OR(G683="3/8",G683="2/8"),((база!$J$4*2*Таблица1[[#This Row],[Столбец1]]*Таблица1[[#This Row],[коэф]])))))))))))))),
(IF((G683="5/24"),((база!$M$6*2*Таблица1[[#This Row],[Столбец1]]*Таблица1[[#This Row],[коэф]])),
IF(OR(G683="4/24",G683="3/24"),((база!$M$5*2*Таблица1[[#This Row],[Столбец1]]*Таблица1[[#This Row],[коэф]])),
IF((G683="5/16"),((база!$L$6*2*Таблица1[[#This Row],[Столбец1]]*Таблица1[[#This Row],[коэф]])),
IF(OR(G683="4/16",G683="3/16"),((база!$L$5*2*Таблица1[[#This Row],[Столбец1]]*Таблица1[[#This Row],[коэф]])),
IF(OR(G683="2/4",G683="3/4",G683="4/4"),((база!$I$5*2*Таблица1[[#This Row],[Столбец1]]*Таблица1[[#This Row],[коэф]])),
IF((G683="5/8"),((база!$J$6*2*Таблица1[[#This Row],[Столбец1]]*Таблица1[[#This Row],[коэф]])),
IF(OR(G683="4/8",G683="3/8",G683="2/8"),((база!$J$5*2*Таблица1[[#This Row],[Столбец1]]*Таблица1[[#This Row],[коэф]])))))))))))</f>
        <v>0</v>
      </c>
      <c r="AQ683" s="678" t="str">
        <f>IFERROR(INDEX(база!T:T, MATCH(F683,база!Q:Q,0)),"")</f>
        <v/>
      </c>
      <c r="AR683" s="193">
        <f>IFERROR(INDEX(база!D:D, MATCH(F683,база!B:B,0)),"")</f>
        <v>0</v>
      </c>
    </row>
    <row r="684" spans="1:44" ht="15">
      <c r="A684" s="59"/>
      <c r="B684" s="215"/>
      <c r="C684" s="277"/>
      <c r="D684" s="55"/>
      <c r="E684" s="196"/>
      <c r="F684" s="651"/>
      <c r="G684" s="42"/>
      <c r="H684" s="539"/>
      <c r="I684" s="539"/>
      <c r="J684" s="539"/>
      <c r="K684" s="539"/>
      <c r="L684" s="539"/>
      <c r="M684" s="539"/>
      <c r="N684" s="539"/>
      <c r="O684" s="539"/>
      <c r="P684" s="278"/>
      <c r="Q684" s="539"/>
      <c r="R684" s="539"/>
      <c r="S684" s="539"/>
      <c r="T684" s="539"/>
      <c r="U684" s="539"/>
      <c r="V684" s="539"/>
      <c r="W684" s="539"/>
      <c r="X684" s="539"/>
      <c r="Y684" s="539"/>
      <c r="Z684" s="539"/>
      <c r="AA684" s="539"/>
      <c r="AB684" s="539"/>
      <c r="AC684" s="539"/>
      <c r="AD684" s="43"/>
      <c r="AE684" s="43"/>
      <c r="AF684" s="238"/>
      <c r="AG684" s="43"/>
      <c r="AH684" s="43"/>
      <c r="AI684" s="43"/>
      <c r="AJ684" s="43"/>
      <c r="AK684" s="43"/>
      <c r="AL684" s="45"/>
      <c r="AM684" s="197">
        <f>IF(AQ684=1,SUM(H684:I684,L684:O684,R684:U684,X684:AA684,AD684:AG684,AI684:AK684),
IF(AQ684=2,SUM(H684:K684,N684:Q684,T684:W684,Z684:AC684,AF684:AI684),
IF(AQ684=3,SUM(J684:M684,P684:S684,V684:Y684,AB684:AE684,AH684:AK684),SUM(Таблица1[[#This Row],[1]:[31]])-Таблица1[[#This Row],[Столбец1]])))</f>
        <v>0</v>
      </c>
      <c r="AN684" s="269">
        <f t="array" ref="AN684">IF(AQ684=1,SUM(J684:K684,P684:Q684,V684:W684,AB684:AC684,AH684:AI684),
IF(AQ684=2,SUM(L684:M684,R684:S684,X684:Y684,AD684:AE684),
IF(AQ684=3,SUM(H684:I684,N684:O684,T684:U684,Z684:AA684,AF684:AG684),
SUM(IFERROR(WEEKDAY($H$2:$AL$2,2)&gt;5,)*H684:AL684))))</f>
        <v>0</v>
      </c>
      <c r="AO684" s="271" t="b">
        <f>IF(AR684&lt;=3,(IF((G684="5/24"),((база!$M$6*Таблица1[[#This Row],[сумма]]*Таблица1[[#This Row],[коэф]])),
IF((G684="4/24"),((база!$M$5*Таблица1[[#This Row],[сумма]]*Таблица1[[#This Row],[коэф]])),
IF((G684="3/24"),((база!$M$4*Таблица1[[#This Row],[сумма]]*Таблица1[[#This Row],[коэф]])),
IF((G684="5/16"),((база!$L$6*Таблица1[[#This Row],[сумма]]*Таблица1[[#This Row],[коэф]])),
IF((G684="4/16"),((база!$L$5*Таблица1[[#This Row],[сумма]]*Таблица1[[#This Row],[коэф]])),
IF((G684="3/16"),((база!$L$4*Таблица1[[#This Row],[сумма]]*Таблица1[[#This Row],[коэф]])),
IF((G684="4/4"),((база!$I$5*Таблица1[[#This Row],[сумма]]*Таблица1[[#This Row],[коэф]])),
IF(OR(G684="2/4",G684="3/4"),((база!$I$4*Таблица1[[#This Row],[сумма]]*Таблица1[[#This Row],[коэф]])),
IF((G684="5/8"),((база!$J$6*Таблица1[[#This Row],[сумма]]*Таблица1[[#This Row],[коэф]])),
IF((G684="4/8"),((база!$J$5*Таблица1[[#This Row],[сумма]]*Таблица1[[#This Row],[коэф]])),
IF(OR(G684="3/8",G684="2/8"),((база!$J$4*Таблица1[[#This Row],[сумма]]*Таблица1[[#This Row],[коэф]])))))))))))))),
(IF((G684="5/24"),((база!$M$6*Таблица1[[#This Row],[сумма]]*Таблица1[[#This Row],[коэф]])),
IF(OR(G684="4/24",G684="3/24"),((база!$M$5*Таблица1[[#This Row],[сумма]]*Таблица1[[#This Row],[коэф]])),
IF((G684="5/16"),((база!$L$6*Таблица1[[#This Row],[сумма]]*Таблица1[[#This Row],[коэф]])),
IF(OR(G684="4/16",G684="3/16"),((база!$L$5*Таблица1[[#This Row],[сумма]]*Таблица1[[#This Row],[коэф]])),
IF(OR(G684="2/4",G684="3/4",G684="4/4"),((база!$I$5*Таблица1[[#This Row],[сумма]]*Таблица1[[#This Row],[коэф]])),
IF((G684="5/8"),((база!$J$6*Таблица1[[#This Row],[сумма]]*Таблица1[[#This Row],[коэф]])),
IF(OR(G684="4/8",G684="3/8",G684="2/8"),((база!$J$5*Таблица1[[#This Row],[сумма]]*Таблица1[[#This Row],[коэф]])))))))))))</f>
        <v>0</v>
      </c>
      <c r="AP684" s="696" t="b">
        <f>IF(AR684&lt;=3,(IF((G684="5/24"),((база!$M$6*2*Таблица1[[#This Row],[Столбец1]]*Таблица1[[#This Row],[коэф]])),
IF((G684="4/24"),((база!$M$5*2*Таблица1[[#This Row],[Столбец1]]*Таблица1[[#This Row],[коэф]])),
IF((G684="3/24"),((база!$M$4*2*Таблица1[[#This Row],[Столбец1]]*Таблица1[[#This Row],[коэф]])),
IF((G684="5/16"),((база!$L$6*2*Таблица1[[#This Row],[Столбец1]]*Таблица1[[#This Row],[коэф]])),
IF((G684="4/16"),((база!$L$5*2*Таблица1[[#This Row],[Столбец1]]*Таблица1[[#This Row],[коэф]])),
IF((G684="3/16"),((база!$L$4*2*Таблица1[[#This Row],[Столбец1]]*Таблица1[[#This Row],[коэф]])),
IF((G684="4/4"),((база!$I$5*2*Таблица1[[#This Row],[Столбец1]]*Таблица1[[#This Row],[коэф]])),
IF(OR(G684="2/4",G684="3/4"),((база!$I$4*2*Таблица1[[#This Row],[Столбец1]]*Таблица1[[#This Row],[коэф]])),
IF((G684="5/8"),((база!$J$6*2*Таблица1[[#This Row],[Столбец1]]*Таблица1[[#This Row],[коэф]])),
IF((G684="4/8"),((база!$J$5*2*Таблица1[[#This Row],[Столбец1]]*Таблица1[[#This Row],[коэф]])),
IF(OR(G684="3/8",G684="2/8"),((база!$J$4*2*Таблица1[[#This Row],[Столбец1]]*Таблица1[[#This Row],[коэф]])))))))))))))),
(IF((G684="5/24"),((база!$M$6*2*Таблица1[[#This Row],[Столбец1]]*Таблица1[[#This Row],[коэф]])),
IF(OR(G684="4/24",G684="3/24"),((база!$M$5*2*Таблица1[[#This Row],[Столбец1]]*Таблица1[[#This Row],[коэф]])),
IF((G684="5/16"),((база!$L$6*2*Таблица1[[#This Row],[Столбец1]]*Таблица1[[#This Row],[коэф]])),
IF(OR(G684="4/16",G684="3/16"),((база!$L$5*2*Таблица1[[#This Row],[Столбец1]]*Таблица1[[#This Row],[коэф]])),
IF(OR(G684="2/4",G684="3/4",G684="4/4"),((база!$I$5*2*Таблица1[[#This Row],[Столбец1]]*Таблица1[[#This Row],[коэф]])),
IF((G684="5/8"),((база!$J$6*2*Таблица1[[#This Row],[Столбец1]]*Таблица1[[#This Row],[коэф]])),
IF(OR(G684="4/8",G684="3/8",G684="2/8"),((база!$J$5*2*Таблица1[[#This Row],[Столбец1]]*Таблица1[[#This Row],[коэф]])))))))))))</f>
        <v>0</v>
      </c>
      <c r="AQ684" s="678" t="str">
        <f>IFERROR(INDEX(база!T:T, MATCH(F684,база!Q:Q,0)),"")</f>
        <v/>
      </c>
      <c r="AR684" s="193">
        <f>IFERROR(INDEX(база!D:D, MATCH(F684,база!B:B,0)),"")</f>
        <v>0</v>
      </c>
    </row>
    <row r="685" spans="1:44" ht="15">
      <c r="A685" s="59"/>
      <c r="B685" s="215"/>
      <c r="C685" s="277"/>
      <c r="D685" s="55"/>
      <c r="E685" s="196"/>
      <c r="F685" s="651"/>
      <c r="G685" s="42"/>
      <c r="H685" s="539"/>
      <c r="I685" s="539"/>
      <c r="J685" s="539"/>
      <c r="K685" s="539"/>
      <c r="L685" s="539"/>
      <c r="M685" s="539"/>
      <c r="N685" s="539"/>
      <c r="O685" s="539"/>
      <c r="P685" s="278"/>
      <c r="Q685" s="539"/>
      <c r="R685" s="539"/>
      <c r="S685" s="539"/>
      <c r="T685" s="539"/>
      <c r="U685" s="539"/>
      <c r="V685" s="539"/>
      <c r="W685" s="539"/>
      <c r="X685" s="539"/>
      <c r="Y685" s="539"/>
      <c r="Z685" s="539"/>
      <c r="AA685" s="539"/>
      <c r="AB685" s="539"/>
      <c r="AC685" s="539"/>
      <c r="AD685" s="43"/>
      <c r="AE685" s="43"/>
      <c r="AF685" s="238"/>
      <c r="AG685" s="43"/>
      <c r="AH685" s="43"/>
      <c r="AI685" s="238"/>
      <c r="AJ685" s="238"/>
      <c r="AK685" s="238"/>
      <c r="AL685" s="238"/>
      <c r="AM685" s="197">
        <f>IF(AQ685=1,SUM(H685:I685,L685:O685,R685:U685,X685:AA685,AD685:AG685,AI685:AK685),
IF(AQ685=2,SUM(H685:K685,N685:Q685,T685:W685,Z685:AC685,AF685:AI685),
IF(AQ685=3,SUM(J685:M685,P685:S685,V685:Y685,AB685:AE685,AH685:AK685),SUM(Таблица1[[#This Row],[1]:[31]])-Таблица1[[#This Row],[Столбец1]])))</f>
        <v>0</v>
      </c>
      <c r="AN685" s="269">
        <f t="array" ref="AN685">IF(AQ685=1,SUM(J685:K685,P685:Q685,V685:W685,AB685:AC685,AH685:AI685),
IF(AQ685=2,SUM(L685:M685,R685:S685,X685:Y685,AD685:AE685),
IF(AQ685=3,SUM(H685:I685,N685:O685,T685:U685,Z685:AA685,AF685:AG685),
SUM(IFERROR(WEEKDAY($H$2:$AL$2,2)&gt;5,)*H685:AL685))))</f>
        <v>0</v>
      </c>
      <c r="AO685" s="271" t="b">
        <f>IF(AR685&lt;=3,(IF((G685="5/24"),((база!$M$6*Таблица1[[#This Row],[сумма]]*Таблица1[[#This Row],[коэф]])),
IF((G685="4/24"),((база!$M$5*Таблица1[[#This Row],[сумма]]*Таблица1[[#This Row],[коэф]])),
IF((G685="3/24"),((база!$M$4*Таблица1[[#This Row],[сумма]]*Таблица1[[#This Row],[коэф]])),
IF((G685="5/16"),((база!$L$6*Таблица1[[#This Row],[сумма]]*Таблица1[[#This Row],[коэф]])),
IF((G685="4/16"),((база!$L$5*Таблица1[[#This Row],[сумма]]*Таблица1[[#This Row],[коэф]])),
IF((G685="3/16"),((база!$L$4*Таблица1[[#This Row],[сумма]]*Таблица1[[#This Row],[коэф]])),
IF((G685="4/4"),((база!$I$5*Таблица1[[#This Row],[сумма]]*Таблица1[[#This Row],[коэф]])),
IF(OR(G685="2/4",G685="3/4"),((база!$I$4*Таблица1[[#This Row],[сумма]]*Таблица1[[#This Row],[коэф]])),
IF((G685="5/8"),((база!$J$6*Таблица1[[#This Row],[сумма]]*Таблица1[[#This Row],[коэф]])),
IF((G685="4/8"),((база!$J$5*Таблица1[[#This Row],[сумма]]*Таблица1[[#This Row],[коэф]])),
IF(OR(G685="3/8",G685="2/8"),((база!$J$4*Таблица1[[#This Row],[сумма]]*Таблица1[[#This Row],[коэф]])))))))))))))),
(IF((G685="5/24"),((база!$M$6*Таблица1[[#This Row],[сумма]]*Таблица1[[#This Row],[коэф]])),
IF(OR(G685="4/24",G685="3/24"),((база!$M$5*Таблица1[[#This Row],[сумма]]*Таблица1[[#This Row],[коэф]])),
IF((G685="5/16"),((база!$L$6*Таблица1[[#This Row],[сумма]]*Таблица1[[#This Row],[коэф]])),
IF(OR(G685="4/16",G685="3/16"),((база!$L$5*Таблица1[[#This Row],[сумма]]*Таблица1[[#This Row],[коэф]])),
IF(OR(G685="2/4",G685="3/4",G685="4/4"),((база!$I$5*Таблица1[[#This Row],[сумма]]*Таблица1[[#This Row],[коэф]])),
IF((G685="5/8"),((база!$J$6*Таблица1[[#This Row],[сумма]]*Таблица1[[#This Row],[коэф]])),
IF(OR(G685="4/8",G685="3/8",G685="2/8"),((база!$J$5*Таблица1[[#This Row],[сумма]]*Таблица1[[#This Row],[коэф]])))))))))))</f>
        <v>0</v>
      </c>
      <c r="AP685" s="696" t="b">
        <f>IF(AR685&lt;=3,(IF((G685="5/24"),((база!$M$6*2*Таблица1[[#This Row],[Столбец1]]*Таблица1[[#This Row],[коэф]])),
IF((G685="4/24"),((база!$M$5*2*Таблица1[[#This Row],[Столбец1]]*Таблица1[[#This Row],[коэф]])),
IF((G685="3/24"),((база!$M$4*2*Таблица1[[#This Row],[Столбец1]]*Таблица1[[#This Row],[коэф]])),
IF((G685="5/16"),((база!$L$6*2*Таблица1[[#This Row],[Столбец1]]*Таблица1[[#This Row],[коэф]])),
IF((G685="4/16"),((база!$L$5*2*Таблица1[[#This Row],[Столбец1]]*Таблица1[[#This Row],[коэф]])),
IF((G685="3/16"),((база!$L$4*2*Таблица1[[#This Row],[Столбец1]]*Таблица1[[#This Row],[коэф]])),
IF((G685="4/4"),((база!$I$5*2*Таблица1[[#This Row],[Столбец1]]*Таблица1[[#This Row],[коэф]])),
IF(OR(G685="2/4",G685="3/4"),((база!$I$4*2*Таблица1[[#This Row],[Столбец1]]*Таблица1[[#This Row],[коэф]])),
IF((G685="5/8"),((база!$J$6*2*Таблица1[[#This Row],[Столбец1]]*Таблица1[[#This Row],[коэф]])),
IF((G685="4/8"),((база!$J$5*2*Таблица1[[#This Row],[Столбец1]]*Таблица1[[#This Row],[коэф]])),
IF(OR(G685="3/8",G685="2/8"),((база!$J$4*2*Таблица1[[#This Row],[Столбец1]]*Таблица1[[#This Row],[коэф]])))))))))))))),
(IF((G685="5/24"),((база!$M$6*2*Таблица1[[#This Row],[Столбец1]]*Таблица1[[#This Row],[коэф]])),
IF(OR(G685="4/24",G685="3/24"),((база!$M$5*2*Таблица1[[#This Row],[Столбец1]]*Таблица1[[#This Row],[коэф]])),
IF((G685="5/16"),((база!$L$6*2*Таблица1[[#This Row],[Столбец1]]*Таблица1[[#This Row],[коэф]])),
IF(OR(G685="4/16",G685="3/16"),((база!$L$5*2*Таблица1[[#This Row],[Столбец1]]*Таблица1[[#This Row],[коэф]])),
IF(OR(G685="2/4",G685="3/4",G685="4/4"),((база!$I$5*2*Таблица1[[#This Row],[Столбец1]]*Таблица1[[#This Row],[коэф]])),
IF((G685="5/8"),((база!$J$6*2*Таблица1[[#This Row],[Столбец1]]*Таблица1[[#This Row],[коэф]])),
IF(OR(G685="4/8",G685="3/8",G685="2/8"),((база!$J$5*2*Таблица1[[#This Row],[Столбец1]]*Таблица1[[#This Row],[коэф]])))))))))))</f>
        <v>0</v>
      </c>
      <c r="AQ685" s="678" t="str">
        <f>IFERROR(INDEX(база!T:T, MATCH(F685,база!Q:Q,0)),"")</f>
        <v/>
      </c>
      <c r="AR685" s="193">
        <f>IFERROR(INDEX(база!D:D, MATCH(F685,база!B:B,0)),"")</f>
        <v>0</v>
      </c>
    </row>
    <row r="686" spans="1:44" ht="15">
      <c r="A686" s="59"/>
      <c r="B686" s="215"/>
      <c r="C686" s="277"/>
      <c r="D686" s="55"/>
      <c r="E686" s="196"/>
      <c r="F686" s="651"/>
      <c r="G686" s="42"/>
      <c r="H686" s="539"/>
      <c r="I686" s="539"/>
      <c r="J686" s="539"/>
      <c r="K686" s="539"/>
      <c r="L686" s="539"/>
      <c r="M686" s="539"/>
      <c r="N686" s="539"/>
      <c r="O686" s="539"/>
      <c r="P686" s="278"/>
      <c r="Q686" s="539"/>
      <c r="R686" s="539"/>
      <c r="S686" s="539"/>
      <c r="T686" s="539"/>
      <c r="U686" s="539"/>
      <c r="V686" s="539"/>
      <c r="W686" s="539"/>
      <c r="X686" s="539"/>
      <c r="Y686" s="539"/>
      <c r="Z686" s="539"/>
      <c r="AA686" s="539"/>
      <c r="AB686" s="539"/>
      <c r="AC686" s="539"/>
      <c r="AD686" s="43"/>
      <c r="AE686" s="43"/>
      <c r="AF686" s="238"/>
      <c r="AG686" s="43"/>
      <c r="AH686" s="43"/>
      <c r="AI686" s="43"/>
      <c r="AJ686" s="43"/>
      <c r="AK686" s="43"/>
      <c r="AL686" s="45"/>
      <c r="AM686" s="197">
        <f>IF(AQ686=1,SUM(H686:I686,L686:O686,R686:U686,X686:AA686,AD686:AG686,AI686:AK686),
IF(AQ686=2,SUM(H686:K686,N686:Q686,T686:W686,Z686:AC686,AF686:AI686),
IF(AQ686=3,SUM(J686:M686,P686:S686,V686:Y686,AB686:AE686,AH686:AK686),SUM(Таблица1[[#This Row],[1]:[31]])-Таблица1[[#This Row],[Столбец1]])))</f>
        <v>0</v>
      </c>
      <c r="AN686" s="269">
        <f t="array" ref="AN686">IF(AQ686=1,SUM(J686:K686,P686:Q686,V686:W686,AB686:AC686,AH686:AI686),
IF(AQ686=2,SUM(L686:M686,R686:S686,X686:Y686,AD686:AE686),
IF(AQ686=3,SUM(H686:I686,N686:O686,T686:U686,Z686:AA686,AF686:AG686),
SUM(IFERROR(WEEKDAY($H$2:$AL$2,2)&gt;5,)*H686:AL686))))</f>
        <v>0</v>
      </c>
      <c r="AO686" s="271" t="b">
        <f>IF(AR686&lt;=3,(IF((G686="5/24"),((база!$M$6*Таблица1[[#This Row],[сумма]]*Таблица1[[#This Row],[коэф]])),
IF((G686="4/24"),((база!$M$5*Таблица1[[#This Row],[сумма]]*Таблица1[[#This Row],[коэф]])),
IF((G686="3/24"),((база!$M$4*Таблица1[[#This Row],[сумма]]*Таблица1[[#This Row],[коэф]])),
IF((G686="5/16"),((база!$L$6*Таблица1[[#This Row],[сумма]]*Таблица1[[#This Row],[коэф]])),
IF((G686="4/16"),((база!$L$5*Таблица1[[#This Row],[сумма]]*Таблица1[[#This Row],[коэф]])),
IF((G686="3/16"),((база!$L$4*Таблица1[[#This Row],[сумма]]*Таблица1[[#This Row],[коэф]])),
IF((G686="4/4"),((база!$I$5*Таблица1[[#This Row],[сумма]]*Таблица1[[#This Row],[коэф]])),
IF(OR(G686="2/4",G686="3/4"),((база!$I$4*Таблица1[[#This Row],[сумма]]*Таблица1[[#This Row],[коэф]])),
IF((G686="5/8"),((база!$J$6*Таблица1[[#This Row],[сумма]]*Таблица1[[#This Row],[коэф]])),
IF((G686="4/8"),((база!$J$5*Таблица1[[#This Row],[сумма]]*Таблица1[[#This Row],[коэф]])),
IF(OR(G686="3/8",G686="2/8"),((база!$J$4*Таблица1[[#This Row],[сумма]]*Таблица1[[#This Row],[коэф]])))))))))))))),
(IF((G686="5/24"),((база!$M$6*Таблица1[[#This Row],[сумма]]*Таблица1[[#This Row],[коэф]])),
IF(OR(G686="4/24",G686="3/24"),((база!$M$5*Таблица1[[#This Row],[сумма]]*Таблица1[[#This Row],[коэф]])),
IF((G686="5/16"),((база!$L$6*Таблица1[[#This Row],[сумма]]*Таблица1[[#This Row],[коэф]])),
IF(OR(G686="4/16",G686="3/16"),((база!$L$5*Таблица1[[#This Row],[сумма]]*Таблица1[[#This Row],[коэф]])),
IF(OR(G686="2/4",G686="3/4",G686="4/4"),((база!$I$5*Таблица1[[#This Row],[сумма]]*Таблица1[[#This Row],[коэф]])),
IF((G686="5/8"),((база!$J$6*Таблица1[[#This Row],[сумма]]*Таблица1[[#This Row],[коэф]])),
IF(OR(G686="4/8",G686="3/8",G686="2/8"),((база!$J$5*Таблица1[[#This Row],[сумма]]*Таблица1[[#This Row],[коэф]])))))))))))</f>
        <v>0</v>
      </c>
      <c r="AP686" s="696" t="b">
        <f>IF(AR686&lt;=3,(IF((G686="5/24"),((база!$M$6*2*Таблица1[[#This Row],[Столбец1]]*Таблица1[[#This Row],[коэф]])),
IF((G686="4/24"),((база!$M$5*2*Таблица1[[#This Row],[Столбец1]]*Таблица1[[#This Row],[коэф]])),
IF((G686="3/24"),((база!$M$4*2*Таблица1[[#This Row],[Столбец1]]*Таблица1[[#This Row],[коэф]])),
IF((G686="5/16"),((база!$L$6*2*Таблица1[[#This Row],[Столбец1]]*Таблица1[[#This Row],[коэф]])),
IF((G686="4/16"),((база!$L$5*2*Таблица1[[#This Row],[Столбец1]]*Таблица1[[#This Row],[коэф]])),
IF((G686="3/16"),((база!$L$4*2*Таблица1[[#This Row],[Столбец1]]*Таблица1[[#This Row],[коэф]])),
IF((G686="4/4"),((база!$I$5*2*Таблица1[[#This Row],[Столбец1]]*Таблица1[[#This Row],[коэф]])),
IF(OR(G686="2/4",G686="3/4"),((база!$I$4*2*Таблица1[[#This Row],[Столбец1]]*Таблица1[[#This Row],[коэф]])),
IF((G686="5/8"),((база!$J$6*2*Таблица1[[#This Row],[Столбец1]]*Таблица1[[#This Row],[коэф]])),
IF((G686="4/8"),((база!$J$5*2*Таблица1[[#This Row],[Столбец1]]*Таблица1[[#This Row],[коэф]])),
IF(OR(G686="3/8",G686="2/8"),((база!$J$4*2*Таблица1[[#This Row],[Столбец1]]*Таблица1[[#This Row],[коэф]])))))))))))))),
(IF((G686="5/24"),((база!$M$6*2*Таблица1[[#This Row],[Столбец1]]*Таблица1[[#This Row],[коэф]])),
IF(OR(G686="4/24",G686="3/24"),((база!$M$5*2*Таблица1[[#This Row],[Столбец1]]*Таблица1[[#This Row],[коэф]])),
IF((G686="5/16"),((база!$L$6*2*Таблица1[[#This Row],[Столбец1]]*Таблица1[[#This Row],[коэф]])),
IF(OR(G686="4/16",G686="3/16"),((база!$L$5*2*Таблица1[[#This Row],[Столбец1]]*Таблица1[[#This Row],[коэф]])),
IF(OR(G686="2/4",G686="3/4",G686="4/4"),((база!$I$5*2*Таблица1[[#This Row],[Столбец1]]*Таблица1[[#This Row],[коэф]])),
IF((G686="5/8"),((база!$J$6*2*Таблица1[[#This Row],[Столбец1]]*Таблица1[[#This Row],[коэф]])),
IF(OR(G686="4/8",G686="3/8",G686="2/8"),((база!$J$5*2*Таблица1[[#This Row],[Столбец1]]*Таблица1[[#This Row],[коэф]])))))))))))</f>
        <v>0</v>
      </c>
      <c r="AQ686" s="678" t="str">
        <f>IFERROR(INDEX(база!T:T, MATCH(F686,база!Q:Q,0)),"")</f>
        <v/>
      </c>
      <c r="AR686" s="193">
        <f>IFERROR(INDEX(база!D:D, MATCH(F686,база!B:B,0)),"")</f>
        <v>0</v>
      </c>
    </row>
    <row r="687" spans="1:44" ht="15">
      <c r="A687" s="59"/>
      <c r="B687" s="215"/>
      <c r="C687" s="277"/>
      <c r="D687" s="55"/>
      <c r="E687" s="196"/>
      <c r="F687" s="651"/>
      <c r="G687" s="42"/>
      <c r="H687" s="539"/>
      <c r="I687" s="539"/>
      <c r="J687" s="539"/>
      <c r="K687" s="539"/>
      <c r="L687" s="539"/>
      <c r="M687" s="539"/>
      <c r="N687" s="539"/>
      <c r="O687" s="539"/>
      <c r="P687" s="278"/>
      <c r="Q687" s="539"/>
      <c r="R687" s="539"/>
      <c r="S687" s="539"/>
      <c r="T687" s="539"/>
      <c r="U687" s="539"/>
      <c r="V687" s="539"/>
      <c r="W687" s="539"/>
      <c r="X687" s="539"/>
      <c r="Y687" s="539"/>
      <c r="Z687" s="539"/>
      <c r="AA687" s="539"/>
      <c r="AB687" s="539"/>
      <c r="AC687" s="539"/>
      <c r="AD687" s="43"/>
      <c r="AE687" s="43"/>
      <c r="AF687" s="238"/>
      <c r="AG687" s="43"/>
      <c r="AH687" s="43"/>
      <c r="AI687" s="238"/>
      <c r="AJ687" s="238"/>
      <c r="AK687" s="238"/>
      <c r="AL687" s="238"/>
      <c r="AM687" s="197">
        <f>IF(AQ687=1,SUM(H687:I687,L687:O687,R687:U687,X687:AA687,AD687:AG687,AI687:AK687),
IF(AQ687=2,SUM(H687:K687,N687:Q687,T687:W687,Z687:AC687,AF687:AI687),
IF(AQ687=3,SUM(J687:M687,P687:S687,V687:Y687,AB687:AE687,AH687:AK687),SUM(Таблица1[[#This Row],[1]:[31]])-Таблица1[[#This Row],[Столбец1]])))</f>
        <v>0</v>
      </c>
      <c r="AN687" s="269">
        <f t="array" ref="AN687">IF(AQ687=1,SUM(J687:K687,P687:Q687,V687:W687,AB687:AC687,AH687:AI687),
IF(AQ687=2,SUM(L687:M687,R687:S687,X687:Y687,AD687:AE687),
IF(AQ687=3,SUM(H687:I687,N687:O687,T687:U687,Z687:AA687,AF687:AG687),
SUM(IFERROR(WEEKDAY($H$2:$AL$2,2)&gt;5,)*H687:AL687))))</f>
        <v>0</v>
      </c>
      <c r="AO687" s="271" t="b">
        <f>IF(AR687&lt;=3,(IF((G687="5/24"),((база!$M$6*Таблица1[[#This Row],[сумма]]*Таблица1[[#This Row],[коэф]])),
IF((G687="4/24"),((база!$M$5*Таблица1[[#This Row],[сумма]]*Таблица1[[#This Row],[коэф]])),
IF((G687="3/24"),((база!$M$4*Таблица1[[#This Row],[сумма]]*Таблица1[[#This Row],[коэф]])),
IF((G687="5/16"),((база!$L$6*Таблица1[[#This Row],[сумма]]*Таблица1[[#This Row],[коэф]])),
IF((G687="4/16"),((база!$L$5*Таблица1[[#This Row],[сумма]]*Таблица1[[#This Row],[коэф]])),
IF((G687="3/16"),((база!$L$4*Таблица1[[#This Row],[сумма]]*Таблица1[[#This Row],[коэф]])),
IF((G687="4/4"),((база!$I$5*Таблица1[[#This Row],[сумма]]*Таблица1[[#This Row],[коэф]])),
IF(OR(G687="2/4",G687="3/4"),((база!$I$4*Таблица1[[#This Row],[сумма]]*Таблица1[[#This Row],[коэф]])),
IF((G687="5/8"),((база!$J$6*Таблица1[[#This Row],[сумма]]*Таблица1[[#This Row],[коэф]])),
IF((G687="4/8"),((база!$J$5*Таблица1[[#This Row],[сумма]]*Таблица1[[#This Row],[коэф]])),
IF(OR(G687="3/8",G687="2/8"),((база!$J$4*Таблица1[[#This Row],[сумма]]*Таблица1[[#This Row],[коэф]])))))))))))))),
(IF((G687="5/24"),((база!$M$6*Таблица1[[#This Row],[сумма]]*Таблица1[[#This Row],[коэф]])),
IF(OR(G687="4/24",G687="3/24"),((база!$M$5*Таблица1[[#This Row],[сумма]]*Таблица1[[#This Row],[коэф]])),
IF((G687="5/16"),((база!$L$6*Таблица1[[#This Row],[сумма]]*Таблица1[[#This Row],[коэф]])),
IF(OR(G687="4/16",G687="3/16"),((база!$L$5*Таблица1[[#This Row],[сумма]]*Таблица1[[#This Row],[коэф]])),
IF(OR(G687="2/4",G687="3/4",G687="4/4"),((база!$I$5*Таблица1[[#This Row],[сумма]]*Таблица1[[#This Row],[коэф]])),
IF((G687="5/8"),((база!$J$6*Таблица1[[#This Row],[сумма]]*Таблица1[[#This Row],[коэф]])),
IF(OR(G687="4/8",G687="3/8",G687="2/8"),((база!$J$5*Таблица1[[#This Row],[сумма]]*Таблица1[[#This Row],[коэф]])))))))))))</f>
        <v>0</v>
      </c>
      <c r="AP687" s="696" t="b">
        <f>IF(AR687&lt;=3,(IF((G687="5/24"),((база!$M$6*2*Таблица1[[#This Row],[Столбец1]]*Таблица1[[#This Row],[коэф]])),
IF((G687="4/24"),((база!$M$5*2*Таблица1[[#This Row],[Столбец1]]*Таблица1[[#This Row],[коэф]])),
IF((G687="3/24"),((база!$M$4*2*Таблица1[[#This Row],[Столбец1]]*Таблица1[[#This Row],[коэф]])),
IF((G687="5/16"),((база!$L$6*2*Таблица1[[#This Row],[Столбец1]]*Таблица1[[#This Row],[коэф]])),
IF((G687="4/16"),((база!$L$5*2*Таблица1[[#This Row],[Столбец1]]*Таблица1[[#This Row],[коэф]])),
IF((G687="3/16"),((база!$L$4*2*Таблица1[[#This Row],[Столбец1]]*Таблица1[[#This Row],[коэф]])),
IF((G687="4/4"),((база!$I$5*2*Таблица1[[#This Row],[Столбец1]]*Таблица1[[#This Row],[коэф]])),
IF(OR(G687="2/4",G687="3/4"),((база!$I$4*2*Таблица1[[#This Row],[Столбец1]]*Таблица1[[#This Row],[коэф]])),
IF((G687="5/8"),((база!$J$6*2*Таблица1[[#This Row],[Столбец1]]*Таблица1[[#This Row],[коэф]])),
IF((G687="4/8"),((база!$J$5*2*Таблица1[[#This Row],[Столбец1]]*Таблица1[[#This Row],[коэф]])),
IF(OR(G687="3/8",G687="2/8"),((база!$J$4*2*Таблица1[[#This Row],[Столбец1]]*Таблица1[[#This Row],[коэф]])))))))))))))),
(IF((G687="5/24"),((база!$M$6*2*Таблица1[[#This Row],[Столбец1]]*Таблица1[[#This Row],[коэф]])),
IF(OR(G687="4/24",G687="3/24"),((база!$M$5*2*Таблица1[[#This Row],[Столбец1]]*Таблица1[[#This Row],[коэф]])),
IF((G687="5/16"),((база!$L$6*2*Таблица1[[#This Row],[Столбец1]]*Таблица1[[#This Row],[коэф]])),
IF(OR(G687="4/16",G687="3/16"),((база!$L$5*2*Таблица1[[#This Row],[Столбец1]]*Таблица1[[#This Row],[коэф]])),
IF(OR(G687="2/4",G687="3/4",G687="4/4"),((база!$I$5*2*Таблица1[[#This Row],[Столбец1]]*Таблица1[[#This Row],[коэф]])),
IF((G687="5/8"),((база!$J$6*2*Таблица1[[#This Row],[Столбец1]]*Таблица1[[#This Row],[коэф]])),
IF(OR(G687="4/8",G687="3/8",G687="2/8"),((база!$J$5*2*Таблица1[[#This Row],[Столбец1]]*Таблица1[[#This Row],[коэф]])))))))))))</f>
        <v>0</v>
      </c>
      <c r="AQ687" s="678" t="str">
        <f>IFERROR(INDEX(база!T:T, MATCH(F687,база!Q:Q,0)),"")</f>
        <v/>
      </c>
      <c r="AR687" s="193">
        <f>IFERROR(INDEX(база!D:D, MATCH(F687,база!B:B,0)),"")</f>
        <v>0</v>
      </c>
    </row>
    <row r="688" spans="1:44" ht="15">
      <c r="A688" s="59"/>
      <c r="B688" s="215"/>
      <c r="C688" s="277"/>
      <c r="D688" s="55"/>
      <c r="E688" s="196"/>
      <c r="F688" s="651"/>
      <c r="G688" s="42"/>
      <c r="H688" s="539"/>
      <c r="I688" s="539"/>
      <c r="J688" s="539"/>
      <c r="K688" s="539"/>
      <c r="L688" s="539"/>
      <c r="M688" s="539"/>
      <c r="N688" s="539"/>
      <c r="O688" s="539"/>
      <c r="P688" s="278"/>
      <c r="Q688" s="539"/>
      <c r="R688" s="539"/>
      <c r="S688" s="539"/>
      <c r="T688" s="539"/>
      <c r="U688" s="539"/>
      <c r="V688" s="539"/>
      <c r="W688" s="539"/>
      <c r="X688" s="539"/>
      <c r="Y688" s="539"/>
      <c r="Z688" s="539"/>
      <c r="AA688" s="539"/>
      <c r="AB688" s="539"/>
      <c r="AC688" s="539"/>
      <c r="AD688" s="43"/>
      <c r="AE688" s="43"/>
      <c r="AF688" s="238"/>
      <c r="AG688" s="43"/>
      <c r="AH688" s="43"/>
      <c r="AI688" s="43"/>
      <c r="AJ688" s="43"/>
      <c r="AK688" s="43"/>
      <c r="AL688" s="45"/>
      <c r="AM688" s="197">
        <f>IF(AQ688=1,SUM(H688:I688,L688:O688,R688:U688,X688:AA688,AD688:AG688,AI688:AK688),
IF(AQ688=2,SUM(H688:K688,N688:Q688,T688:W688,Z688:AC688,AF688:AI688),
IF(AQ688=3,SUM(J688:M688,P688:S688,V688:Y688,AB688:AE688,AH688:AK688),SUM(Таблица1[[#This Row],[1]:[31]])-Таблица1[[#This Row],[Столбец1]])))</f>
        <v>0</v>
      </c>
      <c r="AN688" s="269">
        <f t="array" ref="AN688">IF(AQ688=1,SUM(J688:K688,P688:Q688,V688:W688,AB688:AC688,AH688:AI688),
IF(AQ688=2,SUM(L688:M688,R688:S688,X688:Y688,AD688:AE688),
IF(AQ688=3,SUM(H688:I688,N688:O688,T688:U688,Z688:AA688,AF688:AG688),
SUM(IFERROR(WEEKDAY($H$2:$AL$2,2)&gt;5,)*H688:AL688))))</f>
        <v>0</v>
      </c>
      <c r="AO688" s="271" t="b">
        <f>IF(AR688&lt;=3,(IF((G688="5/24"),((база!$M$6*Таблица1[[#This Row],[сумма]]*Таблица1[[#This Row],[коэф]])),
IF((G688="4/24"),((база!$M$5*Таблица1[[#This Row],[сумма]]*Таблица1[[#This Row],[коэф]])),
IF((G688="3/24"),((база!$M$4*Таблица1[[#This Row],[сумма]]*Таблица1[[#This Row],[коэф]])),
IF((G688="5/16"),((база!$L$6*Таблица1[[#This Row],[сумма]]*Таблица1[[#This Row],[коэф]])),
IF((G688="4/16"),((база!$L$5*Таблица1[[#This Row],[сумма]]*Таблица1[[#This Row],[коэф]])),
IF((G688="3/16"),((база!$L$4*Таблица1[[#This Row],[сумма]]*Таблица1[[#This Row],[коэф]])),
IF((G688="4/4"),((база!$I$5*Таблица1[[#This Row],[сумма]]*Таблица1[[#This Row],[коэф]])),
IF(OR(G688="2/4",G688="3/4"),((база!$I$4*Таблица1[[#This Row],[сумма]]*Таблица1[[#This Row],[коэф]])),
IF((G688="5/8"),((база!$J$6*Таблица1[[#This Row],[сумма]]*Таблица1[[#This Row],[коэф]])),
IF((G688="4/8"),((база!$J$5*Таблица1[[#This Row],[сумма]]*Таблица1[[#This Row],[коэф]])),
IF(OR(G688="3/8",G688="2/8"),((база!$J$4*Таблица1[[#This Row],[сумма]]*Таблица1[[#This Row],[коэф]])))))))))))))),
(IF((G688="5/24"),((база!$M$6*Таблица1[[#This Row],[сумма]]*Таблица1[[#This Row],[коэф]])),
IF(OR(G688="4/24",G688="3/24"),((база!$M$5*Таблица1[[#This Row],[сумма]]*Таблица1[[#This Row],[коэф]])),
IF((G688="5/16"),((база!$L$6*Таблица1[[#This Row],[сумма]]*Таблица1[[#This Row],[коэф]])),
IF(OR(G688="4/16",G688="3/16"),((база!$L$5*Таблица1[[#This Row],[сумма]]*Таблица1[[#This Row],[коэф]])),
IF(OR(G688="2/4",G688="3/4",G688="4/4"),((база!$I$5*Таблица1[[#This Row],[сумма]]*Таблица1[[#This Row],[коэф]])),
IF((G688="5/8"),((база!$J$6*Таблица1[[#This Row],[сумма]]*Таблица1[[#This Row],[коэф]])),
IF(OR(G688="4/8",G688="3/8",G688="2/8"),((база!$J$5*Таблица1[[#This Row],[сумма]]*Таблица1[[#This Row],[коэф]])))))))))))</f>
        <v>0</v>
      </c>
      <c r="AP688" s="696" t="b">
        <f>IF(AR688&lt;=3,(IF((G688="5/24"),((база!$M$6*2*Таблица1[[#This Row],[Столбец1]]*Таблица1[[#This Row],[коэф]])),
IF((G688="4/24"),((база!$M$5*2*Таблица1[[#This Row],[Столбец1]]*Таблица1[[#This Row],[коэф]])),
IF((G688="3/24"),((база!$M$4*2*Таблица1[[#This Row],[Столбец1]]*Таблица1[[#This Row],[коэф]])),
IF((G688="5/16"),((база!$L$6*2*Таблица1[[#This Row],[Столбец1]]*Таблица1[[#This Row],[коэф]])),
IF((G688="4/16"),((база!$L$5*2*Таблица1[[#This Row],[Столбец1]]*Таблица1[[#This Row],[коэф]])),
IF((G688="3/16"),((база!$L$4*2*Таблица1[[#This Row],[Столбец1]]*Таблица1[[#This Row],[коэф]])),
IF((G688="4/4"),((база!$I$5*2*Таблица1[[#This Row],[Столбец1]]*Таблица1[[#This Row],[коэф]])),
IF(OR(G688="2/4",G688="3/4"),((база!$I$4*2*Таблица1[[#This Row],[Столбец1]]*Таблица1[[#This Row],[коэф]])),
IF((G688="5/8"),((база!$J$6*2*Таблица1[[#This Row],[Столбец1]]*Таблица1[[#This Row],[коэф]])),
IF((G688="4/8"),((база!$J$5*2*Таблица1[[#This Row],[Столбец1]]*Таблица1[[#This Row],[коэф]])),
IF(OR(G688="3/8",G688="2/8"),((база!$J$4*2*Таблица1[[#This Row],[Столбец1]]*Таблица1[[#This Row],[коэф]])))))))))))))),
(IF((G688="5/24"),((база!$M$6*2*Таблица1[[#This Row],[Столбец1]]*Таблица1[[#This Row],[коэф]])),
IF(OR(G688="4/24",G688="3/24"),((база!$M$5*2*Таблица1[[#This Row],[Столбец1]]*Таблица1[[#This Row],[коэф]])),
IF((G688="5/16"),((база!$L$6*2*Таблица1[[#This Row],[Столбец1]]*Таблица1[[#This Row],[коэф]])),
IF(OR(G688="4/16",G688="3/16"),((база!$L$5*2*Таблица1[[#This Row],[Столбец1]]*Таблица1[[#This Row],[коэф]])),
IF(OR(G688="2/4",G688="3/4",G688="4/4"),((база!$I$5*2*Таблица1[[#This Row],[Столбец1]]*Таблица1[[#This Row],[коэф]])),
IF((G688="5/8"),((база!$J$6*2*Таблица1[[#This Row],[Столбец1]]*Таблица1[[#This Row],[коэф]])),
IF(OR(G688="4/8",G688="3/8",G688="2/8"),((база!$J$5*2*Таблица1[[#This Row],[Столбец1]]*Таблица1[[#This Row],[коэф]])))))))))))</f>
        <v>0</v>
      </c>
      <c r="AQ688" s="678" t="str">
        <f>IFERROR(INDEX(база!T:T, MATCH(F688,база!Q:Q,0)),"")</f>
        <v/>
      </c>
      <c r="AR688" s="193">
        <f>IFERROR(INDEX(база!D:D, MATCH(F688,база!B:B,0)),"")</f>
        <v>0</v>
      </c>
    </row>
    <row r="689" spans="1:44" ht="15">
      <c r="A689" s="59"/>
      <c r="B689" s="215"/>
      <c r="C689" s="277"/>
      <c r="D689" s="55"/>
      <c r="E689" s="196"/>
      <c r="F689" s="651"/>
      <c r="G689" s="42"/>
      <c r="H689" s="539"/>
      <c r="I689" s="539"/>
      <c r="J689" s="539"/>
      <c r="K689" s="539"/>
      <c r="L689" s="539"/>
      <c r="M689" s="539"/>
      <c r="N689" s="539"/>
      <c r="O689" s="539"/>
      <c r="P689" s="278"/>
      <c r="Q689" s="539"/>
      <c r="R689" s="539"/>
      <c r="S689" s="539"/>
      <c r="T689" s="539"/>
      <c r="U689" s="539"/>
      <c r="V689" s="539"/>
      <c r="W689" s="539"/>
      <c r="X689" s="539"/>
      <c r="Y689" s="539"/>
      <c r="Z689" s="539"/>
      <c r="AA689" s="539"/>
      <c r="AB689" s="539"/>
      <c r="AC689" s="539"/>
      <c r="AD689" s="43"/>
      <c r="AE689" s="43"/>
      <c r="AF689" s="238"/>
      <c r="AG689" s="43"/>
      <c r="AH689" s="43"/>
      <c r="AI689" s="238"/>
      <c r="AJ689" s="238"/>
      <c r="AK689" s="238"/>
      <c r="AL689" s="238"/>
      <c r="AM689" s="197">
        <f>IF(AQ689=1,SUM(H689:I689,L689:O689,R689:U689,X689:AA689,AD689:AG689,AI689:AK689),
IF(AQ689=2,SUM(H689:K689,N689:Q689,T689:W689,Z689:AC689,AF689:AI689),
IF(AQ689=3,SUM(J689:M689,P689:S689,V689:Y689,AB689:AE689,AH689:AK689),SUM(Таблица1[[#This Row],[1]:[31]])-Таблица1[[#This Row],[Столбец1]])))</f>
        <v>0</v>
      </c>
      <c r="AN689" s="269">
        <f t="array" ref="AN689">IF(AQ689=1,SUM(J689:K689,P689:Q689,V689:W689,AB689:AC689,AH689:AI689),
IF(AQ689=2,SUM(L689:M689,R689:S689,X689:Y689,AD689:AE689),
IF(AQ689=3,SUM(H689:I689,N689:O689,T689:U689,Z689:AA689,AF689:AG689),
SUM(IFERROR(WEEKDAY($H$2:$AL$2,2)&gt;5,)*H689:AL689))))</f>
        <v>0</v>
      </c>
      <c r="AO689" s="271" t="b">
        <f>IF(AR689&lt;=3,(IF((G689="5/24"),((база!$M$6*Таблица1[[#This Row],[сумма]]*Таблица1[[#This Row],[коэф]])),
IF((G689="4/24"),((база!$M$5*Таблица1[[#This Row],[сумма]]*Таблица1[[#This Row],[коэф]])),
IF((G689="3/24"),((база!$M$4*Таблица1[[#This Row],[сумма]]*Таблица1[[#This Row],[коэф]])),
IF((G689="5/16"),((база!$L$6*Таблица1[[#This Row],[сумма]]*Таблица1[[#This Row],[коэф]])),
IF((G689="4/16"),((база!$L$5*Таблица1[[#This Row],[сумма]]*Таблица1[[#This Row],[коэф]])),
IF((G689="3/16"),((база!$L$4*Таблица1[[#This Row],[сумма]]*Таблица1[[#This Row],[коэф]])),
IF((G689="4/4"),((база!$I$5*Таблица1[[#This Row],[сумма]]*Таблица1[[#This Row],[коэф]])),
IF(OR(G689="2/4",G689="3/4"),((база!$I$4*Таблица1[[#This Row],[сумма]]*Таблица1[[#This Row],[коэф]])),
IF((G689="5/8"),((база!$J$6*Таблица1[[#This Row],[сумма]]*Таблица1[[#This Row],[коэф]])),
IF((G689="4/8"),((база!$J$5*Таблица1[[#This Row],[сумма]]*Таблица1[[#This Row],[коэф]])),
IF(OR(G689="3/8",G689="2/8"),((база!$J$4*Таблица1[[#This Row],[сумма]]*Таблица1[[#This Row],[коэф]])))))))))))))),
(IF((G689="5/24"),((база!$M$6*Таблица1[[#This Row],[сумма]]*Таблица1[[#This Row],[коэф]])),
IF(OR(G689="4/24",G689="3/24"),((база!$M$5*Таблица1[[#This Row],[сумма]]*Таблица1[[#This Row],[коэф]])),
IF((G689="5/16"),((база!$L$6*Таблица1[[#This Row],[сумма]]*Таблица1[[#This Row],[коэф]])),
IF(OR(G689="4/16",G689="3/16"),((база!$L$5*Таблица1[[#This Row],[сумма]]*Таблица1[[#This Row],[коэф]])),
IF(OR(G689="2/4",G689="3/4",G689="4/4"),((база!$I$5*Таблица1[[#This Row],[сумма]]*Таблица1[[#This Row],[коэф]])),
IF((G689="5/8"),((база!$J$6*Таблица1[[#This Row],[сумма]]*Таблица1[[#This Row],[коэф]])),
IF(OR(G689="4/8",G689="3/8",G689="2/8"),((база!$J$5*Таблица1[[#This Row],[сумма]]*Таблица1[[#This Row],[коэф]])))))))))))</f>
        <v>0</v>
      </c>
      <c r="AP689" s="696" t="b">
        <f>IF(AR689&lt;=3,(IF((G689="5/24"),((база!$M$6*2*Таблица1[[#This Row],[Столбец1]]*Таблица1[[#This Row],[коэф]])),
IF((G689="4/24"),((база!$M$5*2*Таблица1[[#This Row],[Столбец1]]*Таблица1[[#This Row],[коэф]])),
IF((G689="3/24"),((база!$M$4*2*Таблица1[[#This Row],[Столбец1]]*Таблица1[[#This Row],[коэф]])),
IF((G689="5/16"),((база!$L$6*2*Таблица1[[#This Row],[Столбец1]]*Таблица1[[#This Row],[коэф]])),
IF((G689="4/16"),((база!$L$5*2*Таблица1[[#This Row],[Столбец1]]*Таблица1[[#This Row],[коэф]])),
IF((G689="3/16"),((база!$L$4*2*Таблица1[[#This Row],[Столбец1]]*Таблица1[[#This Row],[коэф]])),
IF((G689="4/4"),((база!$I$5*2*Таблица1[[#This Row],[Столбец1]]*Таблица1[[#This Row],[коэф]])),
IF(OR(G689="2/4",G689="3/4"),((база!$I$4*2*Таблица1[[#This Row],[Столбец1]]*Таблица1[[#This Row],[коэф]])),
IF((G689="5/8"),((база!$J$6*2*Таблица1[[#This Row],[Столбец1]]*Таблица1[[#This Row],[коэф]])),
IF((G689="4/8"),((база!$J$5*2*Таблица1[[#This Row],[Столбец1]]*Таблица1[[#This Row],[коэф]])),
IF(OR(G689="3/8",G689="2/8"),((база!$J$4*2*Таблица1[[#This Row],[Столбец1]]*Таблица1[[#This Row],[коэф]])))))))))))))),
(IF((G689="5/24"),((база!$M$6*2*Таблица1[[#This Row],[Столбец1]]*Таблица1[[#This Row],[коэф]])),
IF(OR(G689="4/24",G689="3/24"),((база!$M$5*2*Таблица1[[#This Row],[Столбец1]]*Таблица1[[#This Row],[коэф]])),
IF((G689="5/16"),((база!$L$6*2*Таблица1[[#This Row],[Столбец1]]*Таблица1[[#This Row],[коэф]])),
IF(OR(G689="4/16",G689="3/16"),((база!$L$5*2*Таблица1[[#This Row],[Столбец1]]*Таблица1[[#This Row],[коэф]])),
IF(OR(G689="2/4",G689="3/4",G689="4/4"),((база!$I$5*2*Таблица1[[#This Row],[Столбец1]]*Таблица1[[#This Row],[коэф]])),
IF((G689="5/8"),((база!$J$6*2*Таблица1[[#This Row],[Столбец1]]*Таблица1[[#This Row],[коэф]])),
IF(OR(G689="4/8",G689="3/8",G689="2/8"),((база!$J$5*2*Таблица1[[#This Row],[Столбец1]]*Таблица1[[#This Row],[коэф]])))))))))))</f>
        <v>0</v>
      </c>
      <c r="AQ689" s="678" t="str">
        <f>IFERROR(INDEX(база!T:T, MATCH(F689,база!Q:Q,0)),"")</f>
        <v/>
      </c>
      <c r="AR689" s="193">
        <f>IFERROR(INDEX(база!D:D, MATCH(F689,база!B:B,0)),"")</f>
        <v>0</v>
      </c>
    </row>
    <row r="690" spans="1:44" ht="15">
      <c r="A690" s="59"/>
      <c r="B690" s="215"/>
      <c r="C690" s="277"/>
      <c r="D690" s="55"/>
      <c r="E690" s="196"/>
      <c r="F690" s="651"/>
      <c r="G690" s="42"/>
      <c r="H690" s="539"/>
      <c r="I690" s="539"/>
      <c r="J690" s="539"/>
      <c r="K690" s="539"/>
      <c r="L690" s="539"/>
      <c r="M690" s="539"/>
      <c r="N690" s="539"/>
      <c r="O690" s="539"/>
      <c r="P690" s="278"/>
      <c r="Q690" s="539"/>
      <c r="R690" s="539"/>
      <c r="S690" s="539"/>
      <c r="T690" s="539"/>
      <c r="U690" s="539"/>
      <c r="V690" s="539"/>
      <c r="W690" s="539"/>
      <c r="X690" s="539"/>
      <c r="Y690" s="539"/>
      <c r="Z690" s="539"/>
      <c r="AA690" s="539"/>
      <c r="AB690" s="539"/>
      <c r="AC690" s="539"/>
      <c r="AD690" s="43"/>
      <c r="AE690" s="43"/>
      <c r="AF690" s="238"/>
      <c r="AG690" s="43"/>
      <c r="AH690" s="43"/>
      <c r="AI690" s="43"/>
      <c r="AJ690" s="43"/>
      <c r="AK690" s="43"/>
      <c r="AL690" s="45"/>
      <c r="AM690" s="197">
        <f>IF(AQ690=1,SUM(H690:I690,L690:O690,R690:U690,X690:AA690,AD690:AG690,AI690:AK690),
IF(AQ690=2,SUM(H690:K690,N690:Q690,T690:W690,Z690:AC690,AF690:AI690),
IF(AQ690=3,SUM(J690:M690,P690:S690,V690:Y690,AB690:AE690,AH690:AK690),SUM(Таблица1[[#This Row],[1]:[31]])-Таблица1[[#This Row],[Столбец1]])))</f>
        <v>0</v>
      </c>
      <c r="AN690" s="269">
        <f t="array" ref="AN690">IF(AQ690=1,SUM(J690:K690,P690:Q690,V690:W690,AB690:AC690,AH690:AI690),
IF(AQ690=2,SUM(L690:M690,R690:S690,X690:Y690,AD690:AE690),
IF(AQ690=3,SUM(H690:I690,N690:O690,T690:U690,Z690:AA690,AF690:AG690),
SUM(IFERROR(WEEKDAY($H$2:$AL$2,2)&gt;5,)*H690:AL690))))</f>
        <v>0</v>
      </c>
      <c r="AO690" s="271" t="b">
        <f>IF(AR690&lt;=3,(IF((G690="5/24"),((база!$M$6*Таблица1[[#This Row],[сумма]]*Таблица1[[#This Row],[коэф]])),
IF((G690="4/24"),((база!$M$5*Таблица1[[#This Row],[сумма]]*Таблица1[[#This Row],[коэф]])),
IF((G690="3/24"),((база!$M$4*Таблица1[[#This Row],[сумма]]*Таблица1[[#This Row],[коэф]])),
IF((G690="5/16"),((база!$L$6*Таблица1[[#This Row],[сумма]]*Таблица1[[#This Row],[коэф]])),
IF((G690="4/16"),((база!$L$5*Таблица1[[#This Row],[сумма]]*Таблица1[[#This Row],[коэф]])),
IF((G690="3/16"),((база!$L$4*Таблица1[[#This Row],[сумма]]*Таблица1[[#This Row],[коэф]])),
IF((G690="4/4"),((база!$I$5*Таблица1[[#This Row],[сумма]]*Таблица1[[#This Row],[коэф]])),
IF(OR(G690="2/4",G690="3/4"),((база!$I$4*Таблица1[[#This Row],[сумма]]*Таблица1[[#This Row],[коэф]])),
IF((G690="5/8"),((база!$J$6*Таблица1[[#This Row],[сумма]]*Таблица1[[#This Row],[коэф]])),
IF((G690="4/8"),((база!$J$5*Таблица1[[#This Row],[сумма]]*Таблица1[[#This Row],[коэф]])),
IF(OR(G690="3/8",G690="2/8"),((база!$J$4*Таблица1[[#This Row],[сумма]]*Таблица1[[#This Row],[коэф]])))))))))))))),
(IF((G690="5/24"),((база!$M$6*Таблица1[[#This Row],[сумма]]*Таблица1[[#This Row],[коэф]])),
IF(OR(G690="4/24",G690="3/24"),((база!$M$5*Таблица1[[#This Row],[сумма]]*Таблица1[[#This Row],[коэф]])),
IF((G690="5/16"),((база!$L$6*Таблица1[[#This Row],[сумма]]*Таблица1[[#This Row],[коэф]])),
IF(OR(G690="4/16",G690="3/16"),((база!$L$5*Таблица1[[#This Row],[сумма]]*Таблица1[[#This Row],[коэф]])),
IF(OR(G690="2/4",G690="3/4",G690="4/4"),((база!$I$5*Таблица1[[#This Row],[сумма]]*Таблица1[[#This Row],[коэф]])),
IF((G690="5/8"),((база!$J$6*Таблица1[[#This Row],[сумма]]*Таблица1[[#This Row],[коэф]])),
IF(OR(G690="4/8",G690="3/8",G690="2/8"),((база!$J$5*Таблица1[[#This Row],[сумма]]*Таблица1[[#This Row],[коэф]])))))))))))</f>
        <v>0</v>
      </c>
      <c r="AP690" s="696" t="b">
        <f>IF(AR690&lt;=3,(IF((G690="5/24"),((база!$M$6*2*Таблица1[[#This Row],[Столбец1]]*Таблица1[[#This Row],[коэф]])),
IF((G690="4/24"),((база!$M$5*2*Таблица1[[#This Row],[Столбец1]]*Таблица1[[#This Row],[коэф]])),
IF((G690="3/24"),((база!$M$4*2*Таблица1[[#This Row],[Столбец1]]*Таблица1[[#This Row],[коэф]])),
IF((G690="5/16"),((база!$L$6*2*Таблица1[[#This Row],[Столбец1]]*Таблица1[[#This Row],[коэф]])),
IF((G690="4/16"),((база!$L$5*2*Таблица1[[#This Row],[Столбец1]]*Таблица1[[#This Row],[коэф]])),
IF((G690="3/16"),((база!$L$4*2*Таблица1[[#This Row],[Столбец1]]*Таблица1[[#This Row],[коэф]])),
IF((G690="4/4"),((база!$I$5*2*Таблица1[[#This Row],[Столбец1]]*Таблица1[[#This Row],[коэф]])),
IF(OR(G690="2/4",G690="3/4"),((база!$I$4*2*Таблица1[[#This Row],[Столбец1]]*Таблица1[[#This Row],[коэф]])),
IF((G690="5/8"),((база!$J$6*2*Таблица1[[#This Row],[Столбец1]]*Таблица1[[#This Row],[коэф]])),
IF((G690="4/8"),((база!$J$5*2*Таблица1[[#This Row],[Столбец1]]*Таблица1[[#This Row],[коэф]])),
IF(OR(G690="3/8",G690="2/8"),((база!$J$4*2*Таблица1[[#This Row],[Столбец1]]*Таблица1[[#This Row],[коэф]])))))))))))))),
(IF((G690="5/24"),((база!$M$6*2*Таблица1[[#This Row],[Столбец1]]*Таблица1[[#This Row],[коэф]])),
IF(OR(G690="4/24",G690="3/24"),((база!$M$5*2*Таблица1[[#This Row],[Столбец1]]*Таблица1[[#This Row],[коэф]])),
IF((G690="5/16"),((база!$L$6*2*Таблица1[[#This Row],[Столбец1]]*Таблица1[[#This Row],[коэф]])),
IF(OR(G690="4/16",G690="3/16"),((база!$L$5*2*Таблица1[[#This Row],[Столбец1]]*Таблица1[[#This Row],[коэф]])),
IF(OR(G690="2/4",G690="3/4",G690="4/4"),((база!$I$5*2*Таблица1[[#This Row],[Столбец1]]*Таблица1[[#This Row],[коэф]])),
IF((G690="5/8"),((база!$J$6*2*Таблица1[[#This Row],[Столбец1]]*Таблица1[[#This Row],[коэф]])),
IF(OR(G690="4/8",G690="3/8",G690="2/8"),((база!$J$5*2*Таблица1[[#This Row],[Столбец1]]*Таблица1[[#This Row],[коэф]])))))))))))</f>
        <v>0</v>
      </c>
      <c r="AQ690" s="678" t="str">
        <f>IFERROR(INDEX(база!T:T, MATCH(F690,база!Q:Q,0)),"")</f>
        <v/>
      </c>
      <c r="AR690" s="193">
        <f>IFERROR(INDEX(база!D:D, MATCH(F690,база!B:B,0)),"")</f>
        <v>0</v>
      </c>
    </row>
    <row r="691" spans="1:44" ht="15">
      <c r="A691" s="59"/>
      <c r="B691" s="215"/>
      <c r="C691" s="277"/>
      <c r="D691" s="55"/>
      <c r="E691" s="196"/>
      <c r="F691" s="651"/>
      <c r="G691" s="42"/>
      <c r="H691" s="539"/>
      <c r="I691" s="539"/>
      <c r="J691" s="539"/>
      <c r="K691" s="539"/>
      <c r="L691" s="539"/>
      <c r="M691" s="539"/>
      <c r="N691" s="539"/>
      <c r="O691" s="539"/>
      <c r="P691" s="278"/>
      <c r="Q691" s="539"/>
      <c r="R691" s="539"/>
      <c r="S691" s="539"/>
      <c r="T691" s="539"/>
      <c r="U691" s="539"/>
      <c r="V691" s="539"/>
      <c r="W691" s="539"/>
      <c r="X691" s="539"/>
      <c r="Y691" s="539"/>
      <c r="Z691" s="539"/>
      <c r="AA691" s="539"/>
      <c r="AB691" s="539"/>
      <c r="AC691" s="539"/>
      <c r="AD691" s="43"/>
      <c r="AE691" s="43"/>
      <c r="AF691" s="238"/>
      <c r="AG691" s="43"/>
      <c r="AH691" s="43"/>
      <c r="AI691" s="238"/>
      <c r="AJ691" s="238"/>
      <c r="AK691" s="238"/>
      <c r="AL691" s="238"/>
      <c r="AM691" s="197">
        <f>IF(AQ691=1,SUM(H691:I691,L691:O691,R691:U691,X691:AA691,AD691:AG691,AI691:AK691),
IF(AQ691=2,SUM(H691:K691,N691:Q691,T691:W691,Z691:AC691,AF691:AI691),
IF(AQ691=3,SUM(J691:M691,P691:S691,V691:Y691,AB691:AE691,AH691:AK691),SUM(Таблица1[[#This Row],[1]:[31]])-Таблица1[[#This Row],[Столбец1]])))</f>
        <v>0</v>
      </c>
      <c r="AN691" s="269">
        <f t="array" ref="AN691">IF(AQ691=1,SUM(J691:K691,P691:Q691,V691:W691,AB691:AC691,AH691:AI691),
IF(AQ691=2,SUM(L691:M691,R691:S691,X691:Y691,AD691:AE691),
IF(AQ691=3,SUM(H691:I691,N691:O691,T691:U691,Z691:AA691,AF691:AG691),
SUM(IFERROR(WEEKDAY($H$2:$AL$2,2)&gt;5,)*H691:AL691))))</f>
        <v>0</v>
      </c>
      <c r="AO691" s="271" t="b">
        <f>IF(AR691&lt;=3,(IF((G691="5/24"),((база!$M$6*Таблица1[[#This Row],[сумма]]*Таблица1[[#This Row],[коэф]])),
IF((G691="4/24"),((база!$M$5*Таблица1[[#This Row],[сумма]]*Таблица1[[#This Row],[коэф]])),
IF((G691="3/24"),((база!$M$4*Таблица1[[#This Row],[сумма]]*Таблица1[[#This Row],[коэф]])),
IF((G691="5/16"),((база!$L$6*Таблица1[[#This Row],[сумма]]*Таблица1[[#This Row],[коэф]])),
IF((G691="4/16"),((база!$L$5*Таблица1[[#This Row],[сумма]]*Таблица1[[#This Row],[коэф]])),
IF((G691="3/16"),((база!$L$4*Таблица1[[#This Row],[сумма]]*Таблица1[[#This Row],[коэф]])),
IF((G691="4/4"),((база!$I$5*Таблица1[[#This Row],[сумма]]*Таблица1[[#This Row],[коэф]])),
IF(OR(G691="2/4",G691="3/4"),((база!$I$4*Таблица1[[#This Row],[сумма]]*Таблица1[[#This Row],[коэф]])),
IF((G691="5/8"),((база!$J$6*Таблица1[[#This Row],[сумма]]*Таблица1[[#This Row],[коэф]])),
IF((G691="4/8"),((база!$J$5*Таблица1[[#This Row],[сумма]]*Таблица1[[#This Row],[коэф]])),
IF(OR(G691="3/8",G691="2/8"),((база!$J$4*Таблица1[[#This Row],[сумма]]*Таблица1[[#This Row],[коэф]])))))))))))))),
(IF((G691="5/24"),((база!$M$6*Таблица1[[#This Row],[сумма]]*Таблица1[[#This Row],[коэф]])),
IF(OR(G691="4/24",G691="3/24"),((база!$M$5*Таблица1[[#This Row],[сумма]]*Таблица1[[#This Row],[коэф]])),
IF((G691="5/16"),((база!$L$6*Таблица1[[#This Row],[сумма]]*Таблица1[[#This Row],[коэф]])),
IF(OR(G691="4/16",G691="3/16"),((база!$L$5*Таблица1[[#This Row],[сумма]]*Таблица1[[#This Row],[коэф]])),
IF(OR(G691="2/4",G691="3/4",G691="4/4"),((база!$I$5*Таблица1[[#This Row],[сумма]]*Таблица1[[#This Row],[коэф]])),
IF((G691="5/8"),((база!$J$6*Таблица1[[#This Row],[сумма]]*Таблица1[[#This Row],[коэф]])),
IF(OR(G691="4/8",G691="3/8",G691="2/8"),((база!$J$5*Таблица1[[#This Row],[сумма]]*Таблица1[[#This Row],[коэф]])))))))))))</f>
        <v>0</v>
      </c>
      <c r="AP691" s="696" t="b">
        <f>IF(AR691&lt;=3,(IF((G691="5/24"),((база!$M$6*2*Таблица1[[#This Row],[Столбец1]]*Таблица1[[#This Row],[коэф]])),
IF((G691="4/24"),((база!$M$5*2*Таблица1[[#This Row],[Столбец1]]*Таблица1[[#This Row],[коэф]])),
IF((G691="3/24"),((база!$M$4*2*Таблица1[[#This Row],[Столбец1]]*Таблица1[[#This Row],[коэф]])),
IF((G691="5/16"),((база!$L$6*2*Таблица1[[#This Row],[Столбец1]]*Таблица1[[#This Row],[коэф]])),
IF((G691="4/16"),((база!$L$5*2*Таблица1[[#This Row],[Столбец1]]*Таблица1[[#This Row],[коэф]])),
IF((G691="3/16"),((база!$L$4*2*Таблица1[[#This Row],[Столбец1]]*Таблица1[[#This Row],[коэф]])),
IF((G691="4/4"),((база!$I$5*2*Таблица1[[#This Row],[Столбец1]]*Таблица1[[#This Row],[коэф]])),
IF(OR(G691="2/4",G691="3/4"),((база!$I$4*2*Таблица1[[#This Row],[Столбец1]]*Таблица1[[#This Row],[коэф]])),
IF((G691="5/8"),((база!$J$6*2*Таблица1[[#This Row],[Столбец1]]*Таблица1[[#This Row],[коэф]])),
IF((G691="4/8"),((база!$J$5*2*Таблица1[[#This Row],[Столбец1]]*Таблица1[[#This Row],[коэф]])),
IF(OR(G691="3/8",G691="2/8"),((база!$J$4*2*Таблица1[[#This Row],[Столбец1]]*Таблица1[[#This Row],[коэф]])))))))))))))),
(IF((G691="5/24"),((база!$M$6*2*Таблица1[[#This Row],[Столбец1]]*Таблица1[[#This Row],[коэф]])),
IF(OR(G691="4/24",G691="3/24"),((база!$M$5*2*Таблица1[[#This Row],[Столбец1]]*Таблица1[[#This Row],[коэф]])),
IF((G691="5/16"),((база!$L$6*2*Таблица1[[#This Row],[Столбец1]]*Таблица1[[#This Row],[коэф]])),
IF(OR(G691="4/16",G691="3/16"),((база!$L$5*2*Таблица1[[#This Row],[Столбец1]]*Таблица1[[#This Row],[коэф]])),
IF(OR(G691="2/4",G691="3/4",G691="4/4"),((база!$I$5*2*Таблица1[[#This Row],[Столбец1]]*Таблица1[[#This Row],[коэф]])),
IF((G691="5/8"),((база!$J$6*2*Таблица1[[#This Row],[Столбец1]]*Таблица1[[#This Row],[коэф]])),
IF(OR(G691="4/8",G691="3/8",G691="2/8"),((база!$J$5*2*Таблица1[[#This Row],[Столбец1]]*Таблица1[[#This Row],[коэф]])))))))))))</f>
        <v>0</v>
      </c>
      <c r="AQ691" s="678" t="str">
        <f>IFERROR(INDEX(база!T:T, MATCH(F691,база!Q:Q,0)),"")</f>
        <v/>
      </c>
      <c r="AR691" s="193">
        <f>IFERROR(INDEX(база!D:D, MATCH(F691,база!B:B,0)),"")</f>
        <v>0</v>
      </c>
    </row>
    <row r="692" spans="1:44" ht="15">
      <c r="A692" s="59"/>
      <c r="B692" s="215"/>
      <c r="C692" s="277"/>
      <c r="D692" s="55"/>
      <c r="E692" s="196"/>
      <c r="F692" s="651"/>
      <c r="G692" s="42"/>
      <c r="H692" s="539"/>
      <c r="I692" s="539"/>
      <c r="J692" s="539"/>
      <c r="K692" s="539"/>
      <c r="L692" s="539"/>
      <c r="M692" s="539"/>
      <c r="N692" s="539"/>
      <c r="O692" s="539"/>
      <c r="P692" s="278"/>
      <c r="Q692" s="539"/>
      <c r="R692" s="539"/>
      <c r="S692" s="539"/>
      <c r="T692" s="539"/>
      <c r="U692" s="539"/>
      <c r="V692" s="539"/>
      <c r="W692" s="539"/>
      <c r="X692" s="539"/>
      <c r="Y692" s="539"/>
      <c r="Z692" s="539"/>
      <c r="AA692" s="539"/>
      <c r="AB692" s="539"/>
      <c r="AC692" s="539"/>
      <c r="AD692" s="43"/>
      <c r="AE692" s="43"/>
      <c r="AF692" s="238"/>
      <c r="AG692" s="43"/>
      <c r="AH692" s="43"/>
      <c r="AI692" s="43"/>
      <c r="AJ692" s="43"/>
      <c r="AK692" s="43"/>
      <c r="AL692" s="45"/>
      <c r="AM692" s="197">
        <f>IF(AQ692=1,SUM(H692:I692,L692:O692,R692:U692,X692:AA692,AD692:AG692,AI692:AK692),
IF(AQ692=2,SUM(H692:K692,N692:Q692,T692:W692,Z692:AC692,AF692:AI692),
IF(AQ692=3,SUM(J692:M692,P692:S692,V692:Y692,AB692:AE692,AH692:AK692),SUM(Таблица1[[#This Row],[1]:[31]])-Таблица1[[#This Row],[Столбец1]])))</f>
        <v>0</v>
      </c>
      <c r="AN692" s="269">
        <f t="array" ref="AN692">IF(AQ692=1,SUM(J692:K692,P692:Q692,V692:W692,AB692:AC692,AH692:AI692),
IF(AQ692=2,SUM(L692:M692,R692:S692,X692:Y692,AD692:AE692),
IF(AQ692=3,SUM(H692:I692,N692:O692,T692:U692,Z692:AA692,AF692:AG692),
SUM(IFERROR(WEEKDAY($H$2:$AL$2,2)&gt;5,)*H692:AL692))))</f>
        <v>0</v>
      </c>
      <c r="AO692" s="271" t="b">
        <f>IF(AR692&lt;=3,(IF((G692="5/24"),((база!$M$6*Таблица1[[#This Row],[сумма]]*Таблица1[[#This Row],[коэф]])),
IF((G692="4/24"),((база!$M$5*Таблица1[[#This Row],[сумма]]*Таблица1[[#This Row],[коэф]])),
IF((G692="3/24"),((база!$M$4*Таблица1[[#This Row],[сумма]]*Таблица1[[#This Row],[коэф]])),
IF((G692="5/16"),((база!$L$6*Таблица1[[#This Row],[сумма]]*Таблица1[[#This Row],[коэф]])),
IF((G692="4/16"),((база!$L$5*Таблица1[[#This Row],[сумма]]*Таблица1[[#This Row],[коэф]])),
IF((G692="3/16"),((база!$L$4*Таблица1[[#This Row],[сумма]]*Таблица1[[#This Row],[коэф]])),
IF((G692="4/4"),((база!$I$5*Таблица1[[#This Row],[сумма]]*Таблица1[[#This Row],[коэф]])),
IF(OR(G692="2/4",G692="3/4"),((база!$I$4*Таблица1[[#This Row],[сумма]]*Таблица1[[#This Row],[коэф]])),
IF((G692="5/8"),((база!$J$6*Таблица1[[#This Row],[сумма]]*Таблица1[[#This Row],[коэф]])),
IF((G692="4/8"),((база!$J$5*Таблица1[[#This Row],[сумма]]*Таблица1[[#This Row],[коэф]])),
IF(OR(G692="3/8",G692="2/8"),((база!$J$4*Таблица1[[#This Row],[сумма]]*Таблица1[[#This Row],[коэф]])))))))))))))),
(IF((G692="5/24"),((база!$M$6*Таблица1[[#This Row],[сумма]]*Таблица1[[#This Row],[коэф]])),
IF(OR(G692="4/24",G692="3/24"),((база!$M$5*Таблица1[[#This Row],[сумма]]*Таблица1[[#This Row],[коэф]])),
IF((G692="5/16"),((база!$L$6*Таблица1[[#This Row],[сумма]]*Таблица1[[#This Row],[коэф]])),
IF(OR(G692="4/16",G692="3/16"),((база!$L$5*Таблица1[[#This Row],[сумма]]*Таблица1[[#This Row],[коэф]])),
IF(OR(G692="2/4",G692="3/4",G692="4/4"),((база!$I$5*Таблица1[[#This Row],[сумма]]*Таблица1[[#This Row],[коэф]])),
IF((G692="5/8"),((база!$J$6*Таблица1[[#This Row],[сумма]]*Таблица1[[#This Row],[коэф]])),
IF(OR(G692="4/8",G692="3/8",G692="2/8"),((база!$J$5*Таблица1[[#This Row],[сумма]]*Таблица1[[#This Row],[коэф]])))))))))))</f>
        <v>0</v>
      </c>
      <c r="AP692" s="696" t="b">
        <f>IF(AR692&lt;=3,(IF((G692="5/24"),((база!$M$6*2*Таблица1[[#This Row],[Столбец1]]*Таблица1[[#This Row],[коэф]])),
IF((G692="4/24"),((база!$M$5*2*Таблица1[[#This Row],[Столбец1]]*Таблица1[[#This Row],[коэф]])),
IF((G692="3/24"),((база!$M$4*2*Таблица1[[#This Row],[Столбец1]]*Таблица1[[#This Row],[коэф]])),
IF((G692="5/16"),((база!$L$6*2*Таблица1[[#This Row],[Столбец1]]*Таблица1[[#This Row],[коэф]])),
IF((G692="4/16"),((база!$L$5*2*Таблица1[[#This Row],[Столбец1]]*Таблица1[[#This Row],[коэф]])),
IF((G692="3/16"),((база!$L$4*2*Таблица1[[#This Row],[Столбец1]]*Таблица1[[#This Row],[коэф]])),
IF((G692="4/4"),((база!$I$5*2*Таблица1[[#This Row],[Столбец1]]*Таблица1[[#This Row],[коэф]])),
IF(OR(G692="2/4",G692="3/4"),((база!$I$4*2*Таблица1[[#This Row],[Столбец1]]*Таблица1[[#This Row],[коэф]])),
IF((G692="5/8"),((база!$J$6*2*Таблица1[[#This Row],[Столбец1]]*Таблица1[[#This Row],[коэф]])),
IF((G692="4/8"),((база!$J$5*2*Таблица1[[#This Row],[Столбец1]]*Таблица1[[#This Row],[коэф]])),
IF(OR(G692="3/8",G692="2/8"),((база!$J$4*2*Таблица1[[#This Row],[Столбец1]]*Таблица1[[#This Row],[коэф]])))))))))))))),
(IF((G692="5/24"),((база!$M$6*2*Таблица1[[#This Row],[Столбец1]]*Таблица1[[#This Row],[коэф]])),
IF(OR(G692="4/24",G692="3/24"),((база!$M$5*2*Таблица1[[#This Row],[Столбец1]]*Таблица1[[#This Row],[коэф]])),
IF((G692="5/16"),((база!$L$6*2*Таблица1[[#This Row],[Столбец1]]*Таблица1[[#This Row],[коэф]])),
IF(OR(G692="4/16",G692="3/16"),((база!$L$5*2*Таблица1[[#This Row],[Столбец1]]*Таблица1[[#This Row],[коэф]])),
IF(OR(G692="2/4",G692="3/4",G692="4/4"),((база!$I$5*2*Таблица1[[#This Row],[Столбец1]]*Таблица1[[#This Row],[коэф]])),
IF((G692="5/8"),((база!$J$6*2*Таблица1[[#This Row],[Столбец1]]*Таблица1[[#This Row],[коэф]])),
IF(OR(G692="4/8",G692="3/8",G692="2/8"),((база!$J$5*2*Таблица1[[#This Row],[Столбец1]]*Таблица1[[#This Row],[коэф]])))))))))))</f>
        <v>0</v>
      </c>
      <c r="AQ692" s="678" t="str">
        <f>IFERROR(INDEX(база!T:T, MATCH(F692,база!Q:Q,0)),"")</f>
        <v/>
      </c>
      <c r="AR692" s="193">
        <f>IFERROR(INDEX(база!D:D, MATCH(F692,база!B:B,0)),"")</f>
        <v>0</v>
      </c>
    </row>
    <row r="693" spans="1:44" ht="15">
      <c r="A693" s="59"/>
      <c r="B693" s="215"/>
      <c r="C693" s="277"/>
      <c r="D693" s="55"/>
      <c r="E693" s="196"/>
      <c r="F693" s="651"/>
      <c r="G693" s="42"/>
      <c r="H693" s="539"/>
      <c r="I693" s="539"/>
      <c r="J693" s="539"/>
      <c r="K693" s="539"/>
      <c r="L693" s="539"/>
      <c r="M693" s="539"/>
      <c r="N693" s="539"/>
      <c r="O693" s="539"/>
      <c r="P693" s="278"/>
      <c r="Q693" s="539"/>
      <c r="R693" s="539"/>
      <c r="S693" s="539"/>
      <c r="T693" s="539"/>
      <c r="U693" s="539"/>
      <c r="V693" s="539"/>
      <c r="W693" s="539"/>
      <c r="X693" s="539"/>
      <c r="Y693" s="539"/>
      <c r="Z693" s="539"/>
      <c r="AA693" s="539"/>
      <c r="AB693" s="539"/>
      <c r="AC693" s="539"/>
      <c r="AD693" s="43"/>
      <c r="AE693" s="43"/>
      <c r="AF693" s="238"/>
      <c r="AG693" s="43"/>
      <c r="AH693" s="43"/>
      <c r="AI693" s="238"/>
      <c r="AJ693" s="238"/>
      <c r="AK693" s="238"/>
      <c r="AL693" s="238"/>
      <c r="AM693" s="197">
        <f>IF(AQ693=1,SUM(H693:I693,L693:O693,R693:U693,X693:AA693,AD693:AG693,AI693:AK693),
IF(AQ693=2,SUM(H693:K693,N693:Q693,T693:W693,Z693:AC693,AF693:AI693),
IF(AQ693=3,SUM(J693:M693,P693:S693,V693:Y693,AB693:AE693,AH693:AK693),SUM(Таблица1[[#This Row],[1]:[31]])-Таблица1[[#This Row],[Столбец1]])))</f>
        <v>0</v>
      </c>
      <c r="AN693" s="269">
        <f t="array" ref="AN693">IF(AQ693=1,SUM(J693:K693,P693:Q693,V693:W693,AB693:AC693,AH693:AI693),
IF(AQ693=2,SUM(L693:M693,R693:S693,X693:Y693,AD693:AE693),
IF(AQ693=3,SUM(H693:I693,N693:O693,T693:U693,Z693:AA693,AF693:AG693),
SUM(IFERROR(WEEKDAY($H$2:$AL$2,2)&gt;5,)*H693:AL693))))</f>
        <v>0</v>
      </c>
      <c r="AO693" s="271" t="b">
        <f>IF(AR693&lt;=3,(IF((G693="5/24"),((база!$M$6*Таблица1[[#This Row],[сумма]]*Таблица1[[#This Row],[коэф]])),
IF((G693="4/24"),((база!$M$5*Таблица1[[#This Row],[сумма]]*Таблица1[[#This Row],[коэф]])),
IF((G693="3/24"),((база!$M$4*Таблица1[[#This Row],[сумма]]*Таблица1[[#This Row],[коэф]])),
IF((G693="5/16"),((база!$L$6*Таблица1[[#This Row],[сумма]]*Таблица1[[#This Row],[коэф]])),
IF((G693="4/16"),((база!$L$5*Таблица1[[#This Row],[сумма]]*Таблица1[[#This Row],[коэф]])),
IF((G693="3/16"),((база!$L$4*Таблица1[[#This Row],[сумма]]*Таблица1[[#This Row],[коэф]])),
IF((G693="4/4"),((база!$I$5*Таблица1[[#This Row],[сумма]]*Таблица1[[#This Row],[коэф]])),
IF(OR(G693="2/4",G693="3/4"),((база!$I$4*Таблица1[[#This Row],[сумма]]*Таблица1[[#This Row],[коэф]])),
IF((G693="5/8"),((база!$J$6*Таблица1[[#This Row],[сумма]]*Таблица1[[#This Row],[коэф]])),
IF((G693="4/8"),((база!$J$5*Таблица1[[#This Row],[сумма]]*Таблица1[[#This Row],[коэф]])),
IF(OR(G693="3/8",G693="2/8"),((база!$J$4*Таблица1[[#This Row],[сумма]]*Таблица1[[#This Row],[коэф]])))))))))))))),
(IF((G693="5/24"),((база!$M$6*Таблица1[[#This Row],[сумма]]*Таблица1[[#This Row],[коэф]])),
IF(OR(G693="4/24",G693="3/24"),((база!$M$5*Таблица1[[#This Row],[сумма]]*Таблица1[[#This Row],[коэф]])),
IF((G693="5/16"),((база!$L$6*Таблица1[[#This Row],[сумма]]*Таблица1[[#This Row],[коэф]])),
IF(OR(G693="4/16",G693="3/16"),((база!$L$5*Таблица1[[#This Row],[сумма]]*Таблица1[[#This Row],[коэф]])),
IF(OR(G693="2/4",G693="3/4",G693="4/4"),((база!$I$5*Таблица1[[#This Row],[сумма]]*Таблица1[[#This Row],[коэф]])),
IF((G693="5/8"),((база!$J$6*Таблица1[[#This Row],[сумма]]*Таблица1[[#This Row],[коэф]])),
IF(OR(G693="4/8",G693="3/8",G693="2/8"),((база!$J$5*Таблица1[[#This Row],[сумма]]*Таблица1[[#This Row],[коэф]])))))))))))</f>
        <v>0</v>
      </c>
      <c r="AP693" s="696" t="b">
        <f>IF(AR693&lt;=3,(IF((G693="5/24"),((база!$M$6*2*Таблица1[[#This Row],[Столбец1]]*Таблица1[[#This Row],[коэф]])),
IF((G693="4/24"),((база!$M$5*2*Таблица1[[#This Row],[Столбец1]]*Таблица1[[#This Row],[коэф]])),
IF((G693="3/24"),((база!$M$4*2*Таблица1[[#This Row],[Столбец1]]*Таблица1[[#This Row],[коэф]])),
IF((G693="5/16"),((база!$L$6*2*Таблица1[[#This Row],[Столбец1]]*Таблица1[[#This Row],[коэф]])),
IF((G693="4/16"),((база!$L$5*2*Таблица1[[#This Row],[Столбец1]]*Таблица1[[#This Row],[коэф]])),
IF((G693="3/16"),((база!$L$4*2*Таблица1[[#This Row],[Столбец1]]*Таблица1[[#This Row],[коэф]])),
IF((G693="4/4"),((база!$I$5*2*Таблица1[[#This Row],[Столбец1]]*Таблица1[[#This Row],[коэф]])),
IF(OR(G693="2/4",G693="3/4"),((база!$I$4*2*Таблица1[[#This Row],[Столбец1]]*Таблица1[[#This Row],[коэф]])),
IF((G693="5/8"),((база!$J$6*2*Таблица1[[#This Row],[Столбец1]]*Таблица1[[#This Row],[коэф]])),
IF((G693="4/8"),((база!$J$5*2*Таблица1[[#This Row],[Столбец1]]*Таблица1[[#This Row],[коэф]])),
IF(OR(G693="3/8",G693="2/8"),((база!$J$4*2*Таблица1[[#This Row],[Столбец1]]*Таблица1[[#This Row],[коэф]])))))))))))))),
(IF((G693="5/24"),((база!$M$6*2*Таблица1[[#This Row],[Столбец1]]*Таблица1[[#This Row],[коэф]])),
IF(OR(G693="4/24",G693="3/24"),((база!$M$5*2*Таблица1[[#This Row],[Столбец1]]*Таблица1[[#This Row],[коэф]])),
IF((G693="5/16"),((база!$L$6*2*Таблица1[[#This Row],[Столбец1]]*Таблица1[[#This Row],[коэф]])),
IF(OR(G693="4/16",G693="3/16"),((база!$L$5*2*Таблица1[[#This Row],[Столбец1]]*Таблица1[[#This Row],[коэф]])),
IF(OR(G693="2/4",G693="3/4",G693="4/4"),((база!$I$5*2*Таблица1[[#This Row],[Столбец1]]*Таблица1[[#This Row],[коэф]])),
IF((G693="5/8"),((база!$J$6*2*Таблица1[[#This Row],[Столбец1]]*Таблица1[[#This Row],[коэф]])),
IF(OR(G693="4/8",G693="3/8",G693="2/8"),((база!$J$5*2*Таблица1[[#This Row],[Столбец1]]*Таблица1[[#This Row],[коэф]])))))))))))</f>
        <v>0</v>
      </c>
      <c r="AQ693" s="678" t="str">
        <f>IFERROR(INDEX(база!T:T, MATCH(F693,база!Q:Q,0)),"")</f>
        <v/>
      </c>
      <c r="AR693" s="193">
        <f>IFERROR(INDEX(база!D:D, MATCH(F693,база!B:B,0)),"")</f>
        <v>0</v>
      </c>
    </row>
    <row r="694" spans="1:44" ht="15">
      <c r="A694" s="59"/>
      <c r="B694" s="215"/>
      <c r="C694" s="277"/>
      <c r="D694" s="55"/>
      <c r="E694" s="196"/>
      <c r="F694" s="651"/>
      <c r="G694" s="42"/>
      <c r="H694" s="539"/>
      <c r="I694" s="539"/>
      <c r="J694" s="539"/>
      <c r="K694" s="539"/>
      <c r="L694" s="539"/>
      <c r="M694" s="539"/>
      <c r="N694" s="539"/>
      <c r="O694" s="539"/>
      <c r="P694" s="278"/>
      <c r="Q694" s="539"/>
      <c r="R694" s="539"/>
      <c r="S694" s="539"/>
      <c r="T694" s="539"/>
      <c r="U694" s="539"/>
      <c r="V694" s="539"/>
      <c r="W694" s="539"/>
      <c r="X694" s="539"/>
      <c r="Y694" s="539"/>
      <c r="Z694" s="539"/>
      <c r="AA694" s="539"/>
      <c r="AB694" s="539"/>
      <c r="AC694" s="539"/>
      <c r="AD694" s="43"/>
      <c r="AE694" s="43"/>
      <c r="AF694" s="238"/>
      <c r="AG694" s="43"/>
      <c r="AH694" s="43"/>
      <c r="AI694" s="43"/>
      <c r="AJ694" s="43"/>
      <c r="AK694" s="43"/>
      <c r="AL694" s="45"/>
      <c r="AM694" s="197">
        <f>IF(AQ694=1,SUM(H694:I694,L694:O694,R694:U694,X694:AA694,AD694:AG694,AI694:AK694),
IF(AQ694=2,SUM(H694:K694,N694:Q694,T694:W694,Z694:AC694,AF694:AI694),
IF(AQ694=3,SUM(J694:M694,P694:S694,V694:Y694,AB694:AE694,AH694:AK694),SUM(Таблица1[[#This Row],[1]:[31]])-Таблица1[[#This Row],[Столбец1]])))</f>
        <v>0</v>
      </c>
      <c r="AN694" s="269">
        <f t="array" ref="AN694">IF(AQ694=1,SUM(J694:K694,P694:Q694,V694:W694,AB694:AC694,AH694:AI694),
IF(AQ694=2,SUM(L694:M694,R694:S694,X694:Y694,AD694:AE694),
IF(AQ694=3,SUM(H694:I694,N694:O694,T694:U694,Z694:AA694,AF694:AG694),
SUM(IFERROR(WEEKDAY($H$2:$AL$2,2)&gt;5,)*H694:AL694))))</f>
        <v>0</v>
      </c>
      <c r="AO694" s="271" t="b">
        <f>IF(AR694&lt;=3,(IF((G694="5/24"),((база!$M$6*Таблица1[[#This Row],[сумма]]*Таблица1[[#This Row],[коэф]])),
IF((G694="4/24"),((база!$M$5*Таблица1[[#This Row],[сумма]]*Таблица1[[#This Row],[коэф]])),
IF((G694="3/24"),((база!$M$4*Таблица1[[#This Row],[сумма]]*Таблица1[[#This Row],[коэф]])),
IF((G694="5/16"),((база!$L$6*Таблица1[[#This Row],[сумма]]*Таблица1[[#This Row],[коэф]])),
IF((G694="4/16"),((база!$L$5*Таблица1[[#This Row],[сумма]]*Таблица1[[#This Row],[коэф]])),
IF((G694="3/16"),((база!$L$4*Таблица1[[#This Row],[сумма]]*Таблица1[[#This Row],[коэф]])),
IF((G694="4/4"),((база!$I$5*Таблица1[[#This Row],[сумма]]*Таблица1[[#This Row],[коэф]])),
IF(OR(G694="2/4",G694="3/4"),((база!$I$4*Таблица1[[#This Row],[сумма]]*Таблица1[[#This Row],[коэф]])),
IF((G694="5/8"),((база!$J$6*Таблица1[[#This Row],[сумма]]*Таблица1[[#This Row],[коэф]])),
IF((G694="4/8"),((база!$J$5*Таблица1[[#This Row],[сумма]]*Таблица1[[#This Row],[коэф]])),
IF(OR(G694="3/8",G694="2/8"),((база!$J$4*Таблица1[[#This Row],[сумма]]*Таблица1[[#This Row],[коэф]])))))))))))))),
(IF((G694="5/24"),((база!$M$6*Таблица1[[#This Row],[сумма]]*Таблица1[[#This Row],[коэф]])),
IF(OR(G694="4/24",G694="3/24"),((база!$M$5*Таблица1[[#This Row],[сумма]]*Таблица1[[#This Row],[коэф]])),
IF((G694="5/16"),((база!$L$6*Таблица1[[#This Row],[сумма]]*Таблица1[[#This Row],[коэф]])),
IF(OR(G694="4/16",G694="3/16"),((база!$L$5*Таблица1[[#This Row],[сумма]]*Таблица1[[#This Row],[коэф]])),
IF(OR(G694="2/4",G694="3/4",G694="4/4"),((база!$I$5*Таблица1[[#This Row],[сумма]]*Таблица1[[#This Row],[коэф]])),
IF((G694="5/8"),((база!$J$6*Таблица1[[#This Row],[сумма]]*Таблица1[[#This Row],[коэф]])),
IF(OR(G694="4/8",G694="3/8",G694="2/8"),((база!$J$5*Таблица1[[#This Row],[сумма]]*Таблица1[[#This Row],[коэф]])))))))))))</f>
        <v>0</v>
      </c>
      <c r="AP694" s="696" t="b">
        <f>IF(AR694&lt;=3,(IF((G694="5/24"),((база!$M$6*2*Таблица1[[#This Row],[Столбец1]]*Таблица1[[#This Row],[коэф]])),
IF((G694="4/24"),((база!$M$5*2*Таблица1[[#This Row],[Столбец1]]*Таблица1[[#This Row],[коэф]])),
IF((G694="3/24"),((база!$M$4*2*Таблица1[[#This Row],[Столбец1]]*Таблица1[[#This Row],[коэф]])),
IF((G694="5/16"),((база!$L$6*2*Таблица1[[#This Row],[Столбец1]]*Таблица1[[#This Row],[коэф]])),
IF((G694="4/16"),((база!$L$5*2*Таблица1[[#This Row],[Столбец1]]*Таблица1[[#This Row],[коэф]])),
IF((G694="3/16"),((база!$L$4*2*Таблица1[[#This Row],[Столбец1]]*Таблица1[[#This Row],[коэф]])),
IF((G694="4/4"),((база!$I$5*2*Таблица1[[#This Row],[Столбец1]]*Таблица1[[#This Row],[коэф]])),
IF(OR(G694="2/4",G694="3/4"),((база!$I$4*2*Таблица1[[#This Row],[Столбец1]]*Таблица1[[#This Row],[коэф]])),
IF((G694="5/8"),((база!$J$6*2*Таблица1[[#This Row],[Столбец1]]*Таблица1[[#This Row],[коэф]])),
IF((G694="4/8"),((база!$J$5*2*Таблица1[[#This Row],[Столбец1]]*Таблица1[[#This Row],[коэф]])),
IF(OR(G694="3/8",G694="2/8"),((база!$J$4*2*Таблица1[[#This Row],[Столбец1]]*Таблица1[[#This Row],[коэф]])))))))))))))),
(IF((G694="5/24"),((база!$M$6*2*Таблица1[[#This Row],[Столбец1]]*Таблица1[[#This Row],[коэф]])),
IF(OR(G694="4/24",G694="3/24"),((база!$M$5*2*Таблица1[[#This Row],[Столбец1]]*Таблица1[[#This Row],[коэф]])),
IF((G694="5/16"),((база!$L$6*2*Таблица1[[#This Row],[Столбец1]]*Таблица1[[#This Row],[коэф]])),
IF(OR(G694="4/16",G694="3/16"),((база!$L$5*2*Таблица1[[#This Row],[Столбец1]]*Таблица1[[#This Row],[коэф]])),
IF(OR(G694="2/4",G694="3/4",G694="4/4"),((база!$I$5*2*Таблица1[[#This Row],[Столбец1]]*Таблица1[[#This Row],[коэф]])),
IF((G694="5/8"),((база!$J$6*2*Таблица1[[#This Row],[Столбец1]]*Таблица1[[#This Row],[коэф]])),
IF(OR(G694="4/8",G694="3/8",G694="2/8"),((база!$J$5*2*Таблица1[[#This Row],[Столбец1]]*Таблица1[[#This Row],[коэф]])))))))))))</f>
        <v>0</v>
      </c>
      <c r="AQ694" s="678" t="str">
        <f>IFERROR(INDEX(база!T:T, MATCH(F694,база!Q:Q,0)),"")</f>
        <v/>
      </c>
      <c r="AR694" s="193">
        <f>IFERROR(INDEX(база!D:D, MATCH(F694,база!B:B,0)),"")</f>
        <v>0</v>
      </c>
    </row>
    <row r="695" spans="1:44" ht="15">
      <c r="A695" s="59"/>
      <c r="B695" s="215"/>
      <c r="C695" s="277"/>
      <c r="D695" s="55"/>
      <c r="E695" s="196"/>
      <c r="F695" s="651"/>
      <c r="G695" s="42"/>
      <c r="H695" s="539"/>
      <c r="I695" s="539"/>
      <c r="J695" s="539"/>
      <c r="K695" s="539"/>
      <c r="L695" s="539"/>
      <c r="M695" s="539"/>
      <c r="N695" s="539"/>
      <c r="O695" s="539"/>
      <c r="P695" s="278"/>
      <c r="Q695" s="539"/>
      <c r="R695" s="539"/>
      <c r="S695" s="539"/>
      <c r="T695" s="539"/>
      <c r="U695" s="539"/>
      <c r="V695" s="539"/>
      <c r="W695" s="539"/>
      <c r="X695" s="539"/>
      <c r="Y695" s="539"/>
      <c r="Z695" s="539"/>
      <c r="AA695" s="539"/>
      <c r="AB695" s="539"/>
      <c r="AC695" s="539"/>
      <c r="AD695" s="43"/>
      <c r="AE695" s="43"/>
      <c r="AF695" s="238"/>
      <c r="AG695" s="43"/>
      <c r="AH695" s="43"/>
      <c r="AI695" s="238"/>
      <c r="AJ695" s="238"/>
      <c r="AK695" s="238"/>
      <c r="AL695" s="238"/>
      <c r="AM695" s="197">
        <f>IF(AQ695=1,SUM(H695:I695,L695:O695,R695:U695,X695:AA695,AD695:AG695,AI695:AK695),
IF(AQ695=2,SUM(H695:K695,N695:Q695,T695:W695,Z695:AC695,AF695:AI695),
IF(AQ695=3,SUM(J695:M695,P695:S695,V695:Y695,AB695:AE695,AH695:AK695),SUM(Таблица1[[#This Row],[1]:[31]])-Таблица1[[#This Row],[Столбец1]])))</f>
        <v>0</v>
      </c>
      <c r="AN695" s="269">
        <f t="array" ref="AN695">IF(AQ695=1,SUM(J695:K695,P695:Q695,V695:W695,AB695:AC695,AH695:AI695),
IF(AQ695=2,SUM(L695:M695,R695:S695,X695:Y695,AD695:AE695),
IF(AQ695=3,SUM(H695:I695,N695:O695,T695:U695,Z695:AA695,AF695:AG695),
SUM(IFERROR(WEEKDAY($H$2:$AL$2,2)&gt;5,)*H695:AL695))))</f>
        <v>0</v>
      </c>
      <c r="AO695" s="271" t="b">
        <f>IF(AR695&lt;=3,(IF((G695="5/24"),((база!$M$6*Таблица1[[#This Row],[сумма]]*Таблица1[[#This Row],[коэф]])),
IF((G695="4/24"),((база!$M$5*Таблица1[[#This Row],[сумма]]*Таблица1[[#This Row],[коэф]])),
IF((G695="3/24"),((база!$M$4*Таблица1[[#This Row],[сумма]]*Таблица1[[#This Row],[коэф]])),
IF((G695="5/16"),((база!$L$6*Таблица1[[#This Row],[сумма]]*Таблица1[[#This Row],[коэф]])),
IF((G695="4/16"),((база!$L$5*Таблица1[[#This Row],[сумма]]*Таблица1[[#This Row],[коэф]])),
IF((G695="3/16"),((база!$L$4*Таблица1[[#This Row],[сумма]]*Таблица1[[#This Row],[коэф]])),
IF((G695="4/4"),((база!$I$5*Таблица1[[#This Row],[сумма]]*Таблица1[[#This Row],[коэф]])),
IF(OR(G695="2/4",G695="3/4"),((база!$I$4*Таблица1[[#This Row],[сумма]]*Таблица1[[#This Row],[коэф]])),
IF((G695="5/8"),((база!$J$6*Таблица1[[#This Row],[сумма]]*Таблица1[[#This Row],[коэф]])),
IF((G695="4/8"),((база!$J$5*Таблица1[[#This Row],[сумма]]*Таблица1[[#This Row],[коэф]])),
IF(OR(G695="3/8",G695="2/8"),((база!$J$4*Таблица1[[#This Row],[сумма]]*Таблица1[[#This Row],[коэф]])))))))))))))),
(IF((G695="5/24"),((база!$M$6*Таблица1[[#This Row],[сумма]]*Таблица1[[#This Row],[коэф]])),
IF(OR(G695="4/24",G695="3/24"),((база!$M$5*Таблица1[[#This Row],[сумма]]*Таблица1[[#This Row],[коэф]])),
IF((G695="5/16"),((база!$L$6*Таблица1[[#This Row],[сумма]]*Таблица1[[#This Row],[коэф]])),
IF(OR(G695="4/16",G695="3/16"),((база!$L$5*Таблица1[[#This Row],[сумма]]*Таблица1[[#This Row],[коэф]])),
IF(OR(G695="2/4",G695="3/4",G695="4/4"),((база!$I$5*Таблица1[[#This Row],[сумма]]*Таблица1[[#This Row],[коэф]])),
IF((G695="5/8"),((база!$J$6*Таблица1[[#This Row],[сумма]]*Таблица1[[#This Row],[коэф]])),
IF(OR(G695="4/8",G695="3/8",G695="2/8"),((база!$J$5*Таблица1[[#This Row],[сумма]]*Таблица1[[#This Row],[коэф]])))))))))))</f>
        <v>0</v>
      </c>
      <c r="AP695" s="696" t="b">
        <f>IF(AR695&lt;=3,(IF((G695="5/24"),((база!$M$6*2*Таблица1[[#This Row],[Столбец1]]*Таблица1[[#This Row],[коэф]])),
IF((G695="4/24"),((база!$M$5*2*Таблица1[[#This Row],[Столбец1]]*Таблица1[[#This Row],[коэф]])),
IF((G695="3/24"),((база!$M$4*2*Таблица1[[#This Row],[Столбец1]]*Таблица1[[#This Row],[коэф]])),
IF((G695="5/16"),((база!$L$6*2*Таблица1[[#This Row],[Столбец1]]*Таблица1[[#This Row],[коэф]])),
IF((G695="4/16"),((база!$L$5*2*Таблица1[[#This Row],[Столбец1]]*Таблица1[[#This Row],[коэф]])),
IF((G695="3/16"),((база!$L$4*2*Таблица1[[#This Row],[Столбец1]]*Таблица1[[#This Row],[коэф]])),
IF((G695="4/4"),((база!$I$5*2*Таблица1[[#This Row],[Столбец1]]*Таблица1[[#This Row],[коэф]])),
IF(OR(G695="2/4",G695="3/4"),((база!$I$4*2*Таблица1[[#This Row],[Столбец1]]*Таблица1[[#This Row],[коэф]])),
IF((G695="5/8"),((база!$J$6*2*Таблица1[[#This Row],[Столбец1]]*Таблица1[[#This Row],[коэф]])),
IF((G695="4/8"),((база!$J$5*2*Таблица1[[#This Row],[Столбец1]]*Таблица1[[#This Row],[коэф]])),
IF(OR(G695="3/8",G695="2/8"),((база!$J$4*2*Таблица1[[#This Row],[Столбец1]]*Таблица1[[#This Row],[коэф]])))))))))))))),
(IF((G695="5/24"),((база!$M$6*2*Таблица1[[#This Row],[Столбец1]]*Таблица1[[#This Row],[коэф]])),
IF(OR(G695="4/24",G695="3/24"),((база!$M$5*2*Таблица1[[#This Row],[Столбец1]]*Таблица1[[#This Row],[коэф]])),
IF((G695="5/16"),((база!$L$6*2*Таблица1[[#This Row],[Столбец1]]*Таблица1[[#This Row],[коэф]])),
IF(OR(G695="4/16",G695="3/16"),((база!$L$5*2*Таблица1[[#This Row],[Столбец1]]*Таблица1[[#This Row],[коэф]])),
IF(OR(G695="2/4",G695="3/4",G695="4/4"),((база!$I$5*2*Таблица1[[#This Row],[Столбец1]]*Таблица1[[#This Row],[коэф]])),
IF((G695="5/8"),((база!$J$6*2*Таблица1[[#This Row],[Столбец1]]*Таблица1[[#This Row],[коэф]])),
IF(OR(G695="4/8",G695="3/8",G695="2/8"),((база!$J$5*2*Таблица1[[#This Row],[Столбец1]]*Таблица1[[#This Row],[коэф]])))))))))))</f>
        <v>0</v>
      </c>
      <c r="AQ695" s="678" t="str">
        <f>IFERROR(INDEX(база!T:T, MATCH(F695,база!Q:Q,0)),"")</f>
        <v/>
      </c>
      <c r="AR695" s="193">
        <f>IFERROR(INDEX(база!D:D, MATCH(F695,база!B:B,0)),"")</f>
        <v>0</v>
      </c>
    </row>
    <row r="696" spans="1:44" ht="15">
      <c r="A696" s="59"/>
      <c r="B696" s="215"/>
      <c r="C696" s="277"/>
      <c r="D696" s="55"/>
      <c r="E696" s="196"/>
      <c r="F696" s="651"/>
      <c r="G696" s="42"/>
      <c r="H696" s="539"/>
      <c r="I696" s="539"/>
      <c r="J696" s="539"/>
      <c r="K696" s="539"/>
      <c r="L696" s="539"/>
      <c r="M696" s="539"/>
      <c r="N696" s="539"/>
      <c r="O696" s="539"/>
      <c r="P696" s="278"/>
      <c r="Q696" s="539"/>
      <c r="R696" s="539"/>
      <c r="S696" s="539"/>
      <c r="T696" s="539"/>
      <c r="U696" s="539"/>
      <c r="V696" s="539"/>
      <c r="W696" s="539"/>
      <c r="X696" s="539"/>
      <c r="Y696" s="539"/>
      <c r="Z696" s="539"/>
      <c r="AA696" s="539"/>
      <c r="AB696" s="539"/>
      <c r="AC696" s="539"/>
      <c r="AD696" s="43"/>
      <c r="AE696" s="43"/>
      <c r="AF696" s="238"/>
      <c r="AG696" s="43"/>
      <c r="AH696" s="43"/>
      <c r="AI696" s="43"/>
      <c r="AJ696" s="43"/>
      <c r="AK696" s="43"/>
      <c r="AL696" s="45"/>
      <c r="AM696" s="197">
        <f>IF(AQ696=1,SUM(H696:I696,L696:O696,R696:U696,X696:AA696,AD696:AG696,AI696:AK696),
IF(AQ696=2,SUM(H696:K696,N696:Q696,T696:W696,Z696:AC696,AF696:AI696),
IF(AQ696=3,SUM(J696:M696,P696:S696,V696:Y696,AB696:AE696,AH696:AK696),SUM(Таблица1[[#This Row],[1]:[31]])-Таблица1[[#This Row],[Столбец1]])))</f>
        <v>0</v>
      </c>
      <c r="AN696" s="269">
        <f t="array" ref="AN696">IF(AQ696=1,SUM(J696:K696,P696:Q696,V696:W696,AB696:AC696,AH696:AI696),
IF(AQ696=2,SUM(L696:M696,R696:S696,X696:Y696,AD696:AE696),
IF(AQ696=3,SUM(H696:I696,N696:O696,T696:U696,Z696:AA696,AF696:AG696),
SUM(IFERROR(WEEKDAY($H$2:$AL$2,2)&gt;5,)*H696:AL696))))</f>
        <v>0</v>
      </c>
      <c r="AO696" s="271" t="b">
        <f>IF(AR696&lt;=3,(IF((G696="5/24"),((база!$M$6*Таблица1[[#This Row],[сумма]]*Таблица1[[#This Row],[коэф]])),
IF((G696="4/24"),((база!$M$5*Таблица1[[#This Row],[сумма]]*Таблица1[[#This Row],[коэф]])),
IF((G696="3/24"),((база!$M$4*Таблица1[[#This Row],[сумма]]*Таблица1[[#This Row],[коэф]])),
IF((G696="5/16"),((база!$L$6*Таблица1[[#This Row],[сумма]]*Таблица1[[#This Row],[коэф]])),
IF((G696="4/16"),((база!$L$5*Таблица1[[#This Row],[сумма]]*Таблица1[[#This Row],[коэф]])),
IF((G696="3/16"),((база!$L$4*Таблица1[[#This Row],[сумма]]*Таблица1[[#This Row],[коэф]])),
IF((G696="4/4"),((база!$I$5*Таблица1[[#This Row],[сумма]]*Таблица1[[#This Row],[коэф]])),
IF(OR(G696="2/4",G696="3/4"),((база!$I$4*Таблица1[[#This Row],[сумма]]*Таблица1[[#This Row],[коэф]])),
IF((G696="5/8"),((база!$J$6*Таблица1[[#This Row],[сумма]]*Таблица1[[#This Row],[коэф]])),
IF((G696="4/8"),((база!$J$5*Таблица1[[#This Row],[сумма]]*Таблица1[[#This Row],[коэф]])),
IF(OR(G696="3/8",G696="2/8"),((база!$J$4*Таблица1[[#This Row],[сумма]]*Таблица1[[#This Row],[коэф]])))))))))))))),
(IF((G696="5/24"),((база!$M$6*Таблица1[[#This Row],[сумма]]*Таблица1[[#This Row],[коэф]])),
IF(OR(G696="4/24",G696="3/24"),((база!$M$5*Таблица1[[#This Row],[сумма]]*Таблица1[[#This Row],[коэф]])),
IF((G696="5/16"),((база!$L$6*Таблица1[[#This Row],[сумма]]*Таблица1[[#This Row],[коэф]])),
IF(OR(G696="4/16",G696="3/16"),((база!$L$5*Таблица1[[#This Row],[сумма]]*Таблица1[[#This Row],[коэф]])),
IF(OR(G696="2/4",G696="3/4",G696="4/4"),((база!$I$5*Таблица1[[#This Row],[сумма]]*Таблица1[[#This Row],[коэф]])),
IF((G696="5/8"),((база!$J$6*Таблица1[[#This Row],[сумма]]*Таблица1[[#This Row],[коэф]])),
IF(OR(G696="4/8",G696="3/8",G696="2/8"),((база!$J$5*Таблица1[[#This Row],[сумма]]*Таблица1[[#This Row],[коэф]])))))))))))</f>
        <v>0</v>
      </c>
      <c r="AP696" s="696" t="b">
        <f>IF(AR696&lt;=3,(IF((G696="5/24"),((база!$M$6*2*Таблица1[[#This Row],[Столбец1]]*Таблица1[[#This Row],[коэф]])),
IF((G696="4/24"),((база!$M$5*2*Таблица1[[#This Row],[Столбец1]]*Таблица1[[#This Row],[коэф]])),
IF((G696="3/24"),((база!$M$4*2*Таблица1[[#This Row],[Столбец1]]*Таблица1[[#This Row],[коэф]])),
IF((G696="5/16"),((база!$L$6*2*Таблица1[[#This Row],[Столбец1]]*Таблица1[[#This Row],[коэф]])),
IF((G696="4/16"),((база!$L$5*2*Таблица1[[#This Row],[Столбец1]]*Таблица1[[#This Row],[коэф]])),
IF((G696="3/16"),((база!$L$4*2*Таблица1[[#This Row],[Столбец1]]*Таблица1[[#This Row],[коэф]])),
IF((G696="4/4"),((база!$I$5*2*Таблица1[[#This Row],[Столбец1]]*Таблица1[[#This Row],[коэф]])),
IF(OR(G696="2/4",G696="3/4"),((база!$I$4*2*Таблица1[[#This Row],[Столбец1]]*Таблица1[[#This Row],[коэф]])),
IF((G696="5/8"),((база!$J$6*2*Таблица1[[#This Row],[Столбец1]]*Таблица1[[#This Row],[коэф]])),
IF((G696="4/8"),((база!$J$5*2*Таблица1[[#This Row],[Столбец1]]*Таблица1[[#This Row],[коэф]])),
IF(OR(G696="3/8",G696="2/8"),((база!$J$4*2*Таблица1[[#This Row],[Столбец1]]*Таблица1[[#This Row],[коэф]])))))))))))))),
(IF((G696="5/24"),((база!$M$6*2*Таблица1[[#This Row],[Столбец1]]*Таблица1[[#This Row],[коэф]])),
IF(OR(G696="4/24",G696="3/24"),((база!$M$5*2*Таблица1[[#This Row],[Столбец1]]*Таблица1[[#This Row],[коэф]])),
IF((G696="5/16"),((база!$L$6*2*Таблица1[[#This Row],[Столбец1]]*Таблица1[[#This Row],[коэф]])),
IF(OR(G696="4/16",G696="3/16"),((база!$L$5*2*Таблица1[[#This Row],[Столбец1]]*Таблица1[[#This Row],[коэф]])),
IF(OR(G696="2/4",G696="3/4",G696="4/4"),((база!$I$5*2*Таблица1[[#This Row],[Столбец1]]*Таблица1[[#This Row],[коэф]])),
IF((G696="5/8"),((база!$J$6*2*Таблица1[[#This Row],[Столбец1]]*Таблица1[[#This Row],[коэф]])),
IF(OR(G696="4/8",G696="3/8",G696="2/8"),((база!$J$5*2*Таблица1[[#This Row],[Столбец1]]*Таблица1[[#This Row],[коэф]])))))))))))</f>
        <v>0</v>
      </c>
      <c r="AQ696" s="678" t="str">
        <f>IFERROR(INDEX(база!T:T, MATCH(F696,база!Q:Q,0)),"")</f>
        <v/>
      </c>
      <c r="AR696" s="193">
        <f>IFERROR(INDEX(база!D:D, MATCH(F696,база!B:B,0)),"")</f>
        <v>0</v>
      </c>
    </row>
    <row r="697" spans="1:44" ht="15">
      <c r="A697" s="59"/>
      <c r="B697" s="215"/>
      <c r="C697" s="277"/>
      <c r="D697" s="55"/>
      <c r="E697" s="196"/>
      <c r="F697" s="651"/>
      <c r="G697" s="42"/>
      <c r="H697" s="539"/>
      <c r="I697" s="539"/>
      <c r="J697" s="539"/>
      <c r="K697" s="539"/>
      <c r="L697" s="539"/>
      <c r="M697" s="539"/>
      <c r="N697" s="539"/>
      <c r="O697" s="539"/>
      <c r="P697" s="278"/>
      <c r="Q697" s="539"/>
      <c r="R697" s="539"/>
      <c r="S697" s="539"/>
      <c r="T697" s="539"/>
      <c r="U697" s="539"/>
      <c r="V697" s="539"/>
      <c r="W697" s="539"/>
      <c r="X697" s="539"/>
      <c r="Y697" s="539"/>
      <c r="Z697" s="539"/>
      <c r="AA697" s="539"/>
      <c r="AB697" s="539"/>
      <c r="AC697" s="539"/>
      <c r="AD697" s="43"/>
      <c r="AE697" s="43"/>
      <c r="AF697" s="238"/>
      <c r="AG697" s="43"/>
      <c r="AH697" s="43"/>
      <c r="AI697" s="238"/>
      <c r="AJ697" s="238"/>
      <c r="AK697" s="238"/>
      <c r="AL697" s="238"/>
      <c r="AM697" s="197">
        <f>IF(AQ697=1,SUM(H697:I697,L697:O697,R697:U697,X697:AA697,AD697:AG697,AI697:AK697),
IF(AQ697=2,SUM(H697:K697,N697:Q697,T697:W697,Z697:AC697,AF697:AI697),
IF(AQ697=3,SUM(J697:M697,P697:S697,V697:Y697,AB697:AE697,AH697:AK697),SUM(Таблица1[[#This Row],[1]:[31]])-Таблица1[[#This Row],[Столбец1]])))</f>
        <v>0</v>
      </c>
      <c r="AN697" s="269">
        <f t="array" ref="AN697">IF(AQ697=1,SUM(J697:K697,P697:Q697,V697:W697,AB697:AC697,AH697:AI697),
IF(AQ697=2,SUM(L697:M697,R697:S697,X697:Y697,AD697:AE697),
IF(AQ697=3,SUM(H697:I697,N697:O697,T697:U697,Z697:AA697,AF697:AG697),
SUM(IFERROR(WEEKDAY($H$2:$AL$2,2)&gt;5,)*H697:AL697))))</f>
        <v>0</v>
      </c>
      <c r="AO697" s="271" t="b">
        <f>IF(AR697&lt;=3,(IF((G697="5/24"),((база!$M$6*Таблица1[[#This Row],[сумма]]*Таблица1[[#This Row],[коэф]])),
IF((G697="4/24"),((база!$M$5*Таблица1[[#This Row],[сумма]]*Таблица1[[#This Row],[коэф]])),
IF((G697="3/24"),((база!$M$4*Таблица1[[#This Row],[сумма]]*Таблица1[[#This Row],[коэф]])),
IF((G697="5/16"),((база!$L$6*Таблица1[[#This Row],[сумма]]*Таблица1[[#This Row],[коэф]])),
IF((G697="4/16"),((база!$L$5*Таблица1[[#This Row],[сумма]]*Таблица1[[#This Row],[коэф]])),
IF((G697="3/16"),((база!$L$4*Таблица1[[#This Row],[сумма]]*Таблица1[[#This Row],[коэф]])),
IF((G697="4/4"),((база!$I$5*Таблица1[[#This Row],[сумма]]*Таблица1[[#This Row],[коэф]])),
IF(OR(G697="2/4",G697="3/4"),((база!$I$4*Таблица1[[#This Row],[сумма]]*Таблица1[[#This Row],[коэф]])),
IF((G697="5/8"),((база!$J$6*Таблица1[[#This Row],[сумма]]*Таблица1[[#This Row],[коэф]])),
IF((G697="4/8"),((база!$J$5*Таблица1[[#This Row],[сумма]]*Таблица1[[#This Row],[коэф]])),
IF(OR(G697="3/8",G697="2/8"),((база!$J$4*Таблица1[[#This Row],[сумма]]*Таблица1[[#This Row],[коэф]])))))))))))))),
(IF((G697="5/24"),((база!$M$6*Таблица1[[#This Row],[сумма]]*Таблица1[[#This Row],[коэф]])),
IF(OR(G697="4/24",G697="3/24"),((база!$M$5*Таблица1[[#This Row],[сумма]]*Таблица1[[#This Row],[коэф]])),
IF((G697="5/16"),((база!$L$6*Таблица1[[#This Row],[сумма]]*Таблица1[[#This Row],[коэф]])),
IF(OR(G697="4/16",G697="3/16"),((база!$L$5*Таблица1[[#This Row],[сумма]]*Таблица1[[#This Row],[коэф]])),
IF(OR(G697="2/4",G697="3/4",G697="4/4"),((база!$I$5*Таблица1[[#This Row],[сумма]]*Таблица1[[#This Row],[коэф]])),
IF((G697="5/8"),((база!$J$6*Таблица1[[#This Row],[сумма]]*Таблица1[[#This Row],[коэф]])),
IF(OR(G697="4/8",G697="3/8",G697="2/8"),((база!$J$5*Таблица1[[#This Row],[сумма]]*Таблица1[[#This Row],[коэф]])))))))))))</f>
        <v>0</v>
      </c>
      <c r="AP697" s="696" t="b">
        <f>IF(AR697&lt;=3,(IF((G697="5/24"),((база!$M$6*2*Таблица1[[#This Row],[Столбец1]]*Таблица1[[#This Row],[коэф]])),
IF((G697="4/24"),((база!$M$5*2*Таблица1[[#This Row],[Столбец1]]*Таблица1[[#This Row],[коэф]])),
IF((G697="3/24"),((база!$M$4*2*Таблица1[[#This Row],[Столбец1]]*Таблица1[[#This Row],[коэф]])),
IF((G697="5/16"),((база!$L$6*2*Таблица1[[#This Row],[Столбец1]]*Таблица1[[#This Row],[коэф]])),
IF((G697="4/16"),((база!$L$5*2*Таблица1[[#This Row],[Столбец1]]*Таблица1[[#This Row],[коэф]])),
IF((G697="3/16"),((база!$L$4*2*Таблица1[[#This Row],[Столбец1]]*Таблица1[[#This Row],[коэф]])),
IF((G697="4/4"),((база!$I$5*2*Таблица1[[#This Row],[Столбец1]]*Таблица1[[#This Row],[коэф]])),
IF(OR(G697="2/4",G697="3/4"),((база!$I$4*2*Таблица1[[#This Row],[Столбец1]]*Таблица1[[#This Row],[коэф]])),
IF((G697="5/8"),((база!$J$6*2*Таблица1[[#This Row],[Столбец1]]*Таблица1[[#This Row],[коэф]])),
IF((G697="4/8"),((база!$J$5*2*Таблица1[[#This Row],[Столбец1]]*Таблица1[[#This Row],[коэф]])),
IF(OR(G697="3/8",G697="2/8"),((база!$J$4*2*Таблица1[[#This Row],[Столбец1]]*Таблица1[[#This Row],[коэф]])))))))))))))),
(IF((G697="5/24"),((база!$M$6*2*Таблица1[[#This Row],[Столбец1]]*Таблица1[[#This Row],[коэф]])),
IF(OR(G697="4/24",G697="3/24"),((база!$M$5*2*Таблица1[[#This Row],[Столбец1]]*Таблица1[[#This Row],[коэф]])),
IF((G697="5/16"),((база!$L$6*2*Таблица1[[#This Row],[Столбец1]]*Таблица1[[#This Row],[коэф]])),
IF(OR(G697="4/16",G697="3/16"),((база!$L$5*2*Таблица1[[#This Row],[Столбец1]]*Таблица1[[#This Row],[коэф]])),
IF(OR(G697="2/4",G697="3/4",G697="4/4"),((база!$I$5*2*Таблица1[[#This Row],[Столбец1]]*Таблица1[[#This Row],[коэф]])),
IF((G697="5/8"),((база!$J$6*2*Таблица1[[#This Row],[Столбец1]]*Таблица1[[#This Row],[коэф]])),
IF(OR(G697="4/8",G697="3/8",G697="2/8"),((база!$J$5*2*Таблица1[[#This Row],[Столбец1]]*Таблица1[[#This Row],[коэф]])))))))))))</f>
        <v>0</v>
      </c>
      <c r="AQ697" s="678" t="str">
        <f>IFERROR(INDEX(база!T:T, MATCH(F697,база!Q:Q,0)),"")</f>
        <v/>
      </c>
      <c r="AR697" s="193">
        <f>IFERROR(INDEX(база!D:D, MATCH(F697,база!B:B,0)),"")</f>
        <v>0</v>
      </c>
    </row>
    <row r="698" spans="1:44" ht="15">
      <c r="A698" s="59"/>
      <c r="B698" s="215"/>
      <c r="C698" s="277"/>
      <c r="D698" s="55"/>
      <c r="E698" s="196"/>
      <c r="F698" s="651"/>
      <c r="G698" s="42"/>
      <c r="H698" s="539"/>
      <c r="I698" s="539"/>
      <c r="J698" s="539"/>
      <c r="K698" s="539"/>
      <c r="L698" s="539"/>
      <c r="M698" s="539"/>
      <c r="N698" s="539"/>
      <c r="O698" s="539"/>
      <c r="P698" s="278"/>
      <c r="Q698" s="539"/>
      <c r="R698" s="539"/>
      <c r="S698" s="539"/>
      <c r="T698" s="539"/>
      <c r="U698" s="539"/>
      <c r="V698" s="539"/>
      <c r="W698" s="539"/>
      <c r="X698" s="539"/>
      <c r="Y698" s="539"/>
      <c r="Z698" s="539"/>
      <c r="AA698" s="539"/>
      <c r="AB698" s="539"/>
      <c r="AC698" s="539"/>
      <c r="AD698" s="43"/>
      <c r="AE698" s="43"/>
      <c r="AF698" s="238"/>
      <c r="AG698" s="43"/>
      <c r="AH698" s="43"/>
      <c r="AI698" s="43"/>
      <c r="AJ698" s="43"/>
      <c r="AK698" s="43"/>
      <c r="AL698" s="45"/>
      <c r="AM698" s="197">
        <f>IF(AQ698=1,SUM(H698:I698,L698:O698,R698:U698,X698:AA698,AD698:AG698,AI698:AK698),
IF(AQ698=2,SUM(H698:K698,N698:Q698,T698:W698,Z698:AC698,AF698:AI698),
IF(AQ698=3,SUM(J698:M698,P698:S698,V698:Y698,AB698:AE698,AH698:AK698),SUM(Таблица1[[#This Row],[1]:[31]])-Таблица1[[#This Row],[Столбец1]])))</f>
        <v>0</v>
      </c>
      <c r="AN698" s="269">
        <f t="array" ref="AN698">IF(AQ698=1,SUM(J698:K698,P698:Q698,V698:W698,AB698:AC698,AH698:AI698),
IF(AQ698=2,SUM(L698:M698,R698:S698,X698:Y698,AD698:AE698),
IF(AQ698=3,SUM(H698:I698,N698:O698,T698:U698,Z698:AA698,AF698:AG698),
SUM(IFERROR(WEEKDAY($H$2:$AL$2,2)&gt;5,)*H698:AL698))))</f>
        <v>0</v>
      </c>
      <c r="AO698" s="271" t="b">
        <f>IF(AR698&lt;=3,(IF((G698="5/24"),((база!$M$6*Таблица1[[#This Row],[сумма]]*Таблица1[[#This Row],[коэф]])),
IF((G698="4/24"),((база!$M$5*Таблица1[[#This Row],[сумма]]*Таблица1[[#This Row],[коэф]])),
IF((G698="3/24"),((база!$M$4*Таблица1[[#This Row],[сумма]]*Таблица1[[#This Row],[коэф]])),
IF((G698="5/16"),((база!$L$6*Таблица1[[#This Row],[сумма]]*Таблица1[[#This Row],[коэф]])),
IF((G698="4/16"),((база!$L$5*Таблица1[[#This Row],[сумма]]*Таблица1[[#This Row],[коэф]])),
IF((G698="3/16"),((база!$L$4*Таблица1[[#This Row],[сумма]]*Таблица1[[#This Row],[коэф]])),
IF((G698="4/4"),((база!$I$5*Таблица1[[#This Row],[сумма]]*Таблица1[[#This Row],[коэф]])),
IF(OR(G698="2/4",G698="3/4"),((база!$I$4*Таблица1[[#This Row],[сумма]]*Таблица1[[#This Row],[коэф]])),
IF((G698="5/8"),((база!$J$6*Таблица1[[#This Row],[сумма]]*Таблица1[[#This Row],[коэф]])),
IF((G698="4/8"),((база!$J$5*Таблица1[[#This Row],[сумма]]*Таблица1[[#This Row],[коэф]])),
IF(OR(G698="3/8",G698="2/8"),((база!$J$4*Таблица1[[#This Row],[сумма]]*Таблица1[[#This Row],[коэф]])))))))))))))),
(IF((G698="5/24"),((база!$M$6*Таблица1[[#This Row],[сумма]]*Таблица1[[#This Row],[коэф]])),
IF(OR(G698="4/24",G698="3/24"),((база!$M$5*Таблица1[[#This Row],[сумма]]*Таблица1[[#This Row],[коэф]])),
IF((G698="5/16"),((база!$L$6*Таблица1[[#This Row],[сумма]]*Таблица1[[#This Row],[коэф]])),
IF(OR(G698="4/16",G698="3/16"),((база!$L$5*Таблица1[[#This Row],[сумма]]*Таблица1[[#This Row],[коэф]])),
IF(OR(G698="2/4",G698="3/4",G698="4/4"),((база!$I$5*Таблица1[[#This Row],[сумма]]*Таблица1[[#This Row],[коэф]])),
IF((G698="5/8"),((база!$J$6*Таблица1[[#This Row],[сумма]]*Таблица1[[#This Row],[коэф]])),
IF(OR(G698="4/8",G698="3/8",G698="2/8"),((база!$J$5*Таблица1[[#This Row],[сумма]]*Таблица1[[#This Row],[коэф]])))))))))))</f>
        <v>0</v>
      </c>
      <c r="AP698" s="696" t="b">
        <f>IF(AR698&lt;=3,(IF((G698="5/24"),((база!$M$6*2*Таблица1[[#This Row],[Столбец1]]*Таблица1[[#This Row],[коэф]])),
IF((G698="4/24"),((база!$M$5*2*Таблица1[[#This Row],[Столбец1]]*Таблица1[[#This Row],[коэф]])),
IF((G698="3/24"),((база!$M$4*2*Таблица1[[#This Row],[Столбец1]]*Таблица1[[#This Row],[коэф]])),
IF((G698="5/16"),((база!$L$6*2*Таблица1[[#This Row],[Столбец1]]*Таблица1[[#This Row],[коэф]])),
IF((G698="4/16"),((база!$L$5*2*Таблица1[[#This Row],[Столбец1]]*Таблица1[[#This Row],[коэф]])),
IF((G698="3/16"),((база!$L$4*2*Таблица1[[#This Row],[Столбец1]]*Таблица1[[#This Row],[коэф]])),
IF((G698="4/4"),((база!$I$5*2*Таблица1[[#This Row],[Столбец1]]*Таблица1[[#This Row],[коэф]])),
IF(OR(G698="2/4",G698="3/4"),((база!$I$4*2*Таблица1[[#This Row],[Столбец1]]*Таблица1[[#This Row],[коэф]])),
IF((G698="5/8"),((база!$J$6*2*Таблица1[[#This Row],[Столбец1]]*Таблица1[[#This Row],[коэф]])),
IF((G698="4/8"),((база!$J$5*2*Таблица1[[#This Row],[Столбец1]]*Таблица1[[#This Row],[коэф]])),
IF(OR(G698="3/8",G698="2/8"),((база!$J$4*2*Таблица1[[#This Row],[Столбец1]]*Таблица1[[#This Row],[коэф]])))))))))))))),
(IF((G698="5/24"),((база!$M$6*2*Таблица1[[#This Row],[Столбец1]]*Таблица1[[#This Row],[коэф]])),
IF(OR(G698="4/24",G698="3/24"),((база!$M$5*2*Таблица1[[#This Row],[Столбец1]]*Таблица1[[#This Row],[коэф]])),
IF((G698="5/16"),((база!$L$6*2*Таблица1[[#This Row],[Столбец1]]*Таблица1[[#This Row],[коэф]])),
IF(OR(G698="4/16",G698="3/16"),((база!$L$5*2*Таблица1[[#This Row],[Столбец1]]*Таблица1[[#This Row],[коэф]])),
IF(OR(G698="2/4",G698="3/4",G698="4/4"),((база!$I$5*2*Таблица1[[#This Row],[Столбец1]]*Таблица1[[#This Row],[коэф]])),
IF((G698="5/8"),((база!$J$6*2*Таблица1[[#This Row],[Столбец1]]*Таблица1[[#This Row],[коэф]])),
IF(OR(G698="4/8",G698="3/8",G698="2/8"),((база!$J$5*2*Таблица1[[#This Row],[Столбец1]]*Таблица1[[#This Row],[коэф]])))))))))))</f>
        <v>0</v>
      </c>
      <c r="AQ698" s="678" t="str">
        <f>IFERROR(INDEX(база!T:T, MATCH(F698,база!Q:Q,0)),"")</f>
        <v/>
      </c>
      <c r="AR698" s="193">
        <f>IFERROR(INDEX(база!D:D, MATCH(F698,база!B:B,0)),"")</f>
        <v>0</v>
      </c>
    </row>
    <row r="699" spans="1:44" ht="15">
      <c r="A699" s="59"/>
      <c r="B699" s="215"/>
      <c r="C699" s="277"/>
      <c r="D699" s="55"/>
      <c r="E699" s="196"/>
      <c r="F699" s="651"/>
      <c r="G699" s="42"/>
      <c r="H699" s="539"/>
      <c r="I699" s="539"/>
      <c r="J699" s="539"/>
      <c r="K699" s="539"/>
      <c r="L699" s="539"/>
      <c r="M699" s="539"/>
      <c r="N699" s="539"/>
      <c r="O699" s="539"/>
      <c r="P699" s="278"/>
      <c r="Q699" s="539"/>
      <c r="R699" s="539"/>
      <c r="S699" s="539"/>
      <c r="T699" s="539"/>
      <c r="U699" s="539"/>
      <c r="V699" s="539"/>
      <c r="W699" s="539"/>
      <c r="X699" s="539"/>
      <c r="Y699" s="539"/>
      <c r="Z699" s="539"/>
      <c r="AA699" s="539"/>
      <c r="AB699" s="539"/>
      <c r="AC699" s="539"/>
      <c r="AD699" s="43"/>
      <c r="AE699" s="43"/>
      <c r="AF699" s="238"/>
      <c r="AG699" s="43"/>
      <c r="AH699" s="43"/>
      <c r="AI699" s="238"/>
      <c r="AJ699" s="238"/>
      <c r="AK699" s="238"/>
      <c r="AL699" s="238"/>
      <c r="AM699" s="197">
        <f>IF(AQ699=1,SUM(H699:I699,L699:O699,R699:U699,X699:AA699,AD699:AG699,AI699:AK699),
IF(AQ699=2,SUM(H699:K699,N699:Q699,T699:W699,Z699:AC699,AF699:AI699),
IF(AQ699=3,SUM(J699:M699,P699:S699,V699:Y699,AB699:AE699,AH699:AK699),SUM(Таблица1[[#This Row],[1]:[31]])-Таблица1[[#This Row],[Столбец1]])))</f>
        <v>0</v>
      </c>
      <c r="AN699" s="269">
        <f t="array" ref="AN699">IF(AQ699=1,SUM(J699:K699,P699:Q699,V699:W699,AB699:AC699,AH699:AI699),
IF(AQ699=2,SUM(L699:M699,R699:S699,X699:Y699,AD699:AE699),
IF(AQ699=3,SUM(H699:I699,N699:O699,T699:U699,Z699:AA699,AF699:AG699),
SUM(IFERROR(WEEKDAY($H$2:$AL$2,2)&gt;5,)*H699:AL699))))</f>
        <v>0</v>
      </c>
      <c r="AO699" s="271" t="b">
        <f>IF(AR699&lt;=3,(IF((G699="5/24"),((база!$M$6*Таблица1[[#This Row],[сумма]]*Таблица1[[#This Row],[коэф]])),
IF((G699="4/24"),((база!$M$5*Таблица1[[#This Row],[сумма]]*Таблица1[[#This Row],[коэф]])),
IF((G699="3/24"),((база!$M$4*Таблица1[[#This Row],[сумма]]*Таблица1[[#This Row],[коэф]])),
IF((G699="5/16"),((база!$L$6*Таблица1[[#This Row],[сумма]]*Таблица1[[#This Row],[коэф]])),
IF((G699="4/16"),((база!$L$5*Таблица1[[#This Row],[сумма]]*Таблица1[[#This Row],[коэф]])),
IF((G699="3/16"),((база!$L$4*Таблица1[[#This Row],[сумма]]*Таблица1[[#This Row],[коэф]])),
IF((G699="4/4"),((база!$I$5*Таблица1[[#This Row],[сумма]]*Таблица1[[#This Row],[коэф]])),
IF(OR(G699="2/4",G699="3/4"),((база!$I$4*Таблица1[[#This Row],[сумма]]*Таблица1[[#This Row],[коэф]])),
IF((G699="5/8"),((база!$J$6*Таблица1[[#This Row],[сумма]]*Таблица1[[#This Row],[коэф]])),
IF((G699="4/8"),((база!$J$5*Таблица1[[#This Row],[сумма]]*Таблица1[[#This Row],[коэф]])),
IF(OR(G699="3/8",G699="2/8"),((база!$J$4*Таблица1[[#This Row],[сумма]]*Таблица1[[#This Row],[коэф]])))))))))))))),
(IF((G699="5/24"),((база!$M$6*Таблица1[[#This Row],[сумма]]*Таблица1[[#This Row],[коэф]])),
IF(OR(G699="4/24",G699="3/24"),((база!$M$5*Таблица1[[#This Row],[сумма]]*Таблица1[[#This Row],[коэф]])),
IF((G699="5/16"),((база!$L$6*Таблица1[[#This Row],[сумма]]*Таблица1[[#This Row],[коэф]])),
IF(OR(G699="4/16",G699="3/16"),((база!$L$5*Таблица1[[#This Row],[сумма]]*Таблица1[[#This Row],[коэф]])),
IF(OR(G699="2/4",G699="3/4",G699="4/4"),((база!$I$5*Таблица1[[#This Row],[сумма]]*Таблица1[[#This Row],[коэф]])),
IF((G699="5/8"),((база!$J$6*Таблица1[[#This Row],[сумма]]*Таблица1[[#This Row],[коэф]])),
IF(OR(G699="4/8",G699="3/8",G699="2/8"),((база!$J$5*Таблица1[[#This Row],[сумма]]*Таблица1[[#This Row],[коэф]])))))))))))</f>
        <v>0</v>
      </c>
      <c r="AP699" s="696" t="b">
        <f>IF(AR699&lt;=3,(IF((G699="5/24"),((база!$M$6*2*Таблица1[[#This Row],[Столбец1]]*Таблица1[[#This Row],[коэф]])),
IF((G699="4/24"),((база!$M$5*2*Таблица1[[#This Row],[Столбец1]]*Таблица1[[#This Row],[коэф]])),
IF((G699="3/24"),((база!$M$4*2*Таблица1[[#This Row],[Столбец1]]*Таблица1[[#This Row],[коэф]])),
IF((G699="5/16"),((база!$L$6*2*Таблица1[[#This Row],[Столбец1]]*Таблица1[[#This Row],[коэф]])),
IF((G699="4/16"),((база!$L$5*2*Таблица1[[#This Row],[Столбец1]]*Таблица1[[#This Row],[коэф]])),
IF((G699="3/16"),((база!$L$4*2*Таблица1[[#This Row],[Столбец1]]*Таблица1[[#This Row],[коэф]])),
IF((G699="4/4"),((база!$I$5*2*Таблица1[[#This Row],[Столбец1]]*Таблица1[[#This Row],[коэф]])),
IF(OR(G699="2/4",G699="3/4"),((база!$I$4*2*Таблица1[[#This Row],[Столбец1]]*Таблица1[[#This Row],[коэф]])),
IF((G699="5/8"),((база!$J$6*2*Таблица1[[#This Row],[Столбец1]]*Таблица1[[#This Row],[коэф]])),
IF((G699="4/8"),((база!$J$5*2*Таблица1[[#This Row],[Столбец1]]*Таблица1[[#This Row],[коэф]])),
IF(OR(G699="3/8",G699="2/8"),((база!$J$4*2*Таблица1[[#This Row],[Столбец1]]*Таблица1[[#This Row],[коэф]])))))))))))))),
(IF((G699="5/24"),((база!$M$6*2*Таблица1[[#This Row],[Столбец1]]*Таблица1[[#This Row],[коэф]])),
IF(OR(G699="4/24",G699="3/24"),((база!$M$5*2*Таблица1[[#This Row],[Столбец1]]*Таблица1[[#This Row],[коэф]])),
IF((G699="5/16"),((база!$L$6*2*Таблица1[[#This Row],[Столбец1]]*Таблица1[[#This Row],[коэф]])),
IF(OR(G699="4/16",G699="3/16"),((база!$L$5*2*Таблица1[[#This Row],[Столбец1]]*Таблица1[[#This Row],[коэф]])),
IF(OR(G699="2/4",G699="3/4",G699="4/4"),((база!$I$5*2*Таблица1[[#This Row],[Столбец1]]*Таблица1[[#This Row],[коэф]])),
IF((G699="5/8"),((база!$J$6*2*Таблица1[[#This Row],[Столбец1]]*Таблица1[[#This Row],[коэф]])),
IF(OR(G699="4/8",G699="3/8",G699="2/8"),((база!$J$5*2*Таблица1[[#This Row],[Столбец1]]*Таблица1[[#This Row],[коэф]])))))))))))</f>
        <v>0</v>
      </c>
      <c r="AQ699" s="678" t="str">
        <f>IFERROR(INDEX(база!T:T, MATCH(F699,база!Q:Q,0)),"")</f>
        <v/>
      </c>
      <c r="AR699" s="193">
        <f>IFERROR(INDEX(база!D:D, MATCH(F699,база!B:B,0)),"")</f>
        <v>0</v>
      </c>
    </row>
    <row r="700" spans="1:44" ht="15">
      <c r="A700" s="59"/>
      <c r="B700" s="215"/>
      <c r="C700" s="277"/>
      <c r="D700" s="55"/>
      <c r="E700" s="196"/>
      <c r="F700" s="651"/>
      <c r="G700" s="42"/>
      <c r="H700" s="539"/>
      <c r="I700" s="539"/>
      <c r="J700" s="539"/>
      <c r="K700" s="539"/>
      <c r="L700" s="539"/>
      <c r="M700" s="539"/>
      <c r="N700" s="539"/>
      <c r="O700" s="539"/>
      <c r="P700" s="278"/>
      <c r="Q700" s="539"/>
      <c r="R700" s="539"/>
      <c r="S700" s="539"/>
      <c r="T700" s="539"/>
      <c r="U700" s="539"/>
      <c r="V700" s="539"/>
      <c r="W700" s="539"/>
      <c r="X700" s="539"/>
      <c r="Y700" s="539"/>
      <c r="Z700" s="539"/>
      <c r="AA700" s="539"/>
      <c r="AB700" s="539"/>
      <c r="AC700" s="539"/>
      <c r="AD700" s="43"/>
      <c r="AE700" s="43"/>
      <c r="AF700" s="238"/>
      <c r="AG700" s="43"/>
      <c r="AH700" s="43"/>
      <c r="AI700" s="43"/>
      <c r="AJ700" s="43"/>
      <c r="AK700" s="43"/>
      <c r="AL700" s="45"/>
      <c r="AM700" s="197">
        <f>IF(AQ700=1,SUM(H700:I700,L700:O700,R700:U700,X700:AA700,AD700:AG700,AI700:AK700),
IF(AQ700=2,SUM(H700:K700,N700:Q700,T700:W700,Z700:AC700,AF700:AI700),
IF(AQ700=3,SUM(J700:M700,P700:S700,V700:Y700,AB700:AE700,AH700:AK700),SUM(Таблица1[[#This Row],[1]:[31]])-Таблица1[[#This Row],[Столбец1]])))</f>
        <v>0</v>
      </c>
      <c r="AN700" s="269">
        <f t="array" ref="AN700">IF(AQ700=1,SUM(J700:K700,P700:Q700,V700:W700,AB700:AC700,AH700:AI700),
IF(AQ700=2,SUM(L700:M700,R700:S700,X700:Y700,AD700:AE700),
IF(AQ700=3,SUM(H700:I700,N700:O700,T700:U700,Z700:AA700,AF700:AG700),
SUM(IFERROR(WEEKDAY($H$2:$AL$2,2)&gt;5,)*H700:AL700))))</f>
        <v>0</v>
      </c>
      <c r="AO700" s="271" t="b">
        <f>IF(AR700&lt;=3,(IF((G700="5/24"),((база!$M$6*Таблица1[[#This Row],[сумма]]*Таблица1[[#This Row],[коэф]])),
IF((G700="4/24"),((база!$M$5*Таблица1[[#This Row],[сумма]]*Таблица1[[#This Row],[коэф]])),
IF((G700="3/24"),((база!$M$4*Таблица1[[#This Row],[сумма]]*Таблица1[[#This Row],[коэф]])),
IF((G700="5/16"),((база!$L$6*Таблица1[[#This Row],[сумма]]*Таблица1[[#This Row],[коэф]])),
IF((G700="4/16"),((база!$L$5*Таблица1[[#This Row],[сумма]]*Таблица1[[#This Row],[коэф]])),
IF((G700="3/16"),((база!$L$4*Таблица1[[#This Row],[сумма]]*Таблица1[[#This Row],[коэф]])),
IF((G700="4/4"),((база!$I$5*Таблица1[[#This Row],[сумма]]*Таблица1[[#This Row],[коэф]])),
IF(OR(G700="2/4",G700="3/4"),((база!$I$4*Таблица1[[#This Row],[сумма]]*Таблица1[[#This Row],[коэф]])),
IF((G700="5/8"),((база!$J$6*Таблица1[[#This Row],[сумма]]*Таблица1[[#This Row],[коэф]])),
IF((G700="4/8"),((база!$J$5*Таблица1[[#This Row],[сумма]]*Таблица1[[#This Row],[коэф]])),
IF(OR(G700="3/8",G700="2/8"),((база!$J$4*Таблица1[[#This Row],[сумма]]*Таблица1[[#This Row],[коэф]])))))))))))))),
(IF((G700="5/24"),((база!$M$6*Таблица1[[#This Row],[сумма]]*Таблица1[[#This Row],[коэф]])),
IF(OR(G700="4/24",G700="3/24"),((база!$M$5*Таблица1[[#This Row],[сумма]]*Таблица1[[#This Row],[коэф]])),
IF((G700="5/16"),((база!$L$6*Таблица1[[#This Row],[сумма]]*Таблица1[[#This Row],[коэф]])),
IF(OR(G700="4/16",G700="3/16"),((база!$L$5*Таблица1[[#This Row],[сумма]]*Таблица1[[#This Row],[коэф]])),
IF(OR(G700="2/4",G700="3/4",G700="4/4"),((база!$I$5*Таблица1[[#This Row],[сумма]]*Таблица1[[#This Row],[коэф]])),
IF((G700="5/8"),((база!$J$6*Таблица1[[#This Row],[сумма]]*Таблица1[[#This Row],[коэф]])),
IF(OR(G700="4/8",G700="3/8",G700="2/8"),((база!$J$5*Таблица1[[#This Row],[сумма]]*Таблица1[[#This Row],[коэф]])))))))))))</f>
        <v>0</v>
      </c>
      <c r="AP700" s="696" t="b">
        <f>IF(AR700&lt;=3,(IF((G700="5/24"),((база!$M$6*2*Таблица1[[#This Row],[Столбец1]]*Таблица1[[#This Row],[коэф]])),
IF((G700="4/24"),((база!$M$5*2*Таблица1[[#This Row],[Столбец1]]*Таблица1[[#This Row],[коэф]])),
IF((G700="3/24"),((база!$M$4*2*Таблица1[[#This Row],[Столбец1]]*Таблица1[[#This Row],[коэф]])),
IF((G700="5/16"),((база!$L$6*2*Таблица1[[#This Row],[Столбец1]]*Таблица1[[#This Row],[коэф]])),
IF((G700="4/16"),((база!$L$5*2*Таблица1[[#This Row],[Столбец1]]*Таблица1[[#This Row],[коэф]])),
IF((G700="3/16"),((база!$L$4*2*Таблица1[[#This Row],[Столбец1]]*Таблица1[[#This Row],[коэф]])),
IF((G700="4/4"),((база!$I$5*2*Таблица1[[#This Row],[Столбец1]]*Таблица1[[#This Row],[коэф]])),
IF(OR(G700="2/4",G700="3/4"),((база!$I$4*2*Таблица1[[#This Row],[Столбец1]]*Таблица1[[#This Row],[коэф]])),
IF((G700="5/8"),((база!$J$6*2*Таблица1[[#This Row],[Столбец1]]*Таблица1[[#This Row],[коэф]])),
IF((G700="4/8"),((база!$J$5*2*Таблица1[[#This Row],[Столбец1]]*Таблица1[[#This Row],[коэф]])),
IF(OR(G700="3/8",G700="2/8"),((база!$J$4*2*Таблица1[[#This Row],[Столбец1]]*Таблица1[[#This Row],[коэф]])))))))))))))),
(IF((G700="5/24"),((база!$M$6*2*Таблица1[[#This Row],[Столбец1]]*Таблица1[[#This Row],[коэф]])),
IF(OR(G700="4/24",G700="3/24"),((база!$M$5*2*Таблица1[[#This Row],[Столбец1]]*Таблица1[[#This Row],[коэф]])),
IF((G700="5/16"),((база!$L$6*2*Таблица1[[#This Row],[Столбец1]]*Таблица1[[#This Row],[коэф]])),
IF(OR(G700="4/16",G700="3/16"),((база!$L$5*2*Таблица1[[#This Row],[Столбец1]]*Таблица1[[#This Row],[коэф]])),
IF(OR(G700="2/4",G700="3/4",G700="4/4"),((база!$I$5*2*Таблица1[[#This Row],[Столбец1]]*Таблица1[[#This Row],[коэф]])),
IF((G700="5/8"),((база!$J$6*2*Таблица1[[#This Row],[Столбец1]]*Таблица1[[#This Row],[коэф]])),
IF(OR(G700="4/8",G700="3/8",G700="2/8"),((база!$J$5*2*Таблица1[[#This Row],[Столбец1]]*Таблица1[[#This Row],[коэф]])))))))))))</f>
        <v>0</v>
      </c>
      <c r="AQ700" s="678" t="str">
        <f>IFERROR(INDEX(база!T:T, MATCH(F700,база!Q:Q,0)),"")</f>
        <v/>
      </c>
      <c r="AR700" s="193">
        <f>IFERROR(INDEX(база!D:D, MATCH(F700,база!B:B,0)),"")</f>
        <v>0</v>
      </c>
    </row>
    <row r="701" spans="1:44" ht="15">
      <c r="A701" s="59"/>
      <c r="B701" s="215"/>
      <c r="C701" s="277"/>
      <c r="D701" s="55"/>
      <c r="E701" s="196"/>
      <c r="F701" s="651"/>
      <c r="G701" s="42"/>
      <c r="H701" s="539"/>
      <c r="I701" s="539"/>
      <c r="J701" s="539"/>
      <c r="K701" s="539"/>
      <c r="L701" s="539"/>
      <c r="M701" s="539"/>
      <c r="N701" s="539"/>
      <c r="O701" s="539"/>
      <c r="P701" s="278"/>
      <c r="Q701" s="539"/>
      <c r="R701" s="539"/>
      <c r="S701" s="539"/>
      <c r="T701" s="539"/>
      <c r="U701" s="539"/>
      <c r="V701" s="539"/>
      <c r="W701" s="539"/>
      <c r="X701" s="539"/>
      <c r="Y701" s="539"/>
      <c r="Z701" s="539"/>
      <c r="AA701" s="539"/>
      <c r="AB701" s="539"/>
      <c r="AC701" s="539"/>
      <c r="AD701" s="43"/>
      <c r="AE701" s="43"/>
      <c r="AF701" s="238"/>
      <c r="AG701" s="43"/>
      <c r="AH701" s="43"/>
      <c r="AI701" s="238"/>
      <c r="AJ701" s="238"/>
      <c r="AK701" s="238"/>
      <c r="AL701" s="238"/>
      <c r="AM701" s="197">
        <f>IF(AQ701=1,SUM(H701:I701,L701:O701,R701:U701,X701:AA701,AD701:AG701,AI701:AK701),
IF(AQ701=2,SUM(H701:K701,N701:Q701,T701:W701,Z701:AC701,AF701:AI701),
IF(AQ701=3,SUM(J701:M701,P701:S701,V701:Y701,AB701:AE701,AH701:AK701),SUM(Таблица1[[#This Row],[1]:[31]])-Таблица1[[#This Row],[Столбец1]])))</f>
        <v>0</v>
      </c>
      <c r="AN701" s="269">
        <f t="array" ref="AN701">IF(AQ701=1,SUM(J701:K701,P701:Q701,V701:W701,AB701:AC701,AH701:AI701),
IF(AQ701=2,SUM(L701:M701,R701:S701,X701:Y701,AD701:AE701),
IF(AQ701=3,SUM(H701:I701,N701:O701,T701:U701,Z701:AA701,AF701:AG701),
SUM(IFERROR(WEEKDAY($H$2:$AL$2,2)&gt;5,)*H701:AL701))))</f>
        <v>0</v>
      </c>
      <c r="AO701" s="271" t="b">
        <f>IF(AR701&lt;=3,(IF((G701="5/24"),((база!$M$6*Таблица1[[#This Row],[сумма]]*Таблица1[[#This Row],[коэф]])),
IF((G701="4/24"),((база!$M$5*Таблица1[[#This Row],[сумма]]*Таблица1[[#This Row],[коэф]])),
IF((G701="3/24"),((база!$M$4*Таблица1[[#This Row],[сумма]]*Таблица1[[#This Row],[коэф]])),
IF((G701="5/16"),((база!$L$6*Таблица1[[#This Row],[сумма]]*Таблица1[[#This Row],[коэф]])),
IF((G701="4/16"),((база!$L$5*Таблица1[[#This Row],[сумма]]*Таблица1[[#This Row],[коэф]])),
IF((G701="3/16"),((база!$L$4*Таблица1[[#This Row],[сумма]]*Таблица1[[#This Row],[коэф]])),
IF((G701="4/4"),((база!$I$5*Таблица1[[#This Row],[сумма]]*Таблица1[[#This Row],[коэф]])),
IF(OR(G701="2/4",G701="3/4"),((база!$I$4*Таблица1[[#This Row],[сумма]]*Таблица1[[#This Row],[коэф]])),
IF((G701="5/8"),((база!$J$6*Таблица1[[#This Row],[сумма]]*Таблица1[[#This Row],[коэф]])),
IF((G701="4/8"),((база!$J$5*Таблица1[[#This Row],[сумма]]*Таблица1[[#This Row],[коэф]])),
IF(OR(G701="3/8",G701="2/8"),((база!$J$4*Таблица1[[#This Row],[сумма]]*Таблица1[[#This Row],[коэф]])))))))))))))),
(IF((G701="5/24"),((база!$M$6*Таблица1[[#This Row],[сумма]]*Таблица1[[#This Row],[коэф]])),
IF(OR(G701="4/24",G701="3/24"),((база!$M$5*Таблица1[[#This Row],[сумма]]*Таблица1[[#This Row],[коэф]])),
IF((G701="5/16"),((база!$L$6*Таблица1[[#This Row],[сумма]]*Таблица1[[#This Row],[коэф]])),
IF(OR(G701="4/16",G701="3/16"),((база!$L$5*Таблица1[[#This Row],[сумма]]*Таблица1[[#This Row],[коэф]])),
IF(OR(G701="2/4",G701="3/4",G701="4/4"),((база!$I$5*Таблица1[[#This Row],[сумма]]*Таблица1[[#This Row],[коэф]])),
IF((G701="5/8"),((база!$J$6*Таблица1[[#This Row],[сумма]]*Таблица1[[#This Row],[коэф]])),
IF(OR(G701="4/8",G701="3/8",G701="2/8"),((база!$J$5*Таблица1[[#This Row],[сумма]]*Таблица1[[#This Row],[коэф]])))))))))))</f>
        <v>0</v>
      </c>
      <c r="AP701" s="696" t="b">
        <f>IF(AR701&lt;=3,(IF((G701="5/24"),((база!$M$6*2*Таблица1[[#This Row],[Столбец1]]*Таблица1[[#This Row],[коэф]])),
IF((G701="4/24"),((база!$M$5*2*Таблица1[[#This Row],[Столбец1]]*Таблица1[[#This Row],[коэф]])),
IF((G701="3/24"),((база!$M$4*2*Таблица1[[#This Row],[Столбец1]]*Таблица1[[#This Row],[коэф]])),
IF((G701="5/16"),((база!$L$6*2*Таблица1[[#This Row],[Столбец1]]*Таблица1[[#This Row],[коэф]])),
IF((G701="4/16"),((база!$L$5*2*Таблица1[[#This Row],[Столбец1]]*Таблица1[[#This Row],[коэф]])),
IF((G701="3/16"),((база!$L$4*2*Таблица1[[#This Row],[Столбец1]]*Таблица1[[#This Row],[коэф]])),
IF((G701="4/4"),((база!$I$5*2*Таблица1[[#This Row],[Столбец1]]*Таблица1[[#This Row],[коэф]])),
IF(OR(G701="2/4",G701="3/4"),((база!$I$4*2*Таблица1[[#This Row],[Столбец1]]*Таблица1[[#This Row],[коэф]])),
IF((G701="5/8"),((база!$J$6*2*Таблица1[[#This Row],[Столбец1]]*Таблица1[[#This Row],[коэф]])),
IF((G701="4/8"),((база!$J$5*2*Таблица1[[#This Row],[Столбец1]]*Таблица1[[#This Row],[коэф]])),
IF(OR(G701="3/8",G701="2/8"),((база!$J$4*2*Таблица1[[#This Row],[Столбец1]]*Таблица1[[#This Row],[коэф]])))))))))))))),
(IF((G701="5/24"),((база!$M$6*2*Таблица1[[#This Row],[Столбец1]]*Таблица1[[#This Row],[коэф]])),
IF(OR(G701="4/24",G701="3/24"),((база!$M$5*2*Таблица1[[#This Row],[Столбец1]]*Таблица1[[#This Row],[коэф]])),
IF((G701="5/16"),((база!$L$6*2*Таблица1[[#This Row],[Столбец1]]*Таблица1[[#This Row],[коэф]])),
IF(OR(G701="4/16",G701="3/16"),((база!$L$5*2*Таблица1[[#This Row],[Столбец1]]*Таблица1[[#This Row],[коэф]])),
IF(OR(G701="2/4",G701="3/4",G701="4/4"),((база!$I$5*2*Таблица1[[#This Row],[Столбец1]]*Таблица1[[#This Row],[коэф]])),
IF((G701="5/8"),((база!$J$6*2*Таблица1[[#This Row],[Столбец1]]*Таблица1[[#This Row],[коэф]])),
IF(OR(G701="4/8",G701="3/8",G701="2/8"),((база!$J$5*2*Таблица1[[#This Row],[Столбец1]]*Таблица1[[#This Row],[коэф]])))))))))))</f>
        <v>0</v>
      </c>
      <c r="AQ701" s="678" t="str">
        <f>IFERROR(INDEX(база!T:T, MATCH(F701,база!Q:Q,0)),"")</f>
        <v/>
      </c>
      <c r="AR701" s="193">
        <f>IFERROR(INDEX(база!D:D, MATCH(F701,база!B:B,0)),"")</f>
        <v>0</v>
      </c>
    </row>
    <row r="702" spans="1:44" ht="15">
      <c r="A702" s="59"/>
      <c r="B702" s="215"/>
      <c r="C702" s="277"/>
      <c r="D702" s="55"/>
      <c r="E702" s="196"/>
      <c r="F702" s="651"/>
      <c r="G702" s="42"/>
      <c r="H702" s="539"/>
      <c r="I702" s="539"/>
      <c r="J702" s="539"/>
      <c r="K702" s="539"/>
      <c r="L702" s="539"/>
      <c r="M702" s="539"/>
      <c r="N702" s="539"/>
      <c r="O702" s="539"/>
      <c r="P702" s="278"/>
      <c r="Q702" s="539"/>
      <c r="R702" s="539"/>
      <c r="S702" s="539"/>
      <c r="T702" s="539"/>
      <c r="U702" s="539"/>
      <c r="V702" s="539"/>
      <c r="W702" s="539"/>
      <c r="X702" s="539"/>
      <c r="Y702" s="539"/>
      <c r="Z702" s="539"/>
      <c r="AA702" s="539"/>
      <c r="AB702" s="539"/>
      <c r="AC702" s="539"/>
      <c r="AD702" s="43"/>
      <c r="AE702" s="43"/>
      <c r="AF702" s="238"/>
      <c r="AG702" s="43"/>
      <c r="AH702" s="43"/>
      <c r="AI702" s="43"/>
      <c r="AJ702" s="43"/>
      <c r="AK702" s="43"/>
      <c r="AL702" s="45"/>
      <c r="AM702" s="197">
        <f>IF(AQ702=1,SUM(H702:I702,L702:O702,R702:U702,X702:AA702,AD702:AG702,AI702:AK702),
IF(AQ702=2,SUM(H702:K702,N702:Q702,T702:W702,Z702:AC702,AF702:AI702),
IF(AQ702=3,SUM(J702:M702,P702:S702,V702:Y702,AB702:AE702,AH702:AK702),SUM(Таблица1[[#This Row],[1]:[31]])-Таблица1[[#This Row],[Столбец1]])))</f>
        <v>0</v>
      </c>
      <c r="AN702" s="269">
        <f t="array" ref="AN702">IF(AQ702=1,SUM(J702:K702,P702:Q702,V702:W702,AB702:AC702,AH702:AI702),
IF(AQ702=2,SUM(L702:M702,R702:S702,X702:Y702,AD702:AE702),
IF(AQ702=3,SUM(H702:I702,N702:O702,T702:U702,Z702:AA702,AF702:AG702),
SUM(IFERROR(WEEKDAY($H$2:$AL$2,2)&gt;5,)*H702:AL702))))</f>
        <v>0</v>
      </c>
      <c r="AO702" s="271" t="b">
        <f>IF(AR702&lt;=3,(IF((G702="5/24"),((база!$M$6*Таблица1[[#This Row],[сумма]]*Таблица1[[#This Row],[коэф]])),
IF((G702="4/24"),((база!$M$5*Таблица1[[#This Row],[сумма]]*Таблица1[[#This Row],[коэф]])),
IF((G702="3/24"),((база!$M$4*Таблица1[[#This Row],[сумма]]*Таблица1[[#This Row],[коэф]])),
IF((G702="5/16"),((база!$L$6*Таблица1[[#This Row],[сумма]]*Таблица1[[#This Row],[коэф]])),
IF((G702="4/16"),((база!$L$5*Таблица1[[#This Row],[сумма]]*Таблица1[[#This Row],[коэф]])),
IF((G702="3/16"),((база!$L$4*Таблица1[[#This Row],[сумма]]*Таблица1[[#This Row],[коэф]])),
IF((G702="4/4"),((база!$I$5*Таблица1[[#This Row],[сумма]]*Таблица1[[#This Row],[коэф]])),
IF(OR(G702="2/4",G702="3/4"),((база!$I$4*Таблица1[[#This Row],[сумма]]*Таблица1[[#This Row],[коэф]])),
IF((G702="5/8"),((база!$J$6*Таблица1[[#This Row],[сумма]]*Таблица1[[#This Row],[коэф]])),
IF((G702="4/8"),((база!$J$5*Таблица1[[#This Row],[сумма]]*Таблица1[[#This Row],[коэф]])),
IF(OR(G702="3/8",G702="2/8"),((база!$J$4*Таблица1[[#This Row],[сумма]]*Таблица1[[#This Row],[коэф]])))))))))))))),
(IF((G702="5/24"),((база!$M$6*Таблица1[[#This Row],[сумма]]*Таблица1[[#This Row],[коэф]])),
IF(OR(G702="4/24",G702="3/24"),((база!$M$5*Таблица1[[#This Row],[сумма]]*Таблица1[[#This Row],[коэф]])),
IF((G702="5/16"),((база!$L$6*Таблица1[[#This Row],[сумма]]*Таблица1[[#This Row],[коэф]])),
IF(OR(G702="4/16",G702="3/16"),((база!$L$5*Таблица1[[#This Row],[сумма]]*Таблица1[[#This Row],[коэф]])),
IF(OR(G702="2/4",G702="3/4",G702="4/4"),((база!$I$5*Таблица1[[#This Row],[сумма]]*Таблица1[[#This Row],[коэф]])),
IF((G702="5/8"),((база!$J$6*Таблица1[[#This Row],[сумма]]*Таблица1[[#This Row],[коэф]])),
IF(OR(G702="4/8",G702="3/8",G702="2/8"),((база!$J$5*Таблица1[[#This Row],[сумма]]*Таблица1[[#This Row],[коэф]])))))))))))</f>
        <v>0</v>
      </c>
      <c r="AP702" s="696" t="b">
        <f>IF(AR702&lt;=3,(IF((G702="5/24"),((база!$M$6*2*Таблица1[[#This Row],[Столбец1]]*Таблица1[[#This Row],[коэф]])),
IF((G702="4/24"),((база!$M$5*2*Таблица1[[#This Row],[Столбец1]]*Таблица1[[#This Row],[коэф]])),
IF((G702="3/24"),((база!$M$4*2*Таблица1[[#This Row],[Столбец1]]*Таблица1[[#This Row],[коэф]])),
IF((G702="5/16"),((база!$L$6*2*Таблица1[[#This Row],[Столбец1]]*Таблица1[[#This Row],[коэф]])),
IF((G702="4/16"),((база!$L$5*2*Таблица1[[#This Row],[Столбец1]]*Таблица1[[#This Row],[коэф]])),
IF((G702="3/16"),((база!$L$4*2*Таблица1[[#This Row],[Столбец1]]*Таблица1[[#This Row],[коэф]])),
IF((G702="4/4"),((база!$I$5*2*Таблица1[[#This Row],[Столбец1]]*Таблица1[[#This Row],[коэф]])),
IF(OR(G702="2/4",G702="3/4"),((база!$I$4*2*Таблица1[[#This Row],[Столбец1]]*Таблица1[[#This Row],[коэф]])),
IF((G702="5/8"),((база!$J$6*2*Таблица1[[#This Row],[Столбец1]]*Таблица1[[#This Row],[коэф]])),
IF((G702="4/8"),((база!$J$5*2*Таблица1[[#This Row],[Столбец1]]*Таблица1[[#This Row],[коэф]])),
IF(OR(G702="3/8",G702="2/8"),((база!$J$4*2*Таблица1[[#This Row],[Столбец1]]*Таблица1[[#This Row],[коэф]])))))))))))))),
(IF((G702="5/24"),((база!$M$6*2*Таблица1[[#This Row],[Столбец1]]*Таблица1[[#This Row],[коэф]])),
IF(OR(G702="4/24",G702="3/24"),((база!$M$5*2*Таблица1[[#This Row],[Столбец1]]*Таблица1[[#This Row],[коэф]])),
IF((G702="5/16"),((база!$L$6*2*Таблица1[[#This Row],[Столбец1]]*Таблица1[[#This Row],[коэф]])),
IF(OR(G702="4/16",G702="3/16"),((база!$L$5*2*Таблица1[[#This Row],[Столбец1]]*Таблица1[[#This Row],[коэф]])),
IF(OR(G702="2/4",G702="3/4",G702="4/4"),((база!$I$5*2*Таблица1[[#This Row],[Столбец1]]*Таблица1[[#This Row],[коэф]])),
IF((G702="5/8"),((база!$J$6*2*Таблица1[[#This Row],[Столбец1]]*Таблица1[[#This Row],[коэф]])),
IF(OR(G702="4/8",G702="3/8",G702="2/8"),((база!$J$5*2*Таблица1[[#This Row],[Столбец1]]*Таблица1[[#This Row],[коэф]])))))))))))</f>
        <v>0</v>
      </c>
      <c r="AQ702" s="678" t="str">
        <f>IFERROR(INDEX(база!T:T, MATCH(F702,база!Q:Q,0)),"")</f>
        <v/>
      </c>
      <c r="AR702" s="193">
        <f>IFERROR(INDEX(база!D:D, MATCH(F702,база!B:B,0)),"")</f>
        <v>0</v>
      </c>
    </row>
    <row r="703" spans="1:44" ht="15">
      <c r="A703" s="59"/>
      <c r="B703" s="215"/>
      <c r="C703" s="277"/>
      <c r="D703" s="55"/>
      <c r="E703" s="196"/>
      <c r="F703" s="651"/>
      <c r="G703" s="42"/>
      <c r="H703" s="539"/>
      <c r="I703" s="539"/>
      <c r="J703" s="539"/>
      <c r="K703" s="539"/>
      <c r="L703" s="539"/>
      <c r="M703" s="539"/>
      <c r="N703" s="539"/>
      <c r="O703" s="539"/>
      <c r="P703" s="278"/>
      <c r="Q703" s="539"/>
      <c r="R703" s="539"/>
      <c r="S703" s="539"/>
      <c r="T703" s="539"/>
      <c r="U703" s="539"/>
      <c r="V703" s="539"/>
      <c r="W703" s="539"/>
      <c r="X703" s="539"/>
      <c r="Y703" s="539"/>
      <c r="Z703" s="539"/>
      <c r="AA703" s="539"/>
      <c r="AB703" s="539"/>
      <c r="AC703" s="539"/>
      <c r="AD703" s="43"/>
      <c r="AE703" s="43"/>
      <c r="AF703" s="238"/>
      <c r="AG703" s="43"/>
      <c r="AH703" s="43"/>
      <c r="AI703" s="238"/>
      <c r="AJ703" s="238"/>
      <c r="AK703" s="238"/>
      <c r="AL703" s="238"/>
      <c r="AM703" s="197">
        <f>IF(AQ703=1,SUM(H703:I703,L703:O703,R703:U703,X703:AA703,AD703:AG703,AI703:AK703),
IF(AQ703=2,SUM(H703:K703,N703:Q703,T703:W703,Z703:AC703,AF703:AI703),
IF(AQ703=3,SUM(J703:M703,P703:S703,V703:Y703,AB703:AE703,AH703:AK703),SUM(Таблица1[[#This Row],[1]:[31]])-Таблица1[[#This Row],[Столбец1]])))</f>
        <v>0</v>
      </c>
      <c r="AN703" s="269">
        <f t="array" ref="AN703">IF(AQ703=1,SUM(J703:K703,P703:Q703,V703:W703,AB703:AC703,AH703:AI703),
IF(AQ703=2,SUM(L703:M703,R703:S703,X703:Y703,AD703:AE703),
IF(AQ703=3,SUM(H703:I703,N703:O703,T703:U703,Z703:AA703,AF703:AG703),
SUM(IFERROR(WEEKDAY($H$2:$AL$2,2)&gt;5,)*H703:AL703))))</f>
        <v>0</v>
      </c>
      <c r="AO703" s="271" t="b">
        <f>IF(AR703&lt;=3,(IF((G703="5/24"),((база!$M$6*Таблица1[[#This Row],[сумма]]*Таблица1[[#This Row],[коэф]])),
IF((G703="4/24"),((база!$M$5*Таблица1[[#This Row],[сумма]]*Таблица1[[#This Row],[коэф]])),
IF((G703="3/24"),((база!$M$4*Таблица1[[#This Row],[сумма]]*Таблица1[[#This Row],[коэф]])),
IF((G703="5/16"),((база!$L$6*Таблица1[[#This Row],[сумма]]*Таблица1[[#This Row],[коэф]])),
IF((G703="4/16"),((база!$L$5*Таблица1[[#This Row],[сумма]]*Таблица1[[#This Row],[коэф]])),
IF((G703="3/16"),((база!$L$4*Таблица1[[#This Row],[сумма]]*Таблица1[[#This Row],[коэф]])),
IF((G703="4/4"),((база!$I$5*Таблица1[[#This Row],[сумма]]*Таблица1[[#This Row],[коэф]])),
IF(OR(G703="2/4",G703="3/4"),((база!$I$4*Таблица1[[#This Row],[сумма]]*Таблица1[[#This Row],[коэф]])),
IF((G703="5/8"),((база!$J$6*Таблица1[[#This Row],[сумма]]*Таблица1[[#This Row],[коэф]])),
IF((G703="4/8"),((база!$J$5*Таблица1[[#This Row],[сумма]]*Таблица1[[#This Row],[коэф]])),
IF(OR(G703="3/8",G703="2/8"),((база!$J$4*Таблица1[[#This Row],[сумма]]*Таблица1[[#This Row],[коэф]])))))))))))))),
(IF((G703="5/24"),((база!$M$6*Таблица1[[#This Row],[сумма]]*Таблица1[[#This Row],[коэф]])),
IF(OR(G703="4/24",G703="3/24"),((база!$M$5*Таблица1[[#This Row],[сумма]]*Таблица1[[#This Row],[коэф]])),
IF((G703="5/16"),((база!$L$6*Таблица1[[#This Row],[сумма]]*Таблица1[[#This Row],[коэф]])),
IF(OR(G703="4/16",G703="3/16"),((база!$L$5*Таблица1[[#This Row],[сумма]]*Таблица1[[#This Row],[коэф]])),
IF(OR(G703="2/4",G703="3/4",G703="4/4"),((база!$I$5*Таблица1[[#This Row],[сумма]]*Таблица1[[#This Row],[коэф]])),
IF((G703="5/8"),((база!$J$6*Таблица1[[#This Row],[сумма]]*Таблица1[[#This Row],[коэф]])),
IF(OR(G703="4/8",G703="3/8",G703="2/8"),((база!$J$5*Таблица1[[#This Row],[сумма]]*Таблица1[[#This Row],[коэф]])))))))))))</f>
        <v>0</v>
      </c>
      <c r="AP703" s="696" t="b">
        <f>IF(AR703&lt;=3,(IF((G703="5/24"),((база!$M$6*2*Таблица1[[#This Row],[Столбец1]]*Таблица1[[#This Row],[коэф]])),
IF((G703="4/24"),((база!$M$5*2*Таблица1[[#This Row],[Столбец1]]*Таблица1[[#This Row],[коэф]])),
IF((G703="3/24"),((база!$M$4*2*Таблица1[[#This Row],[Столбец1]]*Таблица1[[#This Row],[коэф]])),
IF((G703="5/16"),((база!$L$6*2*Таблица1[[#This Row],[Столбец1]]*Таблица1[[#This Row],[коэф]])),
IF((G703="4/16"),((база!$L$5*2*Таблица1[[#This Row],[Столбец1]]*Таблица1[[#This Row],[коэф]])),
IF((G703="3/16"),((база!$L$4*2*Таблица1[[#This Row],[Столбец1]]*Таблица1[[#This Row],[коэф]])),
IF((G703="4/4"),((база!$I$5*2*Таблица1[[#This Row],[Столбец1]]*Таблица1[[#This Row],[коэф]])),
IF(OR(G703="2/4",G703="3/4"),((база!$I$4*2*Таблица1[[#This Row],[Столбец1]]*Таблица1[[#This Row],[коэф]])),
IF((G703="5/8"),((база!$J$6*2*Таблица1[[#This Row],[Столбец1]]*Таблица1[[#This Row],[коэф]])),
IF((G703="4/8"),((база!$J$5*2*Таблица1[[#This Row],[Столбец1]]*Таблица1[[#This Row],[коэф]])),
IF(OR(G703="3/8",G703="2/8"),((база!$J$4*2*Таблица1[[#This Row],[Столбец1]]*Таблица1[[#This Row],[коэф]])))))))))))))),
(IF((G703="5/24"),((база!$M$6*2*Таблица1[[#This Row],[Столбец1]]*Таблица1[[#This Row],[коэф]])),
IF(OR(G703="4/24",G703="3/24"),((база!$M$5*2*Таблица1[[#This Row],[Столбец1]]*Таблица1[[#This Row],[коэф]])),
IF((G703="5/16"),((база!$L$6*2*Таблица1[[#This Row],[Столбец1]]*Таблица1[[#This Row],[коэф]])),
IF(OR(G703="4/16",G703="3/16"),((база!$L$5*2*Таблица1[[#This Row],[Столбец1]]*Таблица1[[#This Row],[коэф]])),
IF(OR(G703="2/4",G703="3/4",G703="4/4"),((база!$I$5*2*Таблица1[[#This Row],[Столбец1]]*Таблица1[[#This Row],[коэф]])),
IF((G703="5/8"),((база!$J$6*2*Таблица1[[#This Row],[Столбец1]]*Таблица1[[#This Row],[коэф]])),
IF(OR(G703="4/8",G703="3/8",G703="2/8"),((база!$J$5*2*Таблица1[[#This Row],[Столбец1]]*Таблица1[[#This Row],[коэф]])))))))))))</f>
        <v>0</v>
      </c>
      <c r="AQ703" s="678" t="str">
        <f>IFERROR(INDEX(база!T:T, MATCH(F703,база!Q:Q,0)),"")</f>
        <v/>
      </c>
      <c r="AR703" s="193">
        <f>IFERROR(INDEX(база!D:D, MATCH(F703,база!B:B,0)),"")</f>
        <v>0</v>
      </c>
    </row>
    <row r="704" spans="1:44" ht="15">
      <c r="A704" s="59"/>
      <c r="B704" s="215"/>
      <c r="C704" s="277"/>
      <c r="D704" s="55"/>
      <c r="E704" s="196"/>
      <c r="F704" s="651"/>
      <c r="G704" s="42"/>
      <c r="H704" s="539"/>
      <c r="I704" s="539"/>
      <c r="J704" s="539"/>
      <c r="K704" s="539"/>
      <c r="L704" s="539"/>
      <c r="M704" s="539"/>
      <c r="N704" s="539"/>
      <c r="O704" s="539"/>
      <c r="P704" s="278"/>
      <c r="Q704" s="539"/>
      <c r="R704" s="539"/>
      <c r="S704" s="539"/>
      <c r="T704" s="539"/>
      <c r="U704" s="539"/>
      <c r="V704" s="539"/>
      <c r="W704" s="539"/>
      <c r="X704" s="539"/>
      <c r="Y704" s="539"/>
      <c r="Z704" s="539"/>
      <c r="AA704" s="539"/>
      <c r="AB704" s="539"/>
      <c r="AC704" s="539"/>
      <c r="AD704" s="43"/>
      <c r="AE704" s="43"/>
      <c r="AF704" s="238"/>
      <c r="AG704" s="43"/>
      <c r="AH704" s="43"/>
      <c r="AI704" s="43"/>
      <c r="AJ704" s="43"/>
      <c r="AK704" s="43"/>
      <c r="AL704" s="45"/>
      <c r="AM704" s="197">
        <f>IF(AQ704=1,SUM(H704:I704,L704:O704,R704:U704,X704:AA704,AD704:AG704,AI704:AK704),
IF(AQ704=2,SUM(H704:K704,N704:Q704,T704:W704,Z704:AC704,AF704:AI704),
IF(AQ704=3,SUM(J704:M704,P704:S704,V704:Y704,AB704:AE704,AH704:AK704),SUM(Таблица1[[#This Row],[1]:[31]])-Таблица1[[#This Row],[Столбец1]])))</f>
        <v>0</v>
      </c>
      <c r="AN704" s="269">
        <f t="array" ref="AN704">IF(AQ704=1,SUM(J704:K704,P704:Q704,V704:W704,AB704:AC704,AH704:AI704),
IF(AQ704=2,SUM(L704:M704,R704:S704,X704:Y704,AD704:AE704),
IF(AQ704=3,SUM(H704:I704,N704:O704,T704:U704,Z704:AA704,AF704:AG704),
SUM(IFERROR(WEEKDAY($H$2:$AL$2,2)&gt;5,)*H704:AL704))))</f>
        <v>0</v>
      </c>
      <c r="AO704" s="271" t="b">
        <f>IF(AR704&lt;=3,(IF((G704="5/24"),((база!$M$6*Таблица1[[#This Row],[сумма]]*Таблица1[[#This Row],[коэф]])),
IF((G704="4/24"),((база!$M$5*Таблица1[[#This Row],[сумма]]*Таблица1[[#This Row],[коэф]])),
IF((G704="3/24"),((база!$M$4*Таблица1[[#This Row],[сумма]]*Таблица1[[#This Row],[коэф]])),
IF((G704="5/16"),((база!$L$6*Таблица1[[#This Row],[сумма]]*Таблица1[[#This Row],[коэф]])),
IF((G704="4/16"),((база!$L$5*Таблица1[[#This Row],[сумма]]*Таблица1[[#This Row],[коэф]])),
IF((G704="3/16"),((база!$L$4*Таблица1[[#This Row],[сумма]]*Таблица1[[#This Row],[коэф]])),
IF((G704="4/4"),((база!$I$5*Таблица1[[#This Row],[сумма]]*Таблица1[[#This Row],[коэф]])),
IF(OR(G704="2/4",G704="3/4"),((база!$I$4*Таблица1[[#This Row],[сумма]]*Таблица1[[#This Row],[коэф]])),
IF((G704="5/8"),((база!$J$6*Таблица1[[#This Row],[сумма]]*Таблица1[[#This Row],[коэф]])),
IF((G704="4/8"),((база!$J$5*Таблица1[[#This Row],[сумма]]*Таблица1[[#This Row],[коэф]])),
IF(OR(G704="3/8",G704="2/8"),((база!$J$4*Таблица1[[#This Row],[сумма]]*Таблица1[[#This Row],[коэф]])))))))))))))),
(IF((G704="5/24"),((база!$M$6*Таблица1[[#This Row],[сумма]]*Таблица1[[#This Row],[коэф]])),
IF(OR(G704="4/24",G704="3/24"),((база!$M$5*Таблица1[[#This Row],[сумма]]*Таблица1[[#This Row],[коэф]])),
IF((G704="5/16"),((база!$L$6*Таблица1[[#This Row],[сумма]]*Таблица1[[#This Row],[коэф]])),
IF(OR(G704="4/16",G704="3/16"),((база!$L$5*Таблица1[[#This Row],[сумма]]*Таблица1[[#This Row],[коэф]])),
IF(OR(G704="2/4",G704="3/4",G704="4/4"),((база!$I$5*Таблица1[[#This Row],[сумма]]*Таблица1[[#This Row],[коэф]])),
IF((G704="5/8"),((база!$J$6*Таблица1[[#This Row],[сумма]]*Таблица1[[#This Row],[коэф]])),
IF(OR(G704="4/8",G704="3/8",G704="2/8"),((база!$J$5*Таблица1[[#This Row],[сумма]]*Таблица1[[#This Row],[коэф]])))))))))))</f>
        <v>0</v>
      </c>
      <c r="AP704" s="696" t="b">
        <f>IF(AR704&lt;=3,(IF((G704="5/24"),((база!$M$6*2*Таблица1[[#This Row],[Столбец1]]*Таблица1[[#This Row],[коэф]])),
IF((G704="4/24"),((база!$M$5*2*Таблица1[[#This Row],[Столбец1]]*Таблица1[[#This Row],[коэф]])),
IF((G704="3/24"),((база!$M$4*2*Таблица1[[#This Row],[Столбец1]]*Таблица1[[#This Row],[коэф]])),
IF((G704="5/16"),((база!$L$6*2*Таблица1[[#This Row],[Столбец1]]*Таблица1[[#This Row],[коэф]])),
IF((G704="4/16"),((база!$L$5*2*Таблица1[[#This Row],[Столбец1]]*Таблица1[[#This Row],[коэф]])),
IF((G704="3/16"),((база!$L$4*2*Таблица1[[#This Row],[Столбец1]]*Таблица1[[#This Row],[коэф]])),
IF((G704="4/4"),((база!$I$5*2*Таблица1[[#This Row],[Столбец1]]*Таблица1[[#This Row],[коэф]])),
IF(OR(G704="2/4",G704="3/4"),((база!$I$4*2*Таблица1[[#This Row],[Столбец1]]*Таблица1[[#This Row],[коэф]])),
IF((G704="5/8"),((база!$J$6*2*Таблица1[[#This Row],[Столбец1]]*Таблица1[[#This Row],[коэф]])),
IF((G704="4/8"),((база!$J$5*2*Таблица1[[#This Row],[Столбец1]]*Таблица1[[#This Row],[коэф]])),
IF(OR(G704="3/8",G704="2/8"),((база!$J$4*2*Таблица1[[#This Row],[Столбец1]]*Таблица1[[#This Row],[коэф]])))))))))))))),
(IF((G704="5/24"),((база!$M$6*2*Таблица1[[#This Row],[Столбец1]]*Таблица1[[#This Row],[коэф]])),
IF(OR(G704="4/24",G704="3/24"),((база!$M$5*2*Таблица1[[#This Row],[Столбец1]]*Таблица1[[#This Row],[коэф]])),
IF((G704="5/16"),((база!$L$6*2*Таблица1[[#This Row],[Столбец1]]*Таблица1[[#This Row],[коэф]])),
IF(OR(G704="4/16",G704="3/16"),((база!$L$5*2*Таблица1[[#This Row],[Столбец1]]*Таблица1[[#This Row],[коэф]])),
IF(OR(G704="2/4",G704="3/4",G704="4/4"),((база!$I$5*2*Таблица1[[#This Row],[Столбец1]]*Таблица1[[#This Row],[коэф]])),
IF((G704="5/8"),((база!$J$6*2*Таблица1[[#This Row],[Столбец1]]*Таблица1[[#This Row],[коэф]])),
IF(OR(G704="4/8",G704="3/8",G704="2/8"),((база!$J$5*2*Таблица1[[#This Row],[Столбец1]]*Таблица1[[#This Row],[коэф]])))))))))))</f>
        <v>0</v>
      </c>
      <c r="AQ704" s="678" t="str">
        <f>IFERROR(INDEX(база!T:T, MATCH(F704,база!Q:Q,0)),"")</f>
        <v/>
      </c>
      <c r="AR704" s="193">
        <f>IFERROR(INDEX(база!D:D, MATCH(F704,база!B:B,0)),"")</f>
        <v>0</v>
      </c>
    </row>
    <row r="705" spans="1:44" ht="15">
      <c r="A705" s="59"/>
      <c r="B705" s="215"/>
      <c r="C705" s="277"/>
      <c r="D705" s="55"/>
      <c r="E705" s="196"/>
      <c r="F705" s="651"/>
      <c r="G705" s="42"/>
      <c r="H705" s="539"/>
      <c r="I705" s="539"/>
      <c r="J705" s="539"/>
      <c r="K705" s="539"/>
      <c r="L705" s="539"/>
      <c r="M705" s="539"/>
      <c r="N705" s="539"/>
      <c r="O705" s="539"/>
      <c r="P705" s="278"/>
      <c r="Q705" s="539"/>
      <c r="R705" s="539"/>
      <c r="S705" s="539"/>
      <c r="T705" s="539"/>
      <c r="U705" s="539"/>
      <c r="V705" s="539"/>
      <c r="W705" s="539"/>
      <c r="X705" s="539"/>
      <c r="Y705" s="539"/>
      <c r="Z705" s="539"/>
      <c r="AA705" s="539"/>
      <c r="AB705" s="539"/>
      <c r="AC705" s="539"/>
      <c r="AD705" s="43"/>
      <c r="AE705" s="43"/>
      <c r="AF705" s="238"/>
      <c r="AG705" s="43"/>
      <c r="AH705" s="43"/>
      <c r="AI705" s="238"/>
      <c r="AJ705" s="238"/>
      <c r="AK705" s="238"/>
      <c r="AL705" s="238"/>
      <c r="AM705" s="197">
        <f>IF(AQ705=1,SUM(H705:I705,L705:O705,R705:U705,X705:AA705,AD705:AG705,AI705:AK705),
IF(AQ705=2,SUM(H705:K705,N705:Q705,T705:W705,Z705:AC705,AF705:AI705),
IF(AQ705=3,SUM(J705:M705,P705:S705,V705:Y705,AB705:AE705,AH705:AK705),SUM(Таблица1[[#This Row],[1]:[31]])-Таблица1[[#This Row],[Столбец1]])))</f>
        <v>0</v>
      </c>
      <c r="AN705" s="269">
        <f t="array" ref="AN705">IF(AQ705=1,SUM(J705:K705,P705:Q705,V705:W705,AB705:AC705,AH705:AI705),
IF(AQ705=2,SUM(L705:M705,R705:S705,X705:Y705,AD705:AE705),
IF(AQ705=3,SUM(H705:I705,N705:O705,T705:U705,Z705:AA705,AF705:AG705),
SUM(IFERROR(WEEKDAY($H$2:$AL$2,2)&gt;5,)*H705:AL705))))</f>
        <v>0</v>
      </c>
      <c r="AO705" s="271" t="b">
        <f>IF(AR705&lt;=3,(IF((G705="5/24"),((база!$M$6*Таблица1[[#This Row],[сумма]]*Таблица1[[#This Row],[коэф]])),
IF((G705="4/24"),((база!$M$5*Таблица1[[#This Row],[сумма]]*Таблица1[[#This Row],[коэф]])),
IF((G705="3/24"),((база!$M$4*Таблица1[[#This Row],[сумма]]*Таблица1[[#This Row],[коэф]])),
IF((G705="5/16"),((база!$L$6*Таблица1[[#This Row],[сумма]]*Таблица1[[#This Row],[коэф]])),
IF((G705="4/16"),((база!$L$5*Таблица1[[#This Row],[сумма]]*Таблица1[[#This Row],[коэф]])),
IF((G705="3/16"),((база!$L$4*Таблица1[[#This Row],[сумма]]*Таблица1[[#This Row],[коэф]])),
IF((G705="4/4"),((база!$I$5*Таблица1[[#This Row],[сумма]]*Таблица1[[#This Row],[коэф]])),
IF(OR(G705="2/4",G705="3/4"),((база!$I$4*Таблица1[[#This Row],[сумма]]*Таблица1[[#This Row],[коэф]])),
IF((G705="5/8"),((база!$J$6*Таблица1[[#This Row],[сумма]]*Таблица1[[#This Row],[коэф]])),
IF((G705="4/8"),((база!$J$5*Таблица1[[#This Row],[сумма]]*Таблица1[[#This Row],[коэф]])),
IF(OR(G705="3/8",G705="2/8"),((база!$J$4*Таблица1[[#This Row],[сумма]]*Таблица1[[#This Row],[коэф]])))))))))))))),
(IF((G705="5/24"),((база!$M$6*Таблица1[[#This Row],[сумма]]*Таблица1[[#This Row],[коэф]])),
IF(OR(G705="4/24",G705="3/24"),((база!$M$5*Таблица1[[#This Row],[сумма]]*Таблица1[[#This Row],[коэф]])),
IF((G705="5/16"),((база!$L$6*Таблица1[[#This Row],[сумма]]*Таблица1[[#This Row],[коэф]])),
IF(OR(G705="4/16",G705="3/16"),((база!$L$5*Таблица1[[#This Row],[сумма]]*Таблица1[[#This Row],[коэф]])),
IF(OR(G705="2/4",G705="3/4",G705="4/4"),((база!$I$5*Таблица1[[#This Row],[сумма]]*Таблица1[[#This Row],[коэф]])),
IF((G705="5/8"),((база!$J$6*Таблица1[[#This Row],[сумма]]*Таблица1[[#This Row],[коэф]])),
IF(OR(G705="4/8",G705="3/8",G705="2/8"),((база!$J$5*Таблица1[[#This Row],[сумма]]*Таблица1[[#This Row],[коэф]])))))))))))</f>
        <v>0</v>
      </c>
      <c r="AP705" s="696" t="b">
        <f>IF(AR705&lt;=3,(IF((G705="5/24"),((база!$M$6*2*Таблица1[[#This Row],[Столбец1]]*Таблица1[[#This Row],[коэф]])),
IF((G705="4/24"),((база!$M$5*2*Таблица1[[#This Row],[Столбец1]]*Таблица1[[#This Row],[коэф]])),
IF((G705="3/24"),((база!$M$4*2*Таблица1[[#This Row],[Столбец1]]*Таблица1[[#This Row],[коэф]])),
IF((G705="5/16"),((база!$L$6*2*Таблица1[[#This Row],[Столбец1]]*Таблица1[[#This Row],[коэф]])),
IF((G705="4/16"),((база!$L$5*2*Таблица1[[#This Row],[Столбец1]]*Таблица1[[#This Row],[коэф]])),
IF((G705="3/16"),((база!$L$4*2*Таблица1[[#This Row],[Столбец1]]*Таблица1[[#This Row],[коэф]])),
IF((G705="4/4"),((база!$I$5*2*Таблица1[[#This Row],[Столбец1]]*Таблица1[[#This Row],[коэф]])),
IF(OR(G705="2/4",G705="3/4"),((база!$I$4*2*Таблица1[[#This Row],[Столбец1]]*Таблица1[[#This Row],[коэф]])),
IF((G705="5/8"),((база!$J$6*2*Таблица1[[#This Row],[Столбец1]]*Таблица1[[#This Row],[коэф]])),
IF((G705="4/8"),((база!$J$5*2*Таблица1[[#This Row],[Столбец1]]*Таблица1[[#This Row],[коэф]])),
IF(OR(G705="3/8",G705="2/8"),((база!$J$4*2*Таблица1[[#This Row],[Столбец1]]*Таблица1[[#This Row],[коэф]])))))))))))))),
(IF((G705="5/24"),((база!$M$6*2*Таблица1[[#This Row],[Столбец1]]*Таблица1[[#This Row],[коэф]])),
IF(OR(G705="4/24",G705="3/24"),((база!$M$5*2*Таблица1[[#This Row],[Столбец1]]*Таблица1[[#This Row],[коэф]])),
IF((G705="5/16"),((база!$L$6*2*Таблица1[[#This Row],[Столбец1]]*Таблица1[[#This Row],[коэф]])),
IF(OR(G705="4/16",G705="3/16"),((база!$L$5*2*Таблица1[[#This Row],[Столбец1]]*Таблица1[[#This Row],[коэф]])),
IF(OR(G705="2/4",G705="3/4",G705="4/4"),((база!$I$5*2*Таблица1[[#This Row],[Столбец1]]*Таблица1[[#This Row],[коэф]])),
IF((G705="5/8"),((база!$J$6*2*Таблица1[[#This Row],[Столбец1]]*Таблица1[[#This Row],[коэф]])),
IF(OR(G705="4/8",G705="3/8",G705="2/8"),((база!$J$5*2*Таблица1[[#This Row],[Столбец1]]*Таблица1[[#This Row],[коэф]])))))))))))</f>
        <v>0</v>
      </c>
      <c r="AQ705" s="678" t="str">
        <f>IFERROR(INDEX(база!T:T, MATCH(F705,база!Q:Q,0)),"")</f>
        <v/>
      </c>
      <c r="AR705" s="193">
        <f>IFERROR(INDEX(база!D:D, MATCH(F705,база!B:B,0)),"")</f>
        <v>0</v>
      </c>
    </row>
    <row r="706" spans="1:44" ht="15">
      <c r="A706" s="59"/>
      <c r="B706" s="215"/>
      <c r="C706" s="277"/>
      <c r="D706" s="55"/>
      <c r="E706" s="196"/>
      <c r="F706" s="651"/>
      <c r="G706" s="42"/>
      <c r="H706" s="539"/>
      <c r="I706" s="539"/>
      <c r="J706" s="539"/>
      <c r="K706" s="539"/>
      <c r="L706" s="539"/>
      <c r="M706" s="539"/>
      <c r="N706" s="539"/>
      <c r="O706" s="539"/>
      <c r="P706" s="278"/>
      <c r="Q706" s="539"/>
      <c r="R706" s="539"/>
      <c r="S706" s="539"/>
      <c r="T706" s="539"/>
      <c r="U706" s="539"/>
      <c r="V706" s="539"/>
      <c r="W706" s="539"/>
      <c r="X706" s="539"/>
      <c r="Y706" s="539"/>
      <c r="Z706" s="539"/>
      <c r="AA706" s="539"/>
      <c r="AB706" s="539"/>
      <c r="AC706" s="539"/>
      <c r="AD706" s="43"/>
      <c r="AE706" s="43"/>
      <c r="AF706" s="238"/>
      <c r="AG706" s="43"/>
      <c r="AH706" s="43"/>
      <c r="AI706" s="43"/>
      <c r="AJ706" s="43"/>
      <c r="AK706" s="43"/>
      <c r="AL706" s="45"/>
      <c r="AM706" s="197">
        <f>IF(AQ706=1,SUM(H706:I706,L706:O706,R706:U706,X706:AA706,AD706:AG706,AI706:AK706),
IF(AQ706=2,SUM(H706:K706,N706:Q706,T706:W706,Z706:AC706,AF706:AI706),
IF(AQ706=3,SUM(J706:M706,P706:S706,V706:Y706,AB706:AE706,AH706:AK706),SUM(Таблица1[[#This Row],[1]:[31]])-Таблица1[[#This Row],[Столбец1]])))</f>
        <v>0</v>
      </c>
      <c r="AN706" s="269">
        <f t="array" ref="AN706">IF(AQ706=1,SUM(J706:K706,P706:Q706,V706:W706,AB706:AC706,AH706:AI706),
IF(AQ706=2,SUM(L706:M706,R706:S706,X706:Y706,AD706:AE706),
IF(AQ706=3,SUM(H706:I706,N706:O706,T706:U706,Z706:AA706,AF706:AG706),
SUM(IFERROR(WEEKDAY($H$2:$AL$2,2)&gt;5,)*H706:AL706))))</f>
        <v>0</v>
      </c>
      <c r="AO706" s="271" t="b">
        <f>IF(AR706&lt;=3,(IF((G706="5/24"),((база!$M$6*Таблица1[[#This Row],[сумма]]*Таблица1[[#This Row],[коэф]])),
IF((G706="4/24"),((база!$M$5*Таблица1[[#This Row],[сумма]]*Таблица1[[#This Row],[коэф]])),
IF((G706="3/24"),((база!$M$4*Таблица1[[#This Row],[сумма]]*Таблица1[[#This Row],[коэф]])),
IF((G706="5/16"),((база!$L$6*Таблица1[[#This Row],[сумма]]*Таблица1[[#This Row],[коэф]])),
IF((G706="4/16"),((база!$L$5*Таблица1[[#This Row],[сумма]]*Таблица1[[#This Row],[коэф]])),
IF((G706="3/16"),((база!$L$4*Таблица1[[#This Row],[сумма]]*Таблица1[[#This Row],[коэф]])),
IF((G706="4/4"),((база!$I$5*Таблица1[[#This Row],[сумма]]*Таблица1[[#This Row],[коэф]])),
IF(OR(G706="2/4",G706="3/4"),((база!$I$4*Таблица1[[#This Row],[сумма]]*Таблица1[[#This Row],[коэф]])),
IF((G706="5/8"),((база!$J$6*Таблица1[[#This Row],[сумма]]*Таблица1[[#This Row],[коэф]])),
IF((G706="4/8"),((база!$J$5*Таблица1[[#This Row],[сумма]]*Таблица1[[#This Row],[коэф]])),
IF(OR(G706="3/8",G706="2/8"),((база!$J$4*Таблица1[[#This Row],[сумма]]*Таблица1[[#This Row],[коэф]])))))))))))))),
(IF((G706="5/24"),((база!$M$6*Таблица1[[#This Row],[сумма]]*Таблица1[[#This Row],[коэф]])),
IF(OR(G706="4/24",G706="3/24"),((база!$M$5*Таблица1[[#This Row],[сумма]]*Таблица1[[#This Row],[коэф]])),
IF((G706="5/16"),((база!$L$6*Таблица1[[#This Row],[сумма]]*Таблица1[[#This Row],[коэф]])),
IF(OR(G706="4/16",G706="3/16"),((база!$L$5*Таблица1[[#This Row],[сумма]]*Таблица1[[#This Row],[коэф]])),
IF(OR(G706="2/4",G706="3/4",G706="4/4"),((база!$I$5*Таблица1[[#This Row],[сумма]]*Таблица1[[#This Row],[коэф]])),
IF((G706="5/8"),((база!$J$6*Таблица1[[#This Row],[сумма]]*Таблица1[[#This Row],[коэф]])),
IF(OR(G706="4/8",G706="3/8",G706="2/8"),((база!$J$5*Таблица1[[#This Row],[сумма]]*Таблица1[[#This Row],[коэф]])))))))))))</f>
        <v>0</v>
      </c>
      <c r="AP706" s="696" t="b">
        <f>IF(AR706&lt;=3,(IF((G706="5/24"),((база!$M$6*2*Таблица1[[#This Row],[Столбец1]]*Таблица1[[#This Row],[коэф]])),
IF((G706="4/24"),((база!$M$5*2*Таблица1[[#This Row],[Столбец1]]*Таблица1[[#This Row],[коэф]])),
IF((G706="3/24"),((база!$M$4*2*Таблица1[[#This Row],[Столбец1]]*Таблица1[[#This Row],[коэф]])),
IF((G706="5/16"),((база!$L$6*2*Таблица1[[#This Row],[Столбец1]]*Таблица1[[#This Row],[коэф]])),
IF((G706="4/16"),((база!$L$5*2*Таблица1[[#This Row],[Столбец1]]*Таблица1[[#This Row],[коэф]])),
IF((G706="3/16"),((база!$L$4*2*Таблица1[[#This Row],[Столбец1]]*Таблица1[[#This Row],[коэф]])),
IF((G706="4/4"),((база!$I$5*2*Таблица1[[#This Row],[Столбец1]]*Таблица1[[#This Row],[коэф]])),
IF(OR(G706="2/4",G706="3/4"),((база!$I$4*2*Таблица1[[#This Row],[Столбец1]]*Таблица1[[#This Row],[коэф]])),
IF((G706="5/8"),((база!$J$6*2*Таблица1[[#This Row],[Столбец1]]*Таблица1[[#This Row],[коэф]])),
IF((G706="4/8"),((база!$J$5*2*Таблица1[[#This Row],[Столбец1]]*Таблица1[[#This Row],[коэф]])),
IF(OR(G706="3/8",G706="2/8"),((база!$J$4*2*Таблица1[[#This Row],[Столбец1]]*Таблица1[[#This Row],[коэф]])))))))))))))),
(IF((G706="5/24"),((база!$M$6*2*Таблица1[[#This Row],[Столбец1]]*Таблица1[[#This Row],[коэф]])),
IF(OR(G706="4/24",G706="3/24"),((база!$M$5*2*Таблица1[[#This Row],[Столбец1]]*Таблица1[[#This Row],[коэф]])),
IF((G706="5/16"),((база!$L$6*2*Таблица1[[#This Row],[Столбец1]]*Таблица1[[#This Row],[коэф]])),
IF(OR(G706="4/16",G706="3/16"),((база!$L$5*2*Таблица1[[#This Row],[Столбец1]]*Таблица1[[#This Row],[коэф]])),
IF(OR(G706="2/4",G706="3/4",G706="4/4"),((база!$I$5*2*Таблица1[[#This Row],[Столбец1]]*Таблица1[[#This Row],[коэф]])),
IF((G706="5/8"),((база!$J$6*2*Таблица1[[#This Row],[Столбец1]]*Таблица1[[#This Row],[коэф]])),
IF(OR(G706="4/8",G706="3/8",G706="2/8"),((база!$J$5*2*Таблица1[[#This Row],[Столбец1]]*Таблица1[[#This Row],[коэф]])))))))))))</f>
        <v>0</v>
      </c>
      <c r="AQ706" s="678" t="str">
        <f>IFERROR(INDEX(база!T:T, MATCH(F706,база!Q:Q,0)),"")</f>
        <v/>
      </c>
      <c r="AR706" s="193">
        <f>IFERROR(INDEX(база!D:D, MATCH(F706,база!B:B,0)),"")</f>
        <v>0</v>
      </c>
    </row>
    <row r="707" spans="1:44" ht="15">
      <c r="A707" s="59"/>
      <c r="B707" s="215"/>
      <c r="C707" s="277"/>
      <c r="D707" s="55"/>
      <c r="E707" s="196"/>
      <c r="F707" s="651"/>
      <c r="G707" s="42"/>
      <c r="H707" s="539"/>
      <c r="I707" s="539"/>
      <c r="J707" s="539"/>
      <c r="K707" s="539"/>
      <c r="L707" s="539"/>
      <c r="M707" s="539"/>
      <c r="N707" s="539"/>
      <c r="O707" s="539"/>
      <c r="P707" s="278"/>
      <c r="Q707" s="539"/>
      <c r="R707" s="539"/>
      <c r="S707" s="539"/>
      <c r="T707" s="539"/>
      <c r="U707" s="539"/>
      <c r="V707" s="539"/>
      <c r="W707" s="539"/>
      <c r="X707" s="539"/>
      <c r="Y707" s="539"/>
      <c r="Z707" s="539"/>
      <c r="AA707" s="539"/>
      <c r="AB707" s="539"/>
      <c r="AC707" s="539"/>
      <c r="AD707" s="43"/>
      <c r="AE707" s="43"/>
      <c r="AF707" s="238"/>
      <c r="AG707" s="43"/>
      <c r="AH707" s="43"/>
      <c r="AI707" s="238"/>
      <c r="AJ707" s="238"/>
      <c r="AK707" s="238"/>
      <c r="AL707" s="238"/>
      <c r="AM707" s="197">
        <f>IF(AQ707=1,SUM(H707:I707,L707:O707,R707:U707,X707:AA707,AD707:AG707,AI707:AK707),
IF(AQ707=2,SUM(H707:K707,N707:Q707,T707:W707,Z707:AC707,AF707:AI707),
IF(AQ707=3,SUM(J707:M707,P707:S707,V707:Y707,AB707:AE707,AH707:AK707),SUM(Таблица1[[#This Row],[1]:[31]])-Таблица1[[#This Row],[Столбец1]])))</f>
        <v>0</v>
      </c>
      <c r="AN707" s="269">
        <f t="array" ref="AN707">IF(AQ707=1,SUM(J707:K707,P707:Q707,V707:W707,AB707:AC707,AH707:AI707),
IF(AQ707=2,SUM(L707:M707,R707:S707,X707:Y707,AD707:AE707),
IF(AQ707=3,SUM(H707:I707,N707:O707,T707:U707,Z707:AA707,AF707:AG707),
SUM(IFERROR(WEEKDAY($H$2:$AL$2,2)&gt;5,)*H707:AL707))))</f>
        <v>0</v>
      </c>
      <c r="AO707" s="271" t="b">
        <f>IF(AR707&lt;=3,(IF((G707="5/24"),((база!$M$6*Таблица1[[#This Row],[сумма]]*Таблица1[[#This Row],[коэф]])),
IF((G707="4/24"),((база!$M$5*Таблица1[[#This Row],[сумма]]*Таблица1[[#This Row],[коэф]])),
IF((G707="3/24"),((база!$M$4*Таблица1[[#This Row],[сумма]]*Таблица1[[#This Row],[коэф]])),
IF((G707="5/16"),((база!$L$6*Таблица1[[#This Row],[сумма]]*Таблица1[[#This Row],[коэф]])),
IF((G707="4/16"),((база!$L$5*Таблица1[[#This Row],[сумма]]*Таблица1[[#This Row],[коэф]])),
IF((G707="3/16"),((база!$L$4*Таблица1[[#This Row],[сумма]]*Таблица1[[#This Row],[коэф]])),
IF((G707="4/4"),((база!$I$5*Таблица1[[#This Row],[сумма]]*Таблица1[[#This Row],[коэф]])),
IF(OR(G707="2/4",G707="3/4"),((база!$I$4*Таблица1[[#This Row],[сумма]]*Таблица1[[#This Row],[коэф]])),
IF((G707="5/8"),((база!$J$6*Таблица1[[#This Row],[сумма]]*Таблица1[[#This Row],[коэф]])),
IF((G707="4/8"),((база!$J$5*Таблица1[[#This Row],[сумма]]*Таблица1[[#This Row],[коэф]])),
IF(OR(G707="3/8",G707="2/8"),((база!$J$4*Таблица1[[#This Row],[сумма]]*Таблица1[[#This Row],[коэф]])))))))))))))),
(IF((G707="5/24"),((база!$M$6*Таблица1[[#This Row],[сумма]]*Таблица1[[#This Row],[коэф]])),
IF(OR(G707="4/24",G707="3/24"),((база!$M$5*Таблица1[[#This Row],[сумма]]*Таблица1[[#This Row],[коэф]])),
IF((G707="5/16"),((база!$L$6*Таблица1[[#This Row],[сумма]]*Таблица1[[#This Row],[коэф]])),
IF(OR(G707="4/16",G707="3/16"),((база!$L$5*Таблица1[[#This Row],[сумма]]*Таблица1[[#This Row],[коэф]])),
IF(OR(G707="2/4",G707="3/4",G707="4/4"),((база!$I$5*Таблица1[[#This Row],[сумма]]*Таблица1[[#This Row],[коэф]])),
IF((G707="5/8"),((база!$J$6*Таблица1[[#This Row],[сумма]]*Таблица1[[#This Row],[коэф]])),
IF(OR(G707="4/8",G707="3/8",G707="2/8"),((база!$J$5*Таблица1[[#This Row],[сумма]]*Таблица1[[#This Row],[коэф]])))))))))))</f>
        <v>0</v>
      </c>
      <c r="AP707" s="696" t="b">
        <f>IF(AR707&lt;=3,(IF((G707="5/24"),((база!$M$6*2*Таблица1[[#This Row],[Столбец1]]*Таблица1[[#This Row],[коэф]])),
IF((G707="4/24"),((база!$M$5*2*Таблица1[[#This Row],[Столбец1]]*Таблица1[[#This Row],[коэф]])),
IF((G707="3/24"),((база!$M$4*2*Таблица1[[#This Row],[Столбец1]]*Таблица1[[#This Row],[коэф]])),
IF((G707="5/16"),((база!$L$6*2*Таблица1[[#This Row],[Столбец1]]*Таблица1[[#This Row],[коэф]])),
IF((G707="4/16"),((база!$L$5*2*Таблица1[[#This Row],[Столбец1]]*Таблица1[[#This Row],[коэф]])),
IF((G707="3/16"),((база!$L$4*2*Таблица1[[#This Row],[Столбец1]]*Таблица1[[#This Row],[коэф]])),
IF((G707="4/4"),((база!$I$5*2*Таблица1[[#This Row],[Столбец1]]*Таблица1[[#This Row],[коэф]])),
IF(OR(G707="2/4",G707="3/4"),((база!$I$4*2*Таблица1[[#This Row],[Столбец1]]*Таблица1[[#This Row],[коэф]])),
IF((G707="5/8"),((база!$J$6*2*Таблица1[[#This Row],[Столбец1]]*Таблица1[[#This Row],[коэф]])),
IF((G707="4/8"),((база!$J$5*2*Таблица1[[#This Row],[Столбец1]]*Таблица1[[#This Row],[коэф]])),
IF(OR(G707="3/8",G707="2/8"),((база!$J$4*2*Таблица1[[#This Row],[Столбец1]]*Таблица1[[#This Row],[коэф]])))))))))))))),
(IF((G707="5/24"),((база!$M$6*2*Таблица1[[#This Row],[Столбец1]]*Таблица1[[#This Row],[коэф]])),
IF(OR(G707="4/24",G707="3/24"),((база!$M$5*2*Таблица1[[#This Row],[Столбец1]]*Таблица1[[#This Row],[коэф]])),
IF((G707="5/16"),((база!$L$6*2*Таблица1[[#This Row],[Столбец1]]*Таблица1[[#This Row],[коэф]])),
IF(OR(G707="4/16",G707="3/16"),((база!$L$5*2*Таблица1[[#This Row],[Столбец1]]*Таблица1[[#This Row],[коэф]])),
IF(OR(G707="2/4",G707="3/4",G707="4/4"),((база!$I$5*2*Таблица1[[#This Row],[Столбец1]]*Таблица1[[#This Row],[коэф]])),
IF((G707="5/8"),((база!$J$6*2*Таблица1[[#This Row],[Столбец1]]*Таблица1[[#This Row],[коэф]])),
IF(OR(G707="4/8",G707="3/8",G707="2/8"),((база!$J$5*2*Таблица1[[#This Row],[Столбец1]]*Таблица1[[#This Row],[коэф]])))))))))))</f>
        <v>0</v>
      </c>
      <c r="AQ707" s="678" t="str">
        <f>IFERROR(INDEX(база!T:T, MATCH(F707,база!Q:Q,0)),"")</f>
        <v/>
      </c>
      <c r="AR707" s="193">
        <f>IFERROR(INDEX(база!D:D, MATCH(F707,база!B:B,0)),"")</f>
        <v>0</v>
      </c>
    </row>
    <row r="708" spans="1:44" ht="15">
      <c r="A708" s="59"/>
      <c r="B708" s="215"/>
      <c r="C708" s="277"/>
      <c r="D708" s="55"/>
      <c r="E708" s="196"/>
      <c r="F708" s="651"/>
      <c r="G708" s="42"/>
      <c r="H708" s="539"/>
      <c r="I708" s="539"/>
      <c r="J708" s="539"/>
      <c r="K708" s="539"/>
      <c r="L708" s="539"/>
      <c r="M708" s="539"/>
      <c r="N708" s="539"/>
      <c r="O708" s="539"/>
      <c r="P708" s="278"/>
      <c r="Q708" s="539"/>
      <c r="R708" s="539"/>
      <c r="S708" s="539"/>
      <c r="T708" s="539"/>
      <c r="U708" s="539"/>
      <c r="V708" s="539"/>
      <c r="W708" s="539"/>
      <c r="X708" s="539"/>
      <c r="Y708" s="539"/>
      <c r="Z708" s="539"/>
      <c r="AA708" s="539"/>
      <c r="AB708" s="539"/>
      <c r="AC708" s="539"/>
      <c r="AD708" s="43"/>
      <c r="AE708" s="43"/>
      <c r="AF708" s="238"/>
      <c r="AG708" s="43"/>
      <c r="AH708" s="43"/>
      <c r="AI708" s="43"/>
      <c r="AJ708" s="43"/>
      <c r="AK708" s="43"/>
      <c r="AL708" s="45"/>
      <c r="AM708" s="197">
        <f>IF(AQ708=1,SUM(H708:I708,L708:O708,R708:U708,X708:AA708,AD708:AG708,AI708:AK708),
IF(AQ708=2,SUM(H708:K708,N708:Q708,T708:W708,Z708:AC708,AF708:AI708),
IF(AQ708=3,SUM(J708:M708,P708:S708,V708:Y708,AB708:AE708,AH708:AK708),SUM(Таблица1[[#This Row],[1]:[31]])-Таблица1[[#This Row],[Столбец1]])))</f>
        <v>0</v>
      </c>
      <c r="AN708" s="269">
        <f t="array" ref="AN708">IF(AQ708=1,SUM(J708:K708,P708:Q708,V708:W708,AB708:AC708,AH708:AI708),
IF(AQ708=2,SUM(L708:M708,R708:S708,X708:Y708,AD708:AE708),
IF(AQ708=3,SUM(H708:I708,N708:O708,T708:U708,Z708:AA708,AF708:AG708),
SUM(IFERROR(WEEKDAY($H$2:$AL$2,2)&gt;5,)*H708:AL708))))</f>
        <v>0</v>
      </c>
      <c r="AO708" s="271" t="b">
        <f>IF(AR708&lt;=3,(IF((G708="5/24"),((база!$M$6*Таблица1[[#This Row],[сумма]]*Таблица1[[#This Row],[коэф]])),
IF((G708="4/24"),((база!$M$5*Таблица1[[#This Row],[сумма]]*Таблица1[[#This Row],[коэф]])),
IF((G708="3/24"),((база!$M$4*Таблица1[[#This Row],[сумма]]*Таблица1[[#This Row],[коэф]])),
IF((G708="5/16"),((база!$L$6*Таблица1[[#This Row],[сумма]]*Таблица1[[#This Row],[коэф]])),
IF((G708="4/16"),((база!$L$5*Таблица1[[#This Row],[сумма]]*Таблица1[[#This Row],[коэф]])),
IF((G708="3/16"),((база!$L$4*Таблица1[[#This Row],[сумма]]*Таблица1[[#This Row],[коэф]])),
IF((G708="4/4"),((база!$I$5*Таблица1[[#This Row],[сумма]]*Таблица1[[#This Row],[коэф]])),
IF(OR(G708="2/4",G708="3/4"),((база!$I$4*Таблица1[[#This Row],[сумма]]*Таблица1[[#This Row],[коэф]])),
IF((G708="5/8"),((база!$J$6*Таблица1[[#This Row],[сумма]]*Таблица1[[#This Row],[коэф]])),
IF((G708="4/8"),((база!$J$5*Таблица1[[#This Row],[сумма]]*Таблица1[[#This Row],[коэф]])),
IF(OR(G708="3/8",G708="2/8"),((база!$J$4*Таблица1[[#This Row],[сумма]]*Таблица1[[#This Row],[коэф]])))))))))))))),
(IF((G708="5/24"),((база!$M$6*Таблица1[[#This Row],[сумма]]*Таблица1[[#This Row],[коэф]])),
IF(OR(G708="4/24",G708="3/24"),((база!$M$5*Таблица1[[#This Row],[сумма]]*Таблица1[[#This Row],[коэф]])),
IF((G708="5/16"),((база!$L$6*Таблица1[[#This Row],[сумма]]*Таблица1[[#This Row],[коэф]])),
IF(OR(G708="4/16",G708="3/16"),((база!$L$5*Таблица1[[#This Row],[сумма]]*Таблица1[[#This Row],[коэф]])),
IF(OR(G708="2/4",G708="3/4",G708="4/4"),((база!$I$5*Таблица1[[#This Row],[сумма]]*Таблица1[[#This Row],[коэф]])),
IF((G708="5/8"),((база!$J$6*Таблица1[[#This Row],[сумма]]*Таблица1[[#This Row],[коэф]])),
IF(OR(G708="4/8",G708="3/8",G708="2/8"),((база!$J$5*Таблица1[[#This Row],[сумма]]*Таблица1[[#This Row],[коэф]])))))))))))</f>
        <v>0</v>
      </c>
      <c r="AP708" s="696" t="b">
        <f>IF(AR708&lt;=3,(IF((G708="5/24"),((база!$M$6*2*Таблица1[[#This Row],[Столбец1]]*Таблица1[[#This Row],[коэф]])),
IF((G708="4/24"),((база!$M$5*2*Таблица1[[#This Row],[Столбец1]]*Таблица1[[#This Row],[коэф]])),
IF((G708="3/24"),((база!$M$4*2*Таблица1[[#This Row],[Столбец1]]*Таблица1[[#This Row],[коэф]])),
IF((G708="5/16"),((база!$L$6*2*Таблица1[[#This Row],[Столбец1]]*Таблица1[[#This Row],[коэф]])),
IF((G708="4/16"),((база!$L$5*2*Таблица1[[#This Row],[Столбец1]]*Таблица1[[#This Row],[коэф]])),
IF((G708="3/16"),((база!$L$4*2*Таблица1[[#This Row],[Столбец1]]*Таблица1[[#This Row],[коэф]])),
IF((G708="4/4"),((база!$I$5*2*Таблица1[[#This Row],[Столбец1]]*Таблица1[[#This Row],[коэф]])),
IF(OR(G708="2/4",G708="3/4"),((база!$I$4*2*Таблица1[[#This Row],[Столбец1]]*Таблица1[[#This Row],[коэф]])),
IF((G708="5/8"),((база!$J$6*2*Таблица1[[#This Row],[Столбец1]]*Таблица1[[#This Row],[коэф]])),
IF((G708="4/8"),((база!$J$5*2*Таблица1[[#This Row],[Столбец1]]*Таблица1[[#This Row],[коэф]])),
IF(OR(G708="3/8",G708="2/8"),((база!$J$4*2*Таблица1[[#This Row],[Столбец1]]*Таблица1[[#This Row],[коэф]])))))))))))))),
(IF((G708="5/24"),((база!$M$6*2*Таблица1[[#This Row],[Столбец1]]*Таблица1[[#This Row],[коэф]])),
IF(OR(G708="4/24",G708="3/24"),((база!$M$5*2*Таблица1[[#This Row],[Столбец1]]*Таблица1[[#This Row],[коэф]])),
IF((G708="5/16"),((база!$L$6*2*Таблица1[[#This Row],[Столбец1]]*Таблица1[[#This Row],[коэф]])),
IF(OR(G708="4/16",G708="3/16"),((база!$L$5*2*Таблица1[[#This Row],[Столбец1]]*Таблица1[[#This Row],[коэф]])),
IF(OR(G708="2/4",G708="3/4",G708="4/4"),((база!$I$5*2*Таблица1[[#This Row],[Столбец1]]*Таблица1[[#This Row],[коэф]])),
IF((G708="5/8"),((база!$J$6*2*Таблица1[[#This Row],[Столбец1]]*Таблица1[[#This Row],[коэф]])),
IF(OR(G708="4/8",G708="3/8",G708="2/8"),((база!$J$5*2*Таблица1[[#This Row],[Столбец1]]*Таблица1[[#This Row],[коэф]])))))))))))</f>
        <v>0</v>
      </c>
      <c r="AQ708" s="678" t="str">
        <f>IFERROR(INDEX(база!T:T, MATCH(F708,база!Q:Q,0)),"")</f>
        <v/>
      </c>
      <c r="AR708" s="193">
        <f>IFERROR(INDEX(база!D:D, MATCH(F708,база!B:B,0)),"")</f>
        <v>0</v>
      </c>
    </row>
    <row r="709" spans="1:44" ht="15">
      <c r="A709" s="59"/>
      <c r="B709" s="215"/>
      <c r="C709" s="277"/>
      <c r="D709" s="55"/>
      <c r="E709" s="196"/>
      <c r="F709" s="651"/>
      <c r="G709" s="42"/>
      <c r="H709" s="539"/>
      <c r="I709" s="539"/>
      <c r="J709" s="539"/>
      <c r="K709" s="539"/>
      <c r="L709" s="539"/>
      <c r="M709" s="539"/>
      <c r="N709" s="539"/>
      <c r="O709" s="539"/>
      <c r="P709" s="278"/>
      <c r="Q709" s="539"/>
      <c r="R709" s="539"/>
      <c r="S709" s="539"/>
      <c r="T709" s="539"/>
      <c r="U709" s="539"/>
      <c r="V709" s="539"/>
      <c r="W709" s="539"/>
      <c r="X709" s="539"/>
      <c r="Y709" s="539"/>
      <c r="Z709" s="539"/>
      <c r="AA709" s="539"/>
      <c r="AB709" s="539"/>
      <c r="AC709" s="539"/>
      <c r="AD709" s="43"/>
      <c r="AE709" s="43"/>
      <c r="AF709" s="238"/>
      <c r="AG709" s="43"/>
      <c r="AH709" s="43"/>
      <c r="AI709" s="238"/>
      <c r="AJ709" s="238"/>
      <c r="AK709" s="238"/>
      <c r="AL709" s="238"/>
      <c r="AM709" s="197">
        <f>IF(AQ709=1,SUM(H709:I709,L709:O709,R709:U709,X709:AA709,AD709:AG709,AI709:AK709),
IF(AQ709=2,SUM(H709:K709,N709:Q709,T709:W709,Z709:AC709,AF709:AI709),
IF(AQ709=3,SUM(J709:M709,P709:S709,V709:Y709,AB709:AE709,AH709:AK709),SUM(Таблица1[[#This Row],[1]:[31]])-Таблица1[[#This Row],[Столбец1]])))</f>
        <v>0</v>
      </c>
      <c r="AN709" s="269">
        <f t="array" ref="AN709">IF(AQ709=1,SUM(J709:K709,P709:Q709,V709:W709,AB709:AC709,AH709:AI709),
IF(AQ709=2,SUM(L709:M709,R709:S709,X709:Y709,AD709:AE709),
IF(AQ709=3,SUM(H709:I709,N709:O709,T709:U709,Z709:AA709,AF709:AG709),
SUM(IFERROR(WEEKDAY($H$2:$AL$2,2)&gt;5,)*H709:AL709))))</f>
        <v>0</v>
      </c>
      <c r="AO709" s="271" t="b">
        <f>IF(AR709&lt;=3,(IF((G709="5/24"),((база!$M$6*Таблица1[[#This Row],[сумма]]*Таблица1[[#This Row],[коэф]])),
IF((G709="4/24"),((база!$M$5*Таблица1[[#This Row],[сумма]]*Таблица1[[#This Row],[коэф]])),
IF((G709="3/24"),((база!$M$4*Таблица1[[#This Row],[сумма]]*Таблица1[[#This Row],[коэф]])),
IF((G709="5/16"),((база!$L$6*Таблица1[[#This Row],[сумма]]*Таблица1[[#This Row],[коэф]])),
IF((G709="4/16"),((база!$L$5*Таблица1[[#This Row],[сумма]]*Таблица1[[#This Row],[коэф]])),
IF((G709="3/16"),((база!$L$4*Таблица1[[#This Row],[сумма]]*Таблица1[[#This Row],[коэф]])),
IF((G709="4/4"),((база!$I$5*Таблица1[[#This Row],[сумма]]*Таблица1[[#This Row],[коэф]])),
IF(OR(G709="2/4",G709="3/4"),((база!$I$4*Таблица1[[#This Row],[сумма]]*Таблица1[[#This Row],[коэф]])),
IF((G709="5/8"),((база!$J$6*Таблица1[[#This Row],[сумма]]*Таблица1[[#This Row],[коэф]])),
IF((G709="4/8"),((база!$J$5*Таблица1[[#This Row],[сумма]]*Таблица1[[#This Row],[коэф]])),
IF(OR(G709="3/8",G709="2/8"),((база!$J$4*Таблица1[[#This Row],[сумма]]*Таблица1[[#This Row],[коэф]])))))))))))))),
(IF((G709="5/24"),((база!$M$6*Таблица1[[#This Row],[сумма]]*Таблица1[[#This Row],[коэф]])),
IF(OR(G709="4/24",G709="3/24"),((база!$M$5*Таблица1[[#This Row],[сумма]]*Таблица1[[#This Row],[коэф]])),
IF((G709="5/16"),((база!$L$6*Таблица1[[#This Row],[сумма]]*Таблица1[[#This Row],[коэф]])),
IF(OR(G709="4/16",G709="3/16"),((база!$L$5*Таблица1[[#This Row],[сумма]]*Таблица1[[#This Row],[коэф]])),
IF(OR(G709="2/4",G709="3/4",G709="4/4"),((база!$I$5*Таблица1[[#This Row],[сумма]]*Таблица1[[#This Row],[коэф]])),
IF((G709="5/8"),((база!$J$6*Таблица1[[#This Row],[сумма]]*Таблица1[[#This Row],[коэф]])),
IF(OR(G709="4/8",G709="3/8",G709="2/8"),((база!$J$5*Таблица1[[#This Row],[сумма]]*Таблица1[[#This Row],[коэф]])))))))))))</f>
        <v>0</v>
      </c>
      <c r="AP709" s="696" t="b">
        <f>IF(AR709&lt;=3,(IF((G709="5/24"),((база!$M$6*2*Таблица1[[#This Row],[Столбец1]]*Таблица1[[#This Row],[коэф]])),
IF((G709="4/24"),((база!$M$5*2*Таблица1[[#This Row],[Столбец1]]*Таблица1[[#This Row],[коэф]])),
IF((G709="3/24"),((база!$M$4*2*Таблица1[[#This Row],[Столбец1]]*Таблица1[[#This Row],[коэф]])),
IF((G709="5/16"),((база!$L$6*2*Таблица1[[#This Row],[Столбец1]]*Таблица1[[#This Row],[коэф]])),
IF((G709="4/16"),((база!$L$5*2*Таблица1[[#This Row],[Столбец1]]*Таблица1[[#This Row],[коэф]])),
IF((G709="3/16"),((база!$L$4*2*Таблица1[[#This Row],[Столбец1]]*Таблица1[[#This Row],[коэф]])),
IF((G709="4/4"),((база!$I$5*2*Таблица1[[#This Row],[Столбец1]]*Таблица1[[#This Row],[коэф]])),
IF(OR(G709="2/4",G709="3/4"),((база!$I$4*2*Таблица1[[#This Row],[Столбец1]]*Таблица1[[#This Row],[коэф]])),
IF((G709="5/8"),((база!$J$6*2*Таблица1[[#This Row],[Столбец1]]*Таблица1[[#This Row],[коэф]])),
IF((G709="4/8"),((база!$J$5*2*Таблица1[[#This Row],[Столбец1]]*Таблица1[[#This Row],[коэф]])),
IF(OR(G709="3/8",G709="2/8"),((база!$J$4*2*Таблица1[[#This Row],[Столбец1]]*Таблица1[[#This Row],[коэф]])))))))))))))),
(IF((G709="5/24"),((база!$M$6*2*Таблица1[[#This Row],[Столбец1]]*Таблица1[[#This Row],[коэф]])),
IF(OR(G709="4/24",G709="3/24"),((база!$M$5*2*Таблица1[[#This Row],[Столбец1]]*Таблица1[[#This Row],[коэф]])),
IF((G709="5/16"),((база!$L$6*2*Таблица1[[#This Row],[Столбец1]]*Таблица1[[#This Row],[коэф]])),
IF(OR(G709="4/16",G709="3/16"),((база!$L$5*2*Таблица1[[#This Row],[Столбец1]]*Таблица1[[#This Row],[коэф]])),
IF(OR(G709="2/4",G709="3/4",G709="4/4"),((база!$I$5*2*Таблица1[[#This Row],[Столбец1]]*Таблица1[[#This Row],[коэф]])),
IF((G709="5/8"),((база!$J$6*2*Таблица1[[#This Row],[Столбец1]]*Таблица1[[#This Row],[коэф]])),
IF(OR(G709="4/8",G709="3/8",G709="2/8"),((база!$J$5*2*Таблица1[[#This Row],[Столбец1]]*Таблица1[[#This Row],[коэф]])))))))))))</f>
        <v>0</v>
      </c>
      <c r="AQ709" s="678" t="str">
        <f>IFERROR(INDEX(база!T:T, MATCH(F709,база!Q:Q,0)),"")</f>
        <v/>
      </c>
      <c r="AR709" s="193">
        <f>IFERROR(INDEX(база!D:D, MATCH(F709,база!B:B,0)),"")</f>
        <v>0</v>
      </c>
    </row>
    <row r="710" spans="1:44" ht="15">
      <c r="A710" s="59"/>
      <c r="B710" s="215"/>
      <c r="C710" s="277"/>
      <c r="D710" s="55"/>
      <c r="E710" s="196"/>
      <c r="F710" s="651"/>
      <c r="G710" s="42"/>
      <c r="H710" s="539"/>
      <c r="I710" s="539"/>
      <c r="J710" s="539"/>
      <c r="K710" s="539"/>
      <c r="L710" s="539"/>
      <c r="M710" s="539"/>
      <c r="N710" s="539"/>
      <c r="O710" s="539"/>
      <c r="P710" s="278"/>
      <c r="Q710" s="539"/>
      <c r="R710" s="539"/>
      <c r="S710" s="539"/>
      <c r="T710" s="539"/>
      <c r="U710" s="539"/>
      <c r="V710" s="539"/>
      <c r="W710" s="539"/>
      <c r="X710" s="539"/>
      <c r="Y710" s="539"/>
      <c r="Z710" s="539"/>
      <c r="AA710" s="539"/>
      <c r="AB710" s="539"/>
      <c r="AC710" s="539"/>
      <c r="AD710" s="43"/>
      <c r="AE710" s="43"/>
      <c r="AF710" s="238"/>
      <c r="AG710" s="43"/>
      <c r="AH710" s="43"/>
      <c r="AI710" s="43"/>
      <c r="AJ710" s="43"/>
      <c r="AK710" s="43"/>
      <c r="AL710" s="45"/>
      <c r="AM710" s="197">
        <f>IF(AQ710=1,SUM(H710:I710,L710:O710,R710:U710,X710:AA710,AD710:AG710,AI710:AK710),
IF(AQ710=2,SUM(H710:K710,N710:Q710,T710:W710,Z710:AC710,AF710:AI710),
IF(AQ710=3,SUM(J710:M710,P710:S710,V710:Y710,AB710:AE710,AH710:AK710),SUM(Таблица1[[#This Row],[1]:[31]])-Таблица1[[#This Row],[Столбец1]])))</f>
        <v>0</v>
      </c>
      <c r="AN710" s="269">
        <f t="array" ref="AN710">IF(AQ710=1,SUM(J710:K710,P710:Q710,V710:W710,AB710:AC710,AH710:AI710),
IF(AQ710=2,SUM(L710:M710,R710:S710,X710:Y710,AD710:AE710),
IF(AQ710=3,SUM(H710:I710,N710:O710,T710:U710,Z710:AA710,AF710:AG710),
SUM(IFERROR(WEEKDAY($H$2:$AL$2,2)&gt;5,)*H710:AL710))))</f>
        <v>0</v>
      </c>
      <c r="AO710" s="271" t="b">
        <f>IF(AR710&lt;=3,(IF((G710="5/24"),((база!$M$6*Таблица1[[#This Row],[сумма]]*Таблица1[[#This Row],[коэф]])),
IF((G710="4/24"),((база!$M$5*Таблица1[[#This Row],[сумма]]*Таблица1[[#This Row],[коэф]])),
IF((G710="3/24"),((база!$M$4*Таблица1[[#This Row],[сумма]]*Таблица1[[#This Row],[коэф]])),
IF((G710="5/16"),((база!$L$6*Таблица1[[#This Row],[сумма]]*Таблица1[[#This Row],[коэф]])),
IF((G710="4/16"),((база!$L$5*Таблица1[[#This Row],[сумма]]*Таблица1[[#This Row],[коэф]])),
IF((G710="3/16"),((база!$L$4*Таблица1[[#This Row],[сумма]]*Таблица1[[#This Row],[коэф]])),
IF((G710="4/4"),((база!$I$5*Таблица1[[#This Row],[сумма]]*Таблица1[[#This Row],[коэф]])),
IF(OR(G710="2/4",G710="3/4"),((база!$I$4*Таблица1[[#This Row],[сумма]]*Таблица1[[#This Row],[коэф]])),
IF((G710="5/8"),((база!$J$6*Таблица1[[#This Row],[сумма]]*Таблица1[[#This Row],[коэф]])),
IF((G710="4/8"),((база!$J$5*Таблица1[[#This Row],[сумма]]*Таблица1[[#This Row],[коэф]])),
IF(OR(G710="3/8",G710="2/8"),((база!$J$4*Таблица1[[#This Row],[сумма]]*Таблица1[[#This Row],[коэф]])))))))))))))),
(IF((G710="5/24"),((база!$M$6*Таблица1[[#This Row],[сумма]]*Таблица1[[#This Row],[коэф]])),
IF(OR(G710="4/24",G710="3/24"),((база!$M$5*Таблица1[[#This Row],[сумма]]*Таблица1[[#This Row],[коэф]])),
IF((G710="5/16"),((база!$L$6*Таблица1[[#This Row],[сумма]]*Таблица1[[#This Row],[коэф]])),
IF(OR(G710="4/16",G710="3/16"),((база!$L$5*Таблица1[[#This Row],[сумма]]*Таблица1[[#This Row],[коэф]])),
IF(OR(G710="2/4",G710="3/4",G710="4/4"),((база!$I$5*Таблица1[[#This Row],[сумма]]*Таблица1[[#This Row],[коэф]])),
IF((G710="5/8"),((база!$J$6*Таблица1[[#This Row],[сумма]]*Таблица1[[#This Row],[коэф]])),
IF(OR(G710="4/8",G710="3/8",G710="2/8"),((база!$J$5*Таблица1[[#This Row],[сумма]]*Таблица1[[#This Row],[коэф]])))))))))))</f>
        <v>0</v>
      </c>
      <c r="AP710" s="696" t="b">
        <f>IF(AR710&lt;=3,(IF((G710="5/24"),((база!$M$6*2*Таблица1[[#This Row],[Столбец1]]*Таблица1[[#This Row],[коэф]])),
IF((G710="4/24"),((база!$M$5*2*Таблица1[[#This Row],[Столбец1]]*Таблица1[[#This Row],[коэф]])),
IF((G710="3/24"),((база!$M$4*2*Таблица1[[#This Row],[Столбец1]]*Таблица1[[#This Row],[коэф]])),
IF((G710="5/16"),((база!$L$6*2*Таблица1[[#This Row],[Столбец1]]*Таблица1[[#This Row],[коэф]])),
IF((G710="4/16"),((база!$L$5*2*Таблица1[[#This Row],[Столбец1]]*Таблица1[[#This Row],[коэф]])),
IF((G710="3/16"),((база!$L$4*2*Таблица1[[#This Row],[Столбец1]]*Таблица1[[#This Row],[коэф]])),
IF((G710="4/4"),((база!$I$5*2*Таблица1[[#This Row],[Столбец1]]*Таблица1[[#This Row],[коэф]])),
IF(OR(G710="2/4",G710="3/4"),((база!$I$4*2*Таблица1[[#This Row],[Столбец1]]*Таблица1[[#This Row],[коэф]])),
IF((G710="5/8"),((база!$J$6*2*Таблица1[[#This Row],[Столбец1]]*Таблица1[[#This Row],[коэф]])),
IF((G710="4/8"),((база!$J$5*2*Таблица1[[#This Row],[Столбец1]]*Таблица1[[#This Row],[коэф]])),
IF(OR(G710="3/8",G710="2/8"),((база!$J$4*2*Таблица1[[#This Row],[Столбец1]]*Таблица1[[#This Row],[коэф]])))))))))))))),
(IF((G710="5/24"),((база!$M$6*2*Таблица1[[#This Row],[Столбец1]]*Таблица1[[#This Row],[коэф]])),
IF(OR(G710="4/24",G710="3/24"),((база!$M$5*2*Таблица1[[#This Row],[Столбец1]]*Таблица1[[#This Row],[коэф]])),
IF((G710="5/16"),((база!$L$6*2*Таблица1[[#This Row],[Столбец1]]*Таблица1[[#This Row],[коэф]])),
IF(OR(G710="4/16",G710="3/16"),((база!$L$5*2*Таблица1[[#This Row],[Столбец1]]*Таблица1[[#This Row],[коэф]])),
IF(OR(G710="2/4",G710="3/4",G710="4/4"),((база!$I$5*2*Таблица1[[#This Row],[Столбец1]]*Таблица1[[#This Row],[коэф]])),
IF((G710="5/8"),((база!$J$6*2*Таблица1[[#This Row],[Столбец1]]*Таблица1[[#This Row],[коэф]])),
IF(OR(G710="4/8",G710="3/8",G710="2/8"),((база!$J$5*2*Таблица1[[#This Row],[Столбец1]]*Таблица1[[#This Row],[коэф]])))))))))))</f>
        <v>0</v>
      </c>
      <c r="AQ710" s="678" t="str">
        <f>IFERROR(INDEX(база!T:T, MATCH(F710,база!Q:Q,0)),"")</f>
        <v/>
      </c>
      <c r="AR710" s="193">
        <f>IFERROR(INDEX(база!D:D, MATCH(F710,база!B:B,0)),"")</f>
        <v>0</v>
      </c>
    </row>
    <row r="711" spans="1:44" ht="15">
      <c r="A711" s="59"/>
      <c r="B711" s="215"/>
      <c r="C711" s="277"/>
      <c r="D711" s="55"/>
      <c r="E711" s="196"/>
      <c r="F711" s="651"/>
      <c r="G711" s="42"/>
      <c r="H711" s="539"/>
      <c r="I711" s="539"/>
      <c r="J711" s="539"/>
      <c r="K711" s="539"/>
      <c r="L711" s="539"/>
      <c r="M711" s="539"/>
      <c r="N711" s="539"/>
      <c r="O711" s="539"/>
      <c r="P711" s="278"/>
      <c r="Q711" s="539"/>
      <c r="R711" s="539"/>
      <c r="S711" s="539"/>
      <c r="T711" s="539"/>
      <c r="U711" s="539"/>
      <c r="V711" s="539"/>
      <c r="W711" s="539"/>
      <c r="X711" s="539"/>
      <c r="Y711" s="539"/>
      <c r="Z711" s="539"/>
      <c r="AA711" s="539"/>
      <c r="AB711" s="539"/>
      <c r="AC711" s="539"/>
      <c r="AD711" s="43"/>
      <c r="AE711" s="43"/>
      <c r="AF711" s="238"/>
      <c r="AG711" s="43"/>
      <c r="AH711" s="43"/>
      <c r="AI711" s="238"/>
      <c r="AJ711" s="238"/>
      <c r="AK711" s="238"/>
      <c r="AL711" s="238"/>
      <c r="AM711" s="197">
        <f>IF(AQ711=1,SUM(H711:I711,L711:O711,R711:U711,X711:AA711,AD711:AG711,AI711:AK711),
IF(AQ711=2,SUM(H711:K711,N711:Q711,T711:W711,Z711:AC711,AF711:AI711),
IF(AQ711=3,SUM(J711:M711,P711:S711,V711:Y711,AB711:AE711,AH711:AK711),SUM(Таблица1[[#This Row],[1]:[31]])-Таблица1[[#This Row],[Столбец1]])))</f>
        <v>0</v>
      </c>
      <c r="AN711" s="269">
        <f t="array" ref="AN711">IF(AQ711=1,SUM(J711:K711,P711:Q711,V711:W711,AB711:AC711,AH711:AI711),
IF(AQ711=2,SUM(L711:M711,R711:S711,X711:Y711,AD711:AE711),
IF(AQ711=3,SUM(H711:I711,N711:O711,T711:U711,Z711:AA711,AF711:AG711),
SUM(IFERROR(WEEKDAY($H$2:$AL$2,2)&gt;5,)*H711:AL711))))</f>
        <v>0</v>
      </c>
      <c r="AO711" s="271" t="b">
        <f>IF(AR711&lt;=3,(IF((G711="5/24"),((база!$M$6*Таблица1[[#This Row],[сумма]]*Таблица1[[#This Row],[коэф]])),
IF((G711="4/24"),((база!$M$5*Таблица1[[#This Row],[сумма]]*Таблица1[[#This Row],[коэф]])),
IF((G711="3/24"),((база!$M$4*Таблица1[[#This Row],[сумма]]*Таблица1[[#This Row],[коэф]])),
IF((G711="5/16"),((база!$L$6*Таблица1[[#This Row],[сумма]]*Таблица1[[#This Row],[коэф]])),
IF((G711="4/16"),((база!$L$5*Таблица1[[#This Row],[сумма]]*Таблица1[[#This Row],[коэф]])),
IF((G711="3/16"),((база!$L$4*Таблица1[[#This Row],[сумма]]*Таблица1[[#This Row],[коэф]])),
IF((G711="4/4"),((база!$I$5*Таблица1[[#This Row],[сумма]]*Таблица1[[#This Row],[коэф]])),
IF(OR(G711="2/4",G711="3/4"),((база!$I$4*Таблица1[[#This Row],[сумма]]*Таблица1[[#This Row],[коэф]])),
IF((G711="5/8"),((база!$J$6*Таблица1[[#This Row],[сумма]]*Таблица1[[#This Row],[коэф]])),
IF((G711="4/8"),((база!$J$5*Таблица1[[#This Row],[сумма]]*Таблица1[[#This Row],[коэф]])),
IF(OR(G711="3/8",G711="2/8"),((база!$J$4*Таблица1[[#This Row],[сумма]]*Таблица1[[#This Row],[коэф]])))))))))))))),
(IF((G711="5/24"),((база!$M$6*Таблица1[[#This Row],[сумма]]*Таблица1[[#This Row],[коэф]])),
IF(OR(G711="4/24",G711="3/24"),((база!$M$5*Таблица1[[#This Row],[сумма]]*Таблица1[[#This Row],[коэф]])),
IF((G711="5/16"),((база!$L$6*Таблица1[[#This Row],[сумма]]*Таблица1[[#This Row],[коэф]])),
IF(OR(G711="4/16",G711="3/16"),((база!$L$5*Таблица1[[#This Row],[сумма]]*Таблица1[[#This Row],[коэф]])),
IF(OR(G711="2/4",G711="3/4",G711="4/4"),((база!$I$5*Таблица1[[#This Row],[сумма]]*Таблица1[[#This Row],[коэф]])),
IF((G711="5/8"),((база!$J$6*Таблица1[[#This Row],[сумма]]*Таблица1[[#This Row],[коэф]])),
IF(OR(G711="4/8",G711="3/8",G711="2/8"),((база!$J$5*Таблица1[[#This Row],[сумма]]*Таблица1[[#This Row],[коэф]])))))))))))</f>
        <v>0</v>
      </c>
      <c r="AP711" s="696" t="b">
        <f>IF(AR711&lt;=3,(IF((G711="5/24"),((база!$M$6*2*Таблица1[[#This Row],[Столбец1]]*Таблица1[[#This Row],[коэф]])),
IF((G711="4/24"),((база!$M$5*2*Таблица1[[#This Row],[Столбец1]]*Таблица1[[#This Row],[коэф]])),
IF((G711="3/24"),((база!$M$4*2*Таблица1[[#This Row],[Столбец1]]*Таблица1[[#This Row],[коэф]])),
IF((G711="5/16"),((база!$L$6*2*Таблица1[[#This Row],[Столбец1]]*Таблица1[[#This Row],[коэф]])),
IF((G711="4/16"),((база!$L$5*2*Таблица1[[#This Row],[Столбец1]]*Таблица1[[#This Row],[коэф]])),
IF((G711="3/16"),((база!$L$4*2*Таблица1[[#This Row],[Столбец1]]*Таблица1[[#This Row],[коэф]])),
IF((G711="4/4"),((база!$I$5*2*Таблица1[[#This Row],[Столбец1]]*Таблица1[[#This Row],[коэф]])),
IF(OR(G711="2/4",G711="3/4"),((база!$I$4*2*Таблица1[[#This Row],[Столбец1]]*Таблица1[[#This Row],[коэф]])),
IF((G711="5/8"),((база!$J$6*2*Таблица1[[#This Row],[Столбец1]]*Таблица1[[#This Row],[коэф]])),
IF((G711="4/8"),((база!$J$5*2*Таблица1[[#This Row],[Столбец1]]*Таблица1[[#This Row],[коэф]])),
IF(OR(G711="3/8",G711="2/8"),((база!$J$4*2*Таблица1[[#This Row],[Столбец1]]*Таблица1[[#This Row],[коэф]])))))))))))))),
(IF((G711="5/24"),((база!$M$6*2*Таблица1[[#This Row],[Столбец1]]*Таблица1[[#This Row],[коэф]])),
IF(OR(G711="4/24",G711="3/24"),((база!$M$5*2*Таблица1[[#This Row],[Столбец1]]*Таблица1[[#This Row],[коэф]])),
IF((G711="5/16"),((база!$L$6*2*Таблица1[[#This Row],[Столбец1]]*Таблица1[[#This Row],[коэф]])),
IF(OR(G711="4/16",G711="3/16"),((база!$L$5*2*Таблица1[[#This Row],[Столбец1]]*Таблица1[[#This Row],[коэф]])),
IF(OR(G711="2/4",G711="3/4",G711="4/4"),((база!$I$5*2*Таблица1[[#This Row],[Столбец1]]*Таблица1[[#This Row],[коэф]])),
IF((G711="5/8"),((база!$J$6*2*Таблица1[[#This Row],[Столбец1]]*Таблица1[[#This Row],[коэф]])),
IF(OR(G711="4/8",G711="3/8",G711="2/8"),((база!$J$5*2*Таблица1[[#This Row],[Столбец1]]*Таблица1[[#This Row],[коэф]])))))))))))</f>
        <v>0</v>
      </c>
      <c r="AQ711" s="678" t="str">
        <f>IFERROR(INDEX(база!T:T, MATCH(F711,база!Q:Q,0)),"")</f>
        <v/>
      </c>
      <c r="AR711" s="193">
        <f>IFERROR(INDEX(база!D:D, MATCH(F711,база!B:B,0)),"")</f>
        <v>0</v>
      </c>
    </row>
    <row r="712" spans="1:44" ht="15">
      <c r="A712" s="59"/>
      <c r="B712" s="215"/>
      <c r="C712" s="277"/>
      <c r="D712" s="55"/>
      <c r="E712" s="196"/>
      <c r="F712" s="651"/>
      <c r="G712" s="42"/>
      <c r="H712" s="539"/>
      <c r="I712" s="539"/>
      <c r="J712" s="539"/>
      <c r="K712" s="539"/>
      <c r="L712" s="539"/>
      <c r="M712" s="539"/>
      <c r="N712" s="539"/>
      <c r="O712" s="539"/>
      <c r="P712" s="278"/>
      <c r="Q712" s="539"/>
      <c r="R712" s="539"/>
      <c r="S712" s="539"/>
      <c r="T712" s="539"/>
      <c r="U712" s="539"/>
      <c r="V712" s="539"/>
      <c r="W712" s="539"/>
      <c r="X712" s="539"/>
      <c r="Y712" s="539"/>
      <c r="Z712" s="539"/>
      <c r="AA712" s="539"/>
      <c r="AB712" s="539"/>
      <c r="AC712" s="539"/>
      <c r="AD712" s="43"/>
      <c r="AE712" s="43"/>
      <c r="AF712" s="238"/>
      <c r="AG712" s="43"/>
      <c r="AH712" s="43"/>
      <c r="AI712" s="43"/>
      <c r="AJ712" s="43"/>
      <c r="AK712" s="43"/>
      <c r="AL712" s="45"/>
      <c r="AM712" s="197">
        <f>IF(AQ712=1,SUM(H712:I712,L712:O712,R712:U712,X712:AA712,AD712:AG712,AI712:AK712),
IF(AQ712=2,SUM(H712:K712,N712:Q712,T712:W712,Z712:AC712,AF712:AI712),
IF(AQ712=3,SUM(J712:M712,P712:S712,V712:Y712,AB712:AE712,AH712:AK712),SUM(Таблица1[[#This Row],[1]:[31]])-Таблица1[[#This Row],[Столбец1]])))</f>
        <v>0</v>
      </c>
      <c r="AN712" s="269">
        <f t="array" ref="AN712">IF(AQ712=1,SUM(J712:K712,P712:Q712,V712:W712,AB712:AC712,AH712:AI712),
IF(AQ712=2,SUM(L712:M712,R712:S712,X712:Y712,AD712:AE712),
IF(AQ712=3,SUM(H712:I712,N712:O712,T712:U712,Z712:AA712,AF712:AG712),
SUM(IFERROR(WEEKDAY($H$2:$AL$2,2)&gt;5,)*H712:AL712))))</f>
        <v>0</v>
      </c>
      <c r="AO712" s="271" t="b">
        <f>IF(AR712&lt;=3,(IF((G712="5/24"),((база!$M$6*Таблица1[[#This Row],[сумма]]*Таблица1[[#This Row],[коэф]])),
IF((G712="4/24"),((база!$M$5*Таблица1[[#This Row],[сумма]]*Таблица1[[#This Row],[коэф]])),
IF((G712="3/24"),((база!$M$4*Таблица1[[#This Row],[сумма]]*Таблица1[[#This Row],[коэф]])),
IF((G712="5/16"),((база!$L$6*Таблица1[[#This Row],[сумма]]*Таблица1[[#This Row],[коэф]])),
IF((G712="4/16"),((база!$L$5*Таблица1[[#This Row],[сумма]]*Таблица1[[#This Row],[коэф]])),
IF((G712="3/16"),((база!$L$4*Таблица1[[#This Row],[сумма]]*Таблица1[[#This Row],[коэф]])),
IF((G712="4/4"),((база!$I$5*Таблица1[[#This Row],[сумма]]*Таблица1[[#This Row],[коэф]])),
IF(OR(G712="2/4",G712="3/4"),((база!$I$4*Таблица1[[#This Row],[сумма]]*Таблица1[[#This Row],[коэф]])),
IF((G712="5/8"),((база!$J$6*Таблица1[[#This Row],[сумма]]*Таблица1[[#This Row],[коэф]])),
IF((G712="4/8"),((база!$J$5*Таблица1[[#This Row],[сумма]]*Таблица1[[#This Row],[коэф]])),
IF(OR(G712="3/8",G712="2/8"),((база!$J$4*Таблица1[[#This Row],[сумма]]*Таблица1[[#This Row],[коэф]])))))))))))))),
(IF((G712="5/24"),((база!$M$6*Таблица1[[#This Row],[сумма]]*Таблица1[[#This Row],[коэф]])),
IF(OR(G712="4/24",G712="3/24"),((база!$M$5*Таблица1[[#This Row],[сумма]]*Таблица1[[#This Row],[коэф]])),
IF((G712="5/16"),((база!$L$6*Таблица1[[#This Row],[сумма]]*Таблица1[[#This Row],[коэф]])),
IF(OR(G712="4/16",G712="3/16"),((база!$L$5*Таблица1[[#This Row],[сумма]]*Таблица1[[#This Row],[коэф]])),
IF(OR(G712="2/4",G712="3/4",G712="4/4"),((база!$I$5*Таблица1[[#This Row],[сумма]]*Таблица1[[#This Row],[коэф]])),
IF((G712="5/8"),((база!$J$6*Таблица1[[#This Row],[сумма]]*Таблица1[[#This Row],[коэф]])),
IF(OR(G712="4/8",G712="3/8",G712="2/8"),((база!$J$5*Таблица1[[#This Row],[сумма]]*Таблица1[[#This Row],[коэф]])))))))))))</f>
        <v>0</v>
      </c>
      <c r="AP712" s="696" t="b">
        <f>IF(AR712&lt;=3,(IF((G712="5/24"),((база!$M$6*2*Таблица1[[#This Row],[Столбец1]]*Таблица1[[#This Row],[коэф]])),
IF((G712="4/24"),((база!$M$5*2*Таблица1[[#This Row],[Столбец1]]*Таблица1[[#This Row],[коэф]])),
IF((G712="3/24"),((база!$M$4*2*Таблица1[[#This Row],[Столбец1]]*Таблица1[[#This Row],[коэф]])),
IF((G712="5/16"),((база!$L$6*2*Таблица1[[#This Row],[Столбец1]]*Таблица1[[#This Row],[коэф]])),
IF((G712="4/16"),((база!$L$5*2*Таблица1[[#This Row],[Столбец1]]*Таблица1[[#This Row],[коэф]])),
IF((G712="3/16"),((база!$L$4*2*Таблица1[[#This Row],[Столбец1]]*Таблица1[[#This Row],[коэф]])),
IF((G712="4/4"),((база!$I$5*2*Таблица1[[#This Row],[Столбец1]]*Таблица1[[#This Row],[коэф]])),
IF(OR(G712="2/4",G712="3/4"),((база!$I$4*2*Таблица1[[#This Row],[Столбец1]]*Таблица1[[#This Row],[коэф]])),
IF((G712="5/8"),((база!$J$6*2*Таблица1[[#This Row],[Столбец1]]*Таблица1[[#This Row],[коэф]])),
IF((G712="4/8"),((база!$J$5*2*Таблица1[[#This Row],[Столбец1]]*Таблица1[[#This Row],[коэф]])),
IF(OR(G712="3/8",G712="2/8"),((база!$J$4*2*Таблица1[[#This Row],[Столбец1]]*Таблица1[[#This Row],[коэф]])))))))))))))),
(IF((G712="5/24"),((база!$M$6*2*Таблица1[[#This Row],[Столбец1]]*Таблица1[[#This Row],[коэф]])),
IF(OR(G712="4/24",G712="3/24"),((база!$M$5*2*Таблица1[[#This Row],[Столбец1]]*Таблица1[[#This Row],[коэф]])),
IF((G712="5/16"),((база!$L$6*2*Таблица1[[#This Row],[Столбец1]]*Таблица1[[#This Row],[коэф]])),
IF(OR(G712="4/16",G712="3/16"),((база!$L$5*2*Таблица1[[#This Row],[Столбец1]]*Таблица1[[#This Row],[коэф]])),
IF(OR(G712="2/4",G712="3/4",G712="4/4"),((база!$I$5*2*Таблица1[[#This Row],[Столбец1]]*Таблица1[[#This Row],[коэф]])),
IF((G712="5/8"),((база!$J$6*2*Таблица1[[#This Row],[Столбец1]]*Таблица1[[#This Row],[коэф]])),
IF(OR(G712="4/8",G712="3/8",G712="2/8"),((база!$J$5*2*Таблица1[[#This Row],[Столбец1]]*Таблица1[[#This Row],[коэф]])))))))))))</f>
        <v>0</v>
      </c>
      <c r="AQ712" s="678" t="str">
        <f>IFERROR(INDEX(база!T:T, MATCH(F712,база!Q:Q,0)),"")</f>
        <v/>
      </c>
      <c r="AR712" s="193">
        <f>IFERROR(INDEX(база!D:D, MATCH(F712,база!B:B,0)),"")</f>
        <v>0</v>
      </c>
    </row>
    <row r="713" spans="1:44" ht="15">
      <c r="A713" s="59"/>
      <c r="B713" s="215"/>
      <c r="C713" s="277"/>
      <c r="D713" s="55"/>
      <c r="E713" s="196"/>
      <c r="F713" s="651"/>
      <c r="G713" s="42"/>
      <c r="H713" s="539"/>
      <c r="I713" s="539"/>
      <c r="J713" s="539"/>
      <c r="K713" s="539"/>
      <c r="L713" s="539"/>
      <c r="M713" s="539"/>
      <c r="N713" s="539"/>
      <c r="O713" s="539"/>
      <c r="P713" s="278"/>
      <c r="Q713" s="539"/>
      <c r="R713" s="539"/>
      <c r="S713" s="539"/>
      <c r="T713" s="539"/>
      <c r="U713" s="539"/>
      <c r="V713" s="539"/>
      <c r="W713" s="539"/>
      <c r="X713" s="539"/>
      <c r="Y713" s="539"/>
      <c r="Z713" s="539"/>
      <c r="AA713" s="539"/>
      <c r="AB713" s="539"/>
      <c r="AC713" s="539"/>
      <c r="AD713" s="43"/>
      <c r="AE713" s="43"/>
      <c r="AF713" s="238"/>
      <c r="AG713" s="43"/>
      <c r="AH713" s="43"/>
      <c r="AI713" s="238"/>
      <c r="AJ713" s="238"/>
      <c r="AK713" s="238"/>
      <c r="AL713" s="238"/>
      <c r="AM713" s="197">
        <f>IF(AQ713=1,SUM(H713:I713,L713:O713,R713:U713,X713:AA713,AD713:AG713,AI713:AK713),
IF(AQ713=2,SUM(H713:K713,N713:Q713,T713:W713,Z713:AC713,AF713:AI713),
IF(AQ713=3,SUM(J713:M713,P713:S713,V713:Y713,AB713:AE713,AH713:AK713),SUM(Таблица1[[#This Row],[1]:[31]])-Таблица1[[#This Row],[Столбец1]])))</f>
        <v>0</v>
      </c>
      <c r="AN713" s="269">
        <f t="array" ref="AN713">IF(AQ713=1,SUM(J713:K713,P713:Q713,V713:W713,AB713:AC713,AH713:AI713),
IF(AQ713=2,SUM(L713:M713,R713:S713,X713:Y713,AD713:AE713),
IF(AQ713=3,SUM(H713:I713,N713:O713,T713:U713,Z713:AA713,AF713:AG713),
SUM(IFERROR(WEEKDAY($H$2:$AL$2,2)&gt;5,)*H713:AL713))))</f>
        <v>0</v>
      </c>
      <c r="AO713" s="271" t="b">
        <f>IF(AR713&lt;=3,(IF((G713="5/24"),((база!$M$6*Таблица1[[#This Row],[сумма]]*Таблица1[[#This Row],[коэф]])),
IF((G713="4/24"),((база!$M$5*Таблица1[[#This Row],[сумма]]*Таблица1[[#This Row],[коэф]])),
IF((G713="3/24"),((база!$M$4*Таблица1[[#This Row],[сумма]]*Таблица1[[#This Row],[коэф]])),
IF((G713="5/16"),((база!$L$6*Таблица1[[#This Row],[сумма]]*Таблица1[[#This Row],[коэф]])),
IF((G713="4/16"),((база!$L$5*Таблица1[[#This Row],[сумма]]*Таблица1[[#This Row],[коэф]])),
IF((G713="3/16"),((база!$L$4*Таблица1[[#This Row],[сумма]]*Таблица1[[#This Row],[коэф]])),
IF((G713="4/4"),((база!$I$5*Таблица1[[#This Row],[сумма]]*Таблица1[[#This Row],[коэф]])),
IF(OR(G713="2/4",G713="3/4"),((база!$I$4*Таблица1[[#This Row],[сумма]]*Таблица1[[#This Row],[коэф]])),
IF((G713="5/8"),((база!$J$6*Таблица1[[#This Row],[сумма]]*Таблица1[[#This Row],[коэф]])),
IF((G713="4/8"),((база!$J$5*Таблица1[[#This Row],[сумма]]*Таблица1[[#This Row],[коэф]])),
IF(OR(G713="3/8",G713="2/8"),((база!$J$4*Таблица1[[#This Row],[сумма]]*Таблица1[[#This Row],[коэф]])))))))))))))),
(IF((G713="5/24"),((база!$M$6*Таблица1[[#This Row],[сумма]]*Таблица1[[#This Row],[коэф]])),
IF(OR(G713="4/24",G713="3/24"),((база!$M$5*Таблица1[[#This Row],[сумма]]*Таблица1[[#This Row],[коэф]])),
IF((G713="5/16"),((база!$L$6*Таблица1[[#This Row],[сумма]]*Таблица1[[#This Row],[коэф]])),
IF(OR(G713="4/16",G713="3/16"),((база!$L$5*Таблица1[[#This Row],[сумма]]*Таблица1[[#This Row],[коэф]])),
IF(OR(G713="2/4",G713="3/4",G713="4/4"),((база!$I$5*Таблица1[[#This Row],[сумма]]*Таблица1[[#This Row],[коэф]])),
IF((G713="5/8"),((база!$J$6*Таблица1[[#This Row],[сумма]]*Таблица1[[#This Row],[коэф]])),
IF(OR(G713="4/8",G713="3/8",G713="2/8"),((база!$J$5*Таблица1[[#This Row],[сумма]]*Таблица1[[#This Row],[коэф]])))))))))))</f>
        <v>0</v>
      </c>
      <c r="AP713" s="696" t="b">
        <f>IF(AR713&lt;=3,(IF((G713="5/24"),((база!$M$6*2*Таблица1[[#This Row],[Столбец1]]*Таблица1[[#This Row],[коэф]])),
IF((G713="4/24"),((база!$M$5*2*Таблица1[[#This Row],[Столбец1]]*Таблица1[[#This Row],[коэф]])),
IF((G713="3/24"),((база!$M$4*2*Таблица1[[#This Row],[Столбец1]]*Таблица1[[#This Row],[коэф]])),
IF((G713="5/16"),((база!$L$6*2*Таблица1[[#This Row],[Столбец1]]*Таблица1[[#This Row],[коэф]])),
IF((G713="4/16"),((база!$L$5*2*Таблица1[[#This Row],[Столбец1]]*Таблица1[[#This Row],[коэф]])),
IF((G713="3/16"),((база!$L$4*2*Таблица1[[#This Row],[Столбец1]]*Таблица1[[#This Row],[коэф]])),
IF((G713="4/4"),((база!$I$5*2*Таблица1[[#This Row],[Столбец1]]*Таблица1[[#This Row],[коэф]])),
IF(OR(G713="2/4",G713="3/4"),((база!$I$4*2*Таблица1[[#This Row],[Столбец1]]*Таблица1[[#This Row],[коэф]])),
IF((G713="5/8"),((база!$J$6*2*Таблица1[[#This Row],[Столбец1]]*Таблица1[[#This Row],[коэф]])),
IF((G713="4/8"),((база!$J$5*2*Таблица1[[#This Row],[Столбец1]]*Таблица1[[#This Row],[коэф]])),
IF(OR(G713="3/8",G713="2/8"),((база!$J$4*2*Таблица1[[#This Row],[Столбец1]]*Таблица1[[#This Row],[коэф]])))))))))))))),
(IF((G713="5/24"),((база!$M$6*2*Таблица1[[#This Row],[Столбец1]]*Таблица1[[#This Row],[коэф]])),
IF(OR(G713="4/24",G713="3/24"),((база!$M$5*2*Таблица1[[#This Row],[Столбец1]]*Таблица1[[#This Row],[коэф]])),
IF((G713="5/16"),((база!$L$6*2*Таблица1[[#This Row],[Столбец1]]*Таблица1[[#This Row],[коэф]])),
IF(OR(G713="4/16",G713="3/16"),((база!$L$5*2*Таблица1[[#This Row],[Столбец1]]*Таблица1[[#This Row],[коэф]])),
IF(OR(G713="2/4",G713="3/4",G713="4/4"),((база!$I$5*2*Таблица1[[#This Row],[Столбец1]]*Таблица1[[#This Row],[коэф]])),
IF((G713="5/8"),((база!$J$6*2*Таблица1[[#This Row],[Столбец1]]*Таблица1[[#This Row],[коэф]])),
IF(OR(G713="4/8",G713="3/8",G713="2/8"),((база!$J$5*2*Таблица1[[#This Row],[Столбец1]]*Таблица1[[#This Row],[коэф]])))))))))))</f>
        <v>0</v>
      </c>
      <c r="AQ713" s="678" t="str">
        <f>IFERROR(INDEX(база!T:T, MATCH(F713,база!Q:Q,0)),"")</f>
        <v/>
      </c>
      <c r="AR713" s="193">
        <f>IFERROR(INDEX(база!D:D, MATCH(F713,база!B:B,0)),"")</f>
        <v>0</v>
      </c>
    </row>
    <row r="714" spans="1:44" ht="15">
      <c r="A714" s="59"/>
      <c r="B714" s="215"/>
      <c r="C714" s="277"/>
      <c r="D714" s="55"/>
      <c r="E714" s="196"/>
      <c r="F714" s="651"/>
      <c r="G714" s="42"/>
      <c r="H714" s="539"/>
      <c r="I714" s="539"/>
      <c r="J714" s="539"/>
      <c r="K714" s="539"/>
      <c r="L714" s="539"/>
      <c r="M714" s="539"/>
      <c r="N714" s="539"/>
      <c r="O714" s="539"/>
      <c r="P714" s="278"/>
      <c r="Q714" s="539"/>
      <c r="R714" s="539"/>
      <c r="S714" s="539"/>
      <c r="T714" s="539"/>
      <c r="U714" s="539"/>
      <c r="V714" s="539"/>
      <c r="W714" s="539"/>
      <c r="X714" s="539"/>
      <c r="Y714" s="539"/>
      <c r="Z714" s="539"/>
      <c r="AA714" s="539"/>
      <c r="AB714" s="539"/>
      <c r="AC714" s="539"/>
      <c r="AD714" s="43"/>
      <c r="AE714" s="43"/>
      <c r="AF714" s="238"/>
      <c r="AG714" s="43"/>
      <c r="AH714" s="43"/>
      <c r="AI714" s="43"/>
      <c r="AJ714" s="43"/>
      <c r="AK714" s="43"/>
      <c r="AL714" s="45"/>
      <c r="AM714" s="197">
        <f>IF(AQ714=1,SUM(H714:I714,L714:O714,R714:U714,X714:AA714,AD714:AG714,AI714:AK714),
IF(AQ714=2,SUM(H714:K714,N714:Q714,T714:W714,Z714:AC714,AF714:AI714),
IF(AQ714=3,SUM(J714:M714,P714:S714,V714:Y714,AB714:AE714,AH714:AK714),SUM(Таблица1[[#This Row],[1]:[31]])-Таблица1[[#This Row],[Столбец1]])))</f>
        <v>0</v>
      </c>
      <c r="AN714" s="269">
        <f t="array" ref="AN714">IF(AQ714=1,SUM(J714:K714,P714:Q714,V714:W714,AB714:AC714,AH714:AI714),
IF(AQ714=2,SUM(L714:M714,R714:S714,X714:Y714,AD714:AE714),
IF(AQ714=3,SUM(H714:I714,N714:O714,T714:U714,Z714:AA714,AF714:AG714),
SUM(IFERROR(WEEKDAY($H$2:$AL$2,2)&gt;5,)*H714:AL714))))</f>
        <v>0</v>
      </c>
      <c r="AO714" s="271" t="b">
        <f>IF(AR714&lt;=3,(IF((G714="5/24"),((база!$M$6*Таблица1[[#This Row],[сумма]]*Таблица1[[#This Row],[коэф]])),
IF((G714="4/24"),((база!$M$5*Таблица1[[#This Row],[сумма]]*Таблица1[[#This Row],[коэф]])),
IF((G714="3/24"),((база!$M$4*Таблица1[[#This Row],[сумма]]*Таблица1[[#This Row],[коэф]])),
IF((G714="5/16"),((база!$L$6*Таблица1[[#This Row],[сумма]]*Таблица1[[#This Row],[коэф]])),
IF((G714="4/16"),((база!$L$5*Таблица1[[#This Row],[сумма]]*Таблица1[[#This Row],[коэф]])),
IF((G714="3/16"),((база!$L$4*Таблица1[[#This Row],[сумма]]*Таблица1[[#This Row],[коэф]])),
IF((G714="4/4"),((база!$I$5*Таблица1[[#This Row],[сумма]]*Таблица1[[#This Row],[коэф]])),
IF(OR(G714="2/4",G714="3/4"),((база!$I$4*Таблица1[[#This Row],[сумма]]*Таблица1[[#This Row],[коэф]])),
IF((G714="5/8"),((база!$J$6*Таблица1[[#This Row],[сумма]]*Таблица1[[#This Row],[коэф]])),
IF((G714="4/8"),((база!$J$5*Таблица1[[#This Row],[сумма]]*Таблица1[[#This Row],[коэф]])),
IF(OR(G714="3/8",G714="2/8"),((база!$J$4*Таблица1[[#This Row],[сумма]]*Таблица1[[#This Row],[коэф]])))))))))))))),
(IF((G714="5/24"),((база!$M$6*Таблица1[[#This Row],[сумма]]*Таблица1[[#This Row],[коэф]])),
IF(OR(G714="4/24",G714="3/24"),((база!$M$5*Таблица1[[#This Row],[сумма]]*Таблица1[[#This Row],[коэф]])),
IF((G714="5/16"),((база!$L$6*Таблица1[[#This Row],[сумма]]*Таблица1[[#This Row],[коэф]])),
IF(OR(G714="4/16",G714="3/16"),((база!$L$5*Таблица1[[#This Row],[сумма]]*Таблица1[[#This Row],[коэф]])),
IF(OR(G714="2/4",G714="3/4",G714="4/4"),((база!$I$5*Таблица1[[#This Row],[сумма]]*Таблица1[[#This Row],[коэф]])),
IF((G714="5/8"),((база!$J$6*Таблица1[[#This Row],[сумма]]*Таблица1[[#This Row],[коэф]])),
IF(OR(G714="4/8",G714="3/8",G714="2/8"),((база!$J$5*Таблица1[[#This Row],[сумма]]*Таблица1[[#This Row],[коэф]])))))))))))</f>
        <v>0</v>
      </c>
      <c r="AP714" s="696" t="b">
        <f>IF(AR714&lt;=3,(IF((G714="5/24"),((база!$M$6*2*Таблица1[[#This Row],[Столбец1]]*Таблица1[[#This Row],[коэф]])),
IF((G714="4/24"),((база!$M$5*2*Таблица1[[#This Row],[Столбец1]]*Таблица1[[#This Row],[коэф]])),
IF((G714="3/24"),((база!$M$4*2*Таблица1[[#This Row],[Столбец1]]*Таблица1[[#This Row],[коэф]])),
IF((G714="5/16"),((база!$L$6*2*Таблица1[[#This Row],[Столбец1]]*Таблица1[[#This Row],[коэф]])),
IF((G714="4/16"),((база!$L$5*2*Таблица1[[#This Row],[Столбец1]]*Таблица1[[#This Row],[коэф]])),
IF((G714="3/16"),((база!$L$4*2*Таблица1[[#This Row],[Столбец1]]*Таблица1[[#This Row],[коэф]])),
IF((G714="4/4"),((база!$I$5*2*Таблица1[[#This Row],[Столбец1]]*Таблица1[[#This Row],[коэф]])),
IF(OR(G714="2/4",G714="3/4"),((база!$I$4*2*Таблица1[[#This Row],[Столбец1]]*Таблица1[[#This Row],[коэф]])),
IF((G714="5/8"),((база!$J$6*2*Таблица1[[#This Row],[Столбец1]]*Таблица1[[#This Row],[коэф]])),
IF((G714="4/8"),((база!$J$5*2*Таблица1[[#This Row],[Столбец1]]*Таблица1[[#This Row],[коэф]])),
IF(OR(G714="3/8",G714="2/8"),((база!$J$4*2*Таблица1[[#This Row],[Столбец1]]*Таблица1[[#This Row],[коэф]])))))))))))))),
(IF((G714="5/24"),((база!$M$6*2*Таблица1[[#This Row],[Столбец1]]*Таблица1[[#This Row],[коэф]])),
IF(OR(G714="4/24",G714="3/24"),((база!$M$5*2*Таблица1[[#This Row],[Столбец1]]*Таблица1[[#This Row],[коэф]])),
IF((G714="5/16"),((база!$L$6*2*Таблица1[[#This Row],[Столбец1]]*Таблица1[[#This Row],[коэф]])),
IF(OR(G714="4/16",G714="3/16"),((база!$L$5*2*Таблица1[[#This Row],[Столбец1]]*Таблица1[[#This Row],[коэф]])),
IF(OR(G714="2/4",G714="3/4",G714="4/4"),((база!$I$5*2*Таблица1[[#This Row],[Столбец1]]*Таблица1[[#This Row],[коэф]])),
IF((G714="5/8"),((база!$J$6*2*Таблица1[[#This Row],[Столбец1]]*Таблица1[[#This Row],[коэф]])),
IF(OR(G714="4/8",G714="3/8",G714="2/8"),((база!$J$5*2*Таблица1[[#This Row],[Столбец1]]*Таблица1[[#This Row],[коэф]])))))))))))</f>
        <v>0</v>
      </c>
      <c r="AQ714" s="678" t="str">
        <f>IFERROR(INDEX(база!T:T, MATCH(F714,база!Q:Q,0)),"")</f>
        <v/>
      </c>
      <c r="AR714" s="193">
        <f>IFERROR(INDEX(база!D:D, MATCH(F714,база!B:B,0)),"")</f>
        <v>0</v>
      </c>
    </row>
    <row r="715" spans="1:44" ht="15">
      <c r="A715" s="59"/>
      <c r="B715" s="215"/>
      <c r="C715" s="277"/>
      <c r="D715" s="55"/>
      <c r="E715" s="196"/>
      <c r="F715" s="651"/>
      <c r="G715" s="42"/>
      <c r="H715" s="539"/>
      <c r="I715" s="539"/>
      <c r="J715" s="539"/>
      <c r="K715" s="539"/>
      <c r="L715" s="539"/>
      <c r="M715" s="539"/>
      <c r="N715" s="539"/>
      <c r="O715" s="539"/>
      <c r="P715" s="278"/>
      <c r="Q715" s="539"/>
      <c r="R715" s="539"/>
      <c r="S715" s="539"/>
      <c r="T715" s="539"/>
      <c r="U715" s="539"/>
      <c r="V715" s="539"/>
      <c r="W715" s="539"/>
      <c r="X715" s="539"/>
      <c r="Y715" s="539"/>
      <c r="Z715" s="539"/>
      <c r="AA715" s="539"/>
      <c r="AB715" s="539"/>
      <c r="AC715" s="539"/>
      <c r="AD715" s="43"/>
      <c r="AE715" s="43"/>
      <c r="AF715" s="238"/>
      <c r="AG715" s="43"/>
      <c r="AH715" s="43"/>
      <c r="AI715" s="238"/>
      <c r="AJ715" s="238"/>
      <c r="AK715" s="238"/>
      <c r="AL715" s="238"/>
      <c r="AM715" s="197">
        <f>IF(AQ715=1,SUM(H715:I715,L715:O715,R715:U715,X715:AA715,AD715:AG715,AI715:AK715),
IF(AQ715=2,SUM(H715:K715,N715:Q715,T715:W715,Z715:AC715,AF715:AI715),
IF(AQ715=3,SUM(J715:M715,P715:S715,V715:Y715,AB715:AE715,AH715:AK715),SUM(Таблица1[[#This Row],[1]:[31]])-Таблица1[[#This Row],[Столбец1]])))</f>
        <v>0</v>
      </c>
      <c r="AN715" s="269">
        <f t="array" ref="AN715">IF(AQ715=1,SUM(J715:K715,P715:Q715,V715:W715,AB715:AC715,AH715:AI715),
IF(AQ715=2,SUM(L715:M715,R715:S715,X715:Y715,AD715:AE715),
IF(AQ715=3,SUM(H715:I715,N715:O715,T715:U715,Z715:AA715,AF715:AG715),
SUM(IFERROR(WEEKDAY($H$2:$AL$2,2)&gt;5,)*H715:AL715))))</f>
        <v>0</v>
      </c>
      <c r="AO715" s="271" t="b">
        <f>IF(AR715&lt;=3,(IF((G715="5/24"),((база!$M$6*Таблица1[[#This Row],[сумма]]*Таблица1[[#This Row],[коэф]])),
IF((G715="4/24"),((база!$M$5*Таблица1[[#This Row],[сумма]]*Таблица1[[#This Row],[коэф]])),
IF((G715="3/24"),((база!$M$4*Таблица1[[#This Row],[сумма]]*Таблица1[[#This Row],[коэф]])),
IF((G715="5/16"),((база!$L$6*Таблица1[[#This Row],[сумма]]*Таблица1[[#This Row],[коэф]])),
IF((G715="4/16"),((база!$L$5*Таблица1[[#This Row],[сумма]]*Таблица1[[#This Row],[коэф]])),
IF((G715="3/16"),((база!$L$4*Таблица1[[#This Row],[сумма]]*Таблица1[[#This Row],[коэф]])),
IF((G715="4/4"),((база!$I$5*Таблица1[[#This Row],[сумма]]*Таблица1[[#This Row],[коэф]])),
IF(OR(G715="2/4",G715="3/4"),((база!$I$4*Таблица1[[#This Row],[сумма]]*Таблица1[[#This Row],[коэф]])),
IF((G715="5/8"),((база!$J$6*Таблица1[[#This Row],[сумма]]*Таблица1[[#This Row],[коэф]])),
IF((G715="4/8"),((база!$J$5*Таблица1[[#This Row],[сумма]]*Таблица1[[#This Row],[коэф]])),
IF(OR(G715="3/8",G715="2/8"),((база!$J$4*Таблица1[[#This Row],[сумма]]*Таблица1[[#This Row],[коэф]])))))))))))))),
(IF((G715="5/24"),((база!$M$6*Таблица1[[#This Row],[сумма]]*Таблица1[[#This Row],[коэф]])),
IF(OR(G715="4/24",G715="3/24"),((база!$M$5*Таблица1[[#This Row],[сумма]]*Таблица1[[#This Row],[коэф]])),
IF((G715="5/16"),((база!$L$6*Таблица1[[#This Row],[сумма]]*Таблица1[[#This Row],[коэф]])),
IF(OR(G715="4/16",G715="3/16"),((база!$L$5*Таблица1[[#This Row],[сумма]]*Таблица1[[#This Row],[коэф]])),
IF(OR(G715="2/4",G715="3/4",G715="4/4"),((база!$I$5*Таблица1[[#This Row],[сумма]]*Таблица1[[#This Row],[коэф]])),
IF((G715="5/8"),((база!$J$6*Таблица1[[#This Row],[сумма]]*Таблица1[[#This Row],[коэф]])),
IF(OR(G715="4/8",G715="3/8",G715="2/8"),((база!$J$5*Таблица1[[#This Row],[сумма]]*Таблица1[[#This Row],[коэф]])))))))))))</f>
        <v>0</v>
      </c>
      <c r="AP715" s="696" t="b">
        <f>IF(AR715&lt;=3,(IF((G715="5/24"),((база!$M$6*2*Таблица1[[#This Row],[Столбец1]]*Таблица1[[#This Row],[коэф]])),
IF((G715="4/24"),((база!$M$5*2*Таблица1[[#This Row],[Столбец1]]*Таблица1[[#This Row],[коэф]])),
IF((G715="3/24"),((база!$M$4*2*Таблица1[[#This Row],[Столбец1]]*Таблица1[[#This Row],[коэф]])),
IF((G715="5/16"),((база!$L$6*2*Таблица1[[#This Row],[Столбец1]]*Таблица1[[#This Row],[коэф]])),
IF((G715="4/16"),((база!$L$5*2*Таблица1[[#This Row],[Столбец1]]*Таблица1[[#This Row],[коэф]])),
IF((G715="3/16"),((база!$L$4*2*Таблица1[[#This Row],[Столбец1]]*Таблица1[[#This Row],[коэф]])),
IF((G715="4/4"),((база!$I$5*2*Таблица1[[#This Row],[Столбец1]]*Таблица1[[#This Row],[коэф]])),
IF(OR(G715="2/4",G715="3/4"),((база!$I$4*2*Таблица1[[#This Row],[Столбец1]]*Таблица1[[#This Row],[коэф]])),
IF((G715="5/8"),((база!$J$6*2*Таблица1[[#This Row],[Столбец1]]*Таблица1[[#This Row],[коэф]])),
IF((G715="4/8"),((база!$J$5*2*Таблица1[[#This Row],[Столбец1]]*Таблица1[[#This Row],[коэф]])),
IF(OR(G715="3/8",G715="2/8"),((база!$J$4*2*Таблица1[[#This Row],[Столбец1]]*Таблица1[[#This Row],[коэф]])))))))))))))),
(IF((G715="5/24"),((база!$M$6*2*Таблица1[[#This Row],[Столбец1]]*Таблица1[[#This Row],[коэф]])),
IF(OR(G715="4/24",G715="3/24"),((база!$M$5*2*Таблица1[[#This Row],[Столбец1]]*Таблица1[[#This Row],[коэф]])),
IF((G715="5/16"),((база!$L$6*2*Таблица1[[#This Row],[Столбец1]]*Таблица1[[#This Row],[коэф]])),
IF(OR(G715="4/16",G715="3/16"),((база!$L$5*2*Таблица1[[#This Row],[Столбец1]]*Таблица1[[#This Row],[коэф]])),
IF(OR(G715="2/4",G715="3/4",G715="4/4"),((база!$I$5*2*Таблица1[[#This Row],[Столбец1]]*Таблица1[[#This Row],[коэф]])),
IF((G715="5/8"),((база!$J$6*2*Таблица1[[#This Row],[Столбец1]]*Таблица1[[#This Row],[коэф]])),
IF(OR(G715="4/8",G715="3/8",G715="2/8"),((база!$J$5*2*Таблица1[[#This Row],[Столбец1]]*Таблица1[[#This Row],[коэф]])))))))))))</f>
        <v>0</v>
      </c>
      <c r="AQ715" s="678" t="str">
        <f>IFERROR(INDEX(база!T:T, MATCH(F715,база!Q:Q,0)),"")</f>
        <v/>
      </c>
      <c r="AR715" s="193">
        <f>IFERROR(INDEX(база!D:D, MATCH(F715,база!B:B,0)),"")</f>
        <v>0</v>
      </c>
    </row>
    <row r="716" spans="1:44" ht="15">
      <c r="A716" s="59"/>
      <c r="B716" s="215"/>
      <c r="C716" s="277"/>
      <c r="D716" s="55"/>
      <c r="E716" s="196"/>
      <c r="F716" s="651"/>
      <c r="G716" s="42"/>
      <c r="H716" s="539"/>
      <c r="I716" s="539"/>
      <c r="J716" s="539"/>
      <c r="K716" s="539"/>
      <c r="L716" s="539"/>
      <c r="M716" s="539"/>
      <c r="N716" s="539"/>
      <c r="O716" s="539"/>
      <c r="P716" s="278"/>
      <c r="Q716" s="539"/>
      <c r="R716" s="539"/>
      <c r="S716" s="539"/>
      <c r="T716" s="539"/>
      <c r="U716" s="539"/>
      <c r="V716" s="539"/>
      <c r="W716" s="539"/>
      <c r="X716" s="539"/>
      <c r="Y716" s="539"/>
      <c r="Z716" s="539"/>
      <c r="AA716" s="539"/>
      <c r="AB716" s="539"/>
      <c r="AC716" s="539"/>
      <c r="AD716" s="43"/>
      <c r="AE716" s="43"/>
      <c r="AF716" s="238"/>
      <c r="AG716" s="43"/>
      <c r="AH716" s="43"/>
      <c r="AI716" s="43"/>
      <c r="AJ716" s="43"/>
      <c r="AK716" s="43"/>
      <c r="AL716" s="45"/>
      <c r="AM716" s="197">
        <f>IF(AQ716=1,SUM(H716:I716,L716:O716,R716:U716,X716:AA716,AD716:AG716,AI716:AK716),
IF(AQ716=2,SUM(H716:K716,N716:Q716,T716:W716,Z716:AC716,AF716:AI716),
IF(AQ716=3,SUM(J716:M716,P716:S716,V716:Y716,AB716:AE716,AH716:AK716),SUM(Таблица1[[#This Row],[1]:[31]])-Таблица1[[#This Row],[Столбец1]])))</f>
        <v>0</v>
      </c>
      <c r="AN716" s="269">
        <f t="array" ref="AN716">IF(AQ716=1,SUM(J716:K716,P716:Q716,V716:W716,AB716:AC716,AH716:AI716),
IF(AQ716=2,SUM(L716:M716,R716:S716,X716:Y716,AD716:AE716),
IF(AQ716=3,SUM(H716:I716,N716:O716,T716:U716,Z716:AA716,AF716:AG716),
SUM(IFERROR(WEEKDAY($H$2:$AL$2,2)&gt;5,)*H716:AL716))))</f>
        <v>0</v>
      </c>
      <c r="AO716" s="271" t="b">
        <f>IF(AR716&lt;=3,(IF((G716="5/24"),((база!$M$6*Таблица1[[#This Row],[сумма]]*Таблица1[[#This Row],[коэф]])),
IF((G716="4/24"),((база!$M$5*Таблица1[[#This Row],[сумма]]*Таблица1[[#This Row],[коэф]])),
IF((G716="3/24"),((база!$M$4*Таблица1[[#This Row],[сумма]]*Таблица1[[#This Row],[коэф]])),
IF((G716="5/16"),((база!$L$6*Таблица1[[#This Row],[сумма]]*Таблица1[[#This Row],[коэф]])),
IF((G716="4/16"),((база!$L$5*Таблица1[[#This Row],[сумма]]*Таблица1[[#This Row],[коэф]])),
IF((G716="3/16"),((база!$L$4*Таблица1[[#This Row],[сумма]]*Таблица1[[#This Row],[коэф]])),
IF((G716="4/4"),((база!$I$5*Таблица1[[#This Row],[сумма]]*Таблица1[[#This Row],[коэф]])),
IF(OR(G716="2/4",G716="3/4"),((база!$I$4*Таблица1[[#This Row],[сумма]]*Таблица1[[#This Row],[коэф]])),
IF((G716="5/8"),((база!$J$6*Таблица1[[#This Row],[сумма]]*Таблица1[[#This Row],[коэф]])),
IF((G716="4/8"),((база!$J$5*Таблица1[[#This Row],[сумма]]*Таблица1[[#This Row],[коэф]])),
IF(OR(G716="3/8",G716="2/8"),((база!$J$4*Таблица1[[#This Row],[сумма]]*Таблица1[[#This Row],[коэф]])))))))))))))),
(IF((G716="5/24"),((база!$M$6*Таблица1[[#This Row],[сумма]]*Таблица1[[#This Row],[коэф]])),
IF(OR(G716="4/24",G716="3/24"),((база!$M$5*Таблица1[[#This Row],[сумма]]*Таблица1[[#This Row],[коэф]])),
IF((G716="5/16"),((база!$L$6*Таблица1[[#This Row],[сумма]]*Таблица1[[#This Row],[коэф]])),
IF(OR(G716="4/16",G716="3/16"),((база!$L$5*Таблица1[[#This Row],[сумма]]*Таблица1[[#This Row],[коэф]])),
IF(OR(G716="2/4",G716="3/4",G716="4/4"),((база!$I$5*Таблица1[[#This Row],[сумма]]*Таблица1[[#This Row],[коэф]])),
IF((G716="5/8"),((база!$J$6*Таблица1[[#This Row],[сумма]]*Таблица1[[#This Row],[коэф]])),
IF(OR(G716="4/8",G716="3/8",G716="2/8"),((база!$J$5*Таблица1[[#This Row],[сумма]]*Таблица1[[#This Row],[коэф]])))))))))))</f>
        <v>0</v>
      </c>
      <c r="AP716" s="696" t="b">
        <f>IF(AR716&lt;=3,(IF((G716="5/24"),((база!$M$6*2*Таблица1[[#This Row],[Столбец1]]*Таблица1[[#This Row],[коэф]])),
IF((G716="4/24"),((база!$M$5*2*Таблица1[[#This Row],[Столбец1]]*Таблица1[[#This Row],[коэф]])),
IF((G716="3/24"),((база!$M$4*2*Таблица1[[#This Row],[Столбец1]]*Таблица1[[#This Row],[коэф]])),
IF((G716="5/16"),((база!$L$6*2*Таблица1[[#This Row],[Столбец1]]*Таблица1[[#This Row],[коэф]])),
IF((G716="4/16"),((база!$L$5*2*Таблица1[[#This Row],[Столбец1]]*Таблица1[[#This Row],[коэф]])),
IF((G716="3/16"),((база!$L$4*2*Таблица1[[#This Row],[Столбец1]]*Таблица1[[#This Row],[коэф]])),
IF((G716="4/4"),((база!$I$5*2*Таблица1[[#This Row],[Столбец1]]*Таблица1[[#This Row],[коэф]])),
IF(OR(G716="2/4",G716="3/4"),((база!$I$4*2*Таблица1[[#This Row],[Столбец1]]*Таблица1[[#This Row],[коэф]])),
IF((G716="5/8"),((база!$J$6*2*Таблица1[[#This Row],[Столбец1]]*Таблица1[[#This Row],[коэф]])),
IF((G716="4/8"),((база!$J$5*2*Таблица1[[#This Row],[Столбец1]]*Таблица1[[#This Row],[коэф]])),
IF(OR(G716="3/8",G716="2/8"),((база!$J$4*2*Таблица1[[#This Row],[Столбец1]]*Таблица1[[#This Row],[коэф]])))))))))))))),
(IF((G716="5/24"),((база!$M$6*2*Таблица1[[#This Row],[Столбец1]]*Таблица1[[#This Row],[коэф]])),
IF(OR(G716="4/24",G716="3/24"),((база!$M$5*2*Таблица1[[#This Row],[Столбец1]]*Таблица1[[#This Row],[коэф]])),
IF((G716="5/16"),((база!$L$6*2*Таблица1[[#This Row],[Столбец1]]*Таблица1[[#This Row],[коэф]])),
IF(OR(G716="4/16",G716="3/16"),((база!$L$5*2*Таблица1[[#This Row],[Столбец1]]*Таблица1[[#This Row],[коэф]])),
IF(OR(G716="2/4",G716="3/4",G716="4/4"),((база!$I$5*2*Таблица1[[#This Row],[Столбец1]]*Таблица1[[#This Row],[коэф]])),
IF((G716="5/8"),((база!$J$6*2*Таблица1[[#This Row],[Столбец1]]*Таблица1[[#This Row],[коэф]])),
IF(OR(G716="4/8",G716="3/8",G716="2/8"),((база!$J$5*2*Таблица1[[#This Row],[Столбец1]]*Таблица1[[#This Row],[коэф]])))))))))))</f>
        <v>0</v>
      </c>
      <c r="AQ716" s="678" t="str">
        <f>IFERROR(INDEX(база!T:T, MATCH(F716,база!Q:Q,0)),"")</f>
        <v/>
      </c>
      <c r="AR716" s="193">
        <f>IFERROR(INDEX(база!D:D, MATCH(F716,база!B:B,0)),"")</f>
        <v>0</v>
      </c>
    </row>
    <row r="717" spans="1:44" ht="15">
      <c r="A717" s="59"/>
      <c r="B717" s="215"/>
      <c r="C717" s="277"/>
      <c r="D717" s="55"/>
      <c r="E717" s="196"/>
      <c r="F717" s="651"/>
      <c r="G717" s="42"/>
      <c r="H717" s="539"/>
      <c r="I717" s="539"/>
      <c r="J717" s="539"/>
      <c r="K717" s="539"/>
      <c r="L717" s="539"/>
      <c r="M717" s="539"/>
      <c r="N717" s="539"/>
      <c r="O717" s="539"/>
      <c r="P717" s="278"/>
      <c r="Q717" s="539"/>
      <c r="R717" s="539"/>
      <c r="S717" s="539"/>
      <c r="T717" s="539"/>
      <c r="U717" s="539"/>
      <c r="V717" s="539"/>
      <c r="W717" s="539"/>
      <c r="X717" s="539"/>
      <c r="Y717" s="539"/>
      <c r="Z717" s="539"/>
      <c r="AA717" s="539"/>
      <c r="AB717" s="539"/>
      <c r="AC717" s="539"/>
      <c r="AD717" s="43"/>
      <c r="AE717" s="43"/>
      <c r="AF717" s="238"/>
      <c r="AG717" s="43"/>
      <c r="AH717" s="43"/>
      <c r="AI717" s="238"/>
      <c r="AJ717" s="238"/>
      <c r="AK717" s="238"/>
      <c r="AL717" s="238"/>
      <c r="AM717" s="197">
        <f>IF(AQ717=1,SUM(H717:I717,L717:O717,R717:U717,X717:AA717,AD717:AG717,AI717:AK717),
IF(AQ717=2,SUM(H717:K717,N717:Q717,T717:W717,Z717:AC717,AF717:AI717),
IF(AQ717=3,SUM(J717:M717,P717:S717,V717:Y717,AB717:AE717,AH717:AK717),SUM(Таблица1[[#This Row],[1]:[31]])-Таблица1[[#This Row],[Столбец1]])))</f>
        <v>0</v>
      </c>
      <c r="AN717" s="269">
        <f t="array" ref="AN717">IF(AQ717=1,SUM(J717:K717,P717:Q717,V717:W717,AB717:AC717,AH717:AI717),
IF(AQ717=2,SUM(L717:M717,R717:S717,X717:Y717,AD717:AE717),
IF(AQ717=3,SUM(H717:I717,N717:O717,T717:U717,Z717:AA717,AF717:AG717),
SUM(IFERROR(WEEKDAY($H$2:$AL$2,2)&gt;5,)*H717:AL717))))</f>
        <v>0</v>
      </c>
      <c r="AO717" s="271" t="b">
        <f>IF(AR717&lt;=3,(IF((G717="5/24"),((база!$M$6*Таблица1[[#This Row],[сумма]]*Таблица1[[#This Row],[коэф]])),
IF((G717="4/24"),((база!$M$5*Таблица1[[#This Row],[сумма]]*Таблица1[[#This Row],[коэф]])),
IF((G717="3/24"),((база!$M$4*Таблица1[[#This Row],[сумма]]*Таблица1[[#This Row],[коэф]])),
IF((G717="5/16"),((база!$L$6*Таблица1[[#This Row],[сумма]]*Таблица1[[#This Row],[коэф]])),
IF((G717="4/16"),((база!$L$5*Таблица1[[#This Row],[сумма]]*Таблица1[[#This Row],[коэф]])),
IF((G717="3/16"),((база!$L$4*Таблица1[[#This Row],[сумма]]*Таблица1[[#This Row],[коэф]])),
IF((G717="4/4"),((база!$I$5*Таблица1[[#This Row],[сумма]]*Таблица1[[#This Row],[коэф]])),
IF(OR(G717="2/4",G717="3/4"),((база!$I$4*Таблица1[[#This Row],[сумма]]*Таблица1[[#This Row],[коэф]])),
IF((G717="5/8"),((база!$J$6*Таблица1[[#This Row],[сумма]]*Таблица1[[#This Row],[коэф]])),
IF((G717="4/8"),((база!$J$5*Таблица1[[#This Row],[сумма]]*Таблица1[[#This Row],[коэф]])),
IF(OR(G717="3/8",G717="2/8"),((база!$J$4*Таблица1[[#This Row],[сумма]]*Таблица1[[#This Row],[коэф]])))))))))))))),
(IF((G717="5/24"),((база!$M$6*Таблица1[[#This Row],[сумма]]*Таблица1[[#This Row],[коэф]])),
IF(OR(G717="4/24",G717="3/24"),((база!$M$5*Таблица1[[#This Row],[сумма]]*Таблица1[[#This Row],[коэф]])),
IF((G717="5/16"),((база!$L$6*Таблица1[[#This Row],[сумма]]*Таблица1[[#This Row],[коэф]])),
IF(OR(G717="4/16",G717="3/16"),((база!$L$5*Таблица1[[#This Row],[сумма]]*Таблица1[[#This Row],[коэф]])),
IF(OR(G717="2/4",G717="3/4",G717="4/4"),((база!$I$5*Таблица1[[#This Row],[сумма]]*Таблица1[[#This Row],[коэф]])),
IF((G717="5/8"),((база!$J$6*Таблица1[[#This Row],[сумма]]*Таблица1[[#This Row],[коэф]])),
IF(OR(G717="4/8",G717="3/8",G717="2/8"),((база!$J$5*Таблица1[[#This Row],[сумма]]*Таблица1[[#This Row],[коэф]])))))))))))</f>
        <v>0</v>
      </c>
      <c r="AP717" s="696" t="b">
        <f>IF(AR717&lt;=3,(IF((G717="5/24"),((база!$M$6*2*Таблица1[[#This Row],[Столбец1]]*Таблица1[[#This Row],[коэф]])),
IF((G717="4/24"),((база!$M$5*2*Таблица1[[#This Row],[Столбец1]]*Таблица1[[#This Row],[коэф]])),
IF((G717="3/24"),((база!$M$4*2*Таблица1[[#This Row],[Столбец1]]*Таблица1[[#This Row],[коэф]])),
IF((G717="5/16"),((база!$L$6*2*Таблица1[[#This Row],[Столбец1]]*Таблица1[[#This Row],[коэф]])),
IF((G717="4/16"),((база!$L$5*2*Таблица1[[#This Row],[Столбец1]]*Таблица1[[#This Row],[коэф]])),
IF((G717="3/16"),((база!$L$4*2*Таблица1[[#This Row],[Столбец1]]*Таблица1[[#This Row],[коэф]])),
IF((G717="4/4"),((база!$I$5*2*Таблица1[[#This Row],[Столбец1]]*Таблица1[[#This Row],[коэф]])),
IF(OR(G717="2/4",G717="3/4"),((база!$I$4*2*Таблица1[[#This Row],[Столбец1]]*Таблица1[[#This Row],[коэф]])),
IF((G717="5/8"),((база!$J$6*2*Таблица1[[#This Row],[Столбец1]]*Таблица1[[#This Row],[коэф]])),
IF((G717="4/8"),((база!$J$5*2*Таблица1[[#This Row],[Столбец1]]*Таблица1[[#This Row],[коэф]])),
IF(OR(G717="3/8",G717="2/8"),((база!$J$4*2*Таблица1[[#This Row],[Столбец1]]*Таблица1[[#This Row],[коэф]])))))))))))))),
(IF((G717="5/24"),((база!$M$6*2*Таблица1[[#This Row],[Столбец1]]*Таблица1[[#This Row],[коэф]])),
IF(OR(G717="4/24",G717="3/24"),((база!$M$5*2*Таблица1[[#This Row],[Столбец1]]*Таблица1[[#This Row],[коэф]])),
IF((G717="5/16"),((база!$L$6*2*Таблица1[[#This Row],[Столбец1]]*Таблица1[[#This Row],[коэф]])),
IF(OR(G717="4/16",G717="3/16"),((база!$L$5*2*Таблица1[[#This Row],[Столбец1]]*Таблица1[[#This Row],[коэф]])),
IF(OR(G717="2/4",G717="3/4",G717="4/4"),((база!$I$5*2*Таблица1[[#This Row],[Столбец1]]*Таблица1[[#This Row],[коэф]])),
IF((G717="5/8"),((база!$J$6*2*Таблица1[[#This Row],[Столбец1]]*Таблица1[[#This Row],[коэф]])),
IF(OR(G717="4/8",G717="3/8",G717="2/8"),((база!$J$5*2*Таблица1[[#This Row],[Столбец1]]*Таблица1[[#This Row],[коэф]])))))))))))</f>
        <v>0</v>
      </c>
      <c r="AQ717" s="678" t="str">
        <f>IFERROR(INDEX(база!T:T, MATCH(F717,база!Q:Q,0)),"")</f>
        <v/>
      </c>
      <c r="AR717" s="193">
        <f>IFERROR(INDEX(база!D:D, MATCH(F717,база!B:B,0)),"")</f>
        <v>0</v>
      </c>
    </row>
    <row r="718" spans="1:44" ht="15">
      <c r="A718" s="59"/>
      <c r="B718" s="215"/>
      <c r="C718" s="277"/>
      <c r="D718" s="55"/>
      <c r="E718" s="196"/>
      <c r="F718" s="651"/>
      <c r="G718" s="42"/>
      <c r="H718" s="539"/>
      <c r="I718" s="539"/>
      <c r="J718" s="539"/>
      <c r="K718" s="539"/>
      <c r="L718" s="539"/>
      <c r="M718" s="539"/>
      <c r="N718" s="539"/>
      <c r="O718" s="539"/>
      <c r="P718" s="278"/>
      <c r="Q718" s="539"/>
      <c r="R718" s="539"/>
      <c r="S718" s="539"/>
      <c r="T718" s="539"/>
      <c r="U718" s="539"/>
      <c r="V718" s="539"/>
      <c r="W718" s="539"/>
      <c r="X718" s="539"/>
      <c r="Y718" s="539"/>
      <c r="Z718" s="539"/>
      <c r="AA718" s="539"/>
      <c r="AB718" s="539"/>
      <c r="AC718" s="539"/>
      <c r="AD718" s="43"/>
      <c r="AE718" s="43"/>
      <c r="AF718" s="238"/>
      <c r="AG718" s="43"/>
      <c r="AH718" s="43"/>
      <c r="AI718" s="43"/>
      <c r="AJ718" s="43"/>
      <c r="AK718" s="43"/>
      <c r="AL718" s="45"/>
      <c r="AM718" s="197">
        <f>IF(AQ718=1,SUM(H718:I718,L718:O718,R718:U718,X718:AA718,AD718:AG718,AI718:AK718),
IF(AQ718=2,SUM(H718:K718,N718:Q718,T718:W718,Z718:AC718,AF718:AI718),
IF(AQ718=3,SUM(J718:M718,P718:S718,V718:Y718,AB718:AE718,AH718:AK718),SUM(Таблица1[[#This Row],[1]:[31]])-Таблица1[[#This Row],[Столбец1]])))</f>
        <v>0</v>
      </c>
      <c r="AN718" s="269">
        <f t="array" ref="AN718">IF(AQ718=1,SUM(J718:K718,P718:Q718,V718:W718,AB718:AC718,AH718:AI718),
IF(AQ718=2,SUM(L718:M718,R718:S718,X718:Y718,AD718:AE718),
IF(AQ718=3,SUM(H718:I718,N718:O718,T718:U718,Z718:AA718,AF718:AG718),
SUM(IFERROR(WEEKDAY($H$2:$AL$2,2)&gt;5,)*H718:AL718))))</f>
        <v>0</v>
      </c>
      <c r="AO718" s="271" t="b">
        <f>IF(AR718&lt;=3,(IF((G718="5/24"),((база!$M$6*Таблица1[[#This Row],[сумма]]*Таблица1[[#This Row],[коэф]])),
IF((G718="4/24"),((база!$M$5*Таблица1[[#This Row],[сумма]]*Таблица1[[#This Row],[коэф]])),
IF((G718="3/24"),((база!$M$4*Таблица1[[#This Row],[сумма]]*Таблица1[[#This Row],[коэф]])),
IF((G718="5/16"),((база!$L$6*Таблица1[[#This Row],[сумма]]*Таблица1[[#This Row],[коэф]])),
IF((G718="4/16"),((база!$L$5*Таблица1[[#This Row],[сумма]]*Таблица1[[#This Row],[коэф]])),
IF((G718="3/16"),((база!$L$4*Таблица1[[#This Row],[сумма]]*Таблица1[[#This Row],[коэф]])),
IF((G718="4/4"),((база!$I$5*Таблица1[[#This Row],[сумма]]*Таблица1[[#This Row],[коэф]])),
IF(OR(G718="2/4",G718="3/4"),((база!$I$4*Таблица1[[#This Row],[сумма]]*Таблица1[[#This Row],[коэф]])),
IF((G718="5/8"),((база!$J$6*Таблица1[[#This Row],[сумма]]*Таблица1[[#This Row],[коэф]])),
IF((G718="4/8"),((база!$J$5*Таблица1[[#This Row],[сумма]]*Таблица1[[#This Row],[коэф]])),
IF(OR(G718="3/8",G718="2/8"),((база!$J$4*Таблица1[[#This Row],[сумма]]*Таблица1[[#This Row],[коэф]])))))))))))))),
(IF((G718="5/24"),((база!$M$6*Таблица1[[#This Row],[сумма]]*Таблица1[[#This Row],[коэф]])),
IF(OR(G718="4/24",G718="3/24"),((база!$M$5*Таблица1[[#This Row],[сумма]]*Таблица1[[#This Row],[коэф]])),
IF((G718="5/16"),((база!$L$6*Таблица1[[#This Row],[сумма]]*Таблица1[[#This Row],[коэф]])),
IF(OR(G718="4/16",G718="3/16"),((база!$L$5*Таблица1[[#This Row],[сумма]]*Таблица1[[#This Row],[коэф]])),
IF(OR(G718="2/4",G718="3/4",G718="4/4"),((база!$I$5*Таблица1[[#This Row],[сумма]]*Таблица1[[#This Row],[коэф]])),
IF((G718="5/8"),((база!$J$6*Таблица1[[#This Row],[сумма]]*Таблица1[[#This Row],[коэф]])),
IF(OR(G718="4/8",G718="3/8",G718="2/8"),((база!$J$5*Таблица1[[#This Row],[сумма]]*Таблица1[[#This Row],[коэф]])))))))))))</f>
        <v>0</v>
      </c>
      <c r="AP718" s="696" t="b">
        <f>IF(AR718&lt;=3,(IF((G718="5/24"),((база!$M$6*2*Таблица1[[#This Row],[Столбец1]]*Таблица1[[#This Row],[коэф]])),
IF((G718="4/24"),((база!$M$5*2*Таблица1[[#This Row],[Столбец1]]*Таблица1[[#This Row],[коэф]])),
IF((G718="3/24"),((база!$M$4*2*Таблица1[[#This Row],[Столбец1]]*Таблица1[[#This Row],[коэф]])),
IF((G718="5/16"),((база!$L$6*2*Таблица1[[#This Row],[Столбец1]]*Таблица1[[#This Row],[коэф]])),
IF((G718="4/16"),((база!$L$5*2*Таблица1[[#This Row],[Столбец1]]*Таблица1[[#This Row],[коэф]])),
IF((G718="3/16"),((база!$L$4*2*Таблица1[[#This Row],[Столбец1]]*Таблица1[[#This Row],[коэф]])),
IF((G718="4/4"),((база!$I$5*2*Таблица1[[#This Row],[Столбец1]]*Таблица1[[#This Row],[коэф]])),
IF(OR(G718="2/4",G718="3/4"),((база!$I$4*2*Таблица1[[#This Row],[Столбец1]]*Таблица1[[#This Row],[коэф]])),
IF((G718="5/8"),((база!$J$6*2*Таблица1[[#This Row],[Столбец1]]*Таблица1[[#This Row],[коэф]])),
IF((G718="4/8"),((база!$J$5*2*Таблица1[[#This Row],[Столбец1]]*Таблица1[[#This Row],[коэф]])),
IF(OR(G718="3/8",G718="2/8"),((база!$J$4*2*Таблица1[[#This Row],[Столбец1]]*Таблица1[[#This Row],[коэф]])))))))))))))),
(IF((G718="5/24"),((база!$M$6*2*Таблица1[[#This Row],[Столбец1]]*Таблица1[[#This Row],[коэф]])),
IF(OR(G718="4/24",G718="3/24"),((база!$M$5*2*Таблица1[[#This Row],[Столбец1]]*Таблица1[[#This Row],[коэф]])),
IF((G718="5/16"),((база!$L$6*2*Таблица1[[#This Row],[Столбец1]]*Таблица1[[#This Row],[коэф]])),
IF(OR(G718="4/16",G718="3/16"),((база!$L$5*2*Таблица1[[#This Row],[Столбец1]]*Таблица1[[#This Row],[коэф]])),
IF(OR(G718="2/4",G718="3/4",G718="4/4"),((база!$I$5*2*Таблица1[[#This Row],[Столбец1]]*Таблица1[[#This Row],[коэф]])),
IF((G718="5/8"),((база!$J$6*2*Таблица1[[#This Row],[Столбец1]]*Таблица1[[#This Row],[коэф]])),
IF(OR(G718="4/8",G718="3/8",G718="2/8"),((база!$J$5*2*Таблица1[[#This Row],[Столбец1]]*Таблица1[[#This Row],[коэф]])))))))))))</f>
        <v>0</v>
      </c>
      <c r="AQ718" s="678" t="str">
        <f>IFERROR(INDEX(база!T:T, MATCH(F718,база!Q:Q,0)),"")</f>
        <v/>
      </c>
      <c r="AR718" s="193">
        <f>IFERROR(INDEX(база!D:D, MATCH(F718,база!B:B,0)),"")</f>
        <v>0</v>
      </c>
    </row>
    <row r="719" spans="1:44" ht="15">
      <c r="A719" s="59"/>
      <c r="B719" s="215"/>
      <c r="C719" s="277"/>
      <c r="D719" s="55"/>
      <c r="E719" s="196"/>
      <c r="F719" s="651"/>
      <c r="G719" s="42"/>
      <c r="H719" s="539"/>
      <c r="I719" s="539"/>
      <c r="J719" s="539"/>
      <c r="K719" s="539"/>
      <c r="L719" s="539"/>
      <c r="M719" s="539"/>
      <c r="N719" s="539"/>
      <c r="O719" s="539"/>
      <c r="P719" s="278"/>
      <c r="Q719" s="539"/>
      <c r="R719" s="539"/>
      <c r="S719" s="539"/>
      <c r="T719" s="539"/>
      <c r="U719" s="539"/>
      <c r="V719" s="539"/>
      <c r="W719" s="539"/>
      <c r="X719" s="539"/>
      <c r="Y719" s="539"/>
      <c r="Z719" s="539"/>
      <c r="AA719" s="539"/>
      <c r="AB719" s="539"/>
      <c r="AC719" s="539"/>
      <c r="AD719" s="43"/>
      <c r="AE719" s="43"/>
      <c r="AF719" s="238"/>
      <c r="AG719" s="43"/>
      <c r="AH719" s="43"/>
      <c r="AI719" s="238"/>
      <c r="AJ719" s="238"/>
      <c r="AK719" s="238"/>
      <c r="AL719" s="238"/>
      <c r="AM719" s="197">
        <f>IF(AQ719=1,SUM(H719:I719,L719:O719,R719:U719,X719:AA719,AD719:AG719,AI719:AK719),
IF(AQ719=2,SUM(H719:K719,N719:Q719,T719:W719,Z719:AC719,AF719:AI719),
IF(AQ719=3,SUM(J719:M719,P719:S719,V719:Y719,AB719:AE719,AH719:AK719),SUM(Таблица1[[#This Row],[1]:[31]])-Таблица1[[#This Row],[Столбец1]])))</f>
        <v>0</v>
      </c>
      <c r="AN719" s="269">
        <f t="array" ref="AN719">IF(AQ719=1,SUM(J719:K719,P719:Q719,V719:W719,AB719:AC719,AH719:AI719),
IF(AQ719=2,SUM(L719:M719,R719:S719,X719:Y719,AD719:AE719),
IF(AQ719=3,SUM(H719:I719,N719:O719,T719:U719,Z719:AA719,AF719:AG719),
SUM(IFERROR(WEEKDAY($H$2:$AL$2,2)&gt;5,)*H719:AL719))))</f>
        <v>0</v>
      </c>
      <c r="AO719" s="271" t="b">
        <f>IF(AR719&lt;=3,(IF((G719="5/24"),((база!$M$6*Таблица1[[#This Row],[сумма]]*Таблица1[[#This Row],[коэф]])),
IF((G719="4/24"),((база!$M$5*Таблица1[[#This Row],[сумма]]*Таблица1[[#This Row],[коэф]])),
IF((G719="3/24"),((база!$M$4*Таблица1[[#This Row],[сумма]]*Таблица1[[#This Row],[коэф]])),
IF((G719="5/16"),((база!$L$6*Таблица1[[#This Row],[сумма]]*Таблица1[[#This Row],[коэф]])),
IF((G719="4/16"),((база!$L$5*Таблица1[[#This Row],[сумма]]*Таблица1[[#This Row],[коэф]])),
IF((G719="3/16"),((база!$L$4*Таблица1[[#This Row],[сумма]]*Таблица1[[#This Row],[коэф]])),
IF((G719="4/4"),((база!$I$5*Таблица1[[#This Row],[сумма]]*Таблица1[[#This Row],[коэф]])),
IF(OR(G719="2/4",G719="3/4"),((база!$I$4*Таблица1[[#This Row],[сумма]]*Таблица1[[#This Row],[коэф]])),
IF((G719="5/8"),((база!$J$6*Таблица1[[#This Row],[сумма]]*Таблица1[[#This Row],[коэф]])),
IF((G719="4/8"),((база!$J$5*Таблица1[[#This Row],[сумма]]*Таблица1[[#This Row],[коэф]])),
IF(OR(G719="3/8",G719="2/8"),((база!$J$4*Таблица1[[#This Row],[сумма]]*Таблица1[[#This Row],[коэф]])))))))))))))),
(IF((G719="5/24"),((база!$M$6*Таблица1[[#This Row],[сумма]]*Таблица1[[#This Row],[коэф]])),
IF(OR(G719="4/24",G719="3/24"),((база!$M$5*Таблица1[[#This Row],[сумма]]*Таблица1[[#This Row],[коэф]])),
IF((G719="5/16"),((база!$L$6*Таблица1[[#This Row],[сумма]]*Таблица1[[#This Row],[коэф]])),
IF(OR(G719="4/16",G719="3/16"),((база!$L$5*Таблица1[[#This Row],[сумма]]*Таблица1[[#This Row],[коэф]])),
IF(OR(G719="2/4",G719="3/4",G719="4/4"),((база!$I$5*Таблица1[[#This Row],[сумма]]*Таблица1[[#This Row],[коэф]])),
IF((G719="5/8"),((база!$J$6*Таблица1[[#This Row],[сумма]]*Таблица1[[#This Row],[коэф]])),
IF(OR(G719="4/8",G719="3/8",G719="2/8"),((база!$J$5*Таблица1[[#This Row],[сумма]]*Таблица1[[#This Row],[коэф]])))))))))))</f>
        <v>0</v>
      </c>
      <c r="AP719" s="696" t="b">
        <f>IF(AR719&lt;=3,(IF((G719="5/24"),((база!$M$6*2*Таблица1[[#This Row],[Столбец1]]*Таблица1[[#This Row],[коэф]])),
IF((G719="4/24"),((база!$M$5*2*Таблица1[[#This Row],[Столбец1]]*Таблица1[[#This Row],[коэф]])),
IF((G719="3/24"),((база!$M$4*2*Таблица1[[#This Row],[Столбец1]]*Таблица1[[#This Row],[коэф]])),
IF((G719="5/16"),((база!$L$6*2*Таблица1[[#This Row],[Столбец1]]*Таблица1[[#This Row],[коэф]])),
IF((G719="4/16"),((база!$L$5*2*Таблица1[[#This Row],[Столбец1]]*Таблица1[[#This Row],[коэф]])),
IF((G719="3/16"),((база!$L$4*2*Таблица1[[#This Row],[Столбец1]]*Таблица1[[#This Row],[коэф]])),
IF((G719="4/4"),((база!$I$5*2*Таблица1[[#This Row],[Столбец1]]*Таблица1[[#This Row],[коэф]])),
IF(OR(G719="2/4",G719="3/4"),((база!$I$4*2*Таблица1[[#This Row],[Столбец1]]*Таблица1[[#This Row],[коэф]])),
IF((G719="5/8"),((база!$J$6*2*Таблица1[[#This Row],[Столбец1]]*Таблица1[[#This Row],[коэф]])),
IF((G719="4/8"),((база!$J$5*2*Таблица1[[#This Row],[Столбец1]]*Таблица1[[#This Row],[коэф]])),
IF(OR(G719="3/8",G719="2/8"),((база!$J$4*2*Таблица1[[#This Row],[Столбец1]]*Таблица1[[#This Row],[коэф]])))))))))))))),
(IF((G719="5/24"),((база!$M$6*2*Таблица1[[#This Row],[Столбец1]]*Таблица1[[#This Row],[коэф]])),
IF(OR(G719="4/24",G719="3/24"),((база!$M$5*2*Таблица1[[#This Row],[Столбец1]]*Таблица1[[#This Row],[коэф]])),
IF((G719="5/16"),((база!$L$6*2*Таблица1[[#This Row],[Столбец1]]*Таблица1[[#This Row],[коэф]])),
IF(OR(G719="4/16",G719="3/16"),((база!$L$5*2*Таблица1[[#This Row],[Столбец1]]*Таблица1[[#This Row],[коэф]])),
IF(OR(G719="2/4",G719="3/4",G719="4/4"),((база!$I$5*2*Таблица1[[#This Row],[Столбец1]]*Таблица1[[#This Row],[коэф]])),
IF((G719="5/8"),((база!$J$6*2*Таблица1[[#This Row],[Столбец1]]*Таблица1[[#This Row],[коэф]])),
IF(OR(G719="4/8",G719="3/8",G719="2/8"),((база!$J$5*2*Таблица1[[#This Row],[Столбец1]]*Таблица1[[#This Row],[коэф]])))))))))))</f>
        <v>0</v>
      </c>
      <c r="AQ719" s="678" t="str">
        <f>IFERROR(INDEX(база!T:T, MATCH(F719,база!Q:Q,0)),"")</f>
        <v/>
      </c>
      <c r="AR719" s="193">
        <f>IFERROR(INDEX(база!D:D, MATCH(F719,база!B:B,0)),"")</f>
        <v>0</v>
      </c>
    </row>
    <row r="720" spans="1:44" ht="15">
      <c r="A720" s="59"/>
      <c r="B720" s="215"/>
      <c r="C720" s="277"/>
      <c r="D720" s="55"/>
      <c r="E720" s="196"/>
      <c r="F720" s="651"/>
      <c r="G720" s="42"/>
      <c r="H720" s="539"/>
      <c r="I720" s="539"/>
      <c r="J720" s="539"/>
      <c r="K720" s="539"/>
      <c r="L720" s="539"/>
      <c r="M720" s="539"/>
      <c r="N720" s="539"/>
      <c r="O720" s="539"/>
      <c r="P720" s="278"/>
      <c r="Q720" s="539"/>
      <c r="R720" s="539"/>
      <c r="S720" s="539"/>
      <c r="T720" s="539"/>
      <c r="U720" s="539"/>
      <c r="V720" s="539"/>
      <c r="W720" s="539"/>
      <c r="X720" s="539"/>
      <c r="Y720" s="539"/>
      <c r="Z720" s="539"/>
      <c r="AA720" s="539"/>
      <c r="AB720" s="539"/>
      <c r="AC720" s="539"/>
      <c r="AD720" s="43"/>
      <c r="AE720" s="43"/>
      <c r="AF720" s="238"/>
      <c r="AG720" s="43"/>
      <c r="AH720" s="43"/>
      <c r="AI720" s="43"/>
      <c r="AJ720" s="43"/>
      <c r="AK720" s="43"/>
      <c r="AL720" s="45"/>
      <c r="AM720" s="197">
        <f>IF(AQ720=1,SUM(H720:I720,L720:O720,R720:U720,X720:AA720,AD720:AG720,AI720:AK720),
IF(AQ720=2,SUM(H720:K720,N720:Q720,T720:W720,Z720:AC720,AF720:AI720),
IF(AQ720=3,SUM(J720:M720,P720:S720,V720:Y720,AB720:AE720,AH720:AK720),SUM(Таблица1[[#This Row],[1]:[31]])-Таблица1[[#This Row],[Столбец1]])))</f>
        <v>0</v>
      </c>
      <c r="AN720" s="269">
        <f t="array" ref="AN720">IF(AQ720=1,SUM(J720:K720,P720:Q720,V720:W720,AB720:AC720,AH720:AI720),
IF(AQ720=2,SUM(L720:M720,R720:S720,X720:Y720,AD720:AE720),
IF(AQ720=3,SUM(H720:I720,N720:O720,T720:U720,Z720:AA720,AF720:AG720),
SUM(IFERROR(WEEKDAY($H$2:$AL$2,2)&gt;5,)*H720:AL720))))</f>
        <v>0</v>
      </c>
      <c r="AO720" s="271" t="b">
        <f>IF(AR720&lt;=3,(IF((G720="5/24"),((база!$M$6*Таблица1[[#This Row],[сумма]]*Таблица1[[#This Row],[коэф]])),
IF((G720="4/24"),((база!$M$5*Таблица1[[#This Row],[сумма]]*Таблица1[[#This Row],[коэф]])),
IF((G720="3/24"),((база!$M$4*Таблица1[[#This Row],[сумма]]*Таблица1[[#This Row],[коэф]])),
IF((G720="5/16"),((база!$L$6*Таблица1[[#This Row],[сумма]]*Таблица1[[#This Row],[коэф]])),
IF((G720="4/16"),((база!$L$5*Таблица1[[#This Row],[сумма]]*Таблица1[[#This Row],[коэф]])),
IF((G720="3/16"),((база!$L$4*Таблица1[[#This Row],[сумма]]*Таблица1[[#This Row],[коэф]])),
IF((G720="4/4"),((база!$I$5*Таблица1[[#This Row],[сумма]]*Таблица1[[#This Row],[коэф]])),
IF(OR(G720="2/4",G720="3/4"),((база!$I$4*Таблица1[[#This Row],[сумма]]*Таблица1[[#This Row],[коэф]])),
IF((G720="5/8"),((база!$J$6*Таблица1[[#This Row],[сумма]]*Таблица1[[#This Row],[коэф]])),
IF((G720="4/8"),((база!$J$5*Таблица1[[#This Row],[сумма]]*Таблица1[[#This Row],[коэф]])),
IF(OR(G720="3/8",G720="2/8"),((база!$J$4*Таблица1[[#This Row],[сумма]]*Таблица1[[#This Row],[коэф]])))))))))))))),
(IF((G720="5/24"),((база!$M$6*Таблица1[[#This Row],[сумма]]*Таблица1[[#This Row],[коэф]])),
IF(OR(G720="4/24",G720="3/24"),((база!$M$5*Таблица1[[#This Row],[сумма]]*Таблица1[[#This Row],[коэф]])),
IF((G720="5/16"),((база!$L$6*Таблица1[[#This Row],[сумма]]*Таблица1[[#This Row],[коэф]])),
IF(OR(G720="4/16",G720="3/16"),((база!$L$5*Таблица1[[#This Row],[сумма]]*Таблица1[[#This Row],[коэф]])),
IF(OR(G720="2/4",G720="3/4",G720="4/4"),((база!$I$5*Таблица1[[#This Row],[сумма]]*Таблица1[[#This Row],[коэф]])),
IF((G720="5/8"),((база!$J$6*Таблица1[[#This Row],[сумма]]*Таблица1[[#This Row],[коэф]])),
IF(OR(G720="4/8",G720="3/8",G720="2/8"),((база!$J$5*Таблица1[[#This Row],[сумма]]*Таблица1[[#This Row],[коэф]])))))))))))</f>
        <v>0</v>
      </c>
      <c r="AP720" s="696" t="b">
        <f>IF(AR720&lt;=3,(IF((G720="5/24"),((база!$M$6*2*Таблица1[[#This Row],[Столбец1]]*Таблица1[[#This Row],[коэф]])),
IF((G720="4/24"),((база!$M$5*2*Таблица1[[#This Row],[Столбец1]]*Таблица1[[#This Row],[коэф]])),
IF((G720="3/24"),((база!$M$4*2*Таблица1[[#This Row],[Столбец1]]*Таблица1[[#This Row],[коэф]])),
IF((G720="5/16"),((база!$L$6*2*Таблица1[[#This Row],[Столбец1]]*Таблица1[[#This Row],[коэф]])),
IF((G720="4/16"),((база!$L$5*2*Таблица1[[#This Row],[Столбец1]]*Таблица1[[#This Row],[коэф]])),
IF((G720="3/16"),((база!$L$4*2*Таблица1[[#This Row],[Столбец1]]*Таблица1[[#This Row],[коэф]])),
IF((G720="4/4"),((база!$I$5*2*Таблица1[[#This Row],[Столбец1]]*Таблица1[[#This Row],[коэф]])),
IF(OR(G720="2/4",G720="3/4"),((база!$I$4*2*Таблица1[[#This Row],[Столбец1]]*Таблица1[[#This Row],[коэф]])),
IF((G720="5/8"),((база!$J$6*2*Таблица1[[#This Row],[Столбец1]]*Таблица1[[#This Row],[коэф]])),
IF((G720="4/8"),((база!$J$5*2*Таблица1[[#This Row],[Столбец1]]*Таблица1[[#This Row],[коэф]])),
IF(OR(G720="3/8",G720="2/8"),((база!$J$4*2*Таблица1[[#This Row],[Столбец1]]*Таблица1[[#This Row],[коэф]])))))))))))))),
(IF((G720="5/24"),((база!$M$6*2*Таблица1[[#This Row],[Столбец1]]*Таблица1[[#This Row],[коэф]])),
IF(OR(G720="4/24",G720="3/24"),((база!$M$5*2*Таблица1[[#This Row],[Столбец1]]*Таблица1[[#This Row],[коэф]])),
IF((G720="5/16"),((база!$L$6*2*Таблица1[[#This Row],[Столбец1]]*Таблица1[[#This Row],[коэф]])),
IF(OR(G720="4/16",G720="3/16"),((база!$L$5*2*Таблица1[[#This Row],[Столбец1]]*Таблица1[[#This Row],[коэф]])),
IF(OR(G720="2/4",G720="3/4",G720="4/4"),((база!$I$5*2*Таблица1[[#This Row],[Столбец1]]*Таблица1[[#This Row],[коэф]])),
IF((G720="5/8"),((база!$J$6*2*Таблица1[[#This Row],[Столбец1]]*Таблица1[[#This Row],[коэф]])),
IF(OR(G720="4/8",G720="3/8",G720="2/8"),((база!$J$5*2*Таблица1[[#This Row],[Столбец1]]*Таблица1[[#This Row],[коэф]])))))))))))</f>
        <v>0</v>
      </c>
      <c r="AQ720" s="678" t="str">
        <f>IFERROR(INDEX(база!T:T, MATCH(F720,база!Q:Q,0)),"")</f>
        <v/>
      </c>
      <c r="AR720" s="193">
        <f>IFERROR(INDEX(база!D:D, MATCH(F720,база!B:B,0)),"")</f>
        <v>0</v>
      </c>
    </row>
    <row r="721" spans="1:44" ht="15">
      <c r="A721" s="59"/>
      <c r="B721" s="215"/>
      <c r="C721" s="277"/>
      <c r="D721" s="55"/>
      <c r="E721" s="196"/>
      <c r="F721" s="651"/>
      <c r="G721" s="42"/>
      <c r="H721" s="539"/>
      <c r="I721" s="539"/>
      <c r="J721" s="539"/>
      <c r="K721" s="539"/>
      <c r="L721" s="539"/>
      <c r="M721" s="539"/>
      <c r="N721" s="539"/>
      <c r="O721" s="539"/>
      <c r="P721" s="278"/>
      <c r="Q721" s="539"/>
      <c r="R721" s="539"/>
      <c r="S721" s="539"/>
      <c r="T721" s="539"/>
      <c r="U721" s="539"/>
      <c r="V721" s="539"/>
      <c r="W721" s="539"/>
      <c r="X721" s="539"/>
      <c r="Y721" s="539"/>
      <c r="Z721" s="539"/>
      <c r="AA721" s="539"/>
      <c r="AB721" s="539"/>
      <c r="AC721" s="539"/>
      <c r="AD721" s="43"/>
      <c r="AE721" s="43"/>
      <c r="AF721" s="238"/>
      <c r="AG721" s="43"/>
      <c r="AH721" s="43"/>
      <c r="AI721" s="238"/>
      <c r="AJ721" s="238"/>
      <c r="AK721" s="238"/>
      <c r="AL721" s="238"/>
      <c r="AM721" s="197">
        <f>IF(AQ721=1,SUM(H721:I721,L721:O721,R721:U721,X721:AA721,AD721:AG721,AI721:AK721),
IF(AQ721=2,SUM(H721:K721,N721:Q721,T721:W721,Z721:AC721,AF721:AI721),
IF(AQ721=3,SUM(J721:M721,P721:S721,V721:Y721,AB721:AE721,AH721:AK721),SUM(Таблица1[[#This Row],[1]:[31]])-Таблица1[[#This Row],[Столбец1]])))</f>
        <v>0</v>
      </c>
      <c r="AN721" s="269">
        <f t="array" ref="AN721">IF(AQ721=1,SUM(J721:K721,P721:Q721,V721:W721,AB721:AC721,AH721:AI721),
IF(AQ721=2,SUM(L721:M721,R721:S721,X721:Y721,AD721:AE721),
IF(AQ721=3,SUM(H721:I721,N721:O721,T721:U721,Z721:AA721,AF721:AG721),
SUM(IFERROR(WEEKDAY($H$2:$AL$2,2)&gt;5,)*H721:AL721))))</f>
        <v>0</v>
      </c>
      <c r="AO721" s="271" t="b">
        <f>IF(AR721&lt;=3,(IF((G721="5/24"),((база!$M$6*Таблица1[[#This Row],[сумма]]*Таблица1[[#This Row],[коэф]])),
IF((G721="4/24"),((база!$M$5*Таблица1[[#This Row],[сумма]]*Таблица1[[#This Row],[коэф]])),
IF((G721="3/24"),((база!$M$4*Таблица1[[#This Row],[сумма]]*Таблица1[[#This Row],[коэф]])),
IF((G721="5/16"),((база!$L$6*Таблица1[[#This Row],[сумма]]*Таблица1[[#This Row],[коэф]])),
IF((G721="4/16"),((база!$L$5*Таблица1[[#This Row],[сумма]]*Таблица1[[#This Row],[коэф]])),
IF((G721="3/16"),((база!$L$4*Таблица1[[#This Row],[сумма]]*Таблица1[[#This Row],[коэф]])),
IF((G721="4/4"),((база!$I$5*Таблица1[[#This Row],[сумма]]*Таблица1[[#This Row],[коэф]])),
IF(OR(G721="2/4",G721="3/4"),((база!$I$4*Таблица1[[#This Row],[сумма]]*Таблица1[[#This Row],[коэф]])),
IF((G721="5/8"),((база!$J$6*Таблица1[[#This Row],[сумма]]*Таблица1[[#This Row],[коэф]])),
IF((G721="4/8"),((база!$J$5*Таблица1[[#This Row],[сумма]]*Таблица1[[#This Row],[коэф]])),
IF(OR(G721="3/8",G721="2/8"),((база!$J$4*Таблица1[[#This Row],[сумма]]*Таблица1[[#This Row],[коэф]])))))))))))))),
(IF((G721="5/24"),((база!$M$6*Таблица1[[#This Row],[сумма]]*Таблица1[[#This Row],[коэф]])),
IF(OR(G721="4/24",G721="3/24"),((база!$M$5*Таблица1[[#This Row],[сумма]]*Таблица1[[#This Row],[коэф]])),
IF((G721="5/16"),((база!$L$6*Таблица1[[#This Row],[сумма]]*Таблица1[[#This Row],[коэф]])),
IF(OR(G721="4/16",G721="3/16"),((база!$L$5*Таблица1[[#This Row],[сумма]]*Таблица1[[#This Row],[коэф]])),
IF(OR(G721="2/4",G721="3/4",G721="4/4"),((база!$I$5*Таблица1[[#This Row],[сумма]]*Таблица1[[#This Row],[коэф]])),
IF((G721="5/8"),((база!$J$6*Таблица1[[#This Row],[сумма]]*Таблица1[[#This Row],[коэф]])),
IF(OR(G721="4/8",G721="3/8",G721="2/8"),((база!$J$5*Таблица1[[#This Row],[сумма]]*Таблица1[[#This Row],[коэф]])))))))))))</f>
        <v>0</v>
      </c>
      <c r="AP721" s="696" t="b">
        <f>IF(AR721&lt;=3,(IF((G721="5/24"),((база!$M$6*2*Таблица1[[#This Row],[Столбец1]]*Таблица1[[#This Row],[коэф]])),
IF((G721="4/24"),((база!$M$5*2*Таблица1[[#This Row],[Столбец1]]*Таблица1[[#This Row],[коэф]])),
IF((G721="3/24"),((база!$M$4*2*Таблица1[[#This Row],[Столбец1]]*Таблица1[[#This Row],[коэф]])),
IF((G721="5/16"),((база!$L$6*2*Таблица1[[#This Row],[Столбец1]]*Таблица1[[#This Row],[коэф]])),
IF((G721="4/16"),((база!$L$5*2*Таблица1[[#This Row],[Столбец1]]*Таблица1[[#This Row],[коэф]])),
IF((G721="3/16"),((база!$L$4*2*Таблица1[[#This Row],[Столбец1]]*Таблица1[[#This Row],[коэф]])),
IF((G721="4/4"),((база!$I$5*2*Таблица1[[#This Row],[Столбец1]]*Таблица1[[#This Row],[коэф]])),
IF(OR(G721="2/4",G721="3/4"),((база!$I$4*2*Таблица1[[#This Row],[Столбец1]]*Таблица1[[#This Row],[коэф]])),
IF((G721="5/8"),((база!$J$6*2*Таблица1[[#This Row],[Столбец1]]*Таблица1[[#This Row],[коэф]])),
IF((G721="4/8"),((база!$J$5*2*Таблица1[[#This Row],[Столбец1]]*Таблица1[[#This Row],[коэф]])),
IF(OR(G721="3/8",G721="2/8"),((база!$J$4*2*Таблица1[[#This Row],[Столбец1]]*Таблица1[[#This Row],[коэф]])))))))))))))),
(IF((G721="5/24"),((база!$M$6*2*Таблица1[[#This Row],[Столбец1]]*Таблица1[[#This Row],[коэф]])),
IF(OR(G721="4/24",G721="3/24"),((база!$M$5*2*Таблица1[[#This Row],[Столбец1]]*Таблица1[[#This Row],[коэф]])),
IF((G721="5/16"),((база!$L$6*2*Таблица1[[#This Row],[Столбец1]]*Таблица1[[#This Row],[коэф]])),
IF(OR(G721="4/16",G721="3/16"),((база!$L$5*2*Таблица1[[#This Row],[Столбец1]]*Таблица1[[#This Row],[коэф]])),
IF(OR(G721="2/4",G721="3/4",G721="4/4"),((база!$I$5*2*Таблица1[[#This Row],[Столбец1]]*Таблица1[[#This Row],[коэф]])),
IF((G721="5/8"),((база!$J$6*2*Таблица1[[#This Row],[Столбец1]]*Таблица1[[#This Row],[коэф]])),
IF(OR(G721="4/8",G721="3/8",G721="2/8"),((база!$J$5*2*Таблица1[[#This Row],[Столбец1]]*Таблица1[[#This Row],[коэф]])))))))))))</f>
        <v>0</v>
      </c>
      <c r="AQ721" s="678" t="str">
        <f>IFERROR(INDEX(база!T:T, MATCH(F721,база!Q:Q,0)),"")</f>
        <v/>
      </c>
      <c r="AR721" s="193">
        <f>IFERROR(INDEX(база!D:D, MATCH(F721,база!B:B,0)),"")</f>
        <v>0</v>
      </c>
    </row>
    <row r="722" spans="1:44" ht="15">
      <c r="A722" s="59"/>
      <c r="B722" s="215"/>
      <c r="C722" s="277"/>
      <c r="D722" s="55"/>
      <c r="E722" s="196"/>
      <c r="F722" s="651"/>
      <c r="G722" s="42"/>
      <c r="H722" s="539"/>
      <c r="I722" s="539"/>
      <c r="J722" s="539"/>
      <c r="K722" s="539"/>
      <c r="L722" s="539"/>
      <c r="M722" s="539"/>
      <c r="N722" s="539"/>
      <c r="O722" s="539"/>
      <c r="P722" s="278"/>
      <c r="Q722" s="539"/>
      <c r="R722" s="539"/>
      <c r="S722" s="539"/>
      <c r="T722" s="539"/>
      <c r="U722" s="539"/>
      <c r="V722" s="539"/>
      <c r="W722" s="539"/>
      <c r="X722" s="539"/>
      <c r="Y722" s="539"/>
      <c r="Z722" s="539"/>
      <c r="AA722" s="539"/>
      <c r="AB722" s="539"/>
      <c r="AC722" s="539"/>
      <c r="AD722" s="43"/>
      <c r="AE722" s="43"/>
      <c r="AF722" s="238"/>
      <c r="AG722" s="43"/>
      <c r="AH722" s="43"/>
      <c r="AI722" s="43"/>
      <c r="AJ722" s="43"/>
      <c r="AK722" s="43"/>
      <c r="AL722" s="45"/>
      <c r="AM722" s="197">
        <f>IF(AQ722=1,SUM(H722:I722,L722:O722,R722:U722,X722:AA722,AD722:AG722,AI722:AK722),
IF(AQ722=2,SUM(H722:K722,N722:Q722,T722:W722,Z722:AC722,AF722:AI722),
IF(AQ722=3,SUM(J722:M722,P722:S722,V722:Y722,AB722:AE722,AH722:AK722),SUM(Таблица1[[#This Row],[1]:[31]])-Таблица1[[#This Row],[Столбец1]])))</f>
        <v>0</v>
      </c>
      <c r="AN722" s="269">
        <f t="array" ref="AN722">IF(AQ722=1,SUM(J722:K722,P722:Q722,V722:W722,AB722:AC722,AH722:AI722),
IF(AQ722=2,SUM(L722:M722,R722:S722,X722:Y722,AD722:AE722),
IF(AQ722=3,SUM(H722:I722,N722:O722,T722:U722,Z722:AA722,AF722:AG722),
SUM(IFERROR(WEEKDAY($H$2:$AL$2,2)&gt;5,)*H722:AL722))))</f>
        <v>0</v>
      </c>
      <c r="AO722" s="271" t="b">
        <f>IF(AR722&lt;=3,(IF((G722="5/24"),((база!$M$6*Таблица1[[#This Row],[сумма]]*Таблица1[[#This Row],[коэф]])),
IF((G722="4/24"),((база!$M$5*Таблица1[[#This Row],[сумма]]*Таблица1[[#This Row],[коэф]])),
IF((G722="3/24"),((база!$M$4*Таблица1[[#This Row],[сумма]]*Таблица1[[#This Row],[коэф]])),
IF((G722="5/16"),((база!$L$6*Таблица1[[#This Row],[сумма]]*Таблица1[[#This Row],[коэф]])),
IF((G722="4/16"),((база!$L$5*Таблица1[[#This Row],[сумма]]*Таблица1[[#This Row],[коэф]])),
IF((G722="3/16"),((база!$L$4*Таблица1[[#This Row],[сумма]]*Таблица1[[#This Row],[коэф]])),
IF((G722="4/4"),((база!$I$5*Таблица1[[#This Row],[сумма]]*Таблица1[[#This Row],[коэф]])),
IF(OR(G722="2/4",G722="3/4"),((база!$I$4*Таблица1[[#This Row],[сумма]]*Таблица1[[#This Row],[коэф]])),
IF((G722="5/8"),((база!$J$6*Таблица1[[#This Row],[сумма]]*Таблица1[[#This Row],[коэф]])),
IF((G722="4/8"),((база!$J$5*Таблица1[[#This Row],[сумма]]*Таблица1[[#This Row],[коэф]])),
IF(OR(G722="3/8",G722="2/8"),((база!$J$4*Таблица1[[#This Row],[сумма]]*Таблица1[[#This Row],[коэф]])))))))))))))),
(IF((G722="5/24"),((база!$M$6*Таблица1[[#This Row],[сумма]]*Таблица1[[#This Row],[коэф]])),
IF(OR(G722="4/24",G722="3/24"),((база!$M$5*Таблица1[[#This Row],[сумма]]*Таблица1[[#This Row],[коэф]])),
IF((G722="5/16"),((база!$L$6*Таблица1[[#This Row],[сумма]]*Таблица1[[#This Row],[коэф]])),
IF(OR(G722="4/16",G722="3/16"),((база!$L$5*Таблица1[[#This Row],[сумма]]*Таблица1[[#This Row],[коэф]])),
IF(OR(G722="2/4",G722="3/4",G722="4/4"),((база!$I$5*Таблица1[[#This Row],[сумма]]*Таблица1[[#This Row],[коэф]])),
IF((G722="5/8"),((база!$J$6*Таблица1[[#This Row],[сумма]]*Таблица1[[#This Row],[коэф]])),
IF(OR(G722="4/8",G722="3/8",G722="2/8"),((база!$J$5*Таблица1[[#This Row],[сумма]]*Таблица1[[#This Row],[коэф]])))))))))))</f>
        <v>0</v>
      </c>
      <c r="AP722" s="696" t="b">
        <f>IF(AR722&lt;=3,(IF((G722="5/24"),((база!$M$6*2*Таблица1[[#This Row],[Столбец1]]*Таблица1[[#This Row],[коэф]])),
IF((G722="4/24"),((база!$M$5*2*Таблица1[[#This Row],[Столбец1]]*Таблица1[[#This Row],[коэф]])),
IF((G722="3/24"),((база!$M$4*2*Таблица1[[#This Row],[Столбец1]]*Таблица1[[#This Row],[коэф]])),
IF((G722="5/16"),((база!$L$6*2*Таблица1[[#This Row],[Столбец1]]*Таблица1[[#This Row],[коэф]])),
IF((G722="4/16"),((база!$L$5*2*Таблица1[[#This Row],[Столбец1]]*Таблица1[[#This Row],[коэф]])),
IF((G722="3/16"),((база!$L$4*2*Таблица1[[#This Row],[Столбец1]]*Таблица1[[#This Row],[коэф]])),
IF((G722="4/4"),((база!$I$5*2*Таблица1[[#This Row],[Столбец1]]*Таблица1[[#This Row],[коэф]])),
IF(OR(G722="2/4",G722="3/4"),((база!$I$4*2*Таблица1[[#This Row],[Столбец1]]*Таблица1[[#This Row],[коэф]])),
IF((G722="5/8"),((база!$J$6*2*Таблица1[[#This Row],[Столбец1]]*Таблица1[[#This Row],[коэф]])),
IF((G722="4/8"),((база!$J$5*2*Таблица1[[#This Row],[Столбец1]]*Таблица1[[#This Row],[коэф]])),
IF(OR(G722="3/8",G722="2/8"),((база!$J$4*2*Таблица1[[#This Row],[Столбец1]]*Таблица1[[#This Row],[коэф]])))))))))))))),
(IF((G722="5/24"),((база!$M$6*2*Таблица1[[#This Row],[Столбец1]]*Таблица1[[#This Row],[коэф]])),
IF(OR(G722="4/24",G722="3/24"),((база!$M$5*2*Таблица1[[#This Row],[Столбец1]]*Таблица1[[#This Row],[коэф]])),
IF((G722="5/16"),((база!$L$6*2*Таблица1[[#This Row],[Столбец1]]*Таблица1[[#This Row],[коэф]])),
IF(OR(G722="4/16",G722="3/16"),((база!$L$5*2*Таблица1[[#This Row],[Столбец1]]*Таблица1[[#This Row],[коэф]])),
IF(OR(G722="2/4",G722="3/4",G722="4/4"),((база!$I$5*2*Таблица1[[#This Row],[Столбец1]]*Таблица1[[#This Row],[коэф]])),
IF((G722="5/8"),((база!$J$6*2*Таблица1[[#This Row],[Столбец1]]*Таблица1[[#This Row],[коэф]])),
IF(OR(G722="4/8",G722="3/8",G722="2/8"),((база!$J$5*2*Таблица1[[#This Row],[Столбец1]]*Таблица1[[#This Row],[коэф]])))))))))))</f>
        <v>0</v>
      </c>
      <c r="AQ722" s="678" t="str">
        <f>IFERROR(INDEX(база!T:T, MATCH(F722,база!Q:Q,0)),"")</f>
        <v/>
      </c>
      <c r="AR722" s="193">
        <f>IFERROR(INDEX(база!D:D, MATCH(F722,база!B:B,0)),"")</f>
        <v>0</v>
      </c>
    </row>
    <row r="723" spans="1:44" ht="15">
      <c r="A723" s="59"/>
      <c r="B723" s="215"/>
      <c r="C723" s="277"/>
      <c r="D723" s="55"/>
      <c r="E723" s="196"/>
      <c r="F723" s="651"/>
      <c r="G723" s="42"/>
      <c r="H723" s="539"/>
      <c r="I723" s="539"/>
      <c r="J723" s="539"/>
      <c r="K723" s="539"/>
      <c r="L723" s="539"/>
      <c r="M723" s="539"/>
      <c r="N723" s="539"/>
      <c r="O723" s="539"/>
      <c r="P723" s="278"/>
      <c r="Q723" s="539"/>
      <c r="R723" s="539"/>
      <c r="S723" s="539"/>
      <c r="T723" s="539"/>
      <c r="U723" s="539"/>
      <c r="V723" s="539"/>
      <c r="W723" s="539"/>
      <c r="X723" s="539"/>
      <c r="Y723" s="539"/>
      <c r="Z723" s="539"/>
      <c r="AA723" s="539"/>
      <c r="AB723" s="539"/>
      <c r="AC723" s="539"/>
      <c r="AD723" s="43"/>
      <c r="AE723" s="43"/>
      <c r="AF723" s="238"/>
      <c r="AG723" s="43"/>
      <c r="AH723" s="43"/>
      <c r="AI723" s="238"/>
      <c r="AJ723" s="238"/>
      <c r="AK723" s="238"/>
      <c r="AL723" s="238"/>
      <c r="AM723" s="197">
        <f>IF(AQ723=1,SUM(H723:I723,L723:O723,R723:U723,X723:AA723,AD723:AG723,AI723:AK723),
IF(AQ723=2,SUM(H723:K723,N723:Q723,T723:W723,Z723:AC723,AF723:AI723),
IF(AQ723=3,SUM(J723:M723,P723:S723,V723:Y723,AB723:AE723,AH723:AK723),SUM(Таблица1[[#This Row],[1]:[31]])-Таблица1[[#This Row],[Столбец1]])))</f>
        <v>0</v>
      </c>
      <c r="AN723" s="269">
        <f t="array" ref="AN723">IF(AQ723=1,SUM(J723:K723,P723:Q723,V723:W723,AB723:AC723,AH723:AI723),
IF(AQ723=2,SUM(L723:M723,R723:S723,X723:Y723,AD723:AE723),
IF(AQ723=3,SUM(H723:I723,N723:O723,T723:U723,Z723:AA723,AF723:AG723),
SUM(IFERROR(WEEKDAY($H$2:$AL$2,2)&gt;5,)*H723:AL723))))</f>
        <v>0</v>
      </c>
      <c r="AO723" s="271" t="b">
        <f>IF(AR723&lt;=3,(IF((G723="5/24"),((база!$M$6*Таблица1[[#This Row],[сумма]]*Таблица1[[#This Row],[коэф]])),
IF((G723="4/24"),((база!$M$5*Таблица1[[#This Row],[сумма]]*Таблица1[[#This Row],[коэф]])),
IF((G723="3/24"),((база!$M$4*Таблица1[[#This Row],[сумма]]*Таблица1[[#This Row],[коэф]])),
IF((G723="5/16"),((база!$L$6*Таблица1[[#This Row],[сумма]]*Таблица1[[#This Row],[коэф]])),
IF((G723="4/16"),((база!$L$5*Таблица1[[#This Row],[сумма]]*Таблица1[[#This Row],[коэф]])),
IF((G723="3/16"),((база!$L$4*Таблица1[[#This Row],[сумма]]*Таблица1[[#This Row],[коэф]])),
IF((G723="4/4"),((база!$I$5*Таблица1[[#This Row],[сумма]]*Таблица1[[#This Row],[коэф]])),
IF(OR(G723="2/4",G723="3/4"),((база!$I$4*Таблица1[[#This Row],[сумма]]*Таблица1[[#This Row],[коэф]])),
IF((G723="5/8"),((база!$J$6*Таблица1[[#This Row],[сумма]]*Таблица1[[#This Row],[коэф]])),
IF((G723="4/8"),((база!$J$5*Таблица1[[#This Row],[сумма]]*Таблица1[[#This Row],[коэф]])),
IF(OR(G723="3/8",G723="2/8"),((база!$J$4*Таблица1[[#This Row],[сумма]]*Таблица1[[#This Row],[коэф]])))))))))))))),
(IF((G723="5/24"),((база!$M$6*Таблица1[[#This Row],[сумма]]*Таблица1[[#This Row],[коэф]])),
IF(OR(G723="4/24",G723="3/24"),((база!$M$5*Таблица1[[#This Row],[сумма]]*Таблица1[[#This Row],[коэф]])),
IF((G723="5/16"),((база!$L$6*Таблица1[[#This Row],[сумма]]*Таблица1[[#This Row],[коэф]])),
IF(OR(G723="4/16",G723="3/16"),((база!$L$5*Таблица1[[#This Row],[сумма]]*Таблица1[[#This Row],[коэф]])),
IF(OR(G723="2/4",G723="3/4",G723="4/4"),((база!$I$5*Таблица1[[#This Row],[сумма]]*Таблица1[[#This Row],[коэф]])),
IF((G723="5/8"),((база!$J$6*Таблица1[[#This Row],[сумма]]*Таблица1[[#This Row],[коэф]])),
IF(OR(G723="4/8",G723="3/8",G723="2/8"),((база!$J$5*Таблица1[[#This Row],[сумма]]*Таблица1[[#This Row],[коэф]])))))))))))</f>
        <v>0</v>
      </c>
      <c r="AP723" s="696" t="b">
        <f>IF(AR723&lt;=3,(IF((G723="5/24"),((база!$M$6*2*Таблица1[[#This Row],[Столбец1]]*Таблица1[[#This Row],[коэф]])),
IF((G723="4/24"),((база!$M$5*2*Таблица1[[#This Row],[Столбец1]]*Таблица1[[#This Row],[коэф]])),
IF((G723="3/24"),((база!$M$4*2*Таблица1[[#This Row],[Столбец1]]*Таблица1[[#This Row],[коэф]])),
IF((G723="5/16"),((база!$L$6*2*Таблица1[[#This Row],[Столбец1]]*Таблица1[[#This Row],[коэф]])),
IF((G723="4/16"),((база!$L$5*2*Таблица1[[#This Row],[Столбец1]]*Таблица1[[#This Row],[коэф]])),
IF((G723="3/16"),((база!$L$4*2*Таблица1[[#This Row],[Столбец1]]*Таблица1[[#This Row],[коэф]])),
IF((G723="4/4"),((база!$I$5*2*Таблица1[[#This Row],[Столбец1]]*Таблица1[[#This Row],[коэф]])),
IF(OR(G723="2/4",G723="3/4"),((база!$I$4*2*Таблица1[[#This Row],[Столбец1]]*Таблица1[[#This Row],[коэф]])),
IF((G723="5/8"),((база!$J$6*2*Таблица1[[#This Row],[Столбец1]]*Таблица1[[#This Row],[коэф]])),
IF((G723="4/8"),((база!$J$5*2*Таблица1[[#This Row],[Столбец1]]*Таблица1[[#This Row],[коэф]])),
IF(OR(G723="3/8",G723="2/8"),((база!$J$4*2*Таблица1[[#This Row],[Столбец1]]*Таблица1[[#This Row],[коэф]])))))))))))))),
(IF((G723="5/24"),((база!$M$6*2*Таблица1[[#This Row],[Столбец1]]*Таблица1[[#This Row],[коэф]])),
IF(OR(G723="4/24",G723="3/24"),((база!$M$5*2*Таблица1[[#This Row],[Столбец1]]*Таблица1[[#This Row],[коэф]])),
IF((G723="5/16"),((база!$L$6*2*Таблица1[[#This Row],[Столбец1]]*Таблица1[[#This Row],[коэф]])),
IF(OR(G723="4/16",G723="3/16"),((база!$L$5*2*Таблица1[[#This Row],[Столбец1]]*Таблица1[[#This Row],[коэф]])),
IF(OR(G723="2/4",G723="3/4",G723="4/4"),((база!$I$5*2*Таблица1[[#This Row],[Столбец1]]*Таблица1[[#This Row],[коэф]])),
IF((G723="5/8"),((база!$J$6*2*Таблица1[[#This Row],[Столбец1]]*Таблица1[[#This Row],[коэф]])),
IF(OR(G723="4/8",G723="3/8",G723="2/8"),((база!$J$5*2*Таблица1[[#This Row],[Столбец1]]*Таблица1[[#This Row],[коэф]])))))))))))</f>
        <v>0</v>
      </c>
      <c r="AQ723" s="678" t="str">
        <f>IFERROR(INDEX(база!T:T, MATCH(F723,база!Q:Q,0)),"")</f>
        <v/>
      </c>
      <c r="AR723" s="193">
        <f>IFERROR(INDEX(база!D:D, MATCH(F723,база!B:B,0)),"")</f>
        <v>0</v>
      </c>
    </row>
    <row r="724" spans="1:44" ht="15">
      <c r="A724" s="59"/>
      <c r="B724" s="215"/>
      <c r="C724" s="277"/>
      <c r="D724" s="55"/>
      <c r="E724" s="196"/>
      <c r="F724" s="651"/>
      <c r="G724" s="42"/>
      <c r="H724" s="539"/>
      <c r="I724" s="539"/>
      <c r="J724" s="539"/>
      <c r="K724" s="539"/>
      <c r="L724" s="539"/>
      <c r="M724" s="539"/>
      <c r="N724" s="539"/>
      <c r="O724" s="539"/>
      <c r="P724" s="278"/>
      <c r="Q724" s="539"/>
      <c r="R724" s="539"/>
      <c r="S724" s="539"/>
      <c r="T724" s="539"/>
      <c r="U724" s="539"/>
      <c r="V724" s="539"/>
      <c r="W724" s="539"/>
      <c r="X724" s="539"/>
      <c r="Y724" s="539"/>
      <c r="Z724" s="539"/>
      <c r="AA724" s="539"/>
      <c r="AB724" s="539"/>
      <c r="AC724" s="539"/>
      <c r="AD724" s="43"/>
      <c r="AE724" s="43"/>
      <c r="AF724" s="238"/>
      <c r="AG724" s="43"/>
      <c r="AH724" s="43"/>
      <c r="AI724" s="43"/>
      <c r="AJ724" s="43"/>
      <c r="AK724" s="43"/>
      <c r="AL724" s="45"/>
      <c r="AM724" s="197">
        <f>IF(AQ724=1,SUM(H724:I724,L724:O724,R724:U724,X724:AA724,AD724:AG724,AI724:AK724),
IF(AQ724=2,SUM(H724:K724,N724:Q724,T724:W724,Z724:AC724,AF724:AI724),
IF(AQ724=3,SUM(J724:M724,P724:S724,V724:Y724,AB724:AE724,AH724:AK724),SUM(Таблица1[[#This Row],[1]:[31]])-Таблица1[[#This Row],[Столбец1]])))</f>
        <v>0</v>
      </c>
      <c r="AN724" s="269">
        <f t="array" ref="AN724">IF(AQ724=1,SUM(J724:K724,P724:Q724,V724:W724,AB724:AC724,AH724:AI724),
IF(AQ724=2,SUM(L724:M724,R724:S724,X724:Y724,AD724:AE724),
IF(AQ724=3,SUM(H724:I724,N724:O724,T724:U724,Z724:AA724,AF724:AG724),
SUM(IFERROR(WEEKDAY($H$2:$AL$2,2)&gt;5,)*H724:AL724))))</f>
        <v>0</v>
      </c>
      <c r="AO724" s="271" t="b">
        <f>IF(AR724&lt;=3,(IF((G724="5/24"),((база!$M$6*Таблица1[[#This Row],[сумма]]*Таблица1[[#This Row],[коэф]])),
IF((G724="4/24"),((база!$M$5*Таблица1[[#This Row],[сумма]]*Таблица1[[#This Row],[коэф]])),
IF((G724="3/24"),((база!$M$4*Таблица1[[#This Row],[сумма]]*Таблица1[[#This Row],[коэф]])),
IF((G724="5/16"),((база!$L$6*Таблица1[[#This Row],[сумма]]*Таблица1[[#This Row],[коэф]])),
IF((G724="4/16"),((база!$L$5*Таблица1[[#This Row],[сумма]]*Таблица1[[#This Row],[коэф]])),
IF((G724="3/16"),((база!$L$4*Таблица1[[#This Row],[сумма]]*Таблица1[[#This Row],[коэф]])),
IF((G724="4/4"),((база!$I$5*Таблица1[[#This Row],[сумма]]*Таблица1[[#This Row],[коэф]])),
IF(OR(G724="2/4",G724="3/4"),((база!$I$4*Таблица1[[#This Row],[сумма]]*Таблица1[[#This Row],[коэф]])),
IF((G724="5/8"),((база!$J$6*Таблица1[[#This Row],[сумма]]*Таблица1[[#This Row],[коэф]])),
IF((G724="4/8"),((база!$J$5*Таблица1[[#This Row],[сумма]]*Таблица1[[#This Row],[коэф]])),
IF(OR(G724="3/8",G724="2/8"),((база!$J$4*Таблица1[[#This Row],[сумма]]*Таблица1[[#This Row],[коэф]])))))))))))))),
(IF((G724="5/24"),((база!$M$6*Таблица1[[#This Row],[сумма]]*Таблица1[[#This Row],[коэф]])),
IF(OR(G724="4/24",G724="3/24"),((база!$M$5*Таблица1[[#This Row],[сумма]]*Таблица1[[#This Row],[коэф]])),
IF((G724="5/16"),((база!$L$6*Таблица1[[#This Row],[сумма]]*Таблица1[[#This Row],[коэф]])),
IF(OR(G724="4/16",G724="3/16"),((база!$L$5*Таблица1[[#This Row],[сумма]]*Таблица1[[#This Row],[коэф]])),
IF(OR(G724="2/4",G724="3/4",G724="4/4"),((база!$I$5*Таблица1[[#This Row],[сумма]]*Таблица1[[#This Row],[коэф]])),
IF((G724="5/8"),((база!$J$6*Таблица1[[#This Row],[сумма]]*Таблица1[[#This Row],[коэф]])),
IF(OR(G724="4/8",G724="3/8",G724="2/8"),((база!$J$5*Таблица1[[#This Row],[сумма]]*Таблица1[[#This Row],[коэф]])))))))))))</f>
        <v>0</v>
      </c>
      <c r="AP724" s="696" t="b">
        <f>IF(AR724&lt;=3,(IF((G724="5/24"),((база!$M$6*2*Таблица1[[#This Row],[Столбец1]]*Таблица1[[#This Row],[коэф]])),
IF((G724="4/24"),((база!$M$5*2*Таблица1[[#This Row],[Столбец1]]*Таблица1[[#This Row],[коэф]])),
IF((G724="3/24"),((база!$M$4*2*Таблица1[[#This Row],[Столбец1]]*Таблица1[[#This Row],[коэф]])),
IF((G724="5/16"),((база!$L$6*2*Таблица1[[#This Row],[Столбец1]]*Таблица1[[#This Row],[коэф]])),
IF((G724="4/16"),((база!$L$5*2*Таблица1[[#This Row],[Столбец1]]*Таблица1[[#This Row],[коэф]])),
IF((G724="3/16"),((база!$L$4*2*Таблица1[[#This Row],[Столбец1]]*Таблица1[[#This Row],[коэф]])),
IF((G724="4/4"),((база!$I$5*2*Таблица1[[#This Row],[Столбец1]]*Таблица1[[#This Row],[коэф]])),
IF(OR(G724="2/4",G724="3/4"),((база!$I$4*2*Таблица1[[#This Row],[Столбец1]]*Таблица1[[#This Row],[коэф]])),
IF((G724="5/8"),((база!$J$6*2*Таблица1[[#This Row],[Столбец1]]*Таблица1[[#This Row],[коэф]])),
IF((G724="4/8"),((база!$J$5*2*Таблица1[[#This Row],[Столбец1]]*Таблица1[[#This Row],[коэф]])),
IF(OR(G724="3/8",G724="2/8"),((база!$J$4*2*Таблица1[[#This Row],[Столбец1]]*Таблица1[[#This Row],[коэф]])))))))))))))),
(IF((G724="5/24"),((база!$M$6*2*Таблица1[[#This Row],[Столбец1]]*Таблица1[[#This Row],[коэф]])),
IF(OR(G724="4/24",G724="3/24"),((база!$M$5*2*Таблица1[[#This Row],[Столбец1]]*Таблица1[[#This Row],[коэф]])),
IF((G724="5/16"),((база!$L$6*2*Таблица1[[#This Row],[Столбец1]]*Таблица1[[#This Row],[коэф]])),
IF(OR(G724="4/16",G724="3/16"),((база!$L$5*2*Таблица1[[#This Row],[Столбец1]]*Таблица1[[#This Row],[коэф]])),
IF(OR(G724="2/4",G724="3/4",G724="4/4"),((база!$I$5*2*Таблица1[[#This Row],[Столбец1]]*Таблица1[[#This Row],[коэф]])),
IF((G724="5/8"),((база!$J$6*2*Таблица1[[#This Row],[Столбец1]]*Таблица1[[#This Row],[коэф]])),
IF(OR(G724="4/8",G724="3/8",G724="2/8"),((база!$J$5*2*Таблица1[[#This Row],[Столбец1]]*Таблица1[[#This Row],[коэф]])))))))))))</f>
        <v>0</v>
      </c>
      <c r="AQ724" s="678" t="str">
        <f>IFERROR(INDEX(база!T:T, MATCH(F724,база!Q:Q,0)),"")</f>
        <v/>
      </c>
      <c r="AR724" s="193">
        <f>IFERROR(INDEX(база!D:D, MATCH(F724,база!B:B,0)),"")</f>
        <v>0</v>
      </c>
    </row>
    <row r="725" spans="1:44" ht="15">
      <c r="A725" s="59"/>
      <c r="B725" s="215"/>
      <c r="C725" s="277"/>
      <c r="D725" s="55"/>
      <c r="E725" s="196"/>
      <c r="F725" s="651"/>
      <c r="G725" s="42"/>
      <c r="H725" s="539"/>
      <c r="I725" s="539"/>
      <c r="J725" s="539"/>
      <c r="K725" s="539"/>
      <c r="L725" s="539"/>
      <c r="M725" s="539"/>
      <c r="N725" s="539"/>
      <c r="O725" s="539"/>
      <c r="P725" s="278"/>
      <c r="Q725" s="539"/>
      <c r="R725" s="539"/>
      <c r="S725" s="539"/>
      <c r="T725" s="539"/>
      <c r="U725" s="539"/>
      <c r="V725" s="539"/>
      <c r="W725" s="539"/>
      <c r="X725" s="539"/>
      <c r="Y725" s="539"/>
      <c r="Z725" s="539"/>
      <c r="AA725" s="539"/>
      <c r="AB725" s="539"/>
      <c r="AC725" s="539"/>
      <c r="AD725" s="43"/>
      <c r="AE725" s="43"/>
      <c r="AF725" s="238"/>
      <c r="AG725" s="43"/>
      <c r="AH725" s="43"/>
      <c r="AI725" s="238"/>
      <c r="AJ725" s="238"/>
      <c r="AK725" s="238"/>
      <c r="AL725" s="238"/>
      <c r="AM725" s="197">
        <f>IF(AQ725=1,SUM(H725:I725,L725:O725,R725:U725,X725:AA725,AD725:AG725,AI725:AK725),
IF(AQ725=2,SUM(H725:K725,N725:Q725,T725:W725,Z725:AC725,AF725:AI725),
IF(AQ725=3,SUM(J725:M725,P725:S725,V725:Y725,AB725:AE725,AH725:AK725),SUM(Таблица1[[#This Row],[1]:[31]])-Таблица1[[#This Row],[Столбец1]])))</f>
        <v>0</v>
      </c>
      <c r="AN725" s="269">
        <f t="array" ref="AN725">IF(AQ725=1,SUM(J725:K725,P725:Q725,V725:W725,AB725:AC725,AH725:AI725),
IF(AQ725=2,SUM(L725:M725,R725:S725,X725:Y725,AD725:AE725),
IF(AQ725=3,SUM(H725:I725,N725:O725,T725:U725,Z725:AA725,AF725:AG725),
SUM(IFERROR(WEEKDAY($H$2:$AL$2,2)&gt;5,)*H725:AL725))))</f>
        <v>0</v>
      </c>
      <c r="AO725" s="271" t="b">
        <f>IF(AR725&lt;=3,(IF((G725="5/24"),((база!$M$6*Таблица1[[#This Row],[сумма]]*Таблица1[[#This Row],[коэф]])),
IF((G725="4/24"),((база!$M$5*Таблица1[[#This Row],[сумма]]*Таблица1[[#This Row],[коэф]])),
IF((G725="3/24"),((база!$M$4*Таблица1[[#This Row],[сумма]]*Таблица1[[#This Row],[коэф]])),
IF((G725="5/16"),((база!$L$6*Таблица1[[#This Row],[сумма]]*Таблица1[[#This Row],[коэф]])),
IF((G725="4/16"),((база!$L$5*Таблица1[[#This Row],[сумма]]*Таблица1[[#This Row],[коэф]])),
IF((G725="3/16"),((база!$L$4*Таблица1[[#This Row],[сумма]]*Таблица1[[#This Row],[коэф]])),
IF((G725="4/4"),((база!$I$5*Таблица1[[#This Row],[сумма]]*Таблица1[[#This Row],[коэф]])),
IF(OR(G725="2/4",G725="3/4"),((база!$I$4*Таблица1[[#This Row],[сумма]]*Таблица1[[#This Row],[коэф]])),
IF((G725="5/8"),((база!$J$6*Таблица1[[#This Row],[сумма]]*Таблица1[[#This Row],[коэф]])),
IF((G725="4/8"),((база!$J$5*Таблица1[[#This Row],[сумма]]*Таблица1[[#This Row],[коэф]])),
IF(OR(G725="3/8",G725="2/8"),((база!$J$4*Таблица1[[#This Row],[сумма]]*Таблица1[[#This Row],[коэф]])))))))))))))),
(IF((G725="5/24"),((база!$M$6*Таблица1[[#This Row],[сумма]]*Таблица1[[#This Row],[коэф]])),
IF(OR(G725="4/24",G725="3/24"),((база!$M$5*Таблица1[[#This Row],[сумма]]*Таблица1[[#This Row],[коэф]])),
IF((G725="5/16"),((база!$L$6*Таблица1[[#This Row],[сумма]]*Таблица1[[#This Row],[коэф]])),
IF(OR(G725="4/16",G725="3/16"),((база!$L$5*Таблица1[[#This Row],[сумма]]*Таблица1[[#This Row],[коэф]])),
IF(OR(G725="2/4",G725="3/4",G725="4/4"),((база!$I$5*Таблица1[[#This Row],[сумма]]*Таблица1[[#This Row],[коэф]])),
IF((G725="5/8"),((база!$J$6*Таблица1[[#This Row],[сумма]]*Таблица1[[#This Row],[коэф]])),
IF(OR(G725="4/8",G725="3/8",G725="2/8"),((база!$J$5*Таблица1[[#This Row],[сумма]]*Таблица1[[#This Row],[коэф]])))))))))))</f>
        <v>0</v>
      </c>
      <c r="AP725" s="696" t="b">
        <f>IF(AR725&lt;=3,(IF((G725="5/24"),((база!$M$6*2*Таблица1[[#This Row],[Столбец1]]*Таблица1[[#This Row],[коэф]])),
IF((G725="4/24"),((база!$M$5*2*Таблица1[[#This Row],[Столбец1]]*Таблица1[[#This Row],[коэф]])),
IF((G725="3/24"),((база!$M$4*2*Таблица1[[#This Row],[Столбец1]]*Таблица1[[#This Row],[коэф]])),
IF((G725="5/16"),((база!$L$6*2*Таблица1[[#This Row],[Столбец1]]*Таблица1[[#This Row],[коэф]])),
IF((G725="4/16"),((база!$L$5*2*Таблица1[[#This Row],[Столбец1]]*Таблица1[[#This Row],[коэф]])),
IF((G725="3/16"),((база!$L$4*2*Таблица1[[#This Row],[Столбец1]]*Таблица1[[#This Row],[коэф]])),
IF((G725="4/4"),((база!$I$5*2*Таблица1[[#This Row],[Столбец1]]*Таблица1[[#This Row],[коэф]])),
IF(OR(G725="2/4",G725="3/4"),((база!$I$4*2*Таблица1[[#This Row],[Столбец1]]*Таблица1[[#This Row],[коэф]])),
IF((G725="5/8"),((база!$J$6*2*Таблица1[[#This Row],[Столбец1]]*Таблица1[[#This Row],[коэф]])),
IF((G725="4/8"),((база!$J$5*2*Таблица1[[#This Row],[Столбец1]]*Таблица1[[#This Row],[коэф]])),
IF(OR(G725="3/8",G725="2/8"),((база!$J$4*2*Таблица1[[#This Row],[Столбец1]]*Таблица1[[#This Row],[коэф]])))))))))))))),
(IF((G725="5/24"),((база!$M$6*2*Таблица1[[#This Row],[Столбец1]]*Таблица1[[#This Row],[коэф]])),
IF(OR(G725="4/24",G725="3/24"),((база!$M$5*2*Таблица1[[#This Row],[Столбец1]]*Таблица1[[#This Row],[коэф]])),
IF((G725="5/16"),((база!$L$6*2*Таблица1[[#This Row],[Столбец1]]*Таблица1[[#This Row],[коэф]])),
IF(OR(G725="4/16",G725="3/16"),((база!$L$5*2*Таблица1[[#This Row],[Столбец1]]*Таблица1[[#This Row],[коэф]])),
IF(OR(G725="2/4",G725="3/4",G725="4/4"),((база!$I$5*2*Таблица1[[#This Row],[Столбец1]]*Таблица1[[#This Row],[коэф]])),
IF((G725="5/8"),((база!$J$6*2*Таблица1[[#This Row],[Столбец1]]*Таблица1[[#This Row],[коэф]])),
IF(OR(G725="4/8",G725="3/8",G725="2/8"),((база!$J$5*2*Таблица1[[#This Row],[Столбец1]]*Таблица1[[#This Row],[коэф]])))))))))))</f>
        <v>0</v>
      </c>
      <c r="AQ725" s="678" t="str">
        <f>IFERROR(INDEX(база!T:T, MATCH(F725,база!Q:Q,0)),"")</f>
        <v/>
      </c>
      <c r="AR725" s="193">
        <f>IFERROR(INDEX(база!D:D, MATCH(F725,база!B:B,0)),"")</f>
        <v>0</v>
      </c>
    </row>
    <row r="726" spans="1:44" ht="15">
      <c r="A726" s="59"/>
      <c r="B726" s="215"/>
      <c r="C726" s="277"/>
      <c r="D726" s="55"/>
      <c r="E726" s="196"/>
      <c r="F726" s="651"/>
      <c r="G726" s="42"/>
      <c r="H726" s="539"/>
      <c r="I726" s="539"/>
      <c r="J726" s="539"/>
      <c r="K726" s="539"/>
      <c r="L726" s="539"/>
      <c r="M726" s="539"/>
      <c r="N726" s="539"/>
      <c r="O726" s="539"/>
      <c r="P726" s="278"/>
      <c r="Q726" s="539"/>
      <c r="R726" s="539"/>
      <c r="S726" s="539"/>
      <c r="T726" s="539"/>
      <c r="U726" s="539"/>
      <c r="V726" s="539"/>
      <c r="W726" s="539"/>
      <c r="X726" s="539"/>
      <c r="Y726" s="539"/>
      <c r="Z726" s="539"/>
      <c r="AA726" s="539"/>
      <c r="AB726" s="539"/>
      <c r="AC726" s="539"/>
      <c r="AD726" s="43"/>
      <c r="AE726" s="43"/>
      <c r="AF726" s="238"/>
      <c r="AG726" s="43"/>
      <c r="AH726" s="43"/>
      <c r="AI726" s="43"/>
      <c r="AJ726" s="43"/>
      <c r="AK726" s="43"/>
      <c r="AL726" s="45"/>
      <c r="AM726" s="197">
        <f>IF(AQ726=1,SUM(H726:I726,L726:O726,R726:U726,X726:AA726,AD726:AG726,AI726:AK726),
IF(AQ726=2,SUM(H726:K726,N726:Q726,T726:W726,Z726:AC726,AF726:AI726),
IF(AQ726=3,SUM(J726:M726,P726:S726,V726:Y726,AB726:AE726,AH726:AK726),SUM(Таблица1[[#This Row],[1]:[31]])-Таблица1[[#This Row],[Столбец1]])))</f>
        <v>0</v>
      </c>
      <c r="AN726" s="269">
        <f t="array" ref="AN726">IF(AQ726=1,SUM(J726:K726,P726:Q726,V726:W726,AB726:AC726,AH726:AI726),
IF(AQ726=2,SUM(L726:M726,R726:S726,X726:Y726,AD726:AE726),
IF(AQ726=3,SUM(H726:I726,N726:O726,T726:U726,Z726:AA726,AF726:AG726),
SUM(IFERROR(WEEKDAY($H$2:$AL$2,2)&gt;5,)*H726:AL726))))</f>
        <v>0</v>
      </c>
      <c r="AO726" s="271" t="b">
        <f>IF(AR726&lt;=3,(IF((G726="5/24"),((база!$M$6*Таблица1[[#This Row],[сумма]]*Таблица1[[#This Row],[коэф]])),
IF((G726="4/24"),((база!$M$5*Таблица1[[#This Row],[сумма]]*Таблица1[[#This Row],[коэф]])),
IF((G726="3/24"),((база!$M$4*Таблица1[[#This Row],[сумма]]*Таблица1[[#This Row],[коэф]])),
IF((G726="5/16"),((база!$L$6*Таблица1[[#This Row],[сумма]]*Таблица1[[#This Row],[коэф]])),
IF((G726="4/16"),((база!$L$5*Таблица1[[#This Row],[сумма]]*Таблица1[[#This Row],[коэф]])),
IF((G726="3/16"),((база!$L$4*Таблица1[[#This Row],[сумма]]*Таблица1[[#This Row],[коэф]])),
IF((G726="4/4"),((база!$I$5*Таблица1[[#This Row],[сумма]]*Таблица1[[#This Row],[коэф]])),
IF(OR(G726="2/4",G726="3/4"),((база!$I$4*Таблица1[[#This Row],[сумма]]*Таблица1[[#This Row],[коэф]])),
IF((G726="5/8"),((база!$J$6*Таблица1[[#This Row],[сумма]]*Таблица1[[#This Row],[коэф]])),
IF((G726="4/8"),((база!$J$5*Таблица1[[#This Row],[сумма]]*Таблица1[[#This Row],[коэф]])),
IF(OR(G726="3/8",G726="2/8"),((база!$J$4*Таблица1[[#This Row],[сумма]]*Таблица1[[#This Row],[коэф]])))))))))))))),
(IF((G726="5/24"),((база!$M$6*Таблица1[[#This Row],[сумма]]*Таблица1[[#This Row],[коэф]])),
IF(OR(G726="4/24",G726="3/24"),((база!$M$5*Таблица1[[#This Row],[сумма]]*Таблица1[[#This Row],[коэф]])),
IF((G726="5/16"),((база!$L$6*Таблица1[[#This Row],[сумма]]*Таблица1[[#This Row],[коэф]])),
IF(OR(G726="4/16",G726="3/16"),((база!$L$5*Таблица1[[#This Row],[сумма]]*Таблица1[[#This Row],[коэф]])),
IF(OR(G726="2/4",G726="3/4",G726="4/4"),((база!$I$5*Таблица1[[#This Row],[сумма]]*Таблица1[[#This Row],[коэф]])),
IF((G726="5/8"),((база!$J$6*Таблица1[[#This Row],[сумма]]*Таблица1[[#This Row],[коэф]])),
IF(OR(G726="4/8",G726="3/8",G726="2/8"),((база!$J$5*Таблица1[[#This Row],[сумма]]*Таблица1[[#This Row],[коэф]])))))))))))</f>
        <v>0</v>
      </c>
      <c r="AP726" s="696" t="b">
        <f>IF(AR726&lt;=3,(IF((G726="5/24"),((база!$M$6*2*Таблица1[[#This Row],[Столбец1]]*Таблица1[[#This Row],[коэф]])),
IF((G726="4/24"),((база!$M$5*2*Таблица1[[#This Row],[Столбец1]]*Таблица1[[#This Row],[коэф]])),
IF((G726="3/24"),((база!$M$4*2*Таблица1[[#This Row],[Столбец1]]*Таблица1[[#This Row],[коэф]])),
IF((G726="5/16"),((база!$L$6*2*Таблица1[[#This Row],[Столбец1]]*Таблица1[[#This Row],[коэф]])),
IF((G726="4/16"),((база!$L$5*2*Таблица1[[#This Row],[Столбец1]]*Таблица1[[#This Row],[коэф]])),
IF((G726="3/16"),((база!$L$4*2*Таблица1[[#This Row],[Столбец1]]*Таблица1[[#This Row],[коэф]])),
IF((G726="4/4"),((база!$I$5*2*Таблица1[[#This Row],[Столбец1]]*Таблица1[[#This Row],[коэф]])),
IF(OR(G726="2/4",G726="3/4"),((база!$I$4*2*Таблица1[[#This Row],[Столбец1]]*Таблица1[[#This Row],[коэф]])),
IF((G726="5/8"),((база!$J$6*2*Таблица1[[#This Row],[Столбец1]]*Таблица1[[#This Row],[коэф]])),
IF((G726="4/8"),((база!$J$5*2*Таблица1[[#This Row],[Столбец1]]*Таблица1[[#This Row],[коэф]])),
IF(OR(G726="3/8",G726="2/8"),((база!$J$4*2*Таблица1[[#This Row],[Столбец1]]*Таблица1[[#This Row],[коэф]])))))))))))))),
(IF((G726="5/24"),((база!$M$6*2*Таблица1[[#This Row],[Столбец1]]*Таблица1[[#This Row],[коэф]])),
IF(OR(G726="4/24",G726="3/24"),((база!$M$5*2*Таблица1[[#This Row],[Столбец1]]*Таблица1[[#This Row],[коэф]])),
IF((G726="5/16"),((база!$L$6*2*Таблица1[[#This Row],[Столбец1]]*Таблица1[[#This Row],[коэф]])),
IF(OR(G726="4/16",G726="3/16"),((база!$L$5*2*Таблица1[[#This Row],[Столбец1]]*Таблица1[[#This Row],[коэф]])),
IF(OR(G726="2/4",G726="3/4",G726="4/4"),((база!$I$5*2*Таблица1[[#This Row],[Столбец1]]*Таблица1[[#This Row],[коэф]])),
IF((G726="5/8"),((база!$J$6*2*Таблица1[[#This Row],[Столбец1]]*Таблица1[[#This Row],[коэф]])),
IF(OR(G726="4/8",G726="3/8",G726="2/8"),((база!$J$5*2*Таблица1[[#This Row],[Столбец1]]*Таблица1[[#This Row],[коэф]])))))))))))</f>
        <v>0</v>
      </c>
      <c r="AQ726" s="678" t="str">
        <f>IFERROR(INDEX(база!T:T, MATCH(F726,база!Q:Q,0)),"")</f>
        <v/>
      </c>
      <c r="AR726" s="193">
        <f>IFERROR(INDEX(база!D:D, MATCH(F726,база!B:B,0)),"")</f>
        <v>0</v>
      </c>
    </row>
    <row r="727" spans="1:44" ht="15">
      <c r="A727" s="59"/>
      <c r="B727" s="215"/>
      <c r="C727" s="277"/>
      <c r="D727" s="55"/>
      <c r="E727" s="196"/>
      <c r="F727" s="651"/>
      <c r="G727" s="42"/>
      <c r="H727" s="539"/>
      <c r="I727" s="539"/>
      <c r="J727" s="539"/>
      <c r="K727" s="539"/>
      <c r="L727" s="539"/>
      <c r="M727" s="539"/>
      <c r="N727" s="539"/>
      <c r="O727" s="539"/>
      <c r="P727" s="278"/>
      <c r="Q727" s="539"/>
      <c r="R727" s="539"/>
      <c r="S727" s="539"/>
      <c r="T727" s="539"/>
      <c r="U727" s="539"/>
      <c r="V727" s="539"/>
      <c r="W727" s="539"/>
      <c r="X727" s="539"/>
      <c r="Y727" s="539"/>
      <c r="Z727" s="539"/>
      <c r="AA727" s="539"/>
      <c r="AB727" s="539"/>
      <c r="AC727" s="539"/>
      <c r="AD727" s="43"/>
      <c r="AE727" s="43"/>
      <c r="AF727" s="238"/>
      <c r="AG727" s="43"/>
      <c r="AH727" s="43"/>
      <c r="AI727" s="238"/>
      <c r="AJ727" s="238"/>
      <c r="AK727" s="238"/>
      <c r="AL727" s="238"/>
      <c r="AM727" s="197">
        <f>IF(AQ727=1,SUM(H727:I727,L727:O727,R727:U727,X727:AA727,AD727:AG727,AI727:AK727),
IF(AQ727=2,SUM(H727:K727,N727:Q727,T727:W727,Z727:AC727,AF727:AI727),
IF(AQ727=3,SUM(J727:M727,P727:S727,V727:Y727,AB727:AE727,AH727:AK727),SUM(Таблица1[[#This Row],[1]:[31]])-Таблица1[[#This Row],[Столбец1]])))</f>
        <v>0</v>
      </c>
      <c r="AN727" s="269">
        <f t="array" ref="AN727">IF(AQ727=1,SUM(J727:K727,P727:Q727,V727:W727,AB727:AC727,AH727:AI727),
IF(AQ727=2,SUM(L727:M727,R727:S727,X727:Y727,AD727:AE727),
IF(AQ727=3,SUM(H727:I727,N727:O727,T727:U727,Z727:AA727,AF727:AG727),
SUM(IFERROR(WEEKDAY($H$2:$AL$2,2)&gt;5,)*H727:AL727))))</f>
        <v>0</v>
      </c>
      <c r="AO727" s="271" t="b">
        <f>IF(AR727&lt;=3,(IF((G727="5/24"),((база!$M$6*Таблица1[[#This Row],[сумма]]*Таблица1[[#This Row],[коэф]])),
IF((G727="4/24"),((база!$M$5*Таблица1[[#This Row],[сумма]]*Таблица1[[#This Row],[коэф]])),
IF((G727="3/24"),((база!$M$4*Таблица1[[#This Row],[сумма]]*Таблица1[[#This Row],[коэф]])),
IF((G727="5/16"),((база!$L$6*Таблица1[[#This Row],[сумма]]*Таблица1[[#This Row],[коэф]])),
IF((G727="4/16"),((база!$L$5*Таблица1[[#This Row],[сумма]]*Таблица1[[#This Row],[коэф]])),
IF((G727="3/16"),((база!$L$4*Таблица1[[#This Row],[сумма]]*Таблица1[[#This Row],[коэф]])),
IF((G727="4/4"),((база!$I$5*Таблица1[[#This Row],[сумма]]*Таблица1[[#This Row],[коэф]])),
IF(OR(G727="2/4",G727="3/4"),((база!$I$4*Таблица1[[#This Row],[сумма]]*Таблица1[[#This Row],[коэф]])),
IF((G727="5/8"),((база!$J$6*Таблица1[[#This Row],[сумма]]*Таблица1[[#This Row],[коэф]])),
IF((G727="4/8"),((база!$J$5*Таблица1[[#This Row],[сумма]]*Таблица1[[#This Row],[коэф]])),
IF(OR(G727="3/8",G727="2/8"),((база!$J$4*Таблица1[[#This Row],[сумма]]*Таблица1[[#This Row],[коэф]])))))))))))))),
(IF((G727="5/24"),((база!$M$6*Таблица1[[#This Row],[сумма]]*Таблица1[[#This Row],[коэф]])),
IF(OR(G727="4/24",G727="3/24"),((база!$M$5*Таблица1[[#This Row],[сумма]]*Таблица1[[#This Row],[коэф]])),
IF((G727="5/16"),((база!$L$6*Таблица1[[#This Row],[сумма]]*Таблица1[[#This Row],[коэф]])),
IF(OR(G727="4/16",G727="3/16"),((база!$L$5*Таблица1[[#This Row],[сумма]]*Таблица1[[#This Row],[коэф]])),
IF(OR(G727="2/4",G727="3/4",G727="4/4"),((база!$I$5*Таблица1[[#This Row],[сумма]]*Таблица1[[#This Row],[коэф]])),
IF((G727="5/8"),((база!$J$6*Таблица1[[#This Row],[сумма]]*Таблица1[[#This Row],[коэф]])),
IF(OR(G727="4/8",G727="3/8",G727="2/8"),((база!$J$5*Таблица1[[#This Row],[сумма]]*Таблица1[[#This Row],[коэф]])))))))))))</f>
        <v>0</v>
      </c>
      <c r="AP727" s="696" t="b">
        <f>IF(AR727&lt;=3,(IF((G727="5/24"),((база!$M$6*2*Таблица1[[#This Row],[Столбец1]]*Таблица1[[#This Row],[коэф]])),
IF((G727="4/24"),((база!$M$5*2*Таблица1[[#This Row],[Столбец1]]*Таблица1[[#This Row],[коэф]])),
IF((G727="3/24"),((база!$M$4*2*Таблица1[[#This Row],[Столбец1]]*Таблица1[[#This Row],[коэф]])),
IF((G727="5/16"),((база!$L$6*2*Таблица1[[#This Row],[Столбец1]]*Таблица1[[#This Row],[коэф]])),
IF((G727="4/16"),((база!$L$5*2*Таблица1[[#This Row],[Столбец1]]*Таблица1[[#This Row],[коэф]])),
IF((G727="3/16"),((база!$L$4*2*Таблица1[[#This Row],[Столбец1]]*Таблица1[[#This Row],[коэф]])),
IF((G727="4/4"),((база!$I$5*2*Таблица1[[#This Row],[Столбец1]]*Таблица1[[#This Row],[коэф]])),
IF(OR(G727="2/4",G727="3/4"),((база!$I$4*2*Таблица1[[#This Row],[Столбец1]]*Таблица1[[#This Row],[коэф]])),
IF((G727="5/8"),((база!$J$6*2*Таблица1[[#This Row],[Столбец1]]*Таблица1[[#This Row],[коэф]])),
IF((G727="4/8"),((база!$J$5*2*Таблица1[[#This Row],[Столбец1]]*Таблица1[[#This Row],[коэф]])),
IF(OR(G727="3/8",G727="2/8"),((база!$J$4*2*Таблица1[[#This Row],[Столбец1]]*Таблица1[[#This Row],[коэф]])))))))))))))),
(IF((G727="5/24"),((база!$M$6*2*Таблица1[[#This Row],[Столбец1]]*Таблица1[[#This Row],[коэф]])),
IF(OR(G727="4/24",G727="3/24"),((база!$M$5*2*Таблица1[[#This Row],[Столбец1]]*Таблица1[[#This Row],[коэф]])),
IF((G727="5/16"),((база!$L$6*2*Таблица1[[#This Row],[Столбец1]]*Таблица1[[#This Row],[коэф]])),
IF(OR(G727="4/16",G727="3/16"),((база!$L$5*2*Таблица1[[#This Row],[Столбец1]]*Таблица1[[#This Row],[коэф]])),
IF(OR(G727="2/4",G727="3/4",G727="4/4"),((база!$I$5*2*Таблица1[[#This Row],[Столбец1]]*Таблица1[[#This Row],[коэф]])),
IF((G727="5/8"),((база!$J$6*2*Таблица1[[#This Row],[Столбец1]]*Таблица1[[#This Row],[коэф]])),
IF(OR(G727="4/8",G727="3/8",G727="2/8"),((база!$J$5*2*Таблица1[[#This Row],[Столбец1]]*Таблица1[[#This Row],[коэф]])))))))))))</f>
        <v>0</v>
      </c>
      <c r="AQ727" s="678" t="str">
        <f>IFERROR(INDEX(база!T:T, MATCH(F727,база!Q:Q,0)),"")</f>
        <v/>
      </c>
      <c r="AR727" s="193">
        <f>IFERROR(INDEX(база!D:D, MATCH(F727,база!B:B,0)),"")</f>
        <v>0</v>
      </c>
    </row>
    <row r="728" spans="1:44" ht="15">
      <c r="A728" s="59"/>
      <c r="B728" s="215"/>
      <c r="C728" s="277"/>
      <c r="D728" s="55"/>
      <c r="E728" s="196"/>
      <c r="F728" s="651"/>
      <c r="G728" s="42"/>
      <c r="H728" s="539"/>
      <c r="I728" s="539"/>
      <c r="J728" s="539"/>
      <c r="K728" s="539"/>
      <c r="L728" s="539"/>
      <c r="M728" s="539"/>
      <c r="N728" s="539"/>
      <c r="O728" s="539"/>
      <c r="P728" s="278"/>
      <c r="Q728" s="539"/>
      <c r="R728" s="539"/>
      <c r="S728" s="539"/>
      <c r="T728" s="539"/>
      <c r="U728" s="539"/>
      <c r="V728" s="539"/>
      <c r="W728" s="539"/>
      <c r="X728" s="539"/>
      <c r="Y728" s="539"/>
      <c r="Z728" s="539"/>
      <c r="AA728" s="539"/>
      <c r="AB728" s="539"/>
      <c r="AC728" s="539"/>
      <c r="AD728" s="43"/>
      <c r="AE728" s="43"/>
      <c r="AF728" s="238"/>
      <c r="AG728" s="43"/>
      <c r="AH728" s="43"/>
      <c r="AI728" s="43"/>
      <c r="AJ728" s="43"/>
      <c r="AK728" s="43"/>
      <c r="AL728" s="45"/>
      <c r="AM728" s="197">
        <f>IF(AQ728=1,SUM(H728:I728,L728:O728,R728:U728,X728:AA728,AD728:AG728,AI728:AK728),
IF(AQ728=2,SUM(H728:K728,N728:Q728,T728:W728,Z728:AC728,AF728:AI728),
IF(AQ728=3,SUM(J728:M728,P728:S728,V728:Y728,AB728:AE728,AH728:AK728),SUM(Таблица1[[#This Row],[1]:[31]])-Таблица1[[#This Row],[Столбец1]])))</f>
        <v>0</v>
      </c>
      <c r="AN728" s="269">
        <f t="array" ref="AN728">IF(AQ728=1,SUM(J728:K728,P728:Q728,V728:W728,AB728:AC728,AH728:AI728),
IF(AQ728=2,SUM(L728:M728,R728:S728,X728:Y728,AD728:AE728),
IF(AQ728=3,SUM(H728:I728,N728:O728,T728:U728,Z728:AA728,AF728:AG728),
SUM(IFERROR(WEEKDAY($H$2:$AL$2,2)&gt;5,)*H728:AL728))))</f>
        <v>0</v>
      </c>
      <c r="AO728" s="271" t="b">
        <f>IF(AR728&lt;=3,(IF((G728="5/24"),((база!$M$6*Таблица1[[#This Row],[сумма]]*Таблица1[[#This Row],[коэф]])),
IF((G728="4/24"),((база!$M$5*Таблица1[[#This Row],[сумма]]*Таблица1[[#This Row],[коэф]])),
IF((G728="3/24"),((база!$M$4*Таблица1[[#This Row],[сумма]]*Таблица1[[#This Row],[коэф]])),
IF((G728="5/16"),((база!$L$6*Таблица1[[#This Row],[сумма]]*Таблица1[[#This Row],[коэф]])),
IF((G728="4/16"),((база!$L$5*Таблица1[[#This Row],[сумма]]*Таблица1[[#This Row],[коэф]])),
IF((G728="3/16"),((база!$L$4*Таблица1[[#This Row],[сумма]]*Таблица1[[#This Row],[коэф]])),
IF((G728="4/4"),((база!$I$5*Таблица1[[#This Row],[сумма]]*Таблица1[[#This Row],[коэф]])),
IF(OR(G728="2/4",G728="3/4"),((база!$I$4*Таблица1[[#This Row],[сумма]]*Таблица1[[#This Row],[коэф]])),
IF((G728="5/8"),((база!$J$6*Таблица1[[#This Row],[сумма]]*Таблица1[[#This Row],[коэф]])),
IF((G728="4/8"),((база!$J$5*Таблица1[[#This Row],[сумма]]*Таблица1[[#This Row],[коэф]])),
IF(OR(G728="3/8",G728="2/8"),((база!$J$4*Таблица1[[#This Row],[сумма]]*Таблица1[[#This Row],[коэф]])))))))))))))),
(IF((G728="5/24"),((база!$M$6*Таблица1[[#This Row],[сумма]]*Таблица1[[#This Row],[коэф]])),
IF(OR(G728="4/24",G728="3/24"),((база!$M$5*Таблица1[[#This Row],[сумма]]*Таблица1[[#This Row],[коэф]])),
IF((G728="5/16"),((база!$L$6*Таблица1[[#This Row],[сумма]]*Таблица1[[#This Row],[коэф]])),
IF(OR(G728="4/16",G728="3/16"),((база!$L$5*Таблица1[[#This Row],[сумма]]*Таблица1[[#This Row],[коэф]])),
IF(OR(G728="2/4",G728="3/4",G728="4/4"),((база!$I$5*Таблица1[[#This Row],[сумма]]*Таблица1[[#This Row],[коэф]])),
IF((G728="5/8"),((база!$J$6*Таблица1[[#This Row],[сумма]]*Таблица1[[#This Row],[коэф]])),
IF(OR(G728="4/8",G728="3/8",G728="2/8"),((база!$J$5*Таблица1[[#This Row],[сумма]]*Таблица1[[#This Row],[коэф]])))))))))))</f>
        <v>0</v>
      </c>
      <c r="AP728" s="696" t="b">
        <f>IF(AR728&lt;=3,(IF((G728="5/24"),((база!$M$6*2*Таблица1[[#This Row],[Столбец1]]*Таблица1[[#This Row],[коэф]])),
IF((G728="4/24"),((база!$M$5*2*Таблица1[[#This Row],[Столбец1]]*Таблица1[[#This Row],[коэф]])),
IF((G728="3/24"),((база!$M$4*2*Таблица1[[#This Row],[Столбец1]]*Таблица1[[#This Row],[коэф]])),
IF((G728="5/16"),((база!$L$6*2*Таблица1[[#This Row],[Столбец1]]*Таблица1[[#This Row],[коэф]])),
IF((G728="4/16"),((база!$L$5*2*Таблица1[[#This Row],[Столбец1]]*Таблица1[[#This Row],[коэф]])),
IF((G728="3/16"),((база!$L$4*2*Таблица1[[#This Row],[Столбец1]]*Таблица1[[#This Row],[коэф]])),
IF((G728="4/4"),((база!$I$5*2*Таблица1[[#This Row],[Столбец1]]*Таблица1[[#This Row],[коэф]])),
IF(OR(G728="2/4",G728="3/4"),((база!$I$4*2*Таблица1[[#This Row],[Столбец1]]*Таблица1[[#This Row],[коэф]])),
IF((G728="5/8"),((база!$J$6*2*Таблица1[[#This Row],[Столбец1]]*Таблица1[[#This Row],[коэф]])),
IF((G728="4/8"),((база!$J$5*2*Таблица1[[#This Row],[Столбец1]]*Таблица1[[#This Row],[коэф]])),
IF(OR(G728="3/8",G728="2/8"),((база!$J$4*2*Таблица1[[#This Row],[Столбец1]]*Таблица1[[#This Row],[коэф]])))))))))))))),
(IF((G728="5/24"),((база!$M$6*2*Таблица1[[#This Row],[Столбец1]]*Таблица1[[#This Row],[коэф]])),
IF(OR(G728="4/24",G728="3/24"),((база!$M$5*2*Таблица1[[#This Row],[Столбец1]]*Таблица1[[#This Row],[коэф]])),
IF((G728="5/16"),((база!$L$6*2*Таблица1[[#This Row],[Столбец1]]*Таблица1[[#This Row],[коэф]])),
IF(OR(G728="4/16",G728="3/16"),((база!$L$5*2*Таблица1[[#This Row],[Столбец1]]*Таблица1[[#This Row],[коэф]])),
IF(OR(G728="2/4",G728="3/4",G728="4/4"),((база!$I$5*2*Таблица1[[#This Row],[Столбец1]]*Таблица1[[#This Row],[коэф]])),
IF((G728="5/8"),((база!$J$6*2*Таблица1[[#This Row],[Столбец1]]*Таблица1[[#This Row],[коэф]])),
IF(OR(G728="4/8",G728="3/8",G728="2/8"),((база!$J$5*2*Таблица1[[#This Row],[Столбец1]]*Таблица1[[#This Row],[коэф]])))))))))))</f>
        <v>0</v>
      </c>
      <c r="AQ728" s="678" t="str">
        <f>IFERROR(INDEX(база!T:T, MATCH(F728,база!Q:Q,0)),"")</f>
        <v/>
      </c>
      <c r="AR728" s="193">
        <f>IFERROR(INDEX(база!D:D, MATCH(F728,база!B:B,0)),"")</f>
        <v>0</v>
      </c>
    </row>
    <row r="729" spans="1:44" ht="15">
      <c r="A729" s="59"/>
      <c r="B729" s="215"/>
      <c r="C729" s="277"/>
      <c r="D729" s="55"/>
      <c r="E729" s="196"/>
      <c r="F729" s="651"/>
      <c r="G729" s="42"/>
      <c r="H729" s="539"/>
      <c r="I729" s="539"/>
      <c r="J729" s="539"/>
      <c r="K729" s="539"/>
      <c r="L729" s="539"/>
      <c r="M729" s="539"/>
      <c r="N729" s="539"/>
      <c r="O729" s="539"/>
      <c r="P729" s="278"/>
      <c r="Q729" s="539"/>
      <c r="R729" s="539"/>
      <c r="S729" s="539"/>
      <c r="T729" s="539"/>
      <c r="U729" s="539"/>
      <c r="V729" s="539"/>
      <c r="W729" s="539"/>
      <c r="X729" s="539"/>
      <c r="Y729" s="539"/>
      <c r="Z729" s="539"/>
      <c r="AA729" s="539"/>
      <c r="AB729" s="539"/>
      <c r="AC729" s="539"/>
      <c r="AD729" s="43"/>
      <c r="AE729" s="43"/>
      <c r="AF729" s="238"/>
      <c r="AG729" s="43"/>
      <c r="AH729" s="43"/>
      <c r="AI729" s="238"/>
      <c r="AJ729" s="238"/>
      <c r="AK729" s="238"/>
      <c r="AL729" s="238"/>
      <c r="AM729" s="197">
        <f>IF(AQ729=1,SUM(H729:I729,L729:O729,R729:U729,X729:AA729,AD729:AG729,AI729:AK729),
IF(AQ729=2,SUM(H729:K729,N729:Q729,T729:W729,Z729:AC729,AF729:AI729),
IF(AQ729=3,SUM(J729:M729,P729:S729,V729:Y729,AB729:AE729,AH729:AK729),SUM(Таблица1[[#This Row],[1]:[31]])-Таблица1[[#This Row],[Столбец1]])))</f>
        <v>0</v>
      </c>
      <c r="AN729" s="269">
        <f t="array" ref="AN729">IF(AQ729=1,SUM(J729:K729,P729:Q729,V729:W729,AB729:AC729,AH729:AI729),
IF(AQ729=2,SUM(L729:M729,R729:S729,X729:Y729,AD729:AE729),
IF(AQ729=3,SUM(H729:I729,N729:O729,T729:U729,Z729:AA729,AF729:AG729),
SUM(IFERROR(WEEKDAY($H$2:$AL$2,2)&gt;5,)*H729:AL729))))</f>
        <v>0</v>
      </c>
      <c r="AO729" s="271" t="b">
        <f>IF(AR729&lt;=3,(IF((G729="5/24"),((база!$M$6*Таблица1[[#This Row],[сумма]]*Таблица1[[#This Row],[коэф]])),
IF((G729="4/24"),((база!$M$5*Таблица1[[#This Row],[сумма]]*Таблица1[[#This Row],[коэф]])),
IF((G729="3/24"),((база!$M$4*Таблица1[[#This Row],[сумма]]*Таблица1[[#This Row],[коэф]])),
IF((G729="5/16"),((база!$L$6*Таблица1[[#This Row],[сумма]]*Таблица1[[#This Row],[коэф]])),
IF((G729="4/16"),((база!$L$5*Таблица1[[#This Row],[сумма]]*Таблица1[[#This Row],[коэф]])),
IF((G729="3/16"),((база!$L$4*Таблица1[[#This Row],[сумма]]*Таблица1[[#This Row],[коэф]])),
IF((G729="4/4"),((база!$I$5*Таблица1[[#This Row],[сумма]]*Таблица1[[#This Row],[коэф]])),
IF(OR(G729="2/4",G729="3/4"),((база!$I$4*Таблица1[[#This Row],[сумма]]*Таблица1[[#This Row],[коэф]])),
IF((G729="5/8"),((база!$J$6*Таблица1[[#This Row],[сумма]]*Таблица1[[#This Row],[коэф]])),
IF((G729="4/8"),((база!$J$5*Таблица1[[#This Row],[сумма]]*Таблица1[[#This Row],[коэф]])),
IF(OR(G729="3/8",G729="2/8"),((база!$J$4*Таблица1[[#This Row],[сумма]]*Таблица1[[#This Row],[коэф]])))))))))))))),
(IF((G729="5/24"),((база!$M$6*Таблица1[[#This Row],[сумма]]*Таблица1[[#This Row],[коэф]])),
IF(OR(G729="4/24",G729="3/24"),((база!$M$5*Таблица1[[#This Row],[сумма]]*Таблица1[[#This Row],[коэф]])),
IF((G729="5/16"),((база!$L$6*Таблица1[[#This Row],[сумма]]*Таблица1[[#This Row],[коэф]])),
IF(OR(G729="4/16",G729="3/16"),((база!$L$5*Таблица1[[#This Row],[сумма]]*Таблица1[[#This Row],[коэф]])),
IF(OR(G729="2/4",G729="3/4",G729="4/4"),((база!$I$5*Таблица1[[#This Row],[сумма]]*Таблица1[[#This Row],[коэф]])),
IF((G729="5/8"),((база!$J$6*Таблица1[[#This Row],[сумма]]*Таблица1[[#This Row],[коэф]])),
IF(OR(G729="4/8",G729="3/8",G729="2/8"),((база!$J$5*Таблица1[[#This Row],[сумма]]*Таблица1[[#This Row],[коэф]])))))))))))</f>
        <v>0</v>
      </c>
      <c r="AP729" s="696" t="b">
        <f>IF(AR729&lt;=3,(IF((G729="5/24"),((база!$M$6*2*Таблица1[[#This Row],[Столбец1]]*Таблица1[[#This Row],[коэф]])),
IF((G729="4/24"),((база!$M$5*2*Таблица1[[#This Row],[Столбец1]]*Таблица1[[#This Row],[коэф]])),
IF((G729="3/24"),((база!$M$4*2*Таблица1[[#This Row],[Столбец1]]*Таблица1[[#This Row],[коэф]])),
IF((G729="5/16"),((база!$L$6*2*Таблица1[[#This Row],[Столбец1]]*Таблица1[[#This Row],[коэф]])),
IF((G729="4/16"),((база!$L$5*2*Таблица1[[#This Row],[Столбец1]]*Таблица1[[#This Row],[коэф]])),
IF((G729="3/16"),((база!$L$4*2*Таблица1[[#This Row],[Столбец1]]*Таблица1[[#This Row],[коэф]])),
IF((G729="4/4"),((база!$I$5*2*Таблица1[[#This Row],[Столбец1]]*Таблица1[[#This Row],[коэф]])),
IF(OR(G729="2/4",G729="3/4"),((база!$I$4*2*Таблица1[[#This Row],[Столбец1]]*Таблица1[[#This Row],[коэф]])),
IF((G729="5/8"),((база!$J$6*2*Таблица1[[#This Row],[Столбец1]]*Таблица1[[#This Row],[коэф]])),
IF((G729="4/8"),((база!$J$5*2*Таблица1[[#This Row],[Столбец1]]*Таблица1[[#This Row],[коэф]])),
IF(OR(G729="3/8",G729="2/8"),((база!$J$4*2*Таблица1[[#This Row],[Столбец1]]*Таблица1[[#This Row],[коэф]])))))))))))))),
(IF((G729="5/24"),((база!$M$6*2*Таблица1[[#This Row],[Столбец1]]*Таблица1[[#This Row],[коэф]])),
IF(OR(G729="4/24",G729="3/24"),((база!$M$5*2*Таблица1[[#This Row],[Столбец1]]*Таблица1[[#This Row],[коэф]])),
IF((G729="5/16"),((база!$L$6*2*Таблица1[[#This Row],[Столбец1]]*Таблица1[[#This Row],[коэф]])),
IF(OR(G729="4/16",G729="3/16"),((база!$L$5*2*Таблица1[[#This Row],[Столбец1]]*Таблица1[[#This Row],[коэф]])),
IF(OR(G729="2/4",G729="3/4",G729="4/4"),((база!$I$5*2*Таблица1[[#This Row],[Столбец1]]*Таблица1[[#This Row],[коэф]])),
IF((G729="5/8"),((база!$J$6*2*Таблица1[[#This Row],[Столбец1]]*Таблица1[[#This Row],[коэф]])),
IF(OR(G729="4/8",G729="3/8",G729="2/8"),((база!$J$5*2*Таблица1[[#This Row],[Столбец1]]*Таблица1[[#This Row],[коэф]])))))))))))</f>
        <v>0</v>
      </c>
      <c r="AQ729" s="678" t="str">
        <f>IFERROR(INDEX(база!T:T, MATCH(F729,база!Q:Q,0)),"")</f>
        <v/>
      </c>
      <c r="AR729" s="193">
        <f>IFERROR(INDEX(база!D:D, MATCH(F729,база!B:B,0)),"")</f>
        <v>0</v>
      </c>
    </row>
    <row r="730" spans="1:44" ht="15">
      <c r="A730" s="59"/>
      <c r="B730" s="215"/>
      <c r="C730" s="277"/>
      <c r="D730" s="55"/>
      <c r="E730" s="196"/>
      <c r="F730" s="651"/>
      <c r="G730" s="42"/>
      <c r="H730" s="539"/>
      <c r="I730" s="539"/>
      <c r="J730" s="539"/>
      <c r="K730" s="539"/>
      <c r="L730" s="539"/>
      <c r="M730" s="539"/>
      <c r="N730" s="539"/>
      <c r="O730" s="539"/>
      <c r="P730" s="278"/>
      <c r="Q730" s="539"/>
      <c r="R730" s="539"/>
      <c r="S730" s="539"/>
      <c r="T730" s="539"/>
      <c r="U730" s="539"/>
      <c r="V730" s="539"/>
      <c r="W730" s="539"/>
      <c r="X730" s="539"/>
      <c r="Y730" s="539"/>
      <c r="Z730" s="539"/>
      <c r="AA730" s="539"/>
      <c r="AB730" s="539"/>
      <c r="AC730" s="539"/>
      <c r="AD730" s="43"/>
      <c r="AE730" s="43"/>
      <c r="AF730" s="238"/>
      <c r="AG730" s="43"/>
      <c r="AH730" s="43"/>
      <c r="AI730" s="43"/>
      <c r="AJ730" s="43"/>
      <c r="AK730" s="43"/>
      <c r="AL730" s="45"/>
      <c r="AM730" s="197">
        <f>IF(AQ730=1,SUM(H730:I730,L730:O730,R730:U730,X730:AA730,AD730:AG730,AI730:AK730),
IF(AQ730=2,SUM(H730:K730,N730:Q730,T730:W730,Z730:AC730,AF730:AI730),
IF(AQ730=3,SUM(J730:M730,P730:S730,V730:Y730,AB730:AE730,AH730:AK730),SUM(Таблица1[[#This Row],[1]:[31]])-Таблица1[[#This Row],[Столбец1]])))</f>
        <v>0</v>
      </c>
      <c r="AN730" s="269">
        <f t="array" ref="AN730">IF(AQ730=1,SUM(J730:K730,P730:Q730,V730:W730,AB730:AC730,AH730:AI730),
IF(AQ730=2,SUM(L730:M730,R730:S730,X730:Y730,AD730:AE730),
IF(AQ730=3,SUM(H730:I730,N730:O730,T730:U730,Z730:AA730,AF730:AG730),
SUM(IFERROR(WEEKDAY($H$2:$AL$2,2)&gt;5,)*H730:AL730))))</f>
        <v>0</v>
      </c>
      <c r="AO730" s="271" t="b">
        <f>IF(AR730&lt;=3,(IF((G730="5/24"),((база!$M$6*Таблица1[[#This Row],[сумма]]*Таблица1[[#This Row],[коэф]])),
IF((G730="4/24"),((база!$M$5*Таблица1[[#This Row],[сумма]]*Таблица1[[#This Row],[коэф]])),
IF((G730="3/24"),((база!$M$4*Таблица1[[#This Row],[сумма]]*Таблица1[[#This Row],[коэф]])),
IF((G730="5/16"),((база!$L$6*Таблица1[[#This Row],[сумма]]*Таблица1[[#This Row],[коэф]])),
IF((G730="4/16"),((база!$L$5*Таблица1[[#This Row],[сумма]]*Таблица1[[#This Row],[коэф]])),
IF((G730="3/16"),((база!$L$4*Таблица1[[#This Row],[сумма]]*Таблица1[[#This Row],[коэф]])),
IF((G730="4/4"),((база!$I$5*Таблица1[[#This Row],[сумма]]*Таблица1[[#This Row],[коэф]])),
IF(OR(G730="2/4",G730="3/4"),((база!$I$4*Таблица1[[#This Row],[сумма]]*Таблица1[[#This Row],[коэф]])),
IF((G730="5/8"),((база!$J$6*Таблица1[[#This Row],[сумма]]*Таблица1[[#This Row],[коэф]])),
IF((G730="4/8"),((база!$J$5*Таблица1[[#This Row],[сумма]]*Таблица1[[#This Row],[коэф]])),
IF(OR(G730="3/8",G730="2/8"),((база!$J$4*Таблица1[[#This Row],[сумма]]*Таблица1[[#This Row],[коэф]])))))))))))))),
(IF((G730="5/24"),((база!$M$6*Таблица1[[#This Row],[сумма]]*Таблица1[[#This Row],[коэф]])),
IF(OR(G730="4/24",G730="3/24"),((база!$M$5*Таблица1[[#This Row],[сумма]]*Таблица1[[#This Row],[коэф]])),
IF((G730="5/16"),((база!$L$6*Таблица1[[#This Row],[сумма]]*Таблица1[[#This Row],[коэф]])),
IF(OR(G730="4/16",G730="3/16"),((база!$L$5*Таблица1[[#This Row],[сумма]]*Таблица1[[#This Row],[коэф]])),
IF(OR(G730="2/4",G730="3/4",G730="4/4"),((база!$I$5*Таблица1[[#This Row],[сумма]]*Таблица1[[#This Row],[коэф]])),
IF((G730="5/8"),((база!$J$6*Таблица1[[#This Row],[сумма]]*Таблица1[[#This Row],[коэф]])),
IF(OR(G730="4/8",G730="3/8",G730="2/8"),((база!$J$5*Таблица1[[#This Row],[сумма]]*Таблица1[[#This Row],[коэф]])))))))))))</f>
        <v>0</v>
      </c>
      <c r="AP730" s="696" t="b">
        <f>IF(AR730&lt;=3,(IF((G730="5/24"),((база!$M$6*2*Таблица1[[#This Row],[Столбец1]]*Таблица1[[#This Row],[коэф]])),
IF((G730="4/24"),((база!$M$5*2*Таблица1[[#This Row],[Столбец1]]*Таблица1[[#This Row],[коэф]])),
IF((G730="3/24"),((база!$M$4*2*Таблица1[[#This Row],[Столбец1]]*Таблица1[[#This Row],[коэф]])),
IF((G730="5/16"),((база!$L$6*2*Таблица1[[#This Row],[Столбец1]]*Таблица1[[#This Row],[коэф]])),
IF((G730="4/16"),((база!$L$5*2*Таблица1[[#This Row],[Столбец1]]*Таблица1[[#This Row],[коэф]])),
IF((G730="3/16"),((база!$L$4*2*Таблица1[[#This Row],[Столбец1]]*Таблица1[[#This Row],[коэф]])),
IF((G730="4/4"),((база!$I$5*2*Таблица1[[#This Row],[Столбец1]]*Таблица1[[#This Row],[коэф]])),
IF(OR(G730="2/4",G730="3/4"),((база!$I$4*2*Таблица1[[#This Row],[Столбец1]]*Таблица1[[#This Row],[коэф]])),
IF((G730="5/8"),((база!$J$6*2*Таблица1[[#This Row],[Столбец1]]*Таблица1[[#This Row],[коэф]])),
IF((G730="4/8"),((база!$J$5*2*Таблица1[[#This Row],[Столбец1]]*Таблица1[[#This Row],[коэф]])),
IF(OR(G730="3/8",G730="2/8"),((база!$J$4*2*Таблица1[[#This Row],[Столбец1]]*Таблица1[[#This Row],[коэф]])))))))))))))),
(IF((G730="5/24"),((база!$M$6*2*Таблица1[[#This Row],[Столбец1]]*Таблица1[[#This Row],[коэф]])),
IF(OR(G730="4/24",G730="3/24"),((база!$M$5*2*Таблица1[[#This Row],[Столбец1]]*Таблица1[[#This Row],[коэф]])),
IF((G730="5/16"),((база!$L$6*2*Таблица1[[#This Row],[Столбец1]]*Таблица1[[#This Row],[коэф]])),
IF(OR(G730="4/16",G730="3/16"),((база!$L$5*2*Таблица1[[#This Row],[Столбец1]]*Таблица1[[#This Row],[коэф]])),
IF(OR(G730="2/4",G730="3/4",G730="4/4"),((база!$I$5*2*Таблица1[[#This Row],[Столбец1]]*Таблица1[[#This Row],[коэф]])),
IF((G730="5/8"),((база!$J$6*2*Таблица1[[#This Row],[Столбец1]]*Таблица1[[#This Row],[коэф]])),
IF(OR(G730="4/8",G730="3/8",G730="2/8"),((база!$J$5*2*Таблица1[[#This Row],[Столбец1]]*Таблица1[[#This Row],[коэф]])))))))))))</f>
        <v>0</v>
      </c>
      <c r="AQ730" s="678" t="str">
        <f>IFERROR(INDEX(база!T:T, MATCH(F730,база!Q:Q,0)),"")</f>
        <v/>
      </c>
      <c r="AR730" s="193">
        <f>IFERROR(INDEX(база!D:D, MATCH(F730,база!B:B,0)),"")</f>
        <v>0</v>
      </c>
    </row>
    <row r="731" spans="1:44" ht="15">
      <c r="A731" s="59"/>
      <c r="B731" s="215"/>
      <c r="C731" s="277"/>
      <c r="D731" s="55"/>
      <c r="E731" s="196"/>
      <c r="F731" s="651"/>
      <c r="G731" s="42"/>
      <c r="H731" s="539"/>
      <c r="I731" s="539"/>
      <c r="J731" s="539"/>
      <c r="K731" s="539"/>
      <c r="L731" s="539"/>
      <c r="M731" s="539"/>
      <c r="N731" s="539"/>
      <c r="O731" s="539"/>
      <c r="P731" s="278"/>
      <c r="Q731" s="539"/>
      <c r="R731" s="539"/>
      <c r="S731" s="539"/>
      <c r="T731" s="539"/>
      <c r="U731" s="539"/>
      <c r="V731" s="539"/>
      <c r="W731" s="539"/>
      <c r="X731" s="539"/>
      <c r="Y731" s="539"/>
      <c r="Z731" s="539"/>
      <c r="AA731" s="539"/>
      <c r="AB731" s="539"/>
      <c r="AC731" s="539"/>
      <c r="AD731" s="43"/>
      <c r="AE731" s="43"/>
      <c r="AF731" s="238"/>
      <c r="AG731" s="43"/>
      <c r="AH731" s="43"/>
      <c r="AI731" s="238"/>
      <c r="AJ731" s="238"/>
      <c r="AK731" s="238"/>
      <c r="AL731" s="238"/>
      <c r="AM731" s="197">
        <f>IF(AQ731=1,SUM(H731:I731,L731:O731,R731:U731,X731:AA731,AD731:AG731,AI731:AK731),
IF(AQ731=2,SUM(H731:K731,N731:Q731,T731:W731,Z731:AC731,AF731:AI731),
IF(AQ731=3,SUM(J731:M731,P731:S731,V731:Y731,AB731:AE731,AH731:AK731),SUM(Таблица1[[#This Row],[1]:[31]])-Таблица1[[#This Row],[Столбец1]])))</f>
        <v>0</v>
      </c>
      <c r="AN731" s="269">
        <f t="array" ref="AN731">IF(AQ731=1,SUM(J731:K731,P731:Q731,V731:W731,AB731:AC731,AH731:AI731),
IF(AQ731=2,SUM(L731:M731,R731:S731,X731:Y731,AD731:AE731),
IF(AQ731=3,SUM(H731:I731,N731:O731,T731:U731,Z731:AA731,AF731:AG731),
SUM(IFERROR(WEEKDAY($H$2:$AL$2,2)&gt;5,)*H731:AL731))))</f>
        <v>0</v>
      </c>
      <c r="AO731" s="271" t="b">
        <f>IF(AR731&lt;=3,(IF((G731="5/24"),((база!$M$6*Таблица1[[#This Row],[сумма]]*Таблица1[[#This Row],[коэф]])),
IF((G731="4/24"),((база!$M$5*Таблица1[[#This Row],[сумма]]*Таблица1[[#This Row],[коэф]])),
IF((G731="3/24"),((база!$M$4*Таблица1[[#This Row],[сумма]]*Таблица1[[#This Row],[коэф]])),
IF((G731="5/16"),((база!$L$6*Таблица1[[#This Row],[сумма]]*Таблица1[[#This Row],[коэф]])),
IF((G731="4/16"),((база!$L$5*Таблица1[[#This Row],[сумма]]*Таблица1[[#This Row],[коэф]])),
IF((G731="3/16"),((база!$L$4*Таблица1[[#This Row],[сумма]]*Таблица1[[#This Row],[коэф]])),
IF((G731="4/4"),((база!$I$5*Таблица1[[#This Row],[сумма]]*Таблица1[[#This Row],[коэф]])),
IF(OR(G731="2/4",G731="3/4"),((база!$I$4*Таблица1[[#This Row],[сумма]]*Таблица1[[#This Row],[коэф]])),
IF((G731="5/8"),((база!$J$6*Таблица1[[#This Row],[сумма]]*Таблица1[[#This Row],[коэф]])),
IF((G731="4/8"),((база!$J$5*Таблица1[[#This Row],[сумма]]*Таблица1[[#This Row],[коэф]])),
IF(OR(G731="3/8",G731="2/8"),((база!$J$4*Таблица1[[#This Row],[сумма]]*Таблица1[[#This Row],[коэф]])))))))))))))),
(IF((G731="5/24"),((база!$M$6*Таблица1[[#This Row],[сумма]]*Таблица1[[#This Row],[коэф]])),
IF(OR(G731="4/24",G731="3/24"),((база!$M$5*Таблица1[[#This Row],[сумма]]*Таблица1[[#This Row],[коэф]])),
IF((G731="5/16"),((база!$L$6*Таблица1[[#This Row],[сумма]]*Таблица1[[#This Row],[коэф]])),
IF(OR(G731="4/16",G731="3/16"),((база!$L$5*Таблица1[[#This Row],[сумма]]*Таблица1[[#This Row],[коэф]])),
IF(OR(G731="2/4",G731="3/4",G731="4/4"),((база!$I$5*Таблица1[[#This Row],[сумма]]*Таблица1[[#This Row],[коэф]])),
IF((G731="5/8"),((база!$J$6*Таблица1[[#This Row],[сумма]]*Таблица1[[#This Row],[коэф]])),
IF(OR(G731="4/8",G731="3/8",G731="2/8"),((база!$J$5*Таблица1[[#This Row],[сумма]]*Таблица1[[#This Row],[коэф]])))))))))))</f>
        <v>0</v>
      </c>
      <c r="AP731" s="696" t="b">
        <f>IF(AR731&lt;=3,(IF((G731="5/24"),((база!$M$6*2*Таблица1[[#This Row],[Столбец1]]*Таблица1[[#This Row],[коэф]])),
IF((G731="4/24"),((база!$M$5*2*Таблица1[[#This Row],[Столбец1]]*Таблица1[[#This Row],[коэф]])),
IF((G731="3/24"),((база!$M$4*2*Таблица1[[#This Row],[Столбец1]]*Таблица1[[#This Row],[коэф]])),
IF((G731="5/16"),((база!$L$6*2*Таблица1[[#This Row],[Столбец1]]*Таблица1[[#This Row],[коэф]])),
IF((G731="4/16"),((база!$L$5*2*Таблица1[[#This Row],[Столбец1]]*Таблица1[[#This Row],[коэф]])),
IF((G731="3/16"),((база!$L$4*2*Таблица1[[#This Row],[Столбец1]]*Таблица1[[#This Row],[коэф]])),
IF((G731="4/4"),((база!$I$5*2*Таблица1[[#This Row],[Столбец1]]*Таблица1[[#This Row],[коэф]])),
IF(OR(G731="2/4",G731="3/4"),((база!$I$4*2*Таблица1[[#This Row],[Столбец1]]*Таблица1[[#This Row],[коэф]])),
IF((G731="5/8"),((база!$J$6*2*Таблица1[[#This Row],[Столбец1]]*Таблица1[[#This Row],[коэф]])),
IF((G731="4/8"),((база!$J$5*2*Таблица1[[#This Row],[Столбец1]]*Таблица1[[#This Row],[коэф]])),
IF(OR(G731="3/8",G731="2/8"),((база!$J$4*2*Таблица1[[#This Row],[Столбец1]]*Таблица1[[#This Row],[коэф]])))))))))))))),
(IF((G731="5/24"),((база!$M$6*2*Таблица1[[#This Row],[Столбец1]]*Таблица1[[#This Row],[коэф]])),
IF(OR(G731="4/24",G731="3/24"),((база!$M$5*2*Таблица1[[#This Row],[Столбец1]]*Таблица1[[#This Row],[коэф]])),
IF((G731="5/16"),((база!$L$6*2*Таблица1[[#This Row],[Столбец1]]*Таблица1[[#This Row],[коэф]])),
IF(OR(G731="4/16",G731="3/16"),((база!$L$5*2*Таблица1[[#This Row],[Столбец1]]*Таблица1[[#This Row],[коэф]])),
IF(OR(G731="2/4",G731="3/4",G731="4/4"),((база!$I$5*2*Таблица1[[#This Row],[Столбец1]]*Таблица1[[#This Row],[коэф]])),
IF((G731="5/8"),((база!$J$6*2*Таблица1[[#This Row],[Столбец1]]*Таблица1[[#This Row],[коэф]])),
IF(OR(G731="4/8",G731="3/8",G731="2/8"),((база!$J$5*2*Таблица1[[#This Row],[Столбец1]]*Таблица1[[#This Row],[коэф]])))))))))))</f>
        <v>0</v>
      </c>
      <c r="AQ731" s="678" t="str">
        <f>IFERROR(INDEX(база!T:T, MATCH(F731,база!Q:Q,0)),"")</f>
        <v/>
      </c>
      <c r="AR731" s="193">
        <f>IFERROR(INDEX(база!D:D, MATCH(F731,база!B:B,0)),"")</f>
        <v>0</v>
      </c>
    </row>
    <row r="732" spans="1:44" ht="15">
      <c r="A732" s="59"/>
      <c r="B732" s="215"/>
      <c r="C732" s="277"/>
      <c r="D732" s="55"/>
      <c r="E732" s="196"/>
      <c r="F732" s="651"/>
      <c r="G732" s="42"/>
      <c r="H732" s="539"/>
      <c r="I732" s="539"/>
      <c r="J732" s="539"/>
      <c r="K732" s="539"/>
      <c r="L732" s="539"/>
      <c r="M732" s="539"/>
      <c r="N732" s="539"/>
      <c r="O732" s="539"/>
      <c r="P732" s="278"/>
      <c r="Q732" s="539"/>
      <c r="R732" s="539"/>
      <c r="S732" s="539"/>
      <c r="T732" s="539"/>
      <c r="U732" s="539"/>
      <c r="V732" s="539"/>
      <c r="W732" s="539"/>
      <c r="X732" s="539"/>
      <c r="Y732" s="539"/>
      <c r="Z732" s="539"/>
      <c r="AA732" s="539"/>
      <c r="AB732" s="539"/>
      <c r="AC732" s="539"/>
      <c r="AD732" s="43"/>
      <c r="AE732" s="43"/>
      <c r="AF732" s="238"/>
      <c r="AG732" s="43"/>
      <c r="AH732" s="43"/>
      <c r="AI732" s="43"/>
      <c r="AJ732" s="43"/>
      <c r="AK732" s="43"/>
      <c r="AL732" s="45"/>
      <c r="AM732" s="197">
        <f>IF(AQ732=1,SUM(H732:I732,L732:O732,R732:U732,X732:AA732,AD732:AG732,AI732:AK732),
IF(AQ732=2,SUM(H732:K732,N732:Q732,T732:W732,Z732:AC732,AF732:AI732),
IF(AQ732=3,SUM(J732:M732,P732:S732,V732:Y732,AB732:AE732,AH732:AK732),SUM(Таблица1[[#This Row],[1]:[31]])-Таблица1[[#This Row],[Столбец1]])))</f>
        <v>0</v>
      </c>
      <c r="AN732" s="269">
        <f t="array" ref="AN732">IF(AQ732=1,SUM(J732:K732,P732:Q732,V732:W732,AB732:AC732,AH732:AI732),
IF(AQ732=2,SUM(L732:M732,R732:S732,X732:Y732,AD732:AE732),
IF(AQ732=3,SUM(H732:I732,N732:O732,T732:U732,Z732:AA732,AF732:AG732),
SUM(IFERROR(WEEKDAY($H$2:$AL$2,2)&gt;5,)*H732:AL732))))</f>
        <v>0</v>
      </c>
      <c r="AO732" s="271" t="b">
        <f>IF(AR732&lt;=3,(IF((G732="5/24"),((база!$M$6*Таблица1[[#This Row],[сумма]]*Таблица1[[#This Row],[коэф]])),
IF((G732="4/24"),((база!$M$5*Таблица1[[#This Row],[сумма]]*Таблица1[[#This Row],[коэф]])),
IF((G732="3/24"),((база!$M$4*Таблица1[[#This Row],[сумма]]*Таблица1[[#This Row],[коэф]])),
IF((G732="5/16"),((база!$L$6*Таблица1[[#This Row],[сумма]]*Таблица1[[#This Row],[коэф]])),
IF((G732="4/16"),((база!$L$5*Таблица1[[#This Row],[сумма]]*Таблица1[[#This Row],[коэф]])),
IF((G732="3/16"),((база!$L$4*Таблица1[[#This Row],[сумма]]*Таблица1[[#This Row],[коэф]])),
IF((G732="4/4"),((база!$I$5*Таблица1[[#This Row],[сумма]]*Таблица1[[#This Row],[коэф]])),
IF(OR(G732="2/4",G732="3/4"),((база!$I$4*Таблица1[[#This Row],[сумма]]*Таблица1[[#This Row],[коэф]])),
IF((G732="5/8"),((база!$J$6*Таблица1[[#This Row],[сумма]]*Таблица1[[#This Row],[коэф]])),
IF((G732="4/8"),((база!$J$5*Таблица1[[#This Row],[сумма]]*Таблица1[[#This Row],[коэф]])),
IF(OR(G732="3/8",G732="2/8"),((база!$J$4*Таблица1[[#This Row],[сумма]]*Таблица1[[#This Row],[коэф]])))))))))))))),
(IF((G732="5/24"),((база!$M$6*Таблица1[[#This Row],[сумма]]*Таблица1[[#This Row],[коэф]])),
IF(OR(G732="4/24",G732="3/24"),((база!$M$5*Таблица1[[#This Row],[сумма]]*Таблица1[[#This Row],[коэф]])),
IF((G732="5/16"),((база!$L$6*Таблица1[[#This Row],[сумма]]*Таблица1[[#This Row],[коэф]])),
IF(OR(G732="4/16",G732="3/16"),((база!$L$5*Таблица1[[#This Row],[сумма]]*Таблица1[[#This Row],[коэф]])),
IF(OR(G732="2/4",G732="3/4",G732="4/4"),((база!$I$5*Таблица1[[#This Row],[сумма]]*Таблица1[[#This Row],[коэф]])),
IF((G732="5/8"),((база!$J$6*Таблица1[[#This Row],[сумма]]*Таблица1[[#This Row],[коэф]])),
IF(OR(G732="4/8",G732="3/8",G732="2/8"),((база!$J$5*Таблица1[[#This Row],[сумма]]*Таблица1[[#This Row],[коэф]])))))))))))</f>
        <v>0</v>
      </c>
      <c r="AP732" s="696" t="b">
        <f>IF(AR732&lt;=3,(IF((G732="5/24"),((база!$M$6*2*Таблица1[[#This Row],[Столбец1]]*Таблица1[[#This Row],[коэф]])),
IF((G732="4/24"),((база!$M$5*2*Таблица1[[#This Row],[Столбец1]]*Таблица1[[#This Row],[коэф]])),
IF((G732="3/24"),((база!$M$4*2*Таблица1[[#This Row],[Столбец1]]*Таблица1[[#This Row],[коэф]])),
IF((G732="5/16"),((база!$L$6*2*Таблица1[[#This Row],[Столбец1]]*Таблица1[[#This Row],[коэф]])),
IF((G732="4/16"),((база!$L$5*2*Таблица1[[#This Row],[Столбец1]]*Таблица1[[#This Row],[коэф]])),
IF((G732="3/16"),((база!$L$4*2*Таблица1[[#This Row],[Столбец1]]*Таблица1[[#This Row],[коэф]])),
IF((G732="4/4"),((база!$I$5*2*Таблица1[[#This Row],[Столбец1]]*Таблица1[[#This Row],[коэф]])),
IF(OR(G732="2/4",G732="3/4"),((база!$I$4*2*Таблица1[[#This Row],[Столбец1]]*Таблица1[[#This Row],[коэф]])),
IF((G732="5/8"),((база!$J$6*2*Таблица1[[#This Row],[Столбец1]]*Таблица1[[#This Row],[коэф]])),
IF((G732="4/8"),((база!$J$5*2*Таблица1[[#This Row],[Столбец1]]*Таблица1[[#This Row],[коэф]])),
IF(OR(G732="3/8",G732="2/8"),((база!$J$4*2*Таблица1[[#This Row],[Столбец1]]*Таблица1[[#This Row],[коэф]])))))))))))))),
(IF((G732="5/24"),((база!$M$6*2*Таблица1[[#This Row],[Столбец1]]*Таблица1[[#This Row],[коэф]])),
IF(OR(G732="4/24",G732="3/24"),((база!$M$5*2*Таблица1[[#This Row],[Столбец1]]*Таблица1[[#This Row],[коэф]])),
IF((G732="5/16"),((база!$L$6*2*Таблица1[[#This Row],[Столбец1]]*Таблица1[[#This Row],[коэф]])),
IF(OR(G732="4/16",G732="3/16"),((база!$L$5*2*Таблица1[[#This Row],[Столбец1]]*Таблица1[[#This Row],[коэф]])),
IF(OR(G732="2/4",G732="3/4",G732="4/4"),((база!$I$5*2*Таблица1[[#This Row],[Столбец1]]*Таблица1[[#This Row],[коэф]])),
IF((G732="5/8"),((база!$J$6*2*Таблица1[[#This Row],[Столбец1]]*Таблица1[[#This Row],[коэф]])),
IF(OR(G732="4/8",G732="3/8",G732="2/8"),((база!$J$5*2*Таблица1[[#This Row],[Столбец1]]*Таблица1[[#This Row],[коэф]])))))))))))</f>
        <v>0</v>
      </c>
      <c r="AQ732" s="678" t="str">
        <f>IFERROR(INDEX(база!T:T, MATCH(F732,база!Q:Q,0)),"")</f>
        <v/>
      </c>
      <c r="AR732" s="193">
        <f>IFERROR(INDEX(база!D:D, MATCH(F732,база!B:B,0)),"")</f>
        <v>0</v>
      </c>
    </row>
    <row r="733" spans="1:44" ht="15">
      <c r="A733" s="59"/>
      <c r="B733" s="215"/>
      <c r="C733" s="277"/>
      <c r="D733" s="55"/>
      <c r="E733" s="196"/>
      <c r="F733" s="651"/>
      <c r="G733" s="42"/>
      <c r="H733" s="539"/>
      <c r="I733" s="539"/>
      <c r="J733" s="539"/>
      <c r="K733" s="539"/>
      <c r="L733" s="539"/>
      <c r="M733" s="539"/>
      <c r="N733" s="539"/>
      <c r="O733" s="539"/>
      <c r="P733" s="278"/>
      <c r="Q733" s="539"/>
      <c r="R733" s="539"/>
      <c r="S733" s="539"/>
      <c r="T733" s="539"/>
      <c r="U733" s="539"/>
      <c r="V733" s="539"/>
      <c r="W733" s="539"/>
      <c r="X733" s="539"/>
      <c r="Y733" s="539"/>
      <c r="Z733" s="539"/>
      <c r="AA733" s="539"/>
      <c r="AB733" s="539"/>
      <c r="AC733" s="539"/>
      <c r="AD733" s="43"/>
      <c r="AE733" s="43"/>
      <c r="AF733" s="238"/>
      <c r="AG733" s="43"/>
      <c r="AH733" s="43"/>
      <c r="AI733" s="238"/>
      <c r="AJ733" s="238"/>
      <c r="AK733" s="238"/>
      <c r="AL733" s="238"/>
      <c r="AM733" s="197">
        <f>IF(AQ733=1,SUM(H733:I733,L733:O733,R733:U733,X733:AA733,AD733:AG733,AI733:AK733),
IF(AQ733=2,SUM(H733:K733,N733:Q733,T733:W733,Z733:AC733,AF733:AI733),
IF(AQ733=3,SUM(J733:M733,P733:S733,V733:Y733,AB733:AE733,AH733:AK733),SUM(Таблица1[[#This Row],[1]:[31]])-Таблица1[[#This Row],[Столбец1]])))</f>
        <v>0</v>
      </c>
      <c r="AN733" s="269">
        <f t="array" ref="AN733">IF(AQ733=1,SUM(J733:K733,P733:Q733,V733:W733,AB733:AC733,AH733:AI733),
IF(AQ733=2,SUM(L733:M733,R733:S733,X733:Y733,AD733:AE733),
IF(AQ733=3,SUM(H733:I733,N733:O733,T733:U733,Z733:AA733,AF733:AG733),
SUM(IFERROR(WEEKDAY($H$2:$AL$2,2)&gt;5,)*H733:AL733))))</f>
        <v>0</v>
      </c>
      <c r="AO733" s="271" t="b">
        <f>IF(AR733&lt;=3,(IF((G733="5/24"),((база!$M$6*Таблица1[[#This Row],[сумма]]*Таблица1[[#This Row],[коэф]])),
IF((G733="4/24"),((база!$M$5*Таблица1[[#This Row],[сумма]]*Таблица1[[#This Row],[коэф]])),
IF((G733="3/24"),((база!$M$4*Таблица1[[#This Row],[сумма]]*Таблица1[[#This Row],[коэф]])),
IF((G733="5/16"),((база!$L$6*Таблица1[[#This Row],[сумма]]*Таблица1[[#This Row],[коэф]])),
IF((G733="4/16"),((база!$L$5*Таблица1[[#This Row],[сумма]]*Таблица1[[#This Row],[коэф]])),
IF((G733="3/16"),((база!$L$4*Таблица1[[#This Row],[сумма]]*Таблица1[[#This Row],[коэф]])),
IF((G733="4/4"),((база!$I$5*Таблица1[[#This Row],[сумма]]*Таблица1[[#This Row],[коэф]])),
IF(OR(G733="2/4",G733="3/4"),((база!$I$4*Таблица1[[#This Row],[сумма]]*Таблица1[[#This Row],[коэф]])),
IF((G733="5/8"),((база!$J$6*Таблица1[[#This Row],[сумма]]*Таблица1[[#This Row],[коэф]])),
IF((G733="4/8"),((база!$J$5*Таблица1[[#This Row],[сумма]]*Таблица1[[#This Row],[коэф]])),
IF(OR(G733="3/8",G733="2/8"),((база!$J$4*Таблица1[[#This Row],[сумма]]*Таблица1[[#This Row],[коэф]])))))))))))))),
(IF((G733="5/24"),((база!$M$6*Таблица1[[#This Row],[сумма]]*Таблица1[[#This Row],[коэф]])),
IF(OR(G733="4/24",G733="3/24"),((база!$M$5*Таблица1[[#This Row],[сумма]]*Таблица1[[#This Row],[коэф]])),
IF((G733="5/16"),((база!$L$6*Таблица1[[#This Row],[сумма]]*Таблица1[[#This Row],[коэф]])),
IF(OR(G733="4/16",G733="3/16"),((база!$L$5*Таблица1[[#This Row],[сумма]]*Таблица1[[#This Row],[коэф]])),
IF(OR(G733="2/4",G733="3/4",G733="4/4"),((база!$I$5*Таблица1[[#This Row],[сумма]]*Таблица1[[#This Row],[коэф]])),
IF((G733="5/8"),((база!$J$6*Таблица1[[#This Row],[сумма]]*Таблица1[[#This Row],[коэф]])),
IF(OR(G733="4/8",G733="3/8",G733="2/8"),((база!$J$5*Таблица1[[#This Row],[сумма]]*Таблица1[[#This Row],[коэф]])))))))))))</f>
        <v>0</v>
      </c>
      <c r="AP733" s="696" t="b">
        <f>IF(AR733&lt;=3,(IF((G733="5/24"),((база!$M$6*2*Таблица1[[#This Row],[Столбец1]]*Таблица1[[#This Row],[коэф]])),
IF((G733="4/24"),((база!$M$5*2*Таблица1[[#This Row],[Столбец1]]*Таблица1[[#This Row],[коэф]])),
IF((G733="3/24"),((база!$M$4*2*Таблица1[[#This Row],[Столбец1]]*Таблица1[[#This Row],[коэф]])),
IF((G733="5/16"),((база!$L$6*2*Таблица1[[#This Row],[Столбец1]]*Таблица1[[#This Row],[коэф]])),
IF((G733="4/16"),((база!$L$5*2*Таблица1[[#This Row],[Столбец1]]*Таблица1[[#This Row],[коэф]])),
IF((G733="3/16"),((база!$L$4*2*Таблица1[[#This Row],[Столбец1]]*Таблица1[[#This Row],[коэф]])),
IF((G733="4/4"),((база!$I$5*2*Таблица1[[#This Row],[Столбец1]]*Таблица1[[#This Row],[коэф]])),
IF(OR(G733="2/4",G733="3/4"),((база!$I$4*2*Таблица1[[#This Row],[Столбец1]]*Таблица1[[#This Row],[коэф]])),
IF((G733="5/8"),((база!$J$6*2*Таблица1[[#This Row],[Столбец1]]*Таблица1[[#This Row],[коэф]])),
IF((G733="4/8"),((база!$J$5*2*Таблица1[[#This Row],[Столбец1]]*Таблица1[[#This Row],[коэф]])),
IF(OR(G733="3/8",G733="2/8"),((база!$J$4*2*Таблица1[[#This Row],[Столбец1]]*Таблица1[[#This Row],[коэф]])))))))))))))),
(IF((G733="5/24"),((база!$M$6*2*Таблица1[[#This Row],[Столбец1]]*Таблица1[[#This Row],[коэф]])),
IF(OR(G733="4/24",G733="3/24"),((база!$M$5*2*Таблица1[[#This Row],[Столбец1]]*Таблица1[[#This Row],[коэф]])),
IF((G733="5/16"),((база!$L$6*2*Таблица1[[#This Row],[Столбец1]]*Таблица1[[#This Row],[коэф]])),
IF(OR(G733="4/16",G733="3/16"),((база!$L$5*2*Таблица1[[#This Row],[Столбец1]]*Таблица1[[#This Row],[коэф]])),
IF(OR(G733="2/4",G733="3/4",G733="4/4"),((база!$I$5*2*Таблица1[[#This Row],[Столбец1]]*Таблица1[[#This Row],[коэф]])),
IF((G733="5/8"),((база!$J$6*2*Таблица1[[#This Row],[Столбец1]]*Таблица1[[#This Row],[коэф]])),
IF(OR(G733="4/8",G733="3/8",G733="2/8"),((база!$J$5*2*Таблица1[[#This Row],[Столбец1]]*Таблица1[[#This Row],[коэф]])))))))))))</f>
        <v>0</v>
      </c>
      <c r="AQ733" s="678" t="str">
        <f>IFERROR(INDEX(база!T:T, MATCH(F733,база!Q:Q,0)),"")</f>
        <v/>
      </c>
      <c r="AR733" s="193">
        <f>IFERROR(INDEX(база!D:D, MATCH(F733,база!B:B,0)),"")</f>
        <v>0</v>
      </c>
    </row>
    <row r="734" spans="1:44" ht="15">
      <c r="A734" s="59"/>
      <c r="B734" s="215"/>
      <c r="C734" s="277"/>
      <c r="D734" s="55"/>
      <c r="E734" s="196"/>
      <c r="F734" s="651"/>
      <c r="G734" s="42"/>
      <c r="H734" s="539"/>
      <c r="I734" s="539"/>
      <c r="J734" s="539"/>
      <c r="K734" s="539"/>
      <c r="L734" s="539"/>
      <c r="M734" s="539"/>
      <c r="N734" s="539"/>
      <c r="O734" s="539"/>
      <c r="P734" s="278"/>
      <c r="Q734" s="539"/>
      <c r="R734" s="539"/>
      <c r="S734" s="539"/>
      <c r="T734" s="539"/>
      <c r="U734" s="539"/>
      <c r="V734" s="539"/>
      <c r="W734" s="539"/>
      <c r="X734" s="539"/>
      <c r="Y734" s="539"/>
      <c r="Z734" s="539"/>
      <c r="AA734" s="539"/>
      <c r="AB734" s="539"/>
      <c r="AC734" s="539"/>
      <c r="AD734" s="43"/>
      <c r="AE734" s="43"/>
      <c r="AF734" s="238"/>
      <c r="AG734" s="43"/>
      <c r="AH734" s="43"/>
      <c r="AI734" s="43"/>
      <c r="AJ734" s="43"/>
      <c r="AK734" s="43"/>
      <c r="AL734" s="45"/>
      <c r="AM734" s="197">
        <f>IF(AQ734=1,SUM(H734:I734,L734:O734,R734:U734,X734:AA734,AD734:AG734,AI734:AK734),
IF(AQ734=2,SUM(H734:K734,N734:Q734,T734:W734,Z734:AC734,AF734:AI734),
IF(AQ734=3,SUM(J734:M734,P734:S734,V734:Y734,AB734:AE734,AH734:AK734),SUM(Таблица1[[#This Row],[1]:[31]])-Таблица1[[#This Row],[Столбец1]])))</f>
        <v>0</v>
      </c>
      <c r="AN734" s="269">
        <f t="array" ref="AN734">IF(AQ734=1,SUM(J734:K734,P734:Q734,V734:W734,AB734:AC734,AH734:AI734),
IF(AQ734=2,SUM(L734:M734,R734:S734,X734:Y734,AD734:AE734),
IF(AQ734=3,SUM(H734:I734,N734:O734,T734:U734,Z734:AA734,AF734:AG734),
SUM(IFERROR(WEEKDAY($H$2:$AL$2,2)&gt;5,)*H734:AL734))))</f>
        <v>0</v>
      </c>
      <c r="AO734" s="271" t="b">
        <f>IF(AR734&lt;=3,(IF((G734="5/24"),((база!$M$6*Таблица1[[#This Row],[сумма]]*Таблица1[[#This Row],[коэф]])),
IF((G734="4/24"),((база!$M$5*Таблица1[[#This Row],[сумма]]*Таблица1[[#This Row],[коэф]])),
IF((G734="3/24"),((база!$M$4*Таблица1[[#This Row],[сумма]]*Таблица1[[#This Row],[коэф]])),
IF((G734="5/16"),((база!$L$6*Таблица1[[#This Row],[сумма]]*Таблица1[[#This Row],[коэф]])),
IF((G734="4/16"),((база!$L$5*Таблица1[[#This Row],[сумма]]*Таблица1[[#This Row],[коэф]])),
IF((G734="3/16"),((база!$L$4*Таблица1[[#This Row],[сумма]]*Таблица1[[#This Row],[коэф]])),
IF((G734="4/4"),((база!$I$5*Таблица1[[#This Row],[сумма]]*Таблица1[[#This Row],[коэф]])),
IF(OR(G734="2/4",G734="3/4"),((база!$I$4*Таблица1[[#This Row],[сумма]]*Таблица1[[#This Row],[коэф]])),
IF((G734="5/8"),((база!$J$6*Таблица1[[#This Row],[сумма]]*Таблица1[[#This Row],[коэф]])),
IF((G734="4/8"),((база!$J$5*Таблица1[[#This Row],[сумма]]*Таблица1[[#This Row],[коэф]])),
IF(OR(G734="3/8",G734="2/8"),((база!$J$4*Таблица1[[#This Row],[сумма]]*Таблица1[[#This Row],[коэф]])))))))))))))),
(IF((G734="5/24"),((база!$M$6*Таблица1[[#This Row],[сумма]]*Таблица1[[#This Row],[коэф]])),
IF(OR(G734="4/24",G734="3/24"),((база!$M$5*Таблица1[[#This Row],[сумма]]*Таблица1[[#This Row],[коэф]])),
IF((G734="5/16"),((база!$L$6*Таблица1[[#This Row],[сумма]]*Таблица1[[#This Row],[коэф]])),
IF(OR(G734="4/16",G734="3/16"),((база!$L$5*Таблица1[[#This Row],[сумма]]*Таблица1[[#This Row],[коэф]])),
IF(OR(G734="2/4",G734="3/4",G734="4/4"),((база!$I$5*Таблица1[[#This Row],[сумма]]*Таблица1[[#This Row],[коэф]])),
IF((G734="5/8"),((база!$J$6*Таблица1[[#This Row],[сумма]]*Таблица1[[#This Row],[коэф]])),
IF(OR(G734="4/8",G734="3/8",G734="2/8"),((база!$J$5*Таблица1[[#This Row],[сумма]]*Таблица1[[#This Row],[коэф]])))))))))))</f>
        <v>0</v>
      </c>
      <c r="AP734" s="696" t="b">
        <f>IF(AR734&lt;=3,(IF((G734="5/24"),((база!$M$6*2*Таблица1[[#This Row],[Столбец1]]*Таблица1[[#This Row],[коэф]])),
IF((G734="4/24"),((база!$M$5*2*Таблица1[[#This Row],[Столбец1]]*Таблица1[[#This Row],[коэф]])),
IF((G734="3/24"),((база!$M$4*2*Таблица1[[#This Row],[Столбец1]]*Таблица1[[#This Row],[коэф]])),
IF((G734="5/16"),((база!$L$6*2*Таблица1[[#This Row],[Столбец1]]*Таблица1[[#This Row],[коэф]])),
IF((G734="4/16"),((база!$L$5*2*Таблица1[[#This Row],[Столбец1]]*Таблица1[[#This Row],[коэф]])),
IF((G734="3/16"),((база!$L$4*2*Таблица1[[#This Row],[Столбец1]]*Таблица1[[#This Row],[коэф]])),
IF((G734="4/4"),((база!$I$5*2*Таблица1[[#This Row],[Столбец1]]*Таблица1[[#This Row],[коэф]])),
IF(OR(G734="2/4",G734="3/4"),((база!$I$4*2*Таблица1[[#This Row],[Столбец1]]*Таблица1[[#This Row],[коэф]])),
IF((G734="5/8"),((база!$J$6*2*Таблица1[[#This Row],[Столбец1]]*Таблица1[[#This Row],[коэф]])),
IF((G734="4/8"),((база!$J$5*2*Таблица1[[#This Row],[Столбец1]]*Таблица1[[#This Row],[коэф]])),
IF(OR(G734="3/8",G734="2/8"),((база!$J$4*2*Таблица1[[#This Row],[Столбец1]]*Таблица1[[#This Row],[коэф]])))))))))))))),
(IF((G734="5/24"),((база!$M$6*2*Таблица1[[#This Row],[Столбец1]]*Таблица1[[#This Row],[коэф]])),
IF(OR(G734="4/24",G734="3/24"),((база!$M$5*2*Таблица1[[#This Row],[Столбец1]]*Таблица1[[#This Row],[коэф]])),
IF((G734="5/16"),((база!$L$6*2*Таблица1[[#This Row],[Столбец1]]*Таблица1[[#This Row],[коэф]])),
IF(OR(G734="4/16",G734="3/16"),((база!$L$5*2*Таблица1[[#This Row],[Столбец1]]*Таблица1[[#This Row],[коэф]])),
IF(OR(G734="2/4",G734="3/4",G734="4/4"),((база!$I$5*2*Таблица1[[#This Row],[Столбец1]]*Таблица1[[#This Row],[коэф]])),
IF((G734="5/8"),((база!$J$6*2*Таблица1[[#This Row],[Столбец1]]*Таблица1[[#This Row],[коэф]])),
IF(OR(G734="4/8",G734="3/8",G734="2/8"),((база!$J$5*2*Таблица1[[#This Row],[Столбец1]]*Таблица1[[#This Row],[коэф]])))))))))))</f>
        <v>0</v>
      </c>
      <c r="AQ734" s="678" t="str">
        <f>IFERROR(INDEX(база!T:T, MATCH(F734,база!Q:Q,0)),"")</f>
        <v/>
      </c>
      <c r="AR734" s="193">
        <f>IFERROR(INDEX(база!D:D, MATCH(F734,база!B:B,0)),"")</f>
        <v>0</v>
      </c>
    </row>
    <row r="735" spans="1:44" ht="15">
      <c r="A735" s="59"/>
      <c r="B735" s="215"/>
      <c r="C735" s="277"/>
      <c r="D735" s="55"/>
      <c r="E735" s="196"/>
      <c r="F735" s="651"/>
      <c r="G735" s="42"/>
      <c r="H735" s="539"/>
      <c r="I735" s="539"/>
      <c r="J735" s="539"/>
      <c r="K735" s="539"/>
      <c r="L735" s="539"/>
      <c r="M735" s="539"/>
      <c r="N735" s="539"/>
      <c r="O735" s="539"/>
      <c r="P735" s="278"/>
      <c r="Q735" s="539"/>
      <c r="R735" s="539"/>
      <c r="S735" s="539"/>
      <c r="T735" s="539"/>
      <c r="U735" s="539"/>
      <c r="V735" s="539"/>
      <c r="W735" s="539"/>
      <c r="X735" s="539"/>
      <c r="Y735" s="539"/>
      <c r="Z735" s="539"/>
      <c r="AA735" s="539"/>
      <c r="AB735" s="539"/>
      <c r="AC735" s="539"/>
      <c r="AD735" s="43"/>
      <c r="AE735" s="43"/>
      <c r="AF735" s="238"/>
      <c r="AG735" s="43"/>
      <c r="AH735" s="43"/>
      <c r="AI735" s="238"/>
      <c r="AJ735" s="238"/>
      <c r="AK735" s="238"/>
      <c r="AL735" s="238"/>
      <c r="AM735" s="197">
        <f>IF(AQ735=1,SUM(H735:I735,L735:O735,R735:U735,X735:AA735,AD735:AG735,AI735:AK735),
IF(AQ735=2,SUM(H735:K735,N735:Q735,T735:W735,Z735:AC735,AF735:AI735),
IF(AQ735=3,SUM(J735:M735,P735:S735,V735:Y735,AB735:AE735,AH735:AK735),SUM(Таблица1[[#This Row],[1]:[31]])-Таблица1[[#This Row],[Столбец1]])))</f>
        <v>0</v>
      </c>
      <c r="AN735" s="269">
        <f t="array" ref="AN735">IF(AQ735=1,SUM(J735:K735,P735:Q735,V735:W735,AB735:AC735,AH735:AI735),
IF(AQ735=2,SUM(L735:M735,R735:S735,X735:Y735,AD735:AE735),
IF(AQ735=3,SUM(H735:I735,N735:O735,T735:U735,Z735:AA735,AF735:AG735),
SUM(IFERROR(WEEKDAY($H$2:$AL$2,2)&gt;5,)*H735:AL735))))</f>
        <v>0</v>
      </c>
      <c r="AO735" s="271" t="b">
        <f>IF(AR735&lt;=3,(IF((G735="5/24"),((база!$M$6*Таблица1[[#This Row],[сумма]]*Таблица1[[#This Row],[коэф]])),
IF((G735="4/24"),((база!$M$5*Таблица1[[#This Row],[сумма]]*Таблица1[[#This Row],[коэф]])),
IF((G735="3/24"),((база!$M$4*Таблица1[[#This Row],[сумма]]*Таблица1[[#This Row],[коэф]])),
IF((G735="5/16"),((база!$L$6*Таблица1[[#This Row],[сумма]]*Таблица1[[#This Row],[коэф]])),
IF((G735="4/16"),((база!$L$5*Таблица1[[#This Row],[сумма]]*Таблица1[[#This Row],[коэф]])),
IF((G735="3/16"),((база!$L$4*Таблица1[[#This Row],[сумма]]*Таблица1[[#This Row],[коэф]])),
IF((G735="4/4"),((база!$I$5*Таблица1[[#This Row],[сумма]]*Таблица1[[#This Row],[коэф]])),
IF(OR(G735="2/4",G735="3/4"),((база!$I$4*Таблица1[[#This Row],[сумма]]*Таблица1[[#This Row],[коэф]])),
IF((G735="5/8"),((база!$J$6*Таблица1[[#This Row],[сумма]]*Таблица1[[#This Row],[коэф]])),
IF((G735="4/8"),((база!$J$5*Таблица1[[#This Row],[сумма]]*Таблица1[[#This Row],[коэф]])),
IF(OR(G735="3/8",G735="2/8"),((база!$J$4*Таблица1[[#This Row],[сумма]]*Таблица1[[#This Row],[коэф]])))))))))))))),
(IF((G735="5/24"),((база!$M$6*Таблица1[[#This Row],[сумма]]*Таблица1[[#This Row],[коэф]])),
IF(OR(G735="4/24",G735="3/24"),((база!$M$5*Таблица1[[#This Row],[сумма]]*Таблица1[[#This Row],[коэф]])),
IF((G735="5/16"),((база!$L$6*Таблица1[[#This Row],[сумма]]*Таблица1[[#This Row],[коэф]])),
IF(OR(G735="4/16",G735="3/16"),((база!$L$5*Таблица1[[#This Row],[сумма]]*Таблица1[[#This Row],[коэф]])),
IF(OR(G735="2/4",G735="3/4",G735="4/4"),((база!$I$5*Таблица1[[#This Row],[сумма]]*Таблица1[[#This Row],[коэф]])),
IF((G735="5/8"),((база!$J$6*Таблица1[[#This Row],[сумма]]*Таблица1[[#This Row],[коэф]])),
IF(OR(G735="4/8",G735="3/8",G735="2/8"),((база!$J$5*Таблица1[[#This Row],[сумма]]*Таблица1[[#This Row],[коэф]])))))))))))</f>
        <v>0</v>
      </c>
      <c r="AP735" s="696" t="b">
        <f>IF(AR735&lt;=3,(IF((G735="5/24"),((база!$M$6*2*Таблица1[[#This Row],[Столбец1]]*Таблица1[[#This Row],[коэф]])),
IF((G735="4/24"),((база!$M$5*2*Таблица1[[#This Row],[Столбец1]]*Таблица1[[#This Row],[коэф]])),
IF((G735="3/24"),((база!$M$4*2*Таблица1[[#This Row],[Столбец1]]*Таблица1[[#This Row],[коэф]])),
IF((G735="5/16"),((база!$L$6*2*Таблица1[[#This Row],[Столбец1]]*Таблица1[[#This Row],[коэф]])),
IF((G735="4/16"),((база!$L$5*2*Таблица1[[#This Row],[Столбец1]]*Таблица1[[#This Row],[коэф]])),
IF((G735="3/16"),((база!$L$4*2*Таблица1[[#This Row],[Столбец1]]*Таблица1[[#This Row],[коэф]])),
IF((G735="4/4"),((база!$I$5*2*Таблица1[[#This Row],[Столбец1]]*Таблица1[[#This Row],[коэф]])),
IF(OR(G735="2/4",G735="3/4"),((база!$I$4*2*Таблица1[[#This Row],[Столбец1]]*Таблица1[[#This Row],[коэф]])),
IF((G735="5/8"),((база!$J$6*2*Таблица1[[#This Row],[Столбец1]]*Таблица1[[#This Row],[коэф]])),
IF((G735="4/8"),((база!$J$5*2*Таблица1[[#This Row],[Столбец1]]*Таблица1[[#This Row],[коэф]])),
IF(OR(G735="3/8",G735="2/8"),((база!$J$4*2*Таблица1[[#This Row],[Столбец1]]*Таблица1[[#This Row],[коэф]])))))))))))))),
(IF((G735="5/24"),((база!$M$6*2*Таблица1[[#This Row],[Столбец1]]*Таблица1[[#This Row],[коэф]])),
IF(OR(G735="4/24",G735="3/24"),((база!$M$5*2*Таблица1[[#This Row],[Столбец1]]*Таблица1[[#This Row],[коэф]])),
IF((G735="5/16"),((база!$L$6*2*Таблица1[[#This Row],[Столбец1]]*Таблица1[[#This Row],[коэф]])),
IF(OR(G735="4/16",G735="3/16"),((база!$L$5*2*Таблица1[[#This Row],[Столбец1]]*Таблица1[[#This Row],[коэф]])),
IF(OR(G735="2/4",G735="3/4",G735="4/4"),((база!$I$5*2*Таблица1[[#This Row],[Столбец1]]*Таблица1[[#This Row],[коэф]])),
IF((G735="5/8"),((база!$J$6*2*Таблица1[[#This Row],[Столбец1]]*Таблица1[[#This Row],[коэф]])),
IF(OR(G735="4/8",G735="3/8",G735="2/8"),((база!$J$5*2*Таблица1[[#This Row],[Столбец1]]*Таблица1[[#This Row],[коэф]])))))))))))</f>
        <v>0</v>
      </c>
      <c r="AQ735" s="678" t="str">
        <f>IFERROR(INDEX(база!T:T, MATCH(F735,база!Q:Q,0)),"")</f>
        <v/>
      </c>
      <c r="AR735" s="193">
        <f>IFERROR(INDEX(база!D:D, MATCH(F735,база!B:B,0)),"")</f>
        <v>0</v>
      </c>
    </row>
    <row r="736" spans="1:44" ht="15">
      <c r="A736" s="59"/>
      <c r="B736" s="215"/>
      <c r="C736" s="277"/>
      <c r="D736" s="55"/>
      <c r="E736" s="196"/>
      <c r="F736" s="651"/>
      <c r="G736" s="42"/>
      <c r="H736" s="539"/>
      <c r="I736" s="539"/>
      <c r="J736" s="539"/>
      <c r="K736" s="539"/>
      <c r="L736" s="539"/>
      <c r="M736" s="539"/>
      <c r="N736" s="539"/>
      <c r="O736" s="539"/>
      <c r="P736" s="278"/>
      <c r="Q736" s="539"/>
      <c r="R736" s="539"/>
      <c r="S736" s="539"/>
      <c r="T736" s="539"/>
      <c r="U736" s="539"/>
      <c r="V736" s="539"/>
      <c r="W736" s="539"/>
      <c r="X736" s="539"/>
      <c r="Y736" s="539"/>
      <c r="Z736" s="539"/>
      <c r="AA736" s="539"/>
      <c r="AB736" s="539"/>
      <c r="AC736" s="539"/>
      <c r="AD736" s="43"/>
      <c r="AE736" s="43"/>
      <c r="AF736" s="238"/>
      <c r="AG736" s="43"/>
      <c r="AH736" s="43"/>
      <c r="AI736" s="43"/>
      <c r="AJ736" s="43"/>
      <c r="AK736" s="43"/>
      <c r="AL736" s="45"/>
      <c r="AM736" s="197">
        <f>IF(AQ736=1,SUM(H736:I736,L736:O736,R736:U736,X736:AA736,AD736:AG736,AI736:AK736),
IF(AQ736=2,SUM(H736:K736,N736:Q736,T736:W736,Z736:AC736,AF736:AI736),
IF(AQ736=3,SUM(J736:M736,P736:S736,V736:Y736,AB736:AE736,AH736:AK736),SUM(Таблица1[[#This Row],[1]:[31]])-Таблица1[[#This Row],[Столбец1]])))</f>
        <v>0</v>
      </c>
      <c r="AN736" s="269">
        <f t="array" ref="AN736">IF(AQ736=1,SUM(J736:K736,P736:Q736,V736:W736,AB736:AC736,AH736:AI736),
IF(AQ736=2,SUM(L736:M736,R736:S736,X736:Y736,AD736:AE736),
IF(AQ736=3,SUM(H736:I736,N736:O736,T736:U736,Z736:AA736,AF736:AG736),
SUM(IFERROR(WEEKDAY($H$2:$AL$2,2)&gt;5,)*H736:AL736))))</f>
        <v>0</v>
      </c>
      <c r="AO736" s="271" t="b">
        <f>IF(AR736&lt;=3,(IF((G736="5/24"),((база!$M$6*Таблица1[[#This Row],[сумма]]*Таблица1[[#This Row],[коэф]])),
IF((G736="4/24"),((база!$M$5*Таблица1[[#This Row],[сумма]]*Таблица1[[#This Row],[коэф]])),
IF((G736="3/24"),((база!$M$4*Таблица1[[#This Row],[сумма]]*Таблица1[[#This Row],[коэф]])),
IF((G736="5/16"),((база!$L$6*Таблица1[[#This Row],[сумма]]*Таблица1[[#This Row],[коэф]])),
IF((G736="4/16"),((база!$L$5*Таблица1[[#This Row],[сумма]]*Таблица1[[#This Row],[коэф]])),
IF((G736="3/16"),((база!$L$4*Таблица1[[#This Row],[сумма]]*Таблица1[[#This Row],[коэф]])),
IF((G736="4/4"),((база!$I$5*Таблица1[[#This Row],[сумма]]*Таблица1[[#This Row],[коэф]])),
IF(OR(G736="2/4",G736="3/4"),((база!$I$4*Таблица1[[#This Row],[сумма]]*Таблица1[[#This Row],[коэф]])),
IF((G736="5/8"),((база!$J$6*Таблица1[[#This Row],[сумма]]*Таблица1[[#This Row],[коэф]])),
IF((G736="4/8"),((база!$J$5*Таблица1[[#This Row],[сумма]]*Таблица1[[#This Row],[коэф]])),
IF(OR(G736="3/8",G736="2/8"),((база!$J$4*Таблица1[[#This Row],[сумма]]*Таблица1[[#This Row],[коэф]])))))))))))))),
(IF((G736="5/24"),((база!$M$6*Таблица1[[#This Row],[сумма]]*Таблица1[[#This Row],[коэф]])),
IF(OR(G736="4/24",G736="3/24"),((база!$M$5*Таблица1[[#This Row],[сумма]]*Таблица1[[#This Row],[коэф]])),
IF((G736="5/16"),((база!$L$6*Таблица1[[#This Row],[сумма]]*Таблица1[[#This Row],[коэф]])),
IF(OR(G736="4/16",G736="3/16"),((база!$L$5*Таблица1[[#This Row],[сумма]]*Таблица1[[#This Row],[коэф]])),
IF(OR(G736="2/4",G736="3/4",G736="4/4"),((база!$I$5*Таблица1[[#This Row],[сумма]]*Таблица1[[#This Row],[коэф]])),
IF((G736="5/8"),((база!$J$6*Таблица1[[#This Row],[сумма]]*Таблица1[[#This Row],[коэф]])),
IF(OR(G736="4/8",G736="3/8",G736="2/8"),((база!$J$5*Таблица1[[#This Row],[сумма]]*Таблица1[[#This Row],[коэф]])))))))))))</f>
        <v>0</v>
      </c>
      <c r="AP736" s="696" t="b">
        <f>IF(AR736&lt;=3,(IF((G736="5/24"),((база!$M$6*2*Таблица1[[#This Row],[Столбец1]]*Таблица1[[#This Row],[коэф]])),
IF((G736="4/24"),((база!$M$5*2*Таблица1[[#This Row],[Столбец1]]*Таблица1[[#This Row],[коэф]])),
IF((G736="3/24"),((база!$M$4*2*Таблица1[[#This Row],[Столбец1]]*Таблица1[[#This Row],[коэф]])),
IF((G736="5/16"),((база!$L$6*2*Таблица1[[#This Row],[Столбец1]]*Таблица1[[#This Row],[коэф]])),
IF((G736="4/16"),((база!$L$5*2*Таблица1[[#This Row],[Столбец1]]*Таблица1[[#This Row],[коэф]])),
IF((G736="3/16"),((база!$L$4*2*Таблица1[[#This Row],[Столбец1]]*Таблица1[[#This Row],[коэф]])),
IF((G736="4/4"),((база!$I$5*2*Таблица1[[#This Row],[Столбец1]]*Таблица1[[#This Row],[коэф]])),
IF(OR(G736="2/4",G736="3/4"),((база!$I$4*2*Таблица1[[#This Row],[Столбец1]]*Таблица1[[#This Row],[коэф]])),
IF((G736="5/8"),((база!$J$6*2*Таблица1[[#This Row],[Столбец1]]*Таблица1[[#This Row],[коэф]])),
IF((G736="4/8"),((база!$J$5*2*Таблица1[[#This Row],[Столбец1]]*Таблица1[[#This Row],[коэф]])),
IF(OR(G736="3/8",G736="2/8"),((база!$J$4*2*Таблица1[[#This Row],[Столбец1]]*Таблица1[[#This Row],[коэф]])))))))))))))),
(IF((G736="5/24"),((база!$M$6*2*Таблица1[[#This Row],[Столбец1]]*Таблица1[[#This Row],[коэф]])),
IF(OR(G736="4/24",G736="3/24"),((база!$M$5*2*Таблица1[[#This Row],[Столбец1]]*Таблица1[[#This Row],[коэф]])),
IF((G736="5/16"),((база!$L$6*2*Таблица1[[#This Row],[Столбец1]]*Таблица1[[#This Row],[коэф]])),
IF(OR(G736="4/16",G736="3/16"),((база!$L$5*2*Таблица1[[#This Row],[Столбец1]]*Таблица1[[#This Row],[коэф]])),
IF(OR(G736="2/4",G736="3/4",G736="4/4"),((база!$I$5*2*Таблица1[[#This Row],[Столбец1]]*Таблица1[[#This Row],[коэф]])),
IF((G736="5/8"),((база!$J$6*2*Таблица1[[#This Row],[Столбец1]]*Таблица1[[#This Row],[коэф]])),
IF(OR(G736="4/8",G736="3/8",G736="2/8"),((база!$J$5*2*Таблица1[[#This Row],[Столбец1]]*Таблица1[[#This Row],[коэф]])))))))))))</f>
        <v>0</v>
      </c>
      <c r="AQ736" s="678" t="str">
        <f>IFERROR(INDEX(база!T:T, MATCH(F736,база!Q:Q,0)),"")</f>
        <v/>
      </c>
      <c r="AR736" s="193">
        <f>IFERROR(INDEX(база!D:D, MATCH(F736,база!B:B,0)),"")</f>
        <v>0</v>
      </c>
    </row>
    <row r="737" spans="1:44" ht="15">
      <c r="A737" s="59"/>
      <c r="B737" s="215"/>
      <c r="C737" s="277"/>
      <c r="D737" s="55"/>
      <c r="E737" s="196"/>
      <c r="F737" s="651"/>
      <c r="G737" s="42"/>
      <c r="H737" s="539"/>
      <c r="I737" s="539"/>
      <c r="J737" s="539"/>
      <c r="K737" s="539"/>
      <c r="L737" s="539"/>
      <c r="M737" s="539"/>
      <c r="N737" s="539"/>
      <c r="O737" s="539"/>
      <c r="P737" s="278"/>
      <c r="Q737" s="539"/>
      <c r="R737" s="539"/>
      <c r="S737" s="539"/>
      <c r="T737" s="539"/>
      <c r="U737" s="539"/>
      <c r="V737" s="539"/>
      <c r="W737" s="539"/>
      <c r="X737" s="539"/>
      <c r="Y737" s="539"/>
      <c r="Z737" s="539"/>
      <c r="AA737" s="539"/>
      <c r="AB737" s="539"/>
      <c r="AC737" s="539"/>
      <c r="AD737" s="43"/>
      <c r="AE737" s="43"/>
      <c r="AF737" s="238"/>
      <c r="AG737" s="43"/>
      <c r="AH737" s="43"/>
      <c r="AI737" s="238"/>
      <c r="AJ737" s="238"/>
      <c r="AK737" s="238"/>
      <c r="AL737" s="238"/>
      <c r="AM737" s="197">
        <f>IF(AQ737=1,SUM(H737:I737,L737:O737,R737:U737,X737:AA737,AD737:AG737,AI737:AK737),
IF(AQ737=2,SUM(H737:K737,N737:Q737,T737:W737,Z737:AC737,AF737:AI737),
IF(AQ737=3,SUM(J737:M737,P737:S737,V737:Y737,AB737:AE737,AH737:AK737),SUM(Таблица1[[#This Row],[1]:[31]])-Таблица1[[#This Row],[Столбец1]])))</f>
        <v>0</v>
      </c>
      <c r="AN737" s="269">
        <f t="array" ref="AN737">IF(AQ737=1,SUM(J737:K737,P737:Q737,V737:W737,AB737:AC737,AH737:AI737),
IF(AQ737=2,SUM(L737:M737,R737:S737,X737:Y737,AD737:AE737),
IF(AQ737=3,SUM(H737:I737,N737:O737,T737:U737,Z737:AA737,AF737:AG737),
SUM(IFERROR(WEEKDAY($H$2:$AL$2,2)&gt;5,)*H737:AL737))))</f>
        <v>0</v>
      </c>
      <c r="AO737" s="271" t="b">
        <f>IF(AR737&lt;=3,(IF((G737="5/24"),((база!$M$6*Таблица1[[#This Row],[сумма]]*Таблица1[[#This Row],[коэф]])),
IF((G737="4/24"),((база!$M$5*Таблица1[[#This Row],[сумма]]*Таблица1[[#This Row],[коэф]])),
IF((G737="3/24"),((база!$M$4*Таблица1[[#This Row],[сумма]]*Таблица1[[#This Row],[коэф]])),
IF((G737="5/16"),((база!$L$6*Таблица1[[#This Row],[сумма]]*Таблица1[[#This Row],[коэф]])),
IF((G737="4/16"),((база!$L$5*Таблица1[[#This Row],[сумма]]*Таблица1[[#This Row],[коэф]])),
IF((G737="3/16"),((база!$L$4*Таблица1[[#This Row],[сумма]]*Таблица1[[#This Row],[коэф]])),
IF((G737="4/4"),((база!$I$5*Таблица1[[#This Row],[сумма]]*Таблица1[[#This Row],[коэф]])),
IF(OR(G737="2/4",G737="3/4"),((база!$I$4*Таблица1[[#This Row],[сумма]]*Таблица1[[#This Row],[коэф]])),
IF((G737="5/8"),((база!$J$6*Таблица1[[#This Row],[сумма]]*Таблица1[[#This Row],[коэф]])),
IF((G737="4/8"),((база!$J$5*Таблица1[[#This Row],[сумма]]*Таблица1[[#This Row],[коэф]])),
IF(OR(G737="3/8",G737="2/8"),((база!$J$4*Таблица1[[#This Row],[сумма]]*Таблица1[[#This Row],[коэф]])))))))))))))),
(IF((G737="5/24"),((база!$M$6*Таблица1[[#This Row],[сумма]]*Таблица1[[#This Row],[коэф]])),
IF(OR(G737="4/24",G737="3/24"),((база!$M$5*Таблица1[[#This Row],[сумма]]*Таблица1[[#This Row],[коэф]])),
IF((G737="5/16"),((база!$L$6*Таблица1[[#This Row],[сумма]]*Таблица1[[#This Row],[коэф]])),
IF(OR(G737="4/16",G737="3/16"),((база!$L$5*Таблица1[[#This Row],[сумма]]*Таблица1[[#This Row],[коэф]])),
IF(OR(G737="2/4",G737="3/4",G737="4/4"),((база!$I$5*Таблица1[[#This Row],[сумма]]*Таблица1[[#This Row],[коэф]])),
IF((G737="5/8"),((база!$J$6*Таблица1[[#This Row],[сумма]]*Таблица1[[#This Row],[коэф]])),
IF(OR(G737="4/8",G737="3/8",G737="2/8"),((база!$J$5*Таблица1[[#This Row],[сумма]]*Таблица1[[#This Row],[коэф]])))))))))))</f>
        <v>0</v>
      </c>
      <c r="AP737" s="696" t="b">
        <f>IF(AR737&lt;=3,(IF((G737="5/24"),((база!$M$6*2*Таблица1[[#This Row],[Столбец1]]*Таблица1[[#This Row],[коэф]])),
IF((G737="4/24"),((база!$M$5*2*Таблица1[[#This Row],[Столбец1]]*Таблица1[[#This Row],[коэф]])),
IF((G737="3/24"),((база!$M$4*2*Таблица1[[#This Row],[Столбец1]]*Таблица1[[#This Row],[коэф]])),
IF((G737="5/16"),((база!$L$6*2*Таблица1[[#This Row],[Столбец1]]*Таблица1[[#This Row],[коэф]])),
IF((G737="4/16"),((база!$L$5*2*Таблица1[[#This Row],[Столбец1]]*Таблица1[[#This Row],[коэф]])),
IF((G737="3/16"),((база!$L$4*2*Таблица1[[#This Row],[Столбец1]]*Таблица1[[#This Row],[коэф]])),
IF((G737="4/4"),((база!$I$5*2*Таблица1[[#This Row],[Столбец1]]*Таблица1[[#This Row],[коэф]])),
IF(OR(G737="2/4",G737="3/4"),((база!$I$4*2*Таблица1[[#This Row],[Столбец1]]*Таблица1[[#This Row],[коэф]])),
IF((G737="5/8"),((база!$J$6*2*Таблица1[[#This Row],[Столбец1]]*Таблица1[[#This Row],[коэф]])),
IF((G737="4/8"),((база!$J$5*2*Таблица1[[#This Row],[Столбец1]]*Таблица1[[#This Row],[коэф]])),
IF(OR(G737="3/8",G737="2/8"),((база!$J$4*2*Таблица1[[#This Row],[Столбец1]]*Таблица1[[#This Row],[коэф]])))))))))))))),
(IF((G737="5/24"),((база!$M$6*2*Таблица1[[#This Row],[Столбец1]]*Таблица1[[#This Row],[коэф]])),
IF(OR(G737="4/24",G737="3/24"),((база!$M$5*2*Таблица1[[#This Row],[Столбец1]]*Таблица1[[#This Row],[коэф]])),
IF((G737="5/16"),((база!$L$6*2*Таблица1[[#This Row],[Столбец1]]*Таблица1[[#This Row],[коэф]])),
IF(OR(G737="4/16",G737="3/16"),((база!$L$5*2*Таблица1[[#This Row],[Столбец1]]*Таблица1[[#This Row],[коэф]])),
IF(OR(G737="2/4",G737="3/4",G737="4/4"),((база!$I$5*2*Таблица1[[#This Row],[Столбец1]]*Таблица1[[#This Row],[коэф]])),
IF((G737="5/8"),((база!$J$6*2*Таблица1[[#This Row],[Столбец1]]*Таблица1[[#This Row],[коэф]])),
IF(OR(G737="4/8",G737="3/8",G737="2/8"),((база!$J$5*2*Таблица1[[#This Row],[Столбец1]]*Таблица1[[#This Row],[коэф]])))))))))))</f>
        <v>0</v>
      </c>
      <c r="AQ737" s="678" t="str">
        <f>IFERROR(INDEX(база!T:T, MATCH(F737,база!Q:Q,0)),"")</f>
        <v/>
      </c>
      <c r="AR737" s="193">
        <f>IFERROR(INDEX(база!D:D, MATCH(F737,база!B:B,0)),"")</f>
        <v>0</v>
      </c>
    </row>
    <row r="738" spans="1:44" ht="15">
      <c r="A738" s="59"/>
      <c r="B738" s="215"/>
      <c r="C738" s="277"/>
      <c r="D738" s="55"/>
      <c r="E738" s="196"/>
      <c r="F738" s="651"/>
      <c r="G738" s="42"/>
      <c r="H738" s="539"/>
      <c r="I738" s="539"/>
      <c r="J738" s="539"/>
      <c r="K738" s="539"/>
      <c r="L738" s="539"/>
      <c r="M738" s="539"/>
      <c r="N738" s="539"/>
      <c r="O738" s="539"/>
      <c r="P738" s="278"/>
      <c r="Q738" s="539"/>
      <c r="R738" s="539"/>
      <c r="S738" s="539"/>
      <c r="T738" s="539"/>
      <c r="U738" s="539"/>
      <c r="V738" s="539"/>
      <c r="W738" s="539"/>
      <c r="X738" s="539"/>
      <c r="Y738" s="539"/>
      <c r="Z738" s="539"/>
      <c r="AA738" s="539"/>
      <c r="AB738" s="539"/>
      <c r="AC738" s="539"/>
      <c r="AD738" s="43"/>
      <c r="AE738" s="43"/>
      <c r="AF738" s="238"/>
      <c r="AG738" s="43"/>
      <c r="AH738" s="43"/>
      <c r="AI738" s="43"/>
      <c r="AJ738" s="43"/>
      <c r="AK738" s="43"/>
      <c r="AL738" s="45"/>
      <c r="AM738" s="197">
        <f>IF(AQ738=1,SUM(H738:I738,L738:O738,R738:U738,X738:AA738,AD738:AG738,AI738:AK738),
IF(AQ738=2,SUM(H738:K738,N738:Q738,T738:W738,Z738:AC738,AF738:AI738),
IF(AQ738=3,SUM(J738:M738,P738:S738,V738:Y738,AB738:AE738,AH738:AK738),SUM(Таблица1[[#This Row],[1]:[31]])-Таблица1[[#This Row],[Столбец1]])))</f>
        <v>0</v>
      </c>
      <c r="AN738" s="269">
        <f t="array" ref="AN738">IF(AQ738=1,SUM(J738:K738,P738:Q738,V738:W738,AB738:AC738,AH738:AI738),
IF(AQ738=2,SUM(L738:M738,R738:S738,X738:Y738,AD738:AE738),
IF(AQ738=3,SUM(H738:I738,N738:O738,T738:U738,Z738:AA738,AF738:AG738),
SUM(IFERROR(WEEKDAY($H$2:$AL$2,2)&gt;5,)*H738:AL738))))</f>
        <v>0</v>
      </c>
      <c r="AO738" s="271" t="b">
        <f>IF(AR738&lt;=3,(IF((G738="5/24"),((база!$M$6*Таблица1[[#This Row],[сумма]]*Таблица1[[#This Row],[коэф]])),
IF((G738="4/24"),((база!$M$5*Таблица1[[#This Row],[сумма]]*Таблица1[[#This Row],[коэф]])),
IF((G738="3/24"),((база!$M$4*Таблица1[[#This Row],[сумма]]*Таблица1[[#This Row],[коэф]])),
IF((G738="5/16"),((база!$L$6*Таблица1[[#This Row],[сумма]]*Таблица1[[#This Row],[коэф]])),
IF((G738="4/16"),((база!$L$5*Таблица1[[#This Row],[сумма]]*Таблица1[[#This Row],[коэф]])),
IF((G738="3/16"),((база!$L$4*Таблица1[[#This Row],[сумма]]*Таблица1[[#This Row],[коэф]])),
IF((G738="4/4"),((база!$I$5*Таблица1[[#This Row],[сумма]]*Таблица1[[#This Row],[коэф]])),
IF(OR(G738="2/4",G738="3/4"),((база!$I$4*Таблица1[[#This Row],[сумма]]*Таблица1[[#This Row],[коэф]])),
IF((G738="5/8"),((база!$J$6*Таблица1[[#This Row],[сумма]]*Таблица1[[#This Row],[коэф]])),
IF((G738="4/8"),((база!$J$5*Таблица1[[#This Row],[сумма]]*Таблица1[[#This Row],[коэф]])),
IF(OR(G738="3/8",G738="2/8"),((база!$J$4*Таблица1[[#This Row],[сумма]]*Таблица1[[#This Row],[коэф]])))))))))))))),
(IF((G738="5/24"),((база!$M$6*Таблица1[[#This Row],[сумма]]*Таблица1[[#This Row],[коэф]])),
IF(OR(G738="4/24",G738="3/24"),((база!$M$5*Таблица1[[#This Row],[сумма]]*Таблица1[[#This Row],[коэф]])),
IF((G738="5/16"),((база!$L$6*Таблица1[[#This Row],[сумма]]*Таблица1[[#This Row],[коэф]])),
IF(OR(G738="4/16",G738="3/16"),((база!$L$5*Таблица1[[#This Row],[сумма]]*Таблица1[[#This Row],[коэф]])),
IF(OR(G738="2/4",G738="3/4",G738="4/4"),((база!$I$5*Таблица1[[#This Row],[сумма]]*Таблица1[[#This Row],[коэф]])),
IF((G738="5/8"),((база!$J$6*Таблица1[[#This Row],[сумма]]*Таблица1[[#This Row],[коэф]])),
IF(OR(G738="4/8",G738="3/8",G738="2/8"),((база!$J$5*Таблица1[[#This Row],[сумма]]*Таблица1[[#This Row],[коэф]])))))))))))</f>
        <v>0</v>
      </c>
      <c r="AP738" s="696" t="b">
        <f>IF(AR738&lt;=3,(IF((G738="5/24"),((база!$M$6*2*Таблица1[[#This Row],[Столбец1]]*Таблица1[[#This Row],[коэф]])),
IF((G738="4/24"),((база!$M$5*2*Таблица1[[#This Row],[Столбец1]]*Таблица1[[#This Row],[коэф]])),
IF((G738="3/24"),((база!$M$4*2*Таблица1[[#This Row],[Столбец1]]*Таблица1[[#This Row],[коэф]])),
IF((G738="5/16"),((база!$L$6*2*Таблица1[[#This Row],[Столбец1]]*Таблица1[[#This Row],[коэф]])),
IF((G738="4/16"),((база!$L$5*2*Таблица1[[#This Row],[Столбец1]]*Таблица1[[#This Row],[коэф]])),
IF((G738="3/16"),((база!$L$4*2*Таблица1[[#This Row],[Столбец1]]*Таблица1[[#This Row],[коэф]])),
IF((G738="4/4"),((база!$I$5*2*Таблица1[[#This Row],[Столбец1]]*Таблица1[[#This Row],[коэф]])),
IF(OR(G738="2/4",G738="3/4"),((база!$I$4*2*Таблица1[[#This Row],[Столбец1]]*Таблица1[[#This Row],[коэф]])),
IF((G738="5/8"),((база!$J$6*2*Таблица1[[#This Row],[Столбец1]]*Таблица1[[#This Row],[коэф]])),
IF((G738="4/8"),((база!$J$5*2*Таблица1[[#This Row],[Столбец1]]*Таблица1[[#This Row],[коэф]])),
IF(OR(G738="3/8",G738="2/8"),((база!$J$4*2*Таблица1[[#This Row],[Столбец1]]*Таблица1[[#This Row],[коэф]])))))))))))))),
(IF((G738="5/24"),((база!$M$6*2*Таблица1[[#This Row],[Столбец1]]*Таблица1[[#This Row],[коэф]])),
IF(OR(G738="4/24",G738="3/24"),((база!$M$5*2*Таблица1[[#This Row],[Столбец1]]*Таблица1[[#This Row],[коэф]])),
IF((G738="5/16"),((база!$L$6*2*Таблица1[[#This Row],[Столбец1]]*Таблица1[[#This Row],[коэф]])),
IF(OR(G738="4/16",G738="3/16"),((база!$L$5*2*Таблица1[[#This Row],[Столбец1]]*Таблица1[[#This Row],[коэф]])),
IF(OR(G738="2/4",G738="3/4",G738="4/4"),((база!$I$5*2*Таблица1[[#This Row],[Столбец1]]*Таблица1[[#This Row],[коэф]])),
IF((G738="5/8"),((база!$J$6*2*Таблица1[[#This Row],[Столбец1]]*Таблица1[[#This Row],[коэф]])),
IF(OR(G738="4/8",G738="3/8",G738="2/8"),((база!$J$5*2*Таблица1[[#This Row],[Столбец1]]*Таблица1[[#This Row],[коэф]])))))))))))</f>
        <v>0</v>
      </c>
      <c r="AQ738" s="678" t="str">
        <f>IFERROR(INDEX(база!T:T, MATCH(F738,база!Q:Q,0)),"")</f>
        <v/>
      </c>
      <c r="AR738" s="193">
        <f>IFERROR(INDEX(база!D:D, MATCH(F738,база!B:B,0)),"")</f>
        <v>0</v>
      </c>
    </row>
    <row r="739" spans="1:44" ht="15">
      <c r="A739" s="59"/>
      <c r="B739" s="215"/>
      <c r="C739" s="277"/>
      <c r="D739" s="55"/>
      <c r="E739" s="196"/>
      <c r="F739" s="651"/>
      <c r="G739" s="42"/>
      <c r="H739" s="539"/>
      <c r="I739" s="539"/>
      <c r="J739" s="539"/>
      <c r="K739" s="539"/>
      <c r="L739" s="539"/>
      <c r="M739" s="539"/>
      <c r="N739" s="539"/>
      <c r="O739" s="539"/>
      <c r="P739" s="278"/>
      <c r="Q739" s="539"/>
      <c r="R739" s="539"/>
      <c r="S739" s="539"/>
      <c r="T739" s="539"/>
      <c r="U739" s="539"/>
      <c r="V739" s="539"/>
      <c r="W739" s="539"/>
      <c r="X739" s="539"/>
      <c r="Y739" s="539"/>
      <c r="Z739" s="539"/>
      <c r="AA739" s="539"/>
      <c r="AB739" s="539"/>
      <c r="AC739" s="539"/>
      <c r="AD739" s="43"/>
      <c r="AE739" s="43"/>
      <c r="AF739" s="238"/>
      <c r="AG739" s="43"/>
      <c r="AH739" s="43"/>
      <c r="AI739" s="238"/>
      <c r="AJ739" s="238"/>
      <c r="AK739" s="238"/>
      <c r="AL739" s="238"/>
      <c r="AM739" s="197">
        <f>IF(AQ739=1,SUM(H739:I739,L739:O739,R739:U739,X739:AA739,AD739:AG739,AI739:AK739),
IF(AQ739=2,SUM(H739:K739,N739:Q739,T739:W739,Z739:AC739,AF739:AI739),
IF(AQ739=3,SUM(J739:M739,P739:S739,V739:Y739,AB739:AE739,AH739:AK739),SUM(Таблица1[[#This Row],[1]:[31]])-Таблица1[[#This Row],[Столбец1]])))</f>
        <v>0</v>
      </c>
      <c r="AN739" s="269">
        <f t="array" ref="AN739">IF(AQ739=1,SUM(J739:K739,P739:Q739,V739:W739,AB739:AC739,AH739:AI739),
IF(AQ739=2,SUM(L739:M739,R739:S739,X739:Y739,AD739:AE739),
IF(AQ739=3,SUM(H739:I739,N739:O739,T739:U739,Z739:AA739,AF739:AG739),
SUM(IFERROR(WEEKDAY($H$2:$AL$2,2)&gt;5,)*H739:AL739))))</f>
        <v>0</v>
      </c>
      <c r="AO739" s="271" t="b">
        <f>IF(AR739&lt;=3,(IF((G739="5/24"),((база!$M$6*Таблица1[[#This Row],[сумма]]*Таблица1[[#This Row],[коэф]])),
IF((G739="4/24"),((база!$M$5*Таблица1[[#This Row],[сумма]]*Таблица1[[#This Row],[коэф]])),
IF((G739="3/24"),((база!$M$4*Таблица1[[#This Row],[сумма]]*Таблица1[[#This Row],[коэф]])),
IF((G739="5/16"),((база!$L$6*Таблица1[[#This Row],[сумма]]*Таблица1[[#This Row],[коэф]])),
IF((G739="4/16"),((база!$L$5*Таблица1[[#This Row],[сумма]]*Таблица1[[#This Row],[коэф]])),
IF((G739="3/16"),((база!$L$4*Таблица1[[#This Row],[сумма]]*Таблица1[[#This Row],[коэф]])),
IF((G739="4/4"),((база!$I$5*Таблица1[[#This Row],[сумма]]*Таблица1[[#This Row],[коэф]])),
IF(OR(G739="2/4",G739="3/4"),((база!$I$4*Таблица1[[#This Row],[сумма]]*Таблица1[[#This Row],[коэф]])),
IF((G739="5/8"),((база!$J$6*Таблица1[[#This Row],[сумма]]*Таблица1[[#This Row],[коэф]])),
IF((G739="4/8"),((база!$J$5*Таблица1[[#This Row],[сумма]]*Таблица1[[#This Row],[коэф]])),
IF(OR(G739="3/8",G739="2/8"),((база!$J$4*Таблица1[[#This Row],[сумма]]*Таблица1[[#This Row],[коэф]])))))))))))))),
(IF((G739="5/24"),((база!$M$6*Таблица1[[#This Row],[сумма]]*Таблица1[[#This Row],[коэф]])),
IF(OR(G739="4/24",G739="3/24"),((база!$M$5*Таблица1[[#This Row],[сумма]]*Таблица1[[#This Row],[коэф]])),
IF((G739="5/16"),((база!$L$6*Таблица1[[#This Row],[сумма]]*Таблица1[[#This Row],[коэф]])),
IF(OR(G739="4/16",G739="3/16"),((база!$L$5*Таблица1[[#This Row],[сумма]]*Таблица1[[#This Row],[коэф]])),
IF(OR(G739="2/4",G739="3/4",G739="4/4"),((база!$I$5*Таблица1[[#This Row],[сумма]]*Таблица1[[#This Row],[коэф]])),
IF((G739="5/8"),((база!$J$6*Таблица1[[#This Row],[сумма]]*Таблица1[[#This Row],[коэф]])),
IF(OR(G739="4/8",G739="3/8",G739="2/8"),((база!$J$5*Таблица1[[#This Row],[сумма]]*Таблица1[[#This Row],[коэф]])))))))))))</f>
        <v>0</v>
      </c>
      <c r="AP739" s="696" t="b">
        <f>IF(AR739&lt;=3,(IF((G739="5/24"),((база!$M$6*2*Таблица1[[#This Row],[Столбец1]]*Таблица1[[#This Row],[коэф]])),
IF((G739="4/24"),((база!$M$5*2*Таблица1[[#This Row],[Столбец1]]*Таблица1[[#This Row],[коэф]])),
IF((G739="3/24"),((база!$M$4*2*Таблица1[[#This Row],[Столбец1]]*Таблица1[[#This Row],[коэф]])),
IF((G739="5/16"),((база!$L$6*2*Таблица1[[#This Row],[Столбец1]]*Таблица1[[#This Row],[коэф]])),
IF((G739="4/16"),((база!$L$5*2*Таблица1[[#This Row],[Столбец1]]*Таблица1[[#This Row],[коэф]])),
IF((G739="3/16"),((база!$L$4*2*Таблица1[[#This Row],[Столбец1]]*Таблица1[[#This Row],[коэф]])),
IF((G739="4/4"),((база!$I$5*2*Таблица1[[#This Row],[Столбец1]]*Таблица1[[#This Row],[коэф]])),
IF(OR(G739="2/4",G739="3/4"),((база!$I$4*2*Таблица1[[#This Row],[Столбец1]]*Таблица1[[#This Row],[коэф]])),
IF((G739="5/8"),((база!$J$6*2*Таблица1[[#This Row],[Столбец1]]*Таблица1[[#This Row],[коэф]])),
IF((G739="4/8"),((база!$J$5*2*Таблица1[[#This Row],[Столбец1]]*Таблица1[[#This Row],[коэф]])),
IF(OR(G739="3/8",G739="2/8"),((база!$J$4*2*Таблица1[[#This Row],[Столбец1]]*Таблица1[[#This Row],[коэф]])))))))))))))),
(IF((G739="5/24"),((база!$M$6*2*Таблица1[[#This Row],[Столбец1]]*Таблица1[[#This Row],[коэф]])),
IF(OR(G739="4/24",G739="3/24"),((база!$M$5*2*Таблица1[[#This Row],[Столбец1]]*Таблица1[[#This Row],[коэф]])),
IF((G739="5/16"),((база!$L$6*2*Таблица1[[#This Row],[Столбец1]]*Таблица1[[#This Row],[коэф]])),
IF(OR(G739="4/16",G739="3/16"),((база!$L$5*2*Таблица1[[#This Row],[Столбец1]]*Таблица1[[#This Row],[коэф]])),
IF(OR(G739="2/4",G739="3/4",G739="4/4"),((база!$I$5*2*Таблица1[[#This Row],[Столбец1]]*Таблица1[[#This Row],[коэф]])),
IF((G739="5/8"),((база!$J$6*2*Таблица1[[#This Row],[Столбец1]]*Таблица1[[#This Row],[коэф]])),
IF(OR(G739="4/8",G739="3/8",G739="2/8"),((база!$J$5*2*Таблица1[[#This Row],[Столбец1]]*Таблица1[[#This Row],[коэф]])))))))))))</f>
        <v>0</v>
      </c>
      <c r="AQ739" s="678" t="str">
        <f>IFERROR(INDEX(база!T:T, MATCH(F739,база!Q:Q,0)),"")</f>
        <v/>
      </c>
      <c r="AR739" s="193">
        <f>IFERROR(INDEX(база!D:D, MATCH(F739,база!B:B,0)),"")</f>
        <v>0</v>
      </c>
    </row>
    <row r="740" spans="1:44" ht="15">
      <c r="A740" s="59"/>
      <c r="B740" s="215"/>
      <c r="C740" s="277"/>
      <c r="D740" s="55"/>
      <c r="E740" s="196"/>
      <c r="F740" s="651"/>
      <c r="G740" s="42"/>
      <c r="H740" s="539"/>
      <c r="I740" s="539"/>
      <c r="J740" s="539"/>
      <c r="K740" s="539"/>
      <c r="L740" s="539"/>
      <c r="M740" s="539"/>
      <c r="N740" s="539"/>
      <c r="O740" s="539"/>
      <c r="P740" s="278"/>
      <c r="Q740" s="539"/>
      <c r="R740" s="539"/>
      <c r="S740" s="539"/>
      <c r="T740" s="539"/>
      <c r="U740" s="539"/>
      <c r="V740" s="539"/>
      <c r="W740" s="539"/>
      <c r="X740" s="539"/>
      <c r="Y740" s="539"/>
      <c r="Z740" s="539"/>
      <c r="AA740" s="539"/>
      <c r="AB740" s="539"/>
      <c r="AC740" s="539"/>
      <c r="AD740" s="43"/>
      <c r="AE740" s="43"/>
      <c r="AF740" s="238"/>
      <c r="AG740" s="43"/>
      <c r="AH740" s="43"/>
      <c r="AI740" s="43"/>
      <c r="AJ740" s="43"/>
      <c r="AK740" s="43"/>
      <c r="AL740" s="45"/>
      <c r="AM740" s="197">
        <f>IF(AQ740=1,SUM(H740:I740,L740:O740,R740:U740,X740:AA740,AD740:AG740,AI740:AK740),
IF(AQ740=2,SUM(H740:K740,N740:Q740,T740:W740,Z740:AC740,AF740:AI740),
IF(AQ740=3,SUM(J740:M740,P740:S740,V740:Y740,AB740:AE740,AH740:AK740),SUM(Таблица1[[#This Row],[1]:[31]])-Таблица1[[#This Row],[Столбец1]])))</f>
        <v>0</v>
      </c>
      <c r="AN740" s="269">
        <f t="array" ref="AN740">IF(AQ740=1,SUM(J740:K740,P740:Q740,V740:W740,AB740:AC740,AH740:AI740),
IF(AQ740=2,SUM(L740:M740,R740:S740,X740:Y740,AD740:AE740),
IF(AQ740=3,SUM(H740:I740,N740:O740,T740:U740,Z740:AA740,AF740:AG740),
SUM(IFERROR(WEEKDAY($H$2:$AL$2,2)&gt;5,)*H740:AL740))))</f>
        <v>0</v>
      </c>
      <c r="AO740" s="271" t="b">
        <f>IF(AR740&lt;=3,(IF((G740="5/24"),((база!$M$6*Таблица1[[#This Row],[сумма]]*Таблица1[[#This Row],[коэф]])),
IF((G740="4/24"),((база!$M$5*Таблица1[[#This Row],[сумма]]*Таблица1[[#This Row],[коэф]])),
IF((G740="3/24"),((база!$M$4*Таблица1[[#This Row],[сумма]]*Таблица1[[#This Row],[коэф]])),
IF((G740="5/16"),((база!$L$6*Таблица1[[#This Row],[сумма]]*Таблица1[[#This Row],[коэф]])),
IF((G740="4/16"),((база!$L$5*Таблица1[[#This Row],[сумма]]*Таблица1[[#This Row],[коэф]])),
IF((G740="3/16"),((база!$L$4*Таблица1[[#This Row],[сумма]]*Таблица1[[#This Row],[коэф]])),
IF((G740="4/4"),((база!$I$5*Таблица1[[#This Row],[сумма]]*Таблица1[[#This Row],[коэф]])),
IF(OR(G740="2/4",G740="3/4"),((база!$I$4*Таблица1[[#This Row],[сумма]]*Таблица1[[#This Row],[коэф]])),
IF((G740="5/8"),((база!$J$6*Таблица1[[#This Row],[сумма]]*Таблица1[[#This Row],[коэф]])),
IF((G740="4/8"),((база!$J$5*Таблица1[[#This Row],[сумма]]*Таблица1[[#This Row],[коэф]])),
IF(OR(G740="3/8",G740="2/8"),((база!$J$4*Таблица1[[#This Row],[сумма]]*Таблица1[[#This Row],[коэф]])))))))))))))),
(IF((G740="5/24"),((база!$M$6*Таблица1[[#This Row],[сумма]]*Таблица1[[#This Row],[коэф]])),
IF(OR(G740="4/24",G740="3/24"),((база!$M$5*Таблица1[[#This Row],[сумма]]*Таблица1[[#This Row],[коэф]])),
IF((G740="5/16"),((база!$L$6*Таблица1[[#This Row],[сумма]]*Таблица1[[#This Row],[коэф]])),
IF(OR(G740="4/16",G740="3/16"),((база!$L$5*Таблица1[[#This Row],[сумма]]*Таблица1[[#This Row],[коэф]])),
IF(OR(G740="2/4",G740="3/4",G740="4/4"),((база!$I$5*Таблица1[[#This Row],[сумма]]*Таблица1[[#This Row],[коэф]])),
IF((G740="5/8"),((база!$J$6*Таблица1[[#This Row],[сумма]]*Таблица1[[#This Row],[коэф]])),
IF(OR(G740="4/8",G740="3/8",G740="2/8"),((база!$J$5*Таблица1[[#This Row],[сумма]]*Таблица1[[#This Row],[коэф]])))))))))))</f>
        <v>0</v>
      </c>
      <c r="AP740" s="696" t="b">
        <f>IF(AR740&lt;=3,(IF((G740="5/24"),((база!$M$6*2*Таблица1[[#This Row],[Столбец1]]*Таблица1[[#This Row],[коэф]])),
IF((G740="4/24"),((база!$M$5*2*Таблица1[[#This Row],[Столбец1]]*Таблица1[[#This Row],[коэф]])),
IF((G740="3/24"),((база!$M$4*2*Таблица1[[#This Row],[Столбец1]]*Таблица1[[#This Row],[коэф]])),
IF((G740="5/16"),((база!$L$6*2*Таблица1[[#This Row],[Столбец1]]*Таблица1[[#This Row],[коэф]])),
IF((G740="4/16"),((база!$L$5*2*Таблица1[[#This Row],[Столбец1]]*Таблица1[[#This Row],[коэф]])),
IF((G740="3/16"),((база!$L$4*2*Таблица1[[#This Row],[Столбец1]]*Таблица1[[#This Row],[коэф]])),
IF((G740="4/4"),((база!$I$5*2*Таблица1[[#This Row],[Столбец1]]*Таблица1[[#This Row],[коэф]])),
IF(OR(G740="2/4",G740="3/4"),((база!$I$4*2*Таблица1[[#This Row],[Столбец1]]*Таблица1[[#This Row],[коэф]])),
IF((G740="5/8"),((база!$J$6*2*Таблица1[[#This Row],[Столбец1]]*Таблица1[[#This Row],[коэф]])),
IF((G740="4/8"),((база!$J$5*2*Таблица1[[#This Row],[Столбец1]]*Таблица1[[#This Row],[коэф]])),
IF(OR(G740="3/8",G740="2/8"),((база!$J$4*2*Таблица1[[#This Row],[Столбец1]]*Таблица1[[#This Row],[коэф]])))))))))))))),
(IF((G740="5/24"),((база!$M$6*2*Таблица1[[#This Row],[Столбец1]]*Таблица1[[#This Row],[коэф]])),
IF(OR(G740="4/24",G740="3/24"),((база!$M$5*2*Таблица1[[#This Row],[Столбец1]]*Таблица1[[#This Row],[коэф]])),
IF((G740="5/16"),((база!$L$6*2*Таблица1[[#This Row],[Столбец1]]*Таблица1[[#This Row],[коэф]])),
IF(OR(G740="4/16",G740="3/16"),((база!$L$5*2*Таблица1[[#This Row],[Столбец1]]*Таблица1[[#This Row],[коэф]])),
IF(OR(G740="2/4",G740="3/4",G740="4/4"),((база!$I$5*2*Таблица1[[#This Row],[Столбец1]]*Таблица1[[#This Row],[коэф]])),
IF((G740="5/8"),((база!$J$6*2*Таблица1[[#This Row],[Столбец1]]*Таблица1[[#This Row],[коэф]])),
IF(OR(G740="4/8",G740="3/8",G740="2/8"),((база!$J$5*2*Таблица1[[#This Row],[Столбец1]]*Таблица1[[#This Row],[коэф]])))))))))))</f>
        <v>0</v>
      </c>
      <c r="AQ740" s="678" t="str">
        <f>IFERROR(INDEX(база!T:T, MATCH(F740,база!Q:Q,0)),"")</f>
        <v/>
      </c>
      <c r="AR740" s="193">
        <f>IFERROR(INDEX(база!D:D, MATCH(F740,база!B:B,0)),"")</f>
        <v>0</v>
      </c>
    </row>
    <row r="741" spans="1:44" ht="15">
      <c r="A741" s="59"/>
      <c r="B741" s="215"/>
      <c r="C741" s="277"/>
      <c r="D741" s="55"/>
      <c r="E741" s="196"/>
      <c r="F741" s="651"/>
      <c r="G741" s="42"/>
      <c r="H741" s="539"/>
      <c r="I741" s="539"/>
      <c r="J741" s="539"/>
      <c r="K741" s="539"/>
      <c r="L741" s="539"/>
      <c r="M741" s="539"/>
      <c r="N741" s="539"/>
      <c r="O741" s="539"/>
      <c r="P741" s="278"/>
      <c r="Q741" s="539"/>
      <c r="R741" s="539"/>
      <c r="S741" s="539"/>
      <c r="T741" s="539"/>
      <c r="U741" s="539"/>
      <c r="V741" s="539"/>
      <c r="W741" s="539"/>
      <c r="X741" s="539"/>
      <c r="Y741" s="539"/>
      <c r="Z741" s="539"/>
      <c r="AA741" s="539"/>
      <c r="AB741" s="539"/>
      <c r="AC741" s="539"/>
      <c r="AD741" s="43"/>
      <c r="AE741" s="43"/>
      <c r="AF741" s="238"/>
      <c r="AG741" s="43"/>
      <c r="AH741" s="43"/>
      <c r="AI741" s="238"/>
      <c r="AJ741" s="238"/>
      <c r="AK741" s="238"/>
      <c r="AL741" s="238"/>
      <c r="AM741" s="197">
        <f>IF(AQ741=1,SUM(H741:I741,L741:O741,R741:U741,X741:AA741,AD741:AG741,AI741:AK741),
IF(AQ741=2,SUM(H741:K741,N741:Q741,T741:W741,Z741:AC741,AF741:AI741),
IF(AQ741=3,SUM(J741:M741,P741:S741,V741:Y741,AB741:AE741,AH741:AK741),SUM(Таблица1[[#This Row],[1]:[31]])-Таблица1[[#This Row],[Столбец1]])))</f>
        <v>0</v>
      </c>
      <c r="AN741" s="269">
        <f t="array" ref="AN741">IF(AQ741=1,SUM(J741:K741,P741:Q741,V741:W741,AB741:AC741,AH741:AI741),
IF(AQ741=2,SUM(L741:M741,R741:S741,X741:Y741,AD741:AE741),
IF(AQ741=3,SUM(H741:I741,N741:O741,T741:U741,Z741:AA741,AF741:AG741),
SUM(IFERROR(WEEKDAY($H$2:$AL$2,2)&gt;5,)*H741:AL741))))</f>
        <v>0</v>
      </c>
      <c r="AO741" s="271" t="b">
        <f>IF(AR741&lt;=3,(IF((G741="5/24"),((база!$M$6*Таблица1[[#This Row],[сумма]]*Таблица1[[#This Row],[коэф]])),
IF((G741="4/24"),((база!$M$5*Таблица1[[#This Row],[сумма]]*Таблица1[[#This Row],[коэф]])),
IF((G741="3/24"),((база!$M$4*Таблица1[[#This Row],[сумма]]*Таблица1[[#This Row],[коэф]])),
IF((G741="5/16"),((база!$L$6*Таблица1[[#This Row],[сумма]]*Таблица1[[#This Row],[коэф]])),
IF((G741="4/16"),((база!$L$5*Таблица1[[#This Row],[сумма]]*Таблица1[[#This Row],[коэф]])),
IF((G741="3/16"),((база!$L$4*Таблица1[[#This Row],[сумма]]*Таблица1[[#This Row],[коэф]])),
IF((G741="4/4"),((база!$I$5*Таблица1[[#This Row],[сумма]]*Таблица1[[#This Row],[коэф]])),
IF(OR(G741="2/4",G741="3/4"),((база!$I$4*Таблица1[[#This Row],[сумма]]*Таблица1[[#This Row],[коэф]])),
IF((G741="5/8"),((база!$J$6*Таблица1[[#This Row],[сумма]]*Таблица1[[#This Row],[коэф]])),
IF((G741="4/8"),((база!$J$5*Таблица1[[#This Row],[сумма]]*Таблица1[[#This Row],[коэф]])),
IF(OR(G741="3/8",G741="2/8"),((база!$J$4*Таблица1[[#This Row],[сумма]]*Таблица1[[#This Row],[коэф]])))))))))))))),
(IF((G741="5/24"),((база!$M$6*Таблица1[[#This Row],[сумма]]*Таблица1[[#This Row],[коэф]])),
IF(OR(G741="4/24",G741="3/24"),((база!$M$5*Таблица1[[#This Row],[сумма]]*Таблица1[[#This Row],[коэф]])),
IF((G741="5/16"),((база!$L$6*Таблица1[[#This Row],[сумма]]*Таблица1[[#This Row],[коэф]])),
IF(OR(G741="4/16",G741="3/16"),((база!$L$5*Таблица1[[#This Row],[сумма]]*Таблица1[[#This Row],[коэф]])),
IF(OR(G741="2/4",G741="3/4",G741="4/4"),((база!$I$5*Таблица1[[#This Row],[сумма]]*Таблица1[[#This Row],[коэф]])),
IF((G741="5/8"),((база!$J$6*Таблица1[[#This Row],[сумма]]*Таблица1[[#This Row],[коэф]])),
IF(OR(G741="4/8",G741="3/8",G741="2/8"),((база!$J$5*Таблица1[[#This Row],[сумма]]*Таблица1[[#This Row],[коэф]])))))))))))</f>
        <v>0</v>
      </c>
      <c r="AP741" s="696" t="b">
        <f>IF(AR741&lt;=3,(IF((G741="5/24"),((база!$M$6*2*Таблица1[[#This Row],[Столбец1]]*Таблица1[[#This Row],[коэф]])),
IF((G741="4/24"),((база!$M$5*2*Таблица1[[#This Row],[Столбец1]]*Таблица1[[#This Row],[коэф]])),
IF((G741="3/24"),((база!$M$4*2*Таблица1[[#This Row],[Столбец1]]*Таблица1[[#This Row],[коэф]])),
IF((G741="5/16"),((база!$L$6*2*Таблица1[[#This Row],[Столбец1]]*Таблица1[[#This Row],[коэф]])),
IF((G741="4/16"),((база!$L$5*2*Таблица1[[#This Row],[Столбец1]]*Таблица1[[#This Row],[коэф]])),
IF((G741="3/16"),((база!$L$4*2*Таблица1[[#This Row],[Столбец1]]*Таблица1[[#This Row],[коэф]])),
IF((G741="4/4"),((база!$I$5*2*Таблица1[[#This Row],[Столбец1]]*Таблица1[[#This Row],[коэф]])),
IF(OR(G741="2/4",G741="3/4"),((база!$I$4*2*Таблица1[[#This Row],[Столбец1]]*Таблица1[[#This Row],[коэф]])),
IF((G741="5/8"),((база!$J$6*2*Таблица1[[#This Row],[Столбец1]]*Таблица1[[#This Row],[коэф]])),
IF((G741="4/8"),((база!$J$5*2*Таблица1[[#This Row],[Столбец1]]*Таблица1[[#This Row],[коэф]])),
IF(OR(G741="3/8",G741="2/8"),((база!$J$4*2*Таблица1[[#This Row],[Столбец1]]*Таблица1[[#This Row],[коэф]])))))))))))))),
(IF((G741="5/24"),((база!$M$6*2*Таблица1[[#This Row],[Столбец1]]*Таблица1[[#This Row],[коэф]])),
IF(OR(G741="4/24",G741="3/24"),((база!$M$5*2*Таблица1[[#This Row],[Столбец1]]*Таблица1[[#This Row],[коэф]])),
IF((G741="5/16"),((база!$L$6*2*Таблица1[[#This Row],[Столбец1]]*Таблица1[[#This Row],[коэф]])),
IF(OR(G741="4/16",G741="3/16"),((база!$L$5*2*Таблица1[[#This Row],[Столбец1]]*Таблица1[[#This Row],[коэф]])),
IF(OR(G741="2/4",G741="3/4",G741="4/4"),((база!$I$5*2*Таблица1[[#This Row],[Столбец1]]*Таблица1[[#This Row],[коэф]])),
IF((G741="5/8"),((база!$J$6*2*Таблица1[[#This Row],[Столбец1]]*Таблица1[[#This Row],[коэф]])),
IF(OR(G741="4/8",G741="3/8",G741="2/8"),((база!$J$5*2*Таблица1[[#This Row],[Столбец1]]*Таблица1[[#This Row],[коэф]])))))))))))</f>
        <v>0</v>
      </c>
      <c r="AQ741" s="678" t="str">
        <f>IFERROR(INDEX(база!T:T, MATCH(F741,база!Q:Q,0)),"")</f>
        <v/>
      </c>
      <c r="AR741" s="193">
        <f>IFERROR(INDEX(база!D:D, MATCH(F741,база!B:B,0)),"")</f>
        <v>0</v>
      </c>
    </row>
    <row r="742" spans="1:44" ht="15">
      <c r="A742" s="59"/>
      <c r="B742" s="215"/>
      <c r="C742" s="277"/>
      <c r="D742" s="55"/>
      <c r="E742" s="196"/>
      <c r="F742" s="651"/>
      <c r="G742" s="42"/>
      <c r="H742" s="539"/>
      <c r="I742" s="539"/>
      <c r="J742" s="539"/>
      <c r="K742" s="539"/>
      <c r="L742" s="539"/>
      <c r="M742" s="539"/>
      <c r="N742" s="539"/>
      <c r="O742" s="539"/>
      <c r="P742" s="278"/>
      <c r="Q742" s="539"/>
      <c r="R742" s="539"/>
      <c r="S742" s="539"/>
      <c r="T742" s="539"/>
      <c r="U742" s="539"/>
      <c r="V742" s="539"/>
      <c r="W742" s="539"/>
      <c r="X742" s="539"/>
      <c r="Y742" s="539"/>
      <c r="Z742" s="539"/>
      <c r="AA742" s="539"/>
      <c r="AB742" s="539"/>
      <c r="AC742" s="539"/>
      <c r="AD742" s="43"/>
      <c r="AE742" s="43"/>
      <c r="AF742" s="238"/>
      <c r="AG742" s="43"/>
      <c r="AH742" s="43"/>
      <c r="AI742" s="43"/>
      <c r="AJ742" s="43"/>
      <c r="AK742" s="43"/>
      <c r="AL742" s="45"/>
      <c r="AM742" s="197">
        <f>IF(AQ742=1,SUM(H742:I742,L742:O742,R742:U742,X742:AA742,AD742:AG742,AI742:AK742),
IF(AQ742=2,SUM(H742:K742,N742:Q742,T742:W742,Z742:AC742,AF742:AI742),
IF(AQ742=3,SUM(J742:M742,P742:S742,V742:Y742,AB742:AE742,AH742:AK742),SUM(Таблица1[[#This Row],[1]:[31]])-Таблица1[[#This Row],[Столбец1]])))</f>
        <v>0</v>
      </c>
      <c r="AN742" s="269">
        <f t="array" ref="AN742">IF(AQ742=1,SUM(J742:K742,P742:Q742,V742:W742,AB742:AC742,AH742:AI742),
IF(AQ742=2,SUM(L742:M742,R742:S742,X742:Y742,AD742:AE742),
IF(AQ742=3,SUM(H742:I742,N742:O742,T742:U742,Z742:AA742,AF742:AG742),
SUM(IFERROR(WEEKDAY($H$2:$AL$2,2)&gt;5,)*H742:AL742))))</f>
        <v>0</v>
      </c>
      <c r="AO742" s="271" t="b">
        <f>IF(AR742&lt;=3,(IF((G742="5/24"),((база!$M$6*Таблица1[[#This Row],[сумма]]*Таблица1[[#This Row],[коэф]])),
IF((G742="4/24"),((база!$M$5*Таблица1[[#This Row],[сумма]]*Таблица1[[#This Row],[коэф]])),
IF((G742="3/24"),((база!$M$4*Таблица1[[#This Row],[сумма]]*Таблица1[[#This Row],[коэф]])),
IF((G742="5/16"),((база!$L$6*Таблица1[[#This Row],[сумма]]*Таблица1[[#This Row],[коэф]])),
IF((G742="4/16"),((база!$L$5*Таблица1[[#This Row],[сумма]]*Таблица1[[#This Row],[коэф]])),
IF((G742="3/16"),((база!$L$4*Таблица1[[#This Row],[сумма]]*Таблица1[[#This Row],[коэф]])),
IF((G742="4/4"),((база!$I$5*Таблица1[[#This Row],[сумма]]*Таблица1[[#This Row],[коэф]])),
IF(OR(G742="2/4",G742="3/4"),((база!$I$4*Таблица1[[#This Row],[сумма]]*Таблица1[[#This Row],[коэф]])),
IF((G742="5/8"),((база!$J$6*Таблица1[[#This Row],[сумма]]*Таблица1[[#This Row],[коэф]])),
IF((G742="4/8"),((база!$J$5*Таблица1[[#This Row],[сумма]]*Таблица1[[#This Row],[коэф]])),
IF(OR(G742="3/8",G742="2/8"),((база!$J$4*Таблица1[[#This Row],[сумма]]*Таблица1[[#This Row],[коэф]])))))))))))))),
(IF((G742="5/24"),((база!$M$6*Таблица1[[#This Row],[сумма]]*Таблица1[[#This Row],[коэф]])),
IF(OR(G742="4/24",G742="3/24"),((база!$M$5*Таблица1[[#This Row],[сумма]]*Таблица1[[#This Row],[коэф]])),
IF((G742="5/16"),((база!$L$6*Таблица1[[#This Row],[сумма]]*Таблица1[[#This Row],[коэф]])),
IF(OR(G742="4/16",G742="3/16"),((база!$L$5*Таблица1[[#This Row],[сумма]]*Таблица1[[#This Row],[коэф]])),
IF(OR(G742="2/4",G742="3/4",G742="4/4"),((база!$I$5*Таблица1[[#This Row],[сумма]]*Таблица1[[#This Row],[коэф]])),
IF((G742="5/8"),((база!$J$6*Таблица1[[#This Row],[сумма]]*Таблица1[[#This Row],[коэф]])),
IF(OR(G742="4/8",G742="3/8",G742="2/8"),((база!$J$5*Таблица1[[#This Row],[сумма]]*Таблица1[[#This Row],[коэф]])))))))))))</f>
        <v>0</v>
      </c>
      <c r="AP742" s="696" t="b">
        <f>IF(AR742&lt;=3,(IF((G742="5/24"),((база!$M$6*2*Таблица1[[#This Row],[Столбец1]]*Таблица1[[#This Row],[коэф]])),
IF((G742="4/24"),((база!$M$5*2*Таблица1[[#This Row],[Столбец1]]*Таблица1[[#This Row],[коэф]])),
IF((G742="3/24"),((база!$M$4*2*Таблица1[[#This Row],[Столбец1]]*Таблица1[[#This Row],[коэф]])),
IF((G742="5/16"),((база!$L$6*2*Таблица1[[#This Row],[Столбец1]]*Таблица1[[#This Row],[коэф]])),
IF((G742="4/16"),((база!$L$5*2*Таблица1[[#This Row],[Столбец1]]*Таблица1[[#This Row],[коэф]])),
IF((G742="3/16"),((база!$L$4*2*Таблица1[[#This Row],[Столбец1]]*Таблица1[[#This Row],[коэф]])),
IF((G742="4/4"),((база!$I$5*2*Таблица1[[#This Row],[Столбец1]]*Таблица1[[#This Row],[коэф]])),
IF(OR(G742="2/4",G742="3/4"),((база!$I$4*2*Таблица1[[#This Row],[Столбец1]]*Таблица1[[#This Row],[коэф]])),
IF((G742="5/8"),((база!$J$6*2*Таблица1[[#This Row],[Столбец1]]*Таблица1[[#This Row],[коэф]])),
IF((G742="4/8"),((база!$J$5*2*Таблица1[[#This Row],[Столбец1]]*Таблица1[[#This Row],[коэф]])),
IF(OR(G742="3/8",G742="2/8"),((база!$J$4*2*Таблица1[[#This Row],[Столбец1]]*Таблица1[[#This Row],[коэф]])))))))))))))),
(IF((G742="5/24"),((база!$M$6*2*Таблица1[[#This Row],[Столбец1]]*Таблица1[[#This Row],[коэф]])),
IF(OR(G742="4/24",G742="3/24"),((база!$M$5*2*Таблица1[[#This Row],[Столбец1]]*Таблица1[[#This Row],[коэф]])),
IF((G742="5/16"),((база!$L$6*2*Таблица1[[#This Row],[Столбец1]]*Таблица1[[#This Row],[коэф]])),
IF(OR(G742="4/16",G742="3/16"),((база!$L$5*2*Таблица1[[#This Row],[Столбец1]]*Таблица1[[#This Row],[коэф]])),
IF(OR(G742="2/4",G742="3/4",G742="4/4"),((база!$I$5*2*Таблица1[[#This Row],[Столбец1]]*Таблица1[[#This Row],[коэф]])),
IF((G742="5/8"),((база!$J$6*2*Таблица1[[#This Row],[Столбец1]]*Таблица1[[#This Row],[коэф]])),
IF(OR(G742="4/8",G742="3/8",G742="2/8"),((база!$J$5*2*Таблица1[[#This Row],[Столбец1]]*Таблица1[[#This Row],[коэф]])))))))))))</f>
        <v>0</v>
      </c>
      <c r="AQ742" s="678" t="str">
        <f>IFERROR(INDEX(база!T:T, MATCH(F742,база!Q:Q,0)),"")</f>
        <v/>
      </c>
      <c r="AR742" s="193">
        <f>IFERROR(INDEX(база!D:D, MATCH(F742,база!B:B,0)),"")</f>
        <v>0</v>
      </c>
    </row>
    <row r="743" spans="1:44" ht="15">
      <c r="A743" s="59"/>
      <c r="B743" s="215"/>
      <c r="C743" s="277"/>
      <c r="D743" s="55"/>
      <c r="E743" s="196"/>
      <c r="F743" s="651"/>
      <c r="G743" s="42"/>
      <c r="H743" s="539"/>
      <c r="I743" s="539"/>
      <c r="J743" s="539"/>
      <c r="K743" s="539"/>
      <c r="L743" s="539"/>
      <c r="M743" s="539"/>
      <c r="N743" s="539"/>
      <c r="O743" s="539"/>
      <c r="P743" s="278"/>
      <c r="Q743" s="539"/>
      <c r="R743" s="539"/>
      <c r="S743" s="539"/>
      <c r="T743" s="539"/>
      <c r="U743" s="539"/>
      <c r="V743" s="539"/>
      <c r="W743" s="539"/>
      <c r="X743" s="539"/>
      <c r="Y743" s="539"/>
      <c r="Z743" s="539"/>
      <c r="AA743" s="539"/>
      <c r="AB743" s="539"/>
      <c r="AC743" s="539"/>
      <c r="AD743" s="43"/>
      <c r="AE743" s="43"/>
      <c r="AF743" s="238"/>
      <c r="AG743" s="43"/>
      <c r="AH743" s="43"/>
      <c r="AI743" s="238"/>
      <c r="AJ743" s="238"/>
      <c r="AK743" s="238"/>
      <c r="AL743" s="238"/>
      <c r="AM743" s="197">
        <f>IF(AQ743=1,SUM(H743:I743,L743:O743,R743:U743,X743:AA743,AD743:AG743,AI743:AK743),
IF(AQ743=2,SUM(H743:K743,N743:Q743,T743:W743,Z743:AC743,AF743:AI743),
IF(AQ743=3,SUM(J743:M743,P743:S743,V743:Y743,AB743:AE743,AH743:AK743),SUM(Таблица1[[#This Row],[1]:[31]])-Таблица1[[#This Row],[Столбец1]])))</f>
        <v>0</v>
      </c>
      <c r="AN743" s="269">
        <f t="array" ref="AN743">IF(AQ743=1,SUM(J743:K743,P743:Q743,V743:W743,AB743:AC743,AH743:AI743),
IF(AQ743=2,SUM(L743:M743,R743:S743,X743:Y743,AD743:AE743),
IF(AQ743=3,SUM(H743:I743,N743:O743,T743:U743,Z743:AA743,AF743:AG743),
SUM(IFERROR(WEEKDAY($H$2:$AL$2,2)&gt;5,)*H743:AL743))))</f>
        <v>0</v>
      </c>
      <c r="AO743" s="271" t="b">
        <f>IF(AR743&lt;=3,(IF((G743="5/24"),((база!$M$6*Таблица1[[#This Row],[сумма]]*Таблица1[[#This Row],[коэф]])),
IF((G743="4/24"),((база!$M$5*Таблица1[[#This Row],[сумма]]*Таблица1[[#This Row],[коэф]])),
IF((G743="3/24"),((база!$M$4*Таблица1[[#This Row],[сумма]]*Таблица1[[#This Row],[коэф]])),
IF((G743="5/16"),((база!$L$6*Таблица1[[#This Row],[сумма]]*Таблица1[[#This Row],[коэф]])),
IF((G743="4/16"),((база!$L$5*Таблица1[[#This Row],[сумма]]*Таблица1[[#This Row],[коэф]])),
IF((G743="3/16"),((база!$L$4*Таблица1[[#This Row],[сумма]]*Таблица1[[#This Row],[коэф]])),
IF((G743="4/4"),((база!$I$5*Таблица1[[#This Row],[сумма]]*Таблица1[[#This Row],[коэф]])),
IF(OR(G743="2/4",G743="3/4"),((база!$I$4*Таблица1[[#This Row],[сумма]]*Таблица1[[#This Row],[коэф]])),
IF((G743="5/8"),((база!$J$6*Таблица1[[#This Row],[сумма]]*Таблица1[[#This Row],[коэф]])),
IF((G743="4/8"),((база!$J$5*Таблица1[[#This Row],[сумма]]*Таблица1[[#This Row],[коэф]])),
IF(OR(G743="3/8",G743="2/8"),((база!$J$4*Таблица1[[#This Row],[сумма]]*Таблица1[[#This Row],[коэф]])))))))))))))),
(IF((G743="5/24"),((база!$M$6*Таблица1[[#This Row],[сумма]]*Таблица1[[#This Row],[коэф]])),
IF(OR(G743="4/24",G743="3/24"),((база!$M$5*Таблица1[[#This Row],[сумма]]*Таблица1[[#This Row],[коэф]])),
IF((G743="5/16"),((база!$L$6*Таблица1[[#This Row],[сумма]]*Таблица1[[#This Row],[коэф]])),
IF(OR(G743="4/16",G743="3/16"),((база!$L$5*Таблица1[[#This Row],[сумма]]*Таблица1[[#This Row],[коэф]])),
IF(OR(G743="2/4",G743="3/4",G743="4/4"),((база!$I$5*Таблица1[[#This Row],[сумма]]*Таблица1[[#This Row],[коэф]])),
IF((G743="5/8"),((база!$J$6*Таблица1[[#This Row],[сумма]]*Таблица1[[#This Row],[коэф]])),
IF(OR(G743="4/8",G743="3/8",G743="2/8"),((база!$J$5*Таблица1[[#This Row],[сумма]]*Таблица1[[#This Row],[коэф]])))))))))))</f>
        <v>0</v>
      </c>
      <c r="AP743" s="696" t="b">
        <f>IF(AR743&lt;=3,(IF((G743="5/24"),((база!$M$6*2*Таблица1[[#This Row],[Столбец1]]*Таблица1[[#This Row],[коэф]])),
IF((G743="4/24"),((база!$M$5*2*Таблица1[[#This Row],[Столбец1]]*Таблица1[[#This Row],[коэф]])),
IF((G743="3/24"),((база!$M$4*2*Таблица1[[#This Row],[Столбец1]]*Таблица1[[#This Row],[коэф]])),
IF((G743="5/16"),((база!$L$6*2*Таблица1[[#This Row],[Столбец1]]*Таблица1[[#This Row],[коэф]])),
IF((G743="4/16"),((база!$L$5*2*Таблица1[[#This Row],[Столбец1]]*Таблица1[[#This Row],[коэф]])),
IF((G743="3/16"),((база!$L$4*2*Таблица1[[#This Row],[Столбец1]]*Таблица1[[#This Row],[коэф]])),
IF((G743="4/4"),((база!$I$5*2*Таблица1[[#This Row],[Столбец1]]*Таблица1[[#This Row],[коэф]])),
IF(OR(G743="2/4",G743="3/4"),((база!$I$4*2*Таблица1[[#This Row],[Столбец1]]*Таблица1[[#This Row],[коэф]])),
IF((G743="5/8"),((база!$J$6*2*Таблица1[[#This Row],[Столбец1]]*Таблица1[[#This Row],[коэф]])),
IF((G743="4/8"),((база!$J$5*2*Таблица1[[#This Row],[Столбец1]]*Таблица1[[#This Row],[коэф]])),
IF(OR(G743="3/8",G743="2/8"),((база!$J$4*2*Таблица1[[#This Row],[Столбец1]]*Таблица1[[#This Row],[коэф]])))))))))))))),
(IF((G743="5/24"),((база!$M$6*2*Таблица1[[#This Row],[Столбец1]]*Таблица1[[#This Row],[коэф]])),
IF(OR(G743="4/24",G743="3/24"),((база!$M$5*2*Таблица1[[#This Row],[Столбец1]]*Таблица1[[#This Row],[коэф]])),
IF((G743="5/16"),((база!$L$6*2*Таблица1[[#This Row],[Столбец1]]*Таблица1[[#This Row],[коэф]])),
IF(OR(G743="4/16",G743="3/16"),((база!$L$5*2*Таблица1[[#This Row],[Столбец1]]*Таблица1[[#This Row],[коэф]])),
IF(OR(G743="2/4",G743="3/4",G743="4/4"),((база!$I$5*2*Таблица1[[#This Row],[Столбец1]]*Таблица1[[#This Row],[коэф]])),
IF((G743="5/8"),((база!$J$6*2*Таблица1[[#This Row],[Столбец1]]*Таблица1[[#This Row],[коэф]])),
IF(OR(G743="4/8",G743="3/8",G743="2/8"),((база!$J$5*2*Таблица1[[#This Row],[Столбец1]]*Таблица1[[#This Row],[коэф]])))))))))))</f>
        <v>0</v>
      </c>
      <c r="AQ743" s="678" t="str">
        <f>IFERROR(INDEX(база!T:T, MATCH(F743,база!Q:Q,0)),"")</f>
        <v/>
      </c>
      <c r="AR743" s="193">
        <f>IFERROR(INDEX(база!D:D, MATCH(F743,база!B:B,0)),"")</f>
        <v>0</v>
      </c>
    </row>
    <row r="744" spans="1:44" ht="15">
      <c r="A744" s="59"/>
      <c r="B744" s="215"/>
      <c r="C744" s="277"/>
      <c r="D744" s="55"/>
      <c r="E744" s="196"/>
      <c r="F744" s="651"/>
      <c r="G744" s="42"/>
      <c r="H744" s="539"/>
      <c r="I744" s="539"/>
      <c r="J744" s="539"/>
      <c r="K744" s="539"/>
      <c r="L744" s="539"/>
      <c r="M744" s="539"/>
      <c r="N744" s="539"/>
      <c r="O744" s="539"/>
      <c r="P744" s="278"/>
      <c r="Q744" s="539"/>
      <c r="R744" s="539"/>
      <c r="S744" s="539"/>
      <c r="T744" s="539"/>
      <c r="U744" s="539"/>
      <c r="V744" s="539"/>
      <c r="W744" s="539"/>
      <c r="X744" s="539"/>
      <c r="Y744" s="539"/>
      <c r="Z744" s="539"/>
      <c r="AA744" s="539"/>
      <c r="AB744" s="539"/>
      <c r="AC744" s="539"/>
      <c r="AD744" s="43"/>
      <c r="AE744" s="43"/>
      <c r="AF744" s="238"/>
      <c r="AG744" s="43"/>
      <c r="AH744" s="43"/>
      <c r="AI744" s="43"/>
      <c r="AJ744" s="43"/>
      <c r="AK744" s="43"/>
      <c r="AL744" s="45"/>
      <c r="AM744" s="197">
        <f>IF(AQ744=1,SUM(H744:I744,L744:O744,R744:U744,X744:AA744,AD744:AG744,AI744:AK744),
IF(AQ744=2,SUM(H744:K744,N744:Q744,T744:W744,Z744:AC744,AF744:AI744),
IF(AQ744=3,SUM(J744:M744,P744:S744,V744:Y744,AB744:AE744,AH744:AK744),SUM(Таблица1[[#This Row],[1]:[31]])-Таблица1[[#This Row],[Столбец1]])))</f>
        <v>0</v>
      </c>
      <c r="AN744" s="269">
        <f t="array" ref="AN744">IF(AQ744=1,SUM(J744:K744,P744:Q744,V744:W744,AB744:AC744,AH744:AI744),
IF(AQ744=2,SUM(L744:M744,R744:S744,X744:Y744,AD744:AE744),
IF(AQ744=3,SUM(H744:I744,N744:O744,T744:U744,Z744:AA744,AF744:AG744),
SUM(IFERROR(WEEKDAY($H$2:$AL$2,2)&gt;5,)*H744:AL744))))</f>
        <v>0</v>
      </c>
      <c r="AO744" s="271" t="b">
        <f>IF(AR744&lt;=3,(IF((G744="5/24"),((база!$M$6*Таблица1[[#This Row],[сумма]]*Таблица1[[#This Row],[коэф]])),
IF((G744="4/24"),((база!$M$5*Таблица1[[#This Row],[сумма]]*Таблица1[[#This Row],[коэф]])),
IF((G744="3/24"),((база!$M$4*Таблица1[[#This Row],[сумма]]*Таблица1[[#This Row],[коэф]])),
IF((G744="5/16"),((база!$L$6*Таблица1[[#This Row],[сумма]]*Таблица1[[#This Row],[коэф]])),
IF((G744="4/16"),((база!$L$5*Таблица1[[#This Row],[сумма]]*Таблица1[[#This Row],[коэф]])),
IF((G744="3/16"),((база!$L$4*Таблица1[[#This Row],[сумма]]*Таблица1[[#This Row],[коэф]])),
IF((G744="4/4"),((база!$I$5*Таблица1[[#This Row],[сумма]]*Таблица1[[#This Row],[коэф]])),
IF(OR(G744="2/4",G744="3/4"),((база!$I$4*Таблица1[[#This Row],[сумма]]*Таблица1[[#This Row],[коэф]])),
IF((G744="5/8"),((база!$J$6*Таблица1[[#This Row],[сумма]]*Таблица1[[#This Row],[коэф]])),
IF((G744="4/8"),((база!$J$5*Таблица1[[#This Row],[сумма]]*Таблица1[[#This Row],[коэф]])),
IF(OR(G744="3/8",G744="2/8"),((база!$J$4*Таблица1[[#This Row],[сумма]]*Таблица1[[#This Row],[коэф]])))))))))))))),
(IF((G744="5/24"),((база!$M$6*Таблица1[[#This Row],[сумма]]*Таблица1[[#This Row],[коэф]])),
IF(OR(G744="4/24",G744="3/24"),((база!$M$5*Таблица1[[#This Row],[сумма]]*Таблица1[[#This Row],[коэф]])),
IF((G744="5/16"),((база!$L$6*Таблица1[[#This Row],[сумма]]*Таблица1[[#This Row],[коэф]])),
IF(OR(G744="4/16",G744="3/16"),((база!$L$5*Таблица1[[#This Row],[сумма]]*Таблица1[[#This Row],[коэф]])),
IF(OR(G744="2/4",G744="3/4",G744="4/4"),((база!$I$5*Таблица1[[#This Row],[сумма]]*Таблица1[[#This Row],[коэф]])),
IF((G744="5/8"),((база!$J$6*Таблица1[[#This Row],[сумма]]*Таблица1[[#This Row],[коэф]])),
IF(OR(G744="4/8",G744="3/8",G744="2/8"),((база!$J$5*Таблица1[[#This Row],[сумма]]*Таблица1[[#This Row],[коэф]])))))))))))</f>
        <v>0</v>
      </c>
      <c r="AP744" s="696" t="b">
        <f>IF(AR744&lt;=3,(IF((G744="5/24"),((база!$M$6*2*Таблица1[[#This Row],[Столбец1]]*Таблица1[[#This Row],[коэф]])),
IF((G744="4/24"),((база!$M$5*2*Таблица1[[#This Row],[Столбец1]]*Таблица1[[#This Row],[коэф]])),
IF((G744="3/24"),((база!$M$4*2*Таблица1[[#This Row],[Столбец1]]*Таблица1[[#This Row],[коэф]])),
IF((G744="5/16"),((база!$L$6*2*Таблица1[[#This Row],[Столбец1]]*Таблица1[[#This Row],[коэф]])),
IF((G744="4/16"),((база!$L$5*2*Таблица1[[#This Row],[Столбец1]]*Таблица1[[#This Row],[коэф]])),
IF((G744="3/16"),((база!$L$4*2*Таблица1[[#This Row],[Столбец1]]*Таблица1[[#This Row],[коэф]])),
IF((G744="4/4"),((база!$I$5*2*Таблица1[[#This Row],[Столбец1]]*Таблица1[[#This Row],[коэф]])),
IF(OR(G744="2/4",G744="3/4"),((база!$I$4*2*Таблица1[[#This Row],[Столбец1]]*Таблица1[[#This Row],[коэф]])),
IF((G744="5/8"),((база!$J$6*2*Таблица1[[#This Row],[Столбец1]]*Таблица1[[#This Row],[коэф]])),
IF((G744="4/8"),((база!$J$5*2*Таблица1[[#This Row],[Столбец1]]*Таблица1[[#This Row],[коэф]])),
IF(OR(G744="3/8",G744="2/8"),((база!$J$4*2*Таблица1[[#This Row],[Столбец1]]*Таблица1[[#This Row],[коэф]])))))))))))))),
(IF((G744="5/24"),((база!$M$6*2*Таблица1[[#This Row],[Столбец1]]*Таблица1[[#This Row],[коэф]])),
IF(OR(G744="4/24",G744="3/24"),((база!$M$5*2*Таблица1[[#This Row],[Столбец1]]*Таблица1[[#This Row],[коэф]])),
IF((G744="5/16"),((база!$L$6*2*Таблица1[[#This Row],[Столбец1]]*Таблица1[[#This Row],[коэф]])),
IF(OR(G744="4/16",G744="3/16"),((база!$L$5*2*Таблица1[[#This Row],[Столбец1]]*Таблица1[[#This Row],[коэф]])),
IF(OR(G744="2/4",G744="3/4",G744="4/4"),((база!$I$5*2*Таблица1[[#This Row],[Столбец1]]*Таблица1[[#This Row],[коэф]])),
IF((G744="5/8"),((база!$J$6*2*Таблица1[[#This Row],[Столбец1]]*Таблица1[[#This Row],[коэф]])),
IF(OR(G744="4/8",G744="3/8",G744="2/8"),((база!$J$5*2*Таблица1[[#This Row],[Столбец1]]*Таблица1[[#This Row],[коэф]])))))))))))</f>
        <v>0</v>
      </c>
      <c r="AQ744" s="678" t="str">
        <f>IFERROR(INDEX(база!T:T, MATCH(F744,база!Q:Q,0)),"")</f>
        <v/>
      </c>
      <c r="AR744" s="193">
        <f>IFERROR(INDEX(база!D:D, MATCH(F744,база!B:B,0)),"")</f>
        <v>0</v>
      </c>
    </row>
    <row r="745" spans="1:44" ht="15">
      <c r="A745" s="59"/>
      <c r="B745" s="215"/>
      <c r="C745" s="277"/>
      <c r="D745" s="55"/>
      <c r="E745" s="196"/>
      <c r="F745" s="651"/>
      <c r="G745" s="42"/>
      <c r="H745" s="539"/>
      <c r="I745" s="539"/>
      <c r="J745" s="539"/>
      <c r="K745" s="539"/>
      <c r="L745" s="539"/>
      <c r="M745" s="539"/>
      <c r="N745" s="539"/>
      <c r="O745" s="539"/>
      <c r="P745" s="278"/>
      <c r="Q745" s="539"/>
      <c r="R745" s="539"/>
      <c r="S745" s="539"/>
      <c r="T745" s="539"/>
      <c r="U745" s="539"/>
      <c r="V745" s="539"/>
      <c r="W745" s="539"/>
      <c r="X745" s="539"/>
      <c r="Y745" s="539"/>
      <c r="Z745" s="539"/>
      <c r="AA745" s="539"/>
      <c r="AB745" s="539"/>
      <c r="AC745" s="539"/>
      <c r="AD745" s="43"/>
      <c r="AE745" s="43"/>
      <c r="AF745" s="238"/>
      <c r="AG745" s="43"/>
      <c r="AH745" s="43"/>
      <c r="AI745" s="238"/>
      <c r="AJ745" s="238"/>
      <c r="AK745" s="238"/>
      <c r="AL745" s="238"/>
      <c r="AM745" s="197">
        <f>IF(AQ745=1,SUM(H745:I745,L745:O745,R745:U745,X745:AA745,AD745:AG745,AI745:AK745),
IF(AQ745=2,SUM(H745:K745,N745:Q745,T745:W745,Z745:AC745,AF745:AI745),
IF(AQ745=3,SUM(J745:M745,P745:S745,V745:Y745,AB745:AE745,AH745:AK745),SUM(Таблица1[[#This Row],[1]:[31]])-Таблица1[[#This Row],[Столбец1]])))</f>
        <v>0</v>
      </c>
      <c r="AN745" s="269">
        <f t="array" ref="AN745">IF(AQ745=1,SUM(J745:K745,P745:Q745,V745:W745,AB745:AC745,AH745:AI745),
IF(AQ745=2,SUM(L745:M745,R745:S745,X745:Y745,AD745:AE745),
IF(AQ745=3,SUM(H745:I745,N745:O745,T745:U745,Z745:AA745,AF745:AG745),
SUM(IFERROR(WEEKDAY($H$2:$AL$2,2)&gt;5,)*H745:AL745))))</f>
        <v>0</v>
      </c>
      <c r="AO745" s="271" t="b">
        <f>IF(AR745&lt;=3,(IF((G745="5/24"),((база!$M$6*Таблица1[[#This Row],[сумма]]*Таблица1[[#This Row],[коэф]])),
IF((G745="4/24"),((база!$M$5*Таблица1[[#This Row],[сумма]]*Таблица1[[#This Row],[коэф]])),
IF((G745="3/24"),((база!$M$4*Таблица1[[#This Row],[сумма]]*Таблица1[[#This Row],[коэф]])),
IF((G745="5/16"),((база!$L$6*Таблица1[[#This Row],[сумма]]*Таблица1[[#This Row],[коэф]])),
IF((G745="4/16"),((база!$L$5*Таблица1[[#This Row],[сумма]]*Таблица1[[#This Row],[коэф]])),
IF((G745="3/16"),((база!$L$4*Таблица1[[#This Row],[сумма]]*Таблица1[[#This Row],[коэф]])),
IF((G745="4/4"),((база!$I$5*Таблица1[[#This Row],[сумма]]*Таблица1[[#This Row],[коэф]])),
IF(OR(G745="2/4",G745="3/4"),((база!$I$4*Таблица1[[#This Row],[сумма]]*Таблица1[[#This Row],[коэф]])),
IF((G745="5/8"),((база!$J$6*Таблица1[[#This Row],[сумма]]*Таблица1[[#This Row],[коэф]])),
IF((G745="4/8"),((база!$J$5*Таблица1[[#This Row],[сумма]]*Таблица1[[#This Row],[коэф]])),
IF(OR(G745="3/8",G745="2/8"),((база!$J$4*Таблица1[[#This Row],[сумма]]*Таблица1[[#This Row],[коэф]])))))))))))))),
(IF((G745="5/24"),((база!$M$6*Таблица1[[#This Row],[сумма]]*Таблица1[[#This Row],[коэф]])),
IF(OR(G745="4/24",G745="3/24"),((база!$M$5*Таблица1[[#This Row],[сумма]]*Таблица1[[#This Row],[коэф]])),
IF((G745="5/16"),((база!$L$6*Таблица1[[#This Row],[сумма]]*Таблица1[[#This Row],[коэф]])),
IF(OR(G745="4/16",G745="3/16"),((база!$L$5*Таблица1[[#This Row],[сумма]]*Таблица1[[#This Row],[коэф]])),
IF(OR(G745="2/4",G745="3/4",G745="4/4"),((база!$I$5*Таблица1[[#This Row],[сумма]]*Таблица1[[#This Row],[коэф]])),
IF((G745="5/8"),((база!$J$6*Таблица1[[#This Row],[сумма]]*Таблица1[[#This Row],[коэф]])),
IF(OR(G745="4/8",G745="3/8",G745="2/8"),((база!$J$5*Таблица1[[#This Row],[сумма]]*Таблица1[[#This Row],[коэф]])))))))))))</f>
        <v>0</v>
      </c>
      <c r="AP745" s="696" t="b">
        <f>IF(AR745&lt;=3,(IF((G745="5/24"),((база!$M$6*2*Таблица1[[#This Row],[Столбец1]]*Таблица1[[#This Row],[коэф]])),
IF((G745="4/24"),((база!$M$5*2*Таблица1[[#This Row],[Столбец1]]*Таблица1[[#This Row],[коэф]])),
IF((G745="3/24"),((база!$M$4*2*Таблица1[[#This Row],[Столбец1]]*Таблица1[[#This Row],[коэф]])),
IF((G745="5/16"),((база!$L$6*2*Таблица1[[#This Row],[Столбец1]]*Таблица1[[#This Row],[коэф]])),
IF((G745="4/16"),((база!$L$5*2*Таблица1[[#This Row],[Столбец1]]*Таблица1[[#This Row],[коэф]])),
IF((G745="3/16"),((база!$L$4*2*Таблица1[[#This Row],[Столбец1]]*Таблица1[[#This Row],[коэф]])),
IF((G745="4/4"),((база!$I$5*2*Таблица1[[#This Row],[Столбец1]]*Таблица1[[#This Row],[коэф]])),
IF(OR(G745="2/4",G745="3/4"),((база!$I$4*2*Таблица1[[#This Row],[Столбец1]]*Таблица1[[#This Row],[коэф]])),
IF((G745="5/8"),((база!$J$6*2*Таблица1[[#This Row],[Столбец1]]*Таблица1[[#This Row],[коэф]])),
IF((G745="4/8"),((база!$J$5*2*Таблица1[[#This Row],[Столбец1]]*Таблица1[[#This Row],[коэф]])),
IF(OR(G745="3/8",G745="2/8"),((база!$J$4*2*Таблица1[[#This Row],[Столбец1]]*Таблица1[[#This Row],[коэф]])))))))))))))),
(IF((G745="5/24"),((база!$M$6*2*Таблица1[[#This Row],[Столбец1]]*Таблица1[[#This Row],[коэф]])),
IF(OR(G745="4/24",G745="3/24"),((база!$M$5*2*Таблица1[[#This Row],[Столбец1]]*Таблица1[[#This Row],[коэф]])),
IF((G745="5/16"),((база!$L$6*2*Таблица1[[#This Row],[Столбец1]]*Таблица1[[#This Row],[коэф]])),
IF(OR(G745="4/16",G745="3/16"),((база!$L$5*2*Таблица1[[#This Row],[Столбец1]]*Таблица1[[#This Row],[коэф]])),
IF(OR(G745="2/4",G745="3/4",G745="4/4"),((база!$I$5*2*Таблица1[[#This Row],[Столбец1]]*Таблица1[[#This Row],[коэф]])),
IF((G745="5/8"),((база!$J$6*2*Таблица1[[#This Row],[Столбец1]]*Таблица1[[#This Row],[коэф]])),
IF(OR(G745="4/8",G745="3/8",G745="2/8"),((база!$J$5*2*Таблица1[[#This Row],[Столбец1]]*Таблица1[[#This Row],[коэф]])))))))))))</f>
        <v>0</v>
      </c>
      <c r="AQ745" s="678" t="str">
        <f>IFERROR(INDEX(база!T:T, MATCH(F745,база!Q:Q,0)),"")</f>
        <v/>
      </c>
      <c r="AR745" s="193">
        <f>IFERROR(INDEX(база!D:D, MATCH(F745,база!B:B,0)),"")</f>
        <v>0</v>
      </c>
    </row>
    <row r="746" spans="1:44" ht="16.5" customHeight="1">
      <c r="A746" s="59"/>
      <c r="B746" s="215"/>
      <c r="C746" s="277"/>
      <c r="D746" s="55"/>
      <c r="E746" s="196"/>
      <c r="F746" s="651"/>
      <c r="G746" s="42"/>
      <c r="H746" s="539"/>
      <c r="I746" s="539"/>
      <c r="J746" s="539"/>
      <c r="K746" s="539"/>
      <c r="L746" s="539"/>
      <c r="M746" s="539"/>
      <c r="N746" s="539"/>
      <c r="O746" s="539"/>
      <c r="P746" s="278"/>
      <c r="Q746" s="539"/>
      <c r="R746" s="539"/>
      <c r="S746" s="539"/>
      <c r="T746" s="539"/>
      <c r="U746" s="539"/>
      <c r="V746" s="539"/>
      <c r="W746" s="539"/>
      <c r="X746" s="539"/>
      <c r="Y746" s="539"/>
      <c r="Z746" s="539"/>
      <c r="AA746" s="539"/>
      <c r="AB746" s="539"/>
      <c r="AC746" s="539"/>
      <c r="AD746" s="43"/>
      <c r="AE746" s="43"/>
      <c r="AF746" s="238"/>
      <c r="AG746" s="43"/>
      <c r="AH746" s="43"/>
      <c r="AI746" s="43"/>
      <c r="AJ746" s="43"/>
      <c r="AK746" s="43"/>
      <c r="AL746" s="45"/>
      <c r="AM746" s="197">
        <f>IF(AQ746=1,SUM(H746:I746,L746:O746,R746:U746,X746:AA746,AD746:AG746,AI746:AK746),
IF(AQ746=2,SUM(H746:K746,N746:Q746,T746:W746,Z746:AC746,AF746:AI746),
IF(AQ746=3,SUM(J746:M746,P746:S746,V746:Y746,AB746:AE746,AH746:AK746),SUM(Таблица1[[#This Row],[1]:[31]])-Таблица1[[#This Row],[Столбец1]])))</f>
        <v>0</v>
      </c>
      <c r="AN746" s="269">
        <f t="array" ref="AN746">IF(AQ746=1,SUM(J746:K746,P746:Q746,V746:W746,AB746:AC746,AH746:AI746),
IF(AQ746=2,SUM(L746:M746,R746:S746,X746:Y746,AD746:AE746),
IF(AQ746=3,SUM(H746:I746,N746:O746,T746:U746,Z746:AA746,AF746:AG746),
SUM(IFERROR(WEEKDAY($H$2:$AL$2,2)&gt;5,)*H746:AL746))))</f>
        <v>0</v>
      </c>
      <c r="AO746" s="271" t="b">
        <f>IF(AR746&lt;=3,(IF((G746="5/24"),((база!$M$6*Таблица1[[#This Row],[сумма]]*Таблица1[[#This Row],[коэф]])),
IF((G746="4/24"),((база!$M$5*Таблица1[[#This Row],[сумма]]*Таблица1[[#This Row],[коэф]])),
IF((G746="3/24"),((база!$M$4*Таблица1[[#This Row],[сумма]]*Таблица1[[#This Row],[коэф]])),
IF((G746="5/16"),((база!$L$6*Таблица1[[#This Row],[сумма]]*Таблица1[[#This Row],[коэф]])),
IF((G746="4/16"),((база!$L$5*Таблица1[[#This Row],[сумма]]*Таблица1[[#This Row],[коэф]])),
IF((G746="3/16"),((база!$L$4*Таблица1[[#This Row],[сумма]]*Таблица1[[#This Row],[коэф]])),
IF((G746="4/4"),((база!$I$5*Таблица1[[#This Row],[сумма]]*Таблица1[[#This Row],[коэф]])),
IF(OR(G746="2/4",G746="3/4"),((база!$I$4*Таблица1[[#This Row],[сумма]]*Таблица1[[#This Row],[коэф]])),
IF((G746="5/8"),((база!$J$6*Таблица1[[#This Row],[сумма]]*Таблица1[[#This Row],[коэф]])),
IF((G746="4/8"),((база!$J$5*Таблица1[[#This Row],[сумма]]*Таблица1[[#This Row],[коэф]])),
IF(OR(G746="3/8",G746="2/8"),((база!$J$4*Таблица1[[#This Row],[сумма]]*Таблица1[[#This Row],[коэф]])))))))))))))),
(IF((G746="5/24"),((база!$M$6*Таблица1[[#This Row],[сумма]]*Таблица1[[#This Row],[коэф]])),
IF(OR(G746="4/24",G746="3/24"),((база!$M$5*Таблица1[[#This Row],[сумма]]*Таблица1[[#This Row],[коэф]])),
IF((G746="5/16"),((база!$L$6*Таблица1[[#This Row],[сумма]]*Таблица1[[#This Row],[коэф]])),
IF(OR(G746="4/16",G746="3/16"),((база!$L$5*Таблица1[[#This Row],[сумма]]*Таблица1[[#This Row],[коэф]])),
IF(OR(G746="2/4",G746="3/4",G746="4/4"),((база!$I$5*Таблица1[[#This Row],[сумма]]*Таблица1[[#This Row],[коэф]])),
IF((G746="5/8"),((база!$J$6*Таблица1[[#This Row],[сумма]]*Таблица1[[#This Row],[коэф]])),
IF(OR(G746="4/8",G746="3/8",G746="2/8"),((база!$J$5*Таблица1[[#This Row],[сумма]]*Таблица1[[#This Row],[коэф]])))))))))))</f>
        <v>0</v>
      </c>
      <c r="AP746" s="696" t="b">
        <f>IF(AR746&lt;=3,(IF((G746="5/24"),((база!$M$6*2*Таблица1[[#This Row],[Столбец1]]*Таблица1[[#This Row],[коэф]])),
IF((G746="4/24"),((база!$M$5*2*Таблица1[[#This Row],[Столбец1]]*Таблица1[[#This Row],[коэф]])),
IF((G746="3/24"),((база!$M$4*2*Таблица1[[#This Row],[Столбец1]]*Таблица1[[#This Row],[коэф]])),
IF((G746="5/16"),((база!$L$6*2*Таблица1[[#This Row],[Столбец1]]*Таблица1[[#This Row],[коэф]])),
IF((G746="4/16"),((база!$L$5*2*Таблица1[[#This Row],[Столбец1]]*Таблица1[[#This Row],[коэф]])),
IF((G746="3/16"),((база!$L$4*2*Таблица1[[#This Row],[Столбец1]]*Таблица1[[#This Row],[коэф]])),
IF((G746="4/4"),((база!$I$5*2*Таблица1[[#This Row],[Столбец1]]*Таблица1[[#This Row],[коэф]])),
IF(OR(G746="2/4",G746="3/4"),((база!$I$4*2*Таблица1[[#This Row],[Столбец1]]*Таблица1[[#This Row],[коэф]])),
IF((G746="5/8"),((база!$J$6*2*Таблица1[[#This Row],[Столбец1]]*Таблица1[[#This Row],[коэф]])),
IF((G746="4/8"),((база!$J$5*2*Таблица1[[#This Row],[Столбец1]]*Таблица1[[#This Row],[коэф]])),
IF(OR(G746="3/8",G746="2/8"),((база!$J$4*2*Таблица1[[#This Row],[Столбец1]]*Таблица1[[#This Row],[коэф]])))))))))))))),
(IF((G746="5/24"),((база!$M$6*2*Таблица1[[#This Row],[Столбец1]]*Таблица1[[#This Row],[коэф]])),
IF(OR(G746="4/24",G746="3/24"),((база!$M$5*2*Таблица1[[#This Row],[Столбец1]]*Таблица1[[#This Row],[коэф]])),
IF((G746="5/16"),((база!$L$6*2*Таблица1[[#This Row],[Столбец1]]*Таблица1[[#This Row],[коэф]])),
IF(OR(G746="4/16",G746="3/16"),((база!$L$5*2*Таблица1[[#This Row],[Столбец1]]*Таблица1[[#This Row],[коэф]])),
IF(OR(G746="2/4",G746="3/4",G746="4/4"),((база!$I$5*2*Таблица1[[#This Row],[Столбец1]]*Таблица1[[#This Row],[коэф]])),
IF((G746="5/8"),((база!$J$6*2*Таблица1[[#This Row],[Столбец1]]*Таблица1[[#This Row],[коэф]])),
IF(OR(G746="4/8",G746="3/8",G746="2/8"),((база!$J$5*2*Таблица1[[#This Row],[Столбец1]]*Таблица1[[#This Row],[коэф]])))))))))))</f>
        <v>0</v>
      </c>
      <c r="AQ746" s="678" t="str">
        <f>IFERROR(INDEX(база!T:T, MATCH(F746,база!Q:Q,0)),"")</f>
        <v/>
      </c>
      <c r="AR746" s="193">
        <f>IFERROR(INDEX(база!D:D, MATCH(F746,база!B:B,0)),"")</f>
        <v>0</v>
      </c>
    </row>
    <row r="747" spans="1:44" ht="15">
      <c r="A747" s="59"/>
      <c r="B747" s="215"/>
      <c r="C747" s="277"/>
      <c r="D747" s="55"/>
      <c r="E747" s="196"/>
      <c r="F747" s="651"/>
      <c r="G747" s="42"/>
      <c r="H747" s="539"/>
      <c r="I747" s="539"/>
      <c r="J747" s="539"/>
      <c r="K747" s="539"/>
      <c r="L747" s="539"/>
      <c r="M747" s="539"/>
      <c r="N747" s="539"/>
      <c r="O747" s="539"/>
      <c r="P747" s="278"/>
      <c r="Q747" s="539"/>
      <c r="R747" s="539"/>
      <c r="S747" s="539"/>
      <c r="T747" s="539"/>
      <c r="U747" s="539"/>
      <c r="V747" s="539"/>
      <c r="W747" s="539"/>
      <c r="X747" s="539"/>
      <c r="Y747" s="539"/>
      <c r="Z747" s="539"/>
      <c r="AA747" s="539"/>
      <c r="AB747" s="539"/>
      <c r="AC747" s="539"/>
      <c r="AD747" s="43"/>
      <c r="AE747" s="43"/>
      <c r="AF747" s="238"/>
      <c r="AG747" s="43"/>
      <c r="AH747" s="43"/>
      <c r="AI747" s="238"/>
      <c r="AJ747" s="238"/>
      <c r="AK747" s="238"/>
      <c r="AL747" s="238"/>
      <c r="AM747" s="197">
        <f>IF(AQ747=1,SUM(H747:I747,L747:O747,R747:U747,X747:AA747,AD747:AG747,AI747:AK747),
IF(AQ747=2,SUM(H747:K747,N747:Q747,T747:W747,Z747:AC747,AF747:AI747),
IF(AQ747=3,SUM(J747:M747,P747:S747,V747:Y747,AB747:AE747,AH747:AK747),SUM(Таблица1[[#This Row],[1]:[31]])-Таблица1[[#This Row],[Столбец1]])))</f>
        <v>0</v>
      </c>
      <c r="AN747" s="269">
        <f t="array" ref="AN747">IF(AQ747=1,SUM(J747:K747,P747:Q747,V747:W747,AB747:AC747,AH747:AI747),
IF(AQ747=2,SUM(L747:M747,R747:S747,X747:Y747,AD747:AE747),
IF(AQ747=3,SUM(H747:I747,N747:O747,T747:U747,Z747:AA747,AF747:AG747),
SUM(IFERROR(WEEKDAY($H$2:$AL$2,2)&gt;5,)*H747:AL747))))</f>
        <v>0</v>
      </c>
      <c r="AO747" s="271" t="b">
        <f>IF(AR747&lt;=3,(IF((G747="5/24"),((база!$M$6*Таблица1[[#This Row],[сумма]]*Таблица1[[#This Row],[коэф]])),
IF((G747="4/24"),((база!$M$5*Таблица1[[#This Row],[сумма]]*Таблица1[[#This Row],[коэф]])),
IF((G747="3/24"),((база!$M$4*Таблица1[[#This Row],[сумма]]*Таблица1[[#This Row],[коэф]])),
IF((G747="5/16"),((база!$L$6*Таблица1[[#This Row],[сумма]]*Таблица1[[#This Row],[коэф]])),
IF((G747="4/16"),((база!$L$5*Таблица1[[#This Row],[сумма]]*Таблица1[[#This Row],[коэф]])),
IF((G747="3/16"),((база!$L$4*Таблица1[[#This Row],[сумма]]*Таблица1[[#This Row],[коэф]])),
IF((G747="4/4"),((база!$I$5*Таблица1[[#This Row],[сумма]]*Таблица1[[#This Row],[коэф]])),
IF(OR(G747="2/4",G747="3/4"),((база!$I$4*Таблица1[[#This Row],[сумма]]*Таблица1[[#This Row],[коэф]])),
IF((G747="5/8"),((база!$J$6*Таблица1[[#This Row],[сумма]]*Таблица1[[#This Row],[коэф]])),
IF((G747="4/8"),((база!$J$5*Таблица1[[#This Row],[сумма]]*Таблица1[[#This Row],[коэф]])),
IF(OR(G747="3/8",G747="2/8"),((база!$J$4*Таблица1[[#This Row],[сумма]]*Таблица1[[#This Row],[коэф]])))))))))))))),
(IF((G747="5/24"),((база!$M$6*Таблица1[[#This Row],[сумма]]*Таблица1[[#This Row],[коэф]])),
IF(OR(G747="4/24",G747="3/24"),((база!$M$5*Таблица1[[#This Row],[сумма]]*Таблица1[[#This Row],[коэф]])),
IF((G747="5/16"),((база!$L$6*Таблица1[[#This Row],[сумма]]*Таблица1[[#This Row],[коэф]])),
IF(OR(G747="4/16",G747="3/16"),((база!$L$5*Таблица1[[#This Row],[сумма]]*Таблица1[[#This Row],[коэф]])),
IF(OR(G747="2/4",G747="3/4",G747="4/4"),((база!$I$5*Таблица1[[#This Row],[сумма]]*Таблица1[[#This Row],[коэф]])),
IF((G747="5/8"),((база!$J$6*Таблица1[[#This Row],[сумма]]*Таблица1[[#This Row],[коэф]])),
IF(OR(G747="4/8",G747="3/8",G747="2/8"),((база!$J$5*Таблица1[[#This Row],[сумма]]*Таблица1[[#This Row],[коэф]])))))))))))</f>
        <v>0</v>
      </c>
      <c r="AP747" s="696" t="b">
        <f>IF(AR747&lt;=3,(IF((G747="5/24"),((база!$M$6*2*Таблица1[[#This Row],[Столбец1]]*Таблица1[[#This Row],[коэф]])),
IF((G747="4/24"),((база!$M$5*2*Таблица1[[#This Row],[Столбец1]]*Таблица1[[#This Row],[коэф]])),
IF((G747="3/24"),((база!$M$4*2*Таблица1[[#This Row],[Столбец1]]*Таблица1[[#This Row],[коэф]])),
IF((G747="5/16"),((база!$L$6*2*Таблица1[[#This Row],[Столбец1]]*Таблица1[[#This Row],[коэф]])),
IF((G747="4/16"),((база!$L$5*2*Таблица1[[#This Row],[Столбец1]]*Таблица1[[#This Row],[коэф]])),
IF((G747="3/16"),((база!$L$4*2*Таблица1[[#This Row],[Столбец1]]*Таблица1[[#This Row],[коэф]])),
IF((G747="4/4"),((база!$I$5*2*Таблица1[[#This Row],[Столбец1]]*Таблица1[[#This Row],[коэф]])),
IF(OR(G747="2/4",G747="3/4"),((база!$I$4*2*Таблица1[[#This Row],[Столбец1]]*Таблица1[[#This Row],[коэф]])),
IF((G747="5/8"),((база!$J$6*2*Таблица1[[#This Row],[Столбец1]]*Таблица1[[#This Row],[коэф]])),
IF((G747="4/8"),((база!$J$5*2*Таблица1[[#This Row],[Столбец1]]*Таблица1[[#This Row],[коэф]])),
IF(OR(G747="3/8",G747="2/8"),((база!$J$4*2*Таблица1[[#This Row],[Столбец1]]*Таблица1[[#This Row],[коэф]])))))))))))))),
(IF((G747="5/24"),((база!$M$6*2*Таблица1[[#This Row],[Столбец1]]*Таблица1[[#This Row],[коэф]])),
IF(OR(G747="4/24",G747="3/24"),((база!$M$5*2*Таблица1[[#This Row],[Столбец1]]*Таблица1[[#This Row],[коэф]])),
IF((G747="5/16"),((база!$L$6*2*Таблица1[[#This Row],[Столбец1]]*Таблица1[[#This Row],[коэф]])),
IF(OR(G747="4/16",G747="3/16"),((база!$L$5*2*Таблица1[[#This Row],[Столбец1]]*Таблица1[[#This Row],[коэф]])),
IF(OR(G747="2/4",G747="3/4",G747="4/4"),((база!$I$5*2*Таблица1[[#This Row],[Столбец1]]*Таблица1[[#This Row],[коэф]])),
IF((G747="5/8"),((база!$J$6*2*Таблица1[[#This Row],[Столбец1]]*Таблица1[[#This Row],[коэф]])),
IF(OR(G747="4/8",G747="3/8",G747="2/8"),((база!$J$5*2*Таблица1[[#This Row],[Столбец1]]*Таблица1[[#This Row],[коэф]])))))))))))</f>
        <v>0</v>
      </c>
      <c r="AQ747" s="678" t="str">
        <f>IFERROR(INDEX(база!T:T, MATCH(F747,база!Q:Q,0)),"")</f>
        <v/>
      </c>
      <c r="AR747" s="193">
        <f>IFERROR(INDEX(база!D:D, MATCH(F747,база!B:B,0)),"")</f>
        <v>0</v>
      </c>
    </row>
    <row r="748" spans="1:44" ht="15">
      <c r="A748" s="59"/>
      <c r="B748" s="215"/>
      <c r="C748" s="277"/>
      <c r="D748" s="55"/>
      <c r="E748" s="196"/>
      <c r="F748" s="651"/>
      <c r="G748" s="42"/>
      <c r="H748" s="539"/>
      <c r="I748" s="539"/>
      <c r="J748" s="539"/>
      <c r="K748" s="539"/>
      <c r="L748" s="539"/>
      <c r="M748" s="539"/>
      <c r="N748" s="539"/>
      <c r="O748" s="539"/>
      <c r="P748" s="278"/>
      <c r="Q748" s="539"/>
      <c r="R748" s="539"/>
      <c r="S748" s="539"/>
      <c r="T748" s="539"/>
      <c r="U748" s="539"/>
      <c r="V748" s="539"/>
      <c r="W748" s="539"/>
      <c r="X748" s="539"/>
      <c r="Y748" s="539"/>
      <c r="Z748" s="539"/>
      <c r="AA748" s="539"/>
      <c r="AB748" s="539"/>
      <c r="AC748" s="539"/>
      <c r="AD748" s="43"/>
      <c r="AE748" s="43"/>
      <c r="AF748" s="238"/>
      <c r="AG748" s="43"/>
      <c r="AH748" s="43"/>
      <c r="AI748" s="43"/>
      <c r="AJ748" s="43"/>
      <c r="AK748" s="43"/>
      <c r="AL748" s="45"/>
      <c r="AM748" s="197">
        <f>IF(AQ748=1,SUM(H748:I748,L748:O748,R748:U748,X748:AA748,AD748:AG748,AI748:AK748),
IF(AQ748=2,SUM(H748:K748,N748:Q748,T748:W748,Z748:AC748,AF748:AI748),
IF(AQ748=3,SUM(J748:M748,P748:S748,V748:Y748,AB748:AE748,AH748:AK748),SUM(Таблица1[[#This Row],[1]:[31]])-Таблица1[[#This Row],[Столбец1]])))</f>
        <v>0</v>
      </c>
      <c r="AN748" s="269">
        <f t="array" ref="AN748">IF(AQ748=1,SUM(J748:K748,P748:Q748,V748:W748,AB748:AC748,AH748:AI748),
IF(AQ748=2,SUM(L748:M748,R748:S748,X748:Y748,AD748:AE748),
IF(AQ748=3,SUM(H748:I748,N748:O748,T748:U748,Z748:AA748,AF748:AG748),
SUM(IFERROR(WEEKDAY($H$2:$AL$2,2)&gt;5,)*H748:AL748))))</f>
        <v>0</v>
      </c>
      <c r="AO748" s="271" t="b">
        <f>IF(AR748&lt;=3,(IF((G748="5/24"),((база!$M$6*Таблица1[[#This Row],[сумма]]*Таблица1[[#This Row],[коэф]])),
IF((G748="4/24"),((база!$M$5*Таблица1[[#This Row],[сумма]]*Таблица1[[#This Row],[коэф]])),
IF((G748="3/24"),((база!$M$4*Таблица1[[#This Row],[сумма]]*Таблица1[[#This Row],[коэф]])),
IF((G748="5/16"),((база!$L$6*Таблица1[[#This Row],[сумма]]*Таблица1[[#This Row],[коэф]])),
IF((G748="4/16"),((база!$L$5*Таблица1[[#This Row],[сумма]]*Таблица1[[#This Row],[коэф]])),
IF((G748="3/16"),((база!$L$4*Таблица1[[#This Row],[сумма]]*Таблица1[[#This Row],[коэф]])),
IF((G748="4/4"),((база!$I$5*Таблица1[[#This Row],[сумма]]*Таблица1[[#This Row],[коэф]])),
IF(OR(G748="2/4",G748="3/4"),((база!$I$4*Таблица1[[#This Row],[сумма]]*Таблица1[[#This Row],[коэф]])),
IF((G748="5/8"),((база!$J$6*Таблица1[[#This Row],[сумма]]*Таблица1[[#This Row],[коэф]])),
IF((G748="4/8"),((база!$J$5*Таблица1[[#This Row],[сумма]]*Таблица1[[#This Row],[коэф]])),
IF(OR(G748="3/8",G748="2/8"),((база!$J$4*Таблица1[[#This Row],[сумма]]*Таблица1[[#This Row],[коэф]])))))))))))))),
(IF((G748="5/24"),((база!$M$6*Таблица1[[#This Row],[сумма]]*Таблица1[[#This Row],[коэф]])),
IF(OR(G748="4/24",G748="3/24"),((база!$M$5*Таблица1[[#This Row],[сумма]]*Таблица1[[#This Row],[коэф]])),
IF((G748="5/16"),((база!$L$6*Таблица1[[#This Row],[сумма]]*Таблица1[[#This Row],[коэф]])),
IF(OR(G748="4/16",G748="3/16"),((база!$L$5*Таблица1[[#This Row],[сумма]]*Таблица1[[#This Row],[коэф]])),
IF(OR(G748="2/4",G748="3/4",G748="4/4"),((база!$I$5*Таблица1[[#This Row],[сумма]]*Таблица1[[#This Row],[коэф]])),
IF((G748="5/8"),((база!$J$6*Таблица1[[#This Row],[сумма]]*Таблица1[[#This Row],[коэф]])),
IF(OR(G748="4/8",G748="3/8",G748="2/8"),((база!$J$5*Таблица1[[#This Row],[сумма]]*Таблица1[[#This Row],[коэф]])))))))))))</f>
        <v>0</v>
      </c>
      <c r="AP748" s="696" t="b">
        <f>IF(AR748&lt;=3,(IF((G748="5/24"),((база!$M$6*2*Таблица1[[#This Row],[Столбец1]]*Таблица1[[#This Row],[коэф]])),
IF((G748="4/24"),((база!$M$5*2*Таблица1[[#This Row],[Столбец1]]*Таблица1[[#This Row],[коэф]])),
IF((G748="3/24"),((база!$M$4*2*Таблица1[[#This Row],[Столбец1]]*Таблица1[[#This Row],[коэф]])),
IF((G748="5/16"),((база!$L$6*2*Таблица1[[#This Row],[Столбец1]]*Таблица1[[#This Row],[коэф]])),
IF((G748="4/16"),((база!$L$5*2*Таблица1[[#This Row],[Столбец1]]*Таблица1[[#This Row],[коэф]])),
IF((G748="3/16"),((база!$L$4*2*Таблица1[[#This Row],[Столбец1]]*Таблица1[[#This Row],[коэф]])),
IF((G748="4/4"),((база!$I$5*2*Таблица1[[#This Row],[Столбец1]]*Таблица1[[#This Row],[коэф]])),
IF(OR(G748="2/4",G748="3/4"),((база!$I$4*2*Таблица1[[#This Row],[Столбец1]]*Таблица1[[#This Row],[коэф]])),
IF((G748="5/8"),((база!$J$6*2*Таблица1[[#This Row],[Столбец1]]*Таблица1[[#This Row],[коэф]])),
IF((G748="4/8"),((база!$J$5*2*Таблица1[[#This Row],[Столбец1]]*Таблица1[[#This Row],[коэф]])),
IF(OR(G748="3/8",G748="2/8"),((база!$J$4*2*Таблица1[[#This Row],[Столбец1]]*Таблица1[[#This Row],[коэф]])))))))))))))),
(IF((G748="5/24"),((база!$M$6*2*Таблица1[[#This Row],[Столбец1]]*Таблица1[[#This Row],[коэф]])),
IF(OR(G748="4/24",G748="3/24"),((база!$M$5*2*Таблица1[[#This Row],[Столбец1]]*Таблица1[[#This Row],[коэф]])),
IF((G748="5/16"),((база!$L$6*2*Таблица1[[#This Row],[Столбец1]]*Таблица1[[#This Row],[коэф]])),
IF(OR(G748="4/16",G748="3/16"),((база!$L$5*2*Таблица1[[#This Row],[Столбец1]]*Таблица1[[#This Row],[коэф]])),
IF(OR(G748="2/4",G748="3/4",G748="4/4"),((база!$I$5*2*Таблица1[[#This Row],[Столбец1]]*Таблица1[[#This Row],[коэф]])),
IF((G748="5/8"),((база!$J$6*2*Таблица1[[#This Row],[Столбец1]]*Таблица1[[#This Row],[коэф]])),
IF(OR(G748="4/8",G748="3/8",G748="2/8"),((база!$J$5*2*Таблица1[[#This Row],[Столбец1]]*Таблица1[[#This Row],[коэф]])))))))))))</f>
        <v>0</v>
      </c>
      <c r="AQ748" s="678" t="str">
        <f>IFERROR(INDEX(база!T:T, MATCH(F748,база!Q:Q,0)),"")</f>
        <v/>
      </c>
      <c r="AR748" s="193">
        <f>IFERROR(INDEX(база!D:D, MATCH(F748,база!B:B,0)),"")</f>
        <v>0</v>
      </c>
    </row>
    <row r="749" spans="1:44" ht="15">
      <c r="A749" s="59"/>
      <c r="B749" s="215"/>
      <c r="C749" s="277"/>
      <c r="D749" s="55"/>
      <c r="E749" s="196"/>
      <c r="F749" s="651"/>
      <c r="G749" s="42"/>
      <c r="H749" s="539"/>
      <c r="I749" s="539"/>
      <c r="J749" s="539"/>
      <c r="K749" s="539"/>
      <c r="L749" s="539"/>
      <c r="M749" s="539"/>
      <c r="N749" s="539"/>
      <c r="O749" s="539"/>
      <c r="P749" s="278"/>
      <c r="Q749" s="539"/>
      <c r="R749" s="539"/>
      <c r="S749" s="539"/>
      <c r="T749" s="539"/>
      <c r="U749" s="539"/>
      <c r="V749" s="539"/>
      <c r="W749" s="539"/>
      <c r="X749" s="539"/>
      <c r="Y749" s="539"/>
      <c r="Z749" s="539"/>
      <c r="AA749" s="539"/>
      <c r="AB749" s="539"/>
      <c r="AC749" s="539"/>
      <c r="AD749" s="43"/>
      <c r="AE749" s="43"/>
      <c r="AF749" s="238"/>
      <c r="AG749" s="43"/>
      <c r="AH749" s="43"/>
      <c r="AI749" s="238"/>
      <c r="AJ749" s="238"/>
      <c r="AK749" s="238"/>
      <c r="AL749" s="238"/>
      <c r="AM749" s="197">
        <f>IF(AQ749=1,SUM(H749:I749,L749:O749,R749:U749,X749:AA749,AD749:AG749,AI749:AK749),
IF(AQ749=2,SUM(H749:K749,N749:Q749,T749:W749,Z749:AC749,AF749:AI749),
IF(AQ749=3,SUM(J749:M749,P749:S749,V749:Y749,AB749:AE749,AH749:AK749),SUM(Таблица1[[#This Row],[1]:[31]])-Таблица1[[#This Row],[Столбец1]])))</f>
        <v>0</v>
      </c>
      <c r="AN749" s="269">
        <f t="array" ref="AN749">IF(AQ749=1,SUM(J749:K749,P749:Q749,V749:W749,AB749:AC749,AH749:AI749),
IF(AQ749=2,SUM(L749:M749,R749:S749,X749:Y749,AD749:AE749),
IF(AQ749=3,SUM(H749:I749,N749:O749,T749:U749,Z749:AA749,AF749:AG749),
SUM(IFERROR(WEEKDAY($H$2:$AL$2,2)&gt;5,)*H749:AL749))))</f>
        <v>0</v>
      </c>
      <c r="AO749" s="271" t="b">
        <f>IF(AR749&lt;=3,(IF((G749="5/24"),((база!$M$6*Таблица1[[#This Row],[сумма]]*Таблица1[[#This Row],[коэф]])),
IF((G749="4/24"),((база!$M$5*Таблица1[[#This Row],[сумма]]*Таблица1[[#This Row],[коэф]])),
IF((G749="3/24"),((база!$M$4*Таблица1[[#This Row],[сумма]]*Таблица1[[#This Row],[коэф]])),
IF((G749="5/16"),((база!$L$6*Таблица1[[#This Row],[сумма]]*Таблица1[[#This Row],[коэф]])),
IF((G749="4/16"),((база!$L$5*Таблица1[[#This Row],[сумма]]*Таблица1[[#This Row],[коэф]])),
IF((G749="3/16"),((база!$L$4*Таблица1[[#This Row],[сумма]]*Таблица1[[#This Row],[коэф]])),
IF((G749="4/4"),((база!$I$5*Таблица1[[#This Row],[сумма]]*Таблица1[[#This Row],[коэф]])),
IF(OR(G749="2/4",G749="3/4"),((база!$I$4*Таблица1[[#This Row],[сумма]]*Таблица1[[#This Row],[коэф]])),
IF((G749="5/8"),((база!$J$6*Таблица1[[#This Row],[сумма]]*Таблица1[[#This Row],[коэф]])),
IF((G749="4/8"),((база!$J$5*Таблица1[[#This Row],[сумма]]*Таблица1[[#This Row],[коэф]])),
IF(OR(G749="3/8",G749="2/8"),((база!$J$4*Таблица1[[#This Row],[сумма]]*Таблица1[[#This Row],[коэф]])))))))))))))),
(IF((G749="5/24"),((база!$M$6*Таблица1[[#This Row],[сумма]]*Таблица1[[#This Row],[коэф]])),
IF(OR(G749="4/24",G749="3/24"),((база!$M$5*Таблица1[[#This Row],[сумма]]*Таблица1[[#This Row],[коэф]])),
IF((G749="5/16"),((база!$L$6*Таблица1[[#This Row],[сумма]]*Таблица1[[#This Row],[коэф]])),
IF(OR(G749="4/16",G749="3/16"),((база!$L$5*Таблица1[[#This Row],[сумма]]*Таблица1[[#This Row],[коэф]])),
IF(OR(G749="2/4",G749="3/4",G749="4/4"),((база!$I$5*Таблица1[[#This Row],[сумма]]*Таблица1[[#This Row],[коэф]])),
IF((G749="5/8"),((база!$J$6*Таблица1[[#This Row],[сумма]]*Таблица1[[#This Row],[коэф]])),
IF(OR(G749="4/8",G749="3/8",G749="2/8"),((база!$J$5*Таблица1[[#This Row],[сумма]]*Таблица1[[#This Row],[коэф]])))))))))))</f>
        <v>0</v>
      </c>
      <c r="AP749" s="696" t="b">
        <f>IF(AR749&lt;=3,(IF((G749="5/24"),((база!$M$6*2*Таблица1[[#This Row],[Столбец1]]*Таблица1[[#This Row],[коэф]])),
IF((G749="4/24"),((база!$M$5*2*Таблица1[[#This Row],[Столбец1]]*Таблица1[[#This Row],[коэф]])),
IF((G749="3/24"),((база!$M$4*2*Таблица1[[#This Row],[Столбец1]]*Таблица1[[#This Row],[коэф]])),
IF((G749="5/16"),((база!$L$6*2*Таблица1[[#This Row],[Столбец1]]*Таблица1[[#This Row],[коэф]])),
IF((G749="4/16"),((база!$L$5*2*Таблица1[[#This Row],[Столбец1]]*Таблица1[[#This Row],[коэф]])),
IF((G749="3/16"),((база!$L$4*2*Таблица1[[#This Row],[Столбец1]]*Таблица1[[#This Row],[коэф]])),
IF((G749="4/4"),((база!$I$5*2*Таблица1[[#This Row],[Столбец1]]*Таблица1[[#This Row],[коэф]])),
IF(OR(G749="2/4",G749="3/4"),((база!$I$4*2*Таблица1[[#This Row],[Столбец1]]*Таблица1[[#This Row],[коэф]])),
IF((G749="5/8"),((база!$J$6*2*Таблица1[[#This Row],[Столбец1]]*Таблица1[[#This Row],[коэф]])),
IF((G749="4/8"),((база!$J$5*2*Таблица1[[#This Row],[Столбец1]]*Таблица1[[#This Row],[коэф]])),
IF(OR(G749="3/8",G749="2/8"),((база!$J$4*2*Таблица1[[#This Row],[Столбец1]]*Таблица1[[#This Row],[коэф]])))))))))))))),
(IF((G749="5/24"),((база!$M$6*2*Таблица1[[#This Row],[Столбец1]]*Таблица1[[#This Row],[коэф]])),
IF(OR(G749="4/24",G749="3/24"),((база!$M$5*2*Таблица1[[#This Row],[Столбец1]]*Таблица1[[#This Row],[коэф]])),
IF((G749="5/16"),((база!$L$6*2*Таблица1[[#This Row],[Столбец1]]*Таблица1[[#This Row],[коэф]])),
IF(OR(G749="4/16",G749="3/16"),((база!$L$5*2*Таблица1[[#This Row],[Столбец1]]*Таблица1[[#This Row],[коэф]])),
IF(OR(G749="2/4",G749="3/4",G749="4/4"),((база!$I$5*2*Таблица1[[#This Row],[Столбец1]]*Таблица1[[#This Row],[коэф]])),
IF((G749="5/8"),((база!$J$6*2*Таблица1[[#This Row],[Столбец1]]*Таблица1[[#This Row],[коэф]])),
IF(OR(G749="4/8",G749="3/8",G749="2/8"),((база!$J$5*2*Таблица1[[#This Row],[Столбец1]]*Таблица1[[#This Row],[коэф]])))))))))))</f>
        <v>0</v>
      </c>
      <c r="AQ749" s="678" t="str">
        <f>IFERROR(INDEX(база!T:T, MATCH(F749,база!Q:Q,0)),"")</f>
        <v/>
      </c>
      <c r="AR749" s="193">
        <f>IFERROR(INDEX(база!D:D, MATCH(F749,база!B:B,0)),"")</f>
        <v>0</v>
      </c>
    </row>
    <row r="750" spans="1:44" ht="15">
      <c r="A750" s="59"/>
      <c r="B750" s="215"/>
      <c r="C750" s="277"/>
      <c r="D750" s="55"/>
      <c r="E750" s="196"/>
      <c r="F750" s="651"/>
      <c r="G750" s="42"/>
      <c r="H750" s="539"/>
      <c r="I750" s="539"/>
      <c r="J750" s="539"/>
      <c r="K750" s="539"/>
      <c r="L750" s="539"/>
      <c r="M750" s="539"/>
      <c r="N750" s="539"/>
      <c r="O750" s="539"/>
      <c r="P750" s="278"/>
      <c r="Q750" s="539"/>
      <c r="R750" s="539"/>
      <c r="S750" s="539"/>
      <c r="T750" s="539"/>
      <c r="U750" s="539"/>
      <c r="V750" s="539"/>
      <c r="W750" s="539"/>
      <c r="X750" s="539"/>
      <c r="Y750" s="539"/>
      <c r="Z750" s="539"/>
      <c r="AA750" s="539"/>
      <c r="AB750" s="539"/>
      <c r="AC750" s="539"/>
      <c r="AD750" s="43"/>
      <c r="AE750" s="43"/>
      <c r="AF750" s="238"/>
      <c r="AG750" s="43"/>
      <c r="AH750" s="43"/>
      <c r="AI750" s="43"/>
      <c r="AJ750" s="43"/>
      <c r="AK750" s="43"/>
      <c r="AL750" s="45"/>
      <c r="AM750" s="197">
        <f>IF(AQ750=1,SUM(H750:I750,L750:O750,R750:U750,X750:AA750,AD750:AG750,AI750:AK750),
IF(AQ750=2,SUM(H750:K750,N750:Q750,T750:W750,Z750:AC750,AF750:AI750),
IF(AQ750=3,SUM(J750:M750,P750:S750,V750:Y750,AB750:AE750,AH750:AK750),SUM(Таблица1[[#This Row],[1]:[31]])-Таблица1[[#This Row],[Столбец1]])))</f>
        <v>0</v>
      </c>
      <c r="AN750" s="269">
        <f t="array" ref="AN750">IF(AQ750=1,SUM(J750:K750,P750:Q750,V750:W750,AB750:AC750,AH750:AI750),
IF(AQ750=2,SUM(L750:M750,R750:S750,X750:Y750,AD750:AE750),
IF(AQ750=3,SUM(H750:I750,N750:O750,T750:U750,Z750:AA750,AF750:AG750),
SUM(IFERROR(WEEKDAY($H$2:$AL$2,2)&gt;5,)*H750:AL750))))</f>
        <v>0</v>
      </c>
      <c r="AO750" s="271" t="b">
        <f>IF(AR750&lt;=3,(IF((G750="5/24"),((база!$M$6*Таблица1[[#This Row],[сумма]]*Таблица1[[#This Row],[коэф]])),
IF((G750="4/24"),((база!$M$5*Таблица1[[#This Row],[сумма]]*Таблица1[[#This Row],[коэф]])),
IF((G750="3/24"),((база!$M$4*Таблица1[[#This Row],[сумма]]*Таблица1[[#This Row],[коэф]])),
IF((G750="5/16"),((база!$L$6*Таблица1[[#This Row],[сумма]]*Таблица1[[#This Row],[коэф]])),
IF((G750="4/16"),((база!$L$5*Таблица1[[#This Row],[сумма]]*Таблица1[[#This Row],[коэф]])),
IF((G750="3/16"),((база!$L$4*Таблица1[[#This Row],[сумма]]*Таблица1[[#This Row],[коэф]])),
IF((G750="4/4"),((база!$I$5*Таблица1[[#This Row],[сумма]]*Таблица1[[#This Row],[коэф]])),
IF(OR(G750="2/4",G750="3/4"),((база!$I$4*Таблица1[[#This Row],[сумма]]*Таблица1[[#This Row],[коэф]])),
IF((G750="5/8"),((база!$J$6*Таблица1[[#This Row],[сумма]]*Таблица1[[#This Row],[коэф]])),
IF((G750="4/8"),((база!$J$5*Таблица1[[#This Row],[сумма]]*Таблица1[[#This Row],[коэф]])),
IF(OR(G750="3/8",G750="2/8"),((база!$J$4*Таблица1[[#This Row],[сумма]]*Таблица1[[#This Row],[коэф]])))))))))))))),
(IF((G750="5/24"),((база!$M$6*Таблица1[[#This Row],[сумма]]*Таблица1[[#This Row],[коэф]])),
IF(OR(G750="4/24",G750="3/24"),((база!$M$5*Таблица1[[#This Row],[сумма]]*Таблица1[[#This Row],[коэф]])),
IF((G750="5/16"),((база!$L$6*Таблица1[[#This Row],[сумма]]*Таблица1[[#This Row],[коэф]])),
IF(OR(G750="4/16",G750="3/16"),((база!$L$5*Таблица1[[#This Row],[сумма]]*Таблица1[[#This Row],[коэф]])),
IF(OR(G750="2/4",G750="3/4",G750="4/4"),((база!$I$5*Таблица1[[#This Row],[сумма]]*Таблица1[[#This Row],[коэф]])),
IF((G750="5/8"),((база!$J$6*Таблица1[[#This Row],[сумма]]*Таблица1[[#This Row],[коэф]])),
IF(OR(G750="4/8",G750="3/8",G750="2/8"),((база!$J$5*Таблица1[[#This Row],[сумма]]*Таблица1[[#This Row],[коэф]])))))))))))</f>
        <v>0</v>
      </c>
      <c r="AP750" s="696" t="b">
        <f>IF(AR750&lt;=3,(IF((G750="5/24"),((база!$M$6*2*Таблица1[[#This Row],[Столбец1]]*Таблица1[[#This Row],[коэф]])),
IF((G750="4/24"),((база!$M$5*2*Таблица1[[#This Row],[Столбец1]]*Таблица1[[#This Row],[коэф]])),
IF((G750="3/24"),((база!$M$4*2*Таблица1[[#This Row],[Столбец1]]*Таблица1[[#This Row],[коэф]])),
IF((G750="5/16"),((база!$L$6*2*Таблица1[[#This Row],[Столбец1]]*Таблица1[[#This Row],[коэф]])),
IF((G750="4/16"),((база!$L$5*2*Таблица1[[#This Row],[Столбец1]]*Таблица1[[#This Row],[коэф]])),
IF((G750="3/16"),((база!$L$4*2*Таблица1[[#This Row],[Столбец1]]*Таблица1[[#This Row],[коэф]])),
IF((G750="4/4"),((база!$I$5*2*Таблица1[[#This Row],[Столбец1]]*Таблица1[[#This Row],[коэф]])),
IF(OR(G750="2/4",G750="3/4"),((база!$I$4*2*Таблица1[[#This Row],[Столбец1]]*Таблица1[[#This Row],[коэф]])),
IF((G750="5/8"),((база!$J$6*2*Таблица1[[#This Row],[Столбец1]]*Таблица1[[#This Row],[коэф]])),
IF((G750="4/8"),((база!$J$5*2*Таблица1[[#This Row],[Столбец1]]*Таблица1[[#This Row],[коэф]])),
IF(OR(G750="3/8",G750="2/8"),((база!$J$4*2*Таблица1[[#This Row],[Столбец1]]*Таблица1[[#This Row],[коэф]])))))))))))))),
(IF((G750="5/24"),((база!$M$6*2*Таблица1[[#This Row],[Столбец1]]*Таблица1[[#This Row],[коэф]])),
IF(OR(G750="4/24",G750="3/24"),((база!$M$5*2*Таблица1[[#This Row],[Столбец1]]*Таблица1[[#This Row],[коэф]])),
IF((G750="5/16"),((база!$L$6*2*Таблица1[[#This Row],[Столбец1]]*Таблица1[[#This Row],[коэф]])),
IF(OR(G750="4/16",G750="3/16"),((база!$L$5*2*Таблица1[[#This Row],[Столбец1]]*Таблица1[[#This Row],[коэф]])),
IF(OR(G750="2/4",G750="3/4",G750="4/4"),((база!$I$5*2*Таблица1[[#This Row],[Столбец1]]*Таблица1[[#This Row],[коэф]])),
IF((G750="5/8"),((база!$J$6*2*Таблица1[[#This Row],[Столбец1]]*Таблица1[[#This Row],[коэф]])),
IF(OR(G750="4/8",G750="3/8",G750="2/8"),((база!$J$5*2*Таблица1[[#This Row],[Столбец1]]*Таблица1[[#This Row],[коэф]])))))))))))</f>
        <v>0</v>
      </c>
      <c r="AQ750" s="678" t="str">
        <f>IFERROR(INDEX(база!T:T, MATCH(F750,база!Q:Q,0)),"")</f>
        <v/>
      </c>
      <c r="AR750" s="193">
        <f>IFERROR(INDEX(база!D:D, MATCH(F750,база!B:B,0)),"")</f>
        <v>0</v>
      </c>
    </row>
    <row r="751" spans="1:44" ht="15">
      <c r="A751" s="59"/>
      <c r="B751" s="215"/>
      <c r="C751" s="277"/>
      <c r="D751" s="55"/>
      <c r="E751" s="196"/>
      <c r="F751" s="651"/>
      <c r="G751" s="42"/>
      <c r="H751" s="539"/>
      <c r="I751" s="539"/>
      <c r="J751" s="539"/>
      <c r="K751" s="539"/>
      <c r="L751" s="539"/>
      <c r="M751" s="539"/>
      <c r="N751" s="539"/>
      <c r="O751" s="539"/>
      <c r="P751" s="278"/>
      <c r="Q751" s="539"/>
      <c r="R751" s="539"/>
      <c r="S751" s="539"/>
      <c r="T751" s="539"/>
      <c r="U751" s="539"/>
      <c r="V751" s="539"/>
      <c r="W751" s="539"/>
      <c r="X751" s="539"/>
      <c r="Y751" s="539"/>
      <c r="Z751" s="539"/>
      <c r="AA751" s="539"/>
      <c r="AB751" s="539"/>
      <c r="AC751" s="539"/>
      <c r="AD751" s="43"/>
      <c r="AE751" s="43"/>
      <c r="AF751" s="238"/>
      <c r="AG751" s="43"/>
      <c r="AH751" s="43"/>
      <c r="AI751" s="238"/>
      <c r="AJ751" s="238"/>
      <c r="AK751" s="238"/>
      <c r="AL751" s="238"/>
      <c r="AM751" s="197">
        <f>IF(AQ751=1,SUM(H751:I751,L751:O751,R751:U751,X751:AA751,AD751:AG751,AI751:AK751),
IF(AQ751=2,SUM(H751:K751,N751:Q751,T751:W751,Z751:AC751,AF751:AI751),
IF(AQ751=3,SUM(J751:M751,P751:S751,V751:Y751,AB751:AE751,AH751:AK751),SUM(Таблица1[[#This Row],[1]:[31]])-Таблица1[[#This Row],[Столбец1]])))</f>
        <v>0</v>
      </c>
      <c r="AN751" s="269">
        <f t="array" ref="AN751">IF(AQ751=1,SUM(J751:K751,P751:Q751,V751:W751,AB751:AC751,AH751:AI751),
IF(AQ751=2,SUM(L751:M751,R751:S751,X751:Y751,AD751:AE751),
IF(AQ751=3,SUM(H751:I751,N751:O751,T751:U751,Z751:AA751,AF751:AG751),
SUM(IFERROR(WEEKDAY($H$2:$AL$2,2)&gt;5,)*H751:AL751))))</f>
        <v>0</v>
      </c>
      <c r="AO751" s="271" t="b">
        <f>IF(AR751&lt;=3,(IF((G751="5/24"),((база!$M$6*Таблица1[[#This Row],[сумма]]*Таблица1[[#This Row],[коэф]])),
IF((G751="4/24"),((база!$M$5*Таблица1[[#This Row],[сумма]]*Таблица1[[#This Row],[коэф]])),
IF((G751="3/24"),((база!$M$4*Таблица1[[#This Row],[сумма]]*Таблица1[[#This Row],[коэф]])),
IF((G751="5/16"),((база!$L$6*Таблица1[[#This Row],[сумма]]*Таблица1[[#This Row],[коэф]])),
IF((G751="4/16"),((база!$L$5*Таблица1[[#This Row],[сумма]]*Таблица1[[#This Row],[коэф]])),
IF((G751="3/16"),((база!$L$4*Таблица1[[#This Row],[сумма]]*Таблица1[[#This Row],[коэф]])),
IF((G751="4/4"),((база!$I$5*Таблица1[[#This Row],[сумма]]*Таблица1[[#This Row],[коэф]])),
IF(OR(G751="2/4",G751="3/4"),((база!$I$4*Таблица1[[#This Row],[сумма]]*Таблица1[[#This Row],[коэф]])),
IF((G751="5/8"),((база!$J$6*Таблица1[[#This Row],[сумма]]*Таблица1[[#This Row],[коэф]])),
IF((G751="4/8"),((база!$J$5*Таблица1[[#This Row],[сумма]]*Таблица1[[#This Row],[коэф]])),
IF(OR(G751="3/8",G751="2/8"),((база!$J$4*Таблица1[[#This Row],[сумма]]*Таблица1[[#This Row],[коэф]])))))))))))))),
(IF((G751="5/24"),((база!$M$6*Таблица1[[#This Row],[сумма]]*Таблица1[[#This Row],[коэф]])),
IF(OR(G751="4/24",G751="3/24"),((база!$M$5*Таблица1[[#This Row],[сумма]]*Таблица1[[#This Row],[коэф]])),
IF((G751="5/16"),((база!$L$6*Таблица1[[#This Row],[сумма]]*Таблица1[[#This Row],[коэф]])),
IF(OR(G751="4/16",G751="3/16"),((база!$L$5*Таблица1[[#This Row],[сумма]]*Таблица1[[#This Row],[коэф]])),
IF(OR(G751="2/4",G751="3/4",G751="4/4"),((база!$I$5*Таблица1[[#This Row],[сумма]]*Таблица1[[#This Row],[коэф]])),
IF((G751="5/8"),((база!$J$6*Таблица1[[#This Row],[сумма]]*Таблица1[[#This Row],[коэф]])),
IF(OR(G751="4/8",G751="3/8",G751="2/8"),((база!$J$5*Таблица1[[#This Row],[сумма]]*Таблица1[[#This Row],[коэф]])))))))))))</f>
        <v>0</v>
      </c>
      <c r="AP751" s="696" t="b">
        <f>IF(AR751&lt;=3,(IF((G751="5/24"),((база!$M$6*2*Таблица1[[#This Row],[Столбец1]]*Таблица1[[#This Row],[коэф]])),
IF((G751="4/24"),((база!$M$5*2*Таблица1[[#This Row],[Столбец1]]*Таблица1[[#This Row],[коэф]])),
IF((G751="3/24"),((база!$M$4*2*Таблица1[[#This Row],[Столбец1]]*Таблица1[[#This Row],[коэф]])),
IF((G751="5/16"),((база!$L$6*2*Таблица1[[#This Row],[Столбец1]]*Таблица1[[#This Row],[коэф]])),
IF((G751="4/16"),((база!$L$5*2*Таблица1[[#This Row],[Столбец1]]*Таблица1[[#This Row],[коэф]])),
IF((G751="3/16"),((база!$L$4*2*Таблица1[[#This Row],[Столбец1]]*Таблица1[[#This Row],[коэф]])),
IF((G751="4/4"),((база!$I$5*2*Таблица1[[#This Row],[Столбец1]]*Таблица1[[#This Row],[коэф]])),
IF(OR(G751="2/4",G751="3/4"),((база!$I$4*2*Таблица1[[#This Row],[Столбец1]]*Таблица1[[#This Row],[коэф]])),
IF((G751="5/8"),((база!$J$6*2*Таблица1[[#This Row],[Столбец1]]*Таблица1[[#This Row],[коэф]])),
IF((G751="4/8"),((база!$J$5*2*Таблица1[[#This Row],[Столбец1]]*Таблица1[[#This Row],[коэф]])),
IF(OR(G751="3/8",G751="2/8"),((база!$J$4*2*Таблица1[[#This Row],[Столбец1]]*Таблица1[[#This Row],[коэф]])))))))))))))),
(IF((G751="5/24"),((база!$M$6*2*Таблица1[[#This Row],[Столбец1]]*Таблица1[[#This Row],[коэф]])),
IF(OR(G751="4/24",G751="3/24"),((база!$M$5*2*Таблица1[[#This Row],[Столбец1]]*Таблица1[[#This Row],[коэф]])),
IF((G751="5/16"),((база!$L$6*2*Таблица1[[#This Row],[Столбец1]]*Таблица1[[#This Row],[коэф]])),
IF(OR(G751="4/16",G751="3/16"),((база!$L$5*2*Таблица1[[#This Row],[Столбец1]]*Таблица1[[#This Row],[коэф]])),
IF(OR(G751="2/4",G751="3/4",G751="4/4"),((база!$I$5*2*Таблица1[[#This Row],[Столбец1]]*Таблица1[[#This Row],[коэф]])),
IF((G751="5/8"),((база!$J$6*2*Таблица1[[#This Row],[Столбец1]]*Таблица1[[#This Row],[коэф]])),
IF(OR(G751="4/8",G751="3/8",G751="2/8"),((база!$J$5*2*Таблица1[[#This Row],[Столбец1]]*Таблица1[[#This Row],[коэф]])))))))))))</f>
        <v>0</v>
      </c>
      <c r="AQ751" s="678" t="str">
        <f>IFERROR(INDEX(база!T:T, MATCH(F751,база!Q:Q,0)),"")</f>
        <v/>
      </c>
      <c r="AR751" s="193">
        <f>IFERROR(INDEX(база!D:D, MATCH(F751,база!B:B,0)),"")</f>
        <v>0</v>
      </c>
    </row>
    <row r="752" spans="1:44" ht="15">
      <c r="A752" s="59"/>
      <c r="B752" s="215"/>
      <c r="C752" s="277"/>
      <c r="D752" s="55"/>
      <c r="E752" s="196"/>
      <c r="F752" s="651"/>
      <c r="G752" s="42"/>
      <c r="H752" s="539"/>
      <c r="I752" s="539"/>
      <c r="J752" s="539"/>
      <c r="K752" s="539"/>
      <c r="L752" s="539"/>
      <c r="M752" s="539"/>
      <c r="N752" s="539"/>
      <c r="O752" s="539"/>
      <c r="P752" s="278"/>
      <c r="Q752" s="539"/>
      <c r="R752" s="539"/>
      <c r="S752" s="539"/>
      <c r="T752" s="539"/>
      <c r="U752" s="539"/>
      <c r="V752" s="539"/>
      <c r="W752" s="539"/>
      <c r="X752" s="539"/>
      <c r="Y752" s="539"/>
      <c r="Z752" s="539"/>
      <c r="AA752" s="539"/>
      <c r="AB752" s="539"/>
      <c r="AC752" s="539"/>
      <c r="AD752" s="43"/>
      <c r="AE752" s="43"/>
      <c r="AF752" s="238"/>
      <c r="AG752" s="43"/>
      <c r="AH752" s="43"/>
      <c r="AI752" s="43"/>
      <c r="AJ752" s="43"/>
      <c r="AK752" s="43"/>
      <c r="AL752" s="45"/>
      <c r="AM752" s="197">
        <f>IF(AQ752=1,SUM(H752:I752,L752:O752,R752:U752,X752:AA752,AD752:AG752,AI752:AK752),
IF(AQ752=2,SUM(H752:K752,N752:Q752,T752:W752,Z752:AC752,AF752:AI752),
IF(AQ752=3,SUM(J752:M752,P752:S752,V752:Y752,AB752:AE752,AH752:AK752),SUM(Таблица1[[#This Row],[1]:[31]])-Таблица1[[#This Row],[Столбец1]])))</f>
        <v>0</v>
      </c>
      <c r="AN752" s="269">
        <f t="array" ref="AN752">IF(AQ752=1,SUM(J752:K752,P752:Q752,V752:W752,AB752:AC752,AH752:AI752),
IF(AQ752=2,SUM(L752:M752,R752:S752,X752:Y752,AD752:AE752),
IF(AQ752=3,SUM(H752:I752,N752:O752,T752:U752,Z752:AA752,AF752:AG752),
SUM(IFERROR(WEEKDAY($H$2:$AL$2,2)&gt;5,)*H752:AL752))))</f>
        <v>0</v>
      </c>
      <c r="AO752" s="271" t="b">
        <f>IF(AR752&lt;=3,(IF((G752="5/24"),((база!$M$6*Таблица1[[#This Row],[сумма]]*Таблица1[[#This Row],[коэф]])),
IF((G752="4/24"),((база!$M$5*Таблица1[[#This Row],[сумма]]*Таблица1[[#This Row],[коэф]])),
IF((G752="3/24"),((база!$M$4*Таблица1[[#This Row],[сумма]]*Таблица1[[#This Row],[коэф]])),
IF((G752="5/16"),((база!$L$6*Таблица1[[#This Row],[сумма]]*Таблица1[[#This Row],[коэф]])),
IF((G752="4/16"),((база!$L$5*Таблица1[[#This Row],[сумма]]*Таблица1[[#This Row],[коэф]])),
IF((G752="3/16"),((база!$L$4*Таблица1[[#This Row],[сумма]]*Таблица1[[#This Row],[коэф]])),
IF((G752="4/4"),((база!$I$5*Таблица1[[#This Row],[сумма]]*Таблица1[[#This Row],[коэф]])),
IF(OR(G752="2/4",G752="3/4"),((база!$I$4*Таблица1[[#This Row],[сумма]]*Таблица1[[#This Row],[коэф]])),
IF((G752="5/8"),((база!$J$6*Таблица1[[#This Row],[сумма]]*Таблица1[[#This Row],[коэф]])),
IF((G752="4/8"),((база!$J$5*Таблица1[[#This Row],[сумма]]*Таблица1[[#This Row],[коэф]])),
IF(OR(G752="3/8",G752="2/8"),((база!$J$4*Таблица1[[#This Row],[сумма]]*Таблица1[[#This Row],[коэф]])))))))))))))),
(IF((G752="5/24"),((база!$M$6*Таблица1[[#This Row],[сумма]]*Таблица1[[#This Row],[коэф]])),
IF(OR(G752="4/24",G752="3/24"),((база!$M$5*Таблица1[[#This Row],[сумма]]*Таблица1[[#This Row],[коэф]])),
IF((G752="5/16"),((база!$L$6*Таблица1[[#This Row],[сумма]]*Таблица1[[#This Row],[коэф]])),
IF(OR(G752="4/16",G752="3/16"),((база!$L$5*Таблица1[[#This Row],[сумма]]*Таблица1[[#This Row],[коэф]])),
IF(OR(G752="2/4",G752="3/4",G752="4/4"),((база!$I$5*Таблица1[[#This Row],[сумма]]*Таблица1[[#This Row],[коэф]])),
IF((G752="5/8"),((база!$J$6*Таблица1[[#This Row],[сумма]]*Таблица1[[#This Row],[коэф]])),
IF(OR(G752="4/8",G752="3/8",G752="2/8"),((база!$J$5*Таблица1[[#This Row],[сумма]]*Таблица1[[#This Row],[коэф]])))))))))))</f>
        <v>0</v>
      </c>
      <c r="AP752" s="696" t="b">
        <f>IF(AR752&lt;=3,(IF((G752="5/24"),((база!$M$6*2*Таблица1[[#This Row],[Столбец1]]*Таблица1[[#This Row],[коэф]])),
IF((G752="4/24"),((база!$M$5*2*Таблица1[[#This Row],[Столбец1]]*Таблица1[[#This Row],[коэф]])),
IF((G752="3/24"),((база!$M$4*2*Таблица1[[#This Row],[Столбец1]]*Таблица1[[#This Row],[коэф]])),
IF((G752="5/16"),((база!$L$6*2*Таблица1[[#This Row],[Столбец1]]*Таблица1[[#This Row],[коэф]])),
IF((G752="4/16"),((база!$L$5*2*Таблица1[[#This Row],[Столбец1]]*Таблица1[[#This Row],[коэф]])),
IF((G752="3/16"),((база!$L$4*2*Таблица1[[#This Row],[Столбец1]]*Таблица1[[#This Row],[коэф]])),
IF((G752="4/4"),((база!$I$5*2*Таблица1[[#This Row],[Столбец1]]*Таблица1[[#This Row],[коэф]])),
IF(OR(G752="2/4",G752="3/4"),((база!$I$4*2*Таблица1[[#This Row],[Столбец1]]*Таблица1[[#This Row],[коэф]])),
IF((G752="5/8"),((база!$J$6*2*Таблица1[[#This Row],[Столбец1]]*Таблица1[[#This Row],[коэф]])),
IF((G752="4/8"),((база!$J$5*2*Таблица1[[#This Row],[Столбец1]]*Таблица1[[#This Row],[коэф]])),
IF(OR(G752="3/8",G752="2/8"),((база!$J$4*2*Таблица1[[#This Row],[Столбец1]]*Таблица1[[#This Row],[коэф]])))))))))))))),
(IF((G752="5/24"),((база!$M$6*2*Таблица1[[#This Row],[Столбец1]]*Таблица1[[#This Row],[коэф]])),
IF(OR(G752="4/24",G752="3/24"),((база!$M$5*2*Таблица1[[#This Row],[Столбец1]]*Таблица1[[#This Row],[коэф]])),
IF((G752="5/16"),((база!$L$6*2*Таблица1[[#This Row],[Столбец1]]*Таблица1[[#This Row],[коэф]])),
IF(OR(G752="4/16",G752="3/16"),((база!$L$5*2*Таблица1[[#This Row],[Столбец1]]*Таблица1[[#This Row],[коэф]])),
IF(OR(G752="2/4",G752="3/4",G752="4/4"),((база!$I$5*2*Таблица1[[#This Row],[Столбец1]]*Таблица1[[#This Row],[коэф]])),
IF((G752="5/8"),((база!$J$6*2*Таблица1[[#This Row],[Столбец1]]*Таблица1[[#This Row],[коэф]])),
IF(OR(G752="4/8",G752="3/8",G752="2/8"),((база!$J$5*2*Таблица1[[#This Row],[Столбец1]]*Таблица1[[#This Row],[коэф]])))))))))))</f>
        <v>0</v>
      </c>
      <c r="AQ752" s="678" t="str">
        <f>IFERROR(INDEX(база!T:T, MATCH(F752,база!Q:Q,0)),"")</f>
        <v/>
      </c>
      <c r="AR752" s="193">
        <f>IFERROR(INDEX(база!D:D, MATCH(F752,база!B:B,0)),"")</f>
        <v>0</v>
      </c>
    </row>
    <row r="753" spans="1:44" ht="15">
      <c r="A753" s="59"/>
      <c r="B753" s="215"/>
      <c r="C753" s="277"/>
      <c r="D753" s="55"/>
      <c r="E753" s="196"/>
      <c r="F753" s="651"/>
      <c r="G753" s="42"/>
      <c r="H753" s="539"/>
      <c r="I753" s="539"/>
      <c r="J753" s="539"/>
      <c r="K753" s="539"/>
      <c r="L753" s="539"/>
      <c r="M753" s="539"/>
      <c r="N753" s="539"/>
      <c r="O753" s="539"/>
      <c r="P753" s="278"/>
      <c r="Q753" s="539"/>
      <c r="R753" s="539"/>
      <c r="S753" s="539"/>
      <c r="T753" s="539"/>
      <c r="U753" s="539"/>
      <c r="V753" s="539"/>
      <c r="W753" s="539"/>
      <c r="X753" s="539"/>
      <c r="Y753" s="539"/>
      <c r="Z753" s="539"/>
      <c r="AA753" s="539"/>
      <c r="AB753" s="539"/>
      <c r="AC753" s="539"/>
      <c r="AD753" s="43"/>
      <c r="AE753" s="43"/>
      <c r="AF753" s="238"/>
      <c r="AG753" s="43"/>
      <c r="AH753" s="43"/>
      <c r="AI753" s="238"/>
      <c r="AJ753" s="238"/>
      <c r="AK753" s="238"/>
      <c r="AL753" s="238"/>
      <c r="AM753" s="197">
        <f>IF(AQ753=1,SUM(H753:I753,L753:O753,R753:U753,X753:AA753,AD753:AG753,AI753:AK753),
IF(AQ753=2,SUM(H753:K753,N753:Q753,T753:W753,Z753:AC753,AF753:AI753),
IF(AQ753=3,SUM(J753:M753,P753:S753,V753:Y753,AB753:AE753,AH753:AK753),SUM(Таблица1[[#This Row],[1]:[31]])-Таблица1[[#This Row],[Столбец1]])))</f>
        <v>0</v>
      </c>
      <c r="AN753" s="269">
        <f t="array" ref="AN753">IF(AQ753=1,SUM(J753:K753,P753:Q753,V753:W753,AB753:AC753,AH753:AI753),
IF(AQ753=2,SUM(L753:M753,R753:S753,X753:Y753,AD753:AE753),
IF(AQ753=3,SUM(H753:I753,N753:O753,T753:U753,Z753:AA753,AF753:AG753),
SUM(IFERROR(WEEKDAY($H$2:$AL$2,2)&gt;5,)*H753:AL753))))</f>
        <v>0</v>
      </c>
      <c r="AO753" s="271" t="b">
        <f>IF(AR753&lt;=3,(IF((G753="5/24"),((база!$M$6*Таблица1[[#This Row],[сумма]]*Таблица1[[#This Row],[коэф]])),
IF((G753="4/24"),((база!$M$5*Таблица1[[#This Row],[сумма]]*Таблица1[[#This Row],[коэф]])),
IF((G753="3/24"),((база!$M$4*Таблица1[[#This Row],[сумма]]*Таблица1[[#This Row],[коэф]])),
IF((G753="5/16"),((база!$L$6*Таблица1[[#This Row],[сумма]]*Таблица1[[#This Row],[коэф]])),
IF((G753="4/16"),((база!$L$5*Таблица1[[#This Row],[сумма]]*Таблица1[[#This Row],[коэф]])),
IF((G753="3/16"),((база!$L$4*Таблица1[[#This Row],[сумма]]*Таблица1[[#This Row],[коэф]])),
IF((G753="4/4"),((база!$I$5*Таблица1[[#This Row],[сумма]]*Таблица1[[#This Row],[коэф]])),
IF(OR(G753="2/4",G753="3/4"),((база!$I$4*Таблица1[[#This Row],[сумма]]*Таблица1[[#This Row],[коэф]])),
IF((G753="5/8"),((база!$J$6*Таблица1[[#This Row],[сумма]]*Таблица1[[#This Row],[коэф]])),
IF((G753="4/8"),((база!$J$5*Таблица1[[#This Row],[сумма]]*Таблица1[[#This Row],[коэф]])),
IF(OR(G753="3/8",G753="2/8"),((база!$J$4*Таблица1[[#This Row],[сумма]]*Таблица1[[#This Row],[коэф]])))))))))))))),
(IF((G753="5/24"),((база!$M$6*Таблица1[[#This Row],[сумма]]*Таблица1[[#This Row],[коэф]])),
IF(OR(G753="4/24",G753="3/24"),((база!$M$5*Таблица1[[#This Row],[сумма]]*Таблица1[[#This Row],[коэф]])),
IF((G753="5/16"),((база!$L$6*Таблица1[[#This Row],[сумма]]*Таблица1[[#This Row],[коэф]])),
IF(OR(G753="4/16",G753="3/16"),((база!$L$5*Таблица1[[#This Row],[сумма]]*Таблица1[[#This Row],[коэф]])),
IF(OR(G753="2/4",G753="3/4",G753="4/4"),((база!$I$5*Таблица1[[#This Row],[сумма]]*Таблица1[[#This Row],[коэф]])),
IF((G753="5/8"),((база!$J$6*Таблица1[[#This Row],[сумма]]*Таблица1[[#This Row],[коэф]])),
IF(OR(G753="4/8",G753="3/8",G753="2/8"),((база!$J$5*Таблица1[[#This Row],[сумма]]*Таблица1[[#This Row],[коэф]])))))))))))</f>
        <v>0</v>
      </c>
      <c r="AP753" s="696" t="b">
        <f>IF(AR753&lt;=3,(IF((G753="5/24"),((база!$M$6*2*Таблица1[[#This Row],[Столбец1]]*Таблица1[[#This Row],[коэф]])),
IF((G753="4/24"),((база!$M$5*2*Таблица1[[#This Row],[Столбец1]]*Таблица1[[#This Row],[коэф]])),
IF((G753="3/24"),((база!$M$4*2*Таблица1[[#This Row],[Столбец1]]*Таблица1[[#This Row],[коэф]])),
IF((G753="5/16"),((база!$L$6*2*Таблица1[[#This Row],[Столбец1]]*Таблица1[[#This Row],[коэф]])),
IF((G753="4/16"),((база!$L$5*2*Таблица1[[#This Row],[Столбец1]]*Таблица1[[#This Row],[коэф]])),
IF((G753="3/16"),((база!$L$4*2*Таблица1[[#This Row],[Столбец1]]*Таблица1[[#This Row],[коэф]])),
IF((G753="4/4"),((база!$I$5*2*Таблица1[[#This Row],[Столбец1]]*Таблица1[[#This Row],[коэф]])),
IF(OR(G753="2/4",G753="3/4"),((база!$I$4*2*Таблица1[[#This Row],[Столбец1]]*Таблица1[[#This Row],[коэф]])),
IF((G753="5/8"),((база!$J$6*2*Таблица1[[#This Row],[Столбец1]]*Таблица1[[#This Row],[коэф]])),
IF((G753="4/8"),((база!$J$5*2*Таблица1[[#This Row],[Столбец1]]*Таблица1[[#This Row],[коэф]])),
IF(OR(G753="3/8",G753="2/8"),((база!$J$4*2*Таблица1[[#This Row],[Столбец1]]*Таблица1[[#This Row],[коэф]])))))))))))))),
(IF((G753="5/24"),((база!$M$6*2*Таблица1[[#This Row],[Столбец1]]*Таблица1[[#This Row],[коэф]])),
IF(OR(G753="4/24",G753="3/24"),((база!$M$5*2*Таблица1[[#This Row],[Столбец1]]*Таблица1[[#This Row],[коэф]])),
IF((G753="5/16"),((база!$L$6*2*Таблица1[[#This Row],[Столбец1]]*Таблица1[[#This Row],[коэф]])),
IF(OR(G753="4/16",G753="3/16"),((база!$L$5*2*Таблица1[[#This Row],[Столбец1]]*Таблица1[[#This Row],[коэф]])),
IF(OR(G753="2/4",G753="3/4",G753="4/4"),((база!$I$5*2*Таблица1[[#This Row],[Столбец1]]*Таблица1[[#This Row],[коэф]])),
IF((G753="5/8"),((база!$J$6*2*Таблица1[[#This Row],[Столбец1]]*Таблица1[[#This Row],[коэф]])),
IF(OR(G753="4/8",G753="3/8",G753="2/8"),((база!$J$5*2*Таблица1[[#This Row],[Столбец1]]*Таблица1[[#This Row],[коэф]])))))))))))</f>
        <v>0</v>
      </c>
      <c r="AQ753" s="678" t="str">
        <f>IFERROR(INDEX(база!T:T, MATCH(F753,база!Q:Q,0)),"")</f>
        <v/>
      </c>
      <c r="AR753" s="193">
        <f>IFERROR(INDEX(база!D:D, MATCH(F753,база!B:B,0)),"")</f>
        <v>0</v>
      </c>
    </row>
    <row r="754" spans="1:44" ht="15">
      <c r="A754" s="59"/>
      <c r="B754" s="215"/>
      <c r="C754" s="277"/>
      <c r="D754" s="55"/>
      <c r="E754" s="196"/>
      <c r="F754" s="651"/>
      <c r="G754" s="42"/>
      <c r="H754" s="539"/>
      <c r="I754" s="539"/>
      <c r="J754" s="539"/>
      <c r="K754" s="539"/>
      <c r="L754" s="539"/>
      <c r="M754" s="539"/>
      <c r="N754" s="539"/>
      <c r="O754" s="539"/>
      <c r="P754" s="278"/>
      <c r="Q754" s="539"/>
      <c r="R754" s="539"/>
      <c r="S754" s="539"/>
      <c r="T754" s="539"/>
      <c r="U754" s="539"/>
      <c r="V754" s="539"/>
      <c r="W754" s="539"/>
      <c r="X754" s="539"/>
      <c r="Y754" s="539"/>
      <c r="Z754" s="539"/>
      <c r="AA754" s="539"/>
      <c r="AB754" s="539"/>
      <c r="AC754" s="539"/>
      <c r="AD754" s="43"/>
      <c r="AE754" s="43"/>
      <c r="AF754" s="238"/>
      <c r="AG754" s="43"/>
      <c r="AH754" s="43"/>
      <c r="AI754" s="43"/>
      <c r="AJ754" s="43"/>
      <c r="AK754" s="43"/>
      <c r="AL754" s="45"/>
      <c r="AM754" s="197">
        <f>IF(AQ754=1,SUM(H754:I754,L754:O754,R754:U754,X754:AA754,AD754:AG754,AI754:AK754),
IF(AQ754=2,SUM(H754:K754,N754:Q754,T754:W754,Z754:AC754,AF754:AI754),
IF(AQ754=3,SUM(J754:M754,P754:S754,V754:Y754,AB754:AE754,AH754:AK754),SUM(Таблица1[[#This Row],[1]:[31]])-Таблица1[[#This Row],[Столбец1]])))</f>
        <v>0</v>
      </c>
      <c r="AN754" s="269">
        <f t="array" ref="AN754">IF(AQ754=1,SUM(J754:K754,P754:Q754,V754:W754,AB754:AC754,AH754:AI754),
IF(AQ754=2,SUM(L754:M754,R754:S754,X754:Y754,AD754:AE754),
IF(AQ754=3,SUM(H754:I754,N754:O754,T754:U754,Z754:AA754,AF754:AG754),
SUM(IFERROR(WEEKDAY($H$2:$AL$2,2)&gt;5,)*H754:AL754))))</f>
        <v>0</v>
      </c>
      <c r="AO754" s="271" t="b">
        <f>IF(AR754&lt;=3,(IF((G754="5/24"),((база!$M$6*Таблица1[[#This Row],[сумма]]*Таблица1[[#This Row],[коэф]])),
IF((G754="4/24"),((база!$M$5*Таблица1[[#This Row],[сумма]]*Таблица1[[#This Row],[коэф]])),
IF((G754="3/24"),((база!$M$4*Таблица1[[#This Row],[сумма]]*Таблица1[[#This Row],[коэф]])),
IF((G754="5/16"),((база!$L$6*Таблица1[[#This Row],[сумма]]*Таблица1[[#This Row],[коэф]])),
IF((G754="4/16"),((база!$L$5*Таблица1[[#This Row],[сумма]]*Таблица1[[#This Row],[коэф]])),
IF((G754="3/16"),((база!$L$4*Таблица1[[#This Row],[сумма]]*Таблица1[[#This Row],[коэф]])),
IF((G754="4/4"),((база!$I$5*Таблица1[[#This Row],[сумма]]*Таблица1[[#This Row],[коэф]])),
IF(OR(G754="2/4",G754="3/4"),((база!$I$4*Таблица1[[#This Row],[сумма]]*Таблица1[[#This Row],[коэф]])),
IF((G754="5/8"),((база!$J$6*Таблица1[[#This Row],[сумма]]*Таблица1[[#This Row],[коэф]])),
IF((G754="4/8"),((база!$J$5*Таблица1[[#This Row],[сумма]]*Таблица1[[#This Row],[коэф]])),
IF(OR(G754="3/8",G754="2/8"),((база!$J$4*Таблица1[[#This Row],[сумма]]*Таблица1[[#This Row],[коэф]])))))))))))))),
(IF((G754="5/24"),((база!$M$6*Таблица1[[#This Row],[сумма]]*Таблица1[[#This Row],[коэф]])),
IF(OR(G754="4/24",G754="3/24"),((база!$M$5*Таблица1[[#This Row],[сумма]]*Таблица1[[#This Row],[коэф]])),
IF((G754="5/16"),((база!$L$6*Таблица1[[#This Row],[сумма]]*Таблица1[[#This Row],[коэф]])),
IF(OR(G754="4/16",G754="3/16"),((база!$L$5*Таблица1[[#This Row],[сумма]]*Таблица1[[#This Row],[коэф]])),
IF(OR(G754="2/4",G754="3/4",G754="4/4"),((база!$I$5*Таблица1[[#This Row],[сумма]]*Таблица1[[#This Row],[коэф]])),
IF((G754="5/8"),((база!$J$6*Таблица1[[#This Row],[сумма]]*Таблица1[[#This Row],[коэф]])),
IF(OR(G754="4/8",G754="3/8",G754="2/8"),((база!$J$5*Таблица1[[#This Row],[сумма]]*Таблица1[[#This Row],[коэф]])))))))))))</f>
        <v>0</v>
      </c>
      <c r="AP754" s="696" t="b">
        <f>IF(AR754&lt;=3,(IF((G754="5/24"),((база!$M$6*2*Таблица1[[#This Row],[Столбец1]]*Таблица1[[#This Row],[коэф]])),
IF((G754="4/24"),((база!$M$5*2*Таблица1[[#This Row],[Столбец1]]*Таблица1[[#This Row],[коэф]])),
IF((G754="3/24"),((база!$M$4*2*Таблица1[[#This Row],[Столбец1]]*Таблица1[[#This Row],[коэф]])),
IF((G754="5/16"),((база!$L$6*2*Таблица1[[#This Row],[Столбец1]]*Таблица1[[#This Row],[коэф]])),
IF((G754="4/16"),((база!$L$5*2*Таблица1[[#This Row],[Столбец1]]*Таблица1[[#This Row],[коэф]])),
IF((G754="3/16"),((база!$L$4*2*Таблица1[[#This Row],[Столбец1]]*Таблица1[[#This Row],[коэф]])),
IF((G754="4/4"),((база!$I$5*2*Таблица1[[#This Row],[Столбец1]]*Таблица1[[#This Row],[коэф]])),
IF(OR(G754="2/4",G754="3/4"),((база!$I$4*2*Таблица1[[#This Row],[Столбец1]]*Таблица1[[#This Row],[коэф]])),
IF((G754="5/8"),((база!$J$6*2*Таблица1[[#This Row],[Столбец1]]*Таблица1[[#This Row],[коэф]])),
IF((G754="4/8"),((база!$J$5*2*Таблица1[[#This Row],[Столбец1]]*Таблица1[[#This Row],[коэф]])),
IF(OR(G754="3/8",G754="2/8"),((база!$J$4*2*Таблица1[[#This Row],[Столбец1]]*Таблица1[[#This Row],[коэф]])))))))))))))),
(IF((G754="5/24"),((база!$M$6*2*Таблица1[[#This Row],[Столбец1]]*Таблица1[[#This Row],[коэф]])),
IF(OR(G754="4/24",G754="3/24"),((база!$M$5*2*Таблица1[[#This Row],[Столбец1]]*Таблица1[[#This Row],[коэф]])),
IF((G754="5/16"),((база!$L$6*2*Таблица1[[#This Row],[Столбец1]]*Таблица1[[#This Row],[коэф]])),
IF(OR(G754="4/16",G754="3/16"),((база!$L$5*2*Таблица1[[#This Row],[Столбец1]]*Таблица1[[#This Row],[коэф]])),
IF(OR(G754="2/4",G754="3/4",G754="4/4"),((база!$I$5*2*Таблица1[[#This Row],[Столбец1]]*Таблица1[[#This Row],[коэф]])),
IF((G754="5/8"),((база!$J$6*2*Таблица1[[#This Row],[Столбец1]]*Таблица1[[#This Row],[коэф]])),
IF(OR(G754="4/8",G754="3/8",G754="2/8"),((база!$J$5*2*Таблица1[[#This Row],[Столбец1]]*Таблица1[[#This Row],[коэф]])))))))))))</f>
        <v>0</v>
      </c>
      <c r="AQ754" s="678" t="str">
        <f>IFERROR(INDEX(база!T:T, MATCH(F754,база!Q:Q,0)),"")</f>
        <v/>
      </c>
      <c r="AR754" s="193">
        <f>IFERROR(INDEX(база!D:D, MATCH(F754,база!B:B,0)),"")</f>
        <v>0</v>
      </c>
    </row>
    <row r="755" spans="1:44" ht="15">
      <c r="A755" s="59"/>
      <c r="B755" s="215"/>
      <c r="C755" s="277"/>
      <c r="D755" s="55"/>
      <c r="E755" s="196"/>
      <c r="F755" s="651"/>
      <c r="G755" s="42"/>
      <c r="H755" s="539"/>
      <c r="I755" s="539"/>
      <c r="J755" s="539"/>
      <c r="K755" s="539"/>
      <c r="L755" s="539"/>
      <c r="M755" s="539"/>
      <c r="N755" s="539"/>
      <c r="O755" s="539"/>
      <c r="P755" s="278"/>
      <c r="Q755" s="539"/>
      <c r="R755" s="539"/>
      <c r="S755" s="539"/>
      <c r="T755" s="539"/>
      <c r="U755" s="539"/>
      <c r="V755" s="539"/>
      <c r="W755" s="539"/>
      <c r="X755" s="539"/>
      <c r="Y755" s="539"/>
      <c r="Z755" s="539"/>
      <c r="AA755" s="539"/>
      <c r="AB755" s="539"/>
      <c r="AC755" s="539"/>
      <c r="AD755" s="43"/>
      <c r="AE755" s="43"/>
      <c r="AF755" s="238"/>
      <c r="AG755" s="43"/>
      <c r="AH755" s="43"/>
      <c r="AI755" s="238"/>
      <c r="AJ755" s="238"/>
      <c r="AK755" s="238"/>
      <c r="AL755" s="238"/>
      <c r="AM755" s="197">
        <f>IF(AQ755=1,SUM(H755:I755,L755:O755,R755:U755,X755:AA755,AD755:AG755,AI755:AK755),
IF(AQ755=2,SUM(H755:K755,N755:Q755,T755:W755,Z755:AC755,AF755:AI755),
IF(AQ755=3,SUM(J755:M755,P755:S755,V755:Y755,AB755:AE755,AH755:AK755),SUM(Таблица1[[#This Row],[1]:[31]])-Таблица1[[#This Row],[Столбец1]])))</f>
        <v>0</v>
      </c>
      <c r="AN755" s="269">
        <f t="array" ref="AN755">IF(AQ755=1,SUM(J755:K755,P755:Q755,V755:W755,AB755:AC755,AH755:AI755),
IF(AQ755=2,SUM(L755:M755,R755:S755,X755:Y755,AD755:AE755),
IF(AQ755=3,SUM(H755:I755,N755:O755,T755:U755,Z755:AA755,AF755:AG755),
SUM(IFERROR(WEEKDAY($H$2:$AL$2,2)&gt;5,)*H755:AL755))))</f>
        <v>0</v>
      </c>
      <c r="AO755" s="271" t="b">
        <f>IF(AR755&lt;=3,(IF((G755="5/24"),((база!$M$6*Таблица1[[#This Row],[сумма]]*Таблица1[[#This Row],[коэф]])),
IF((G755="4/24"),((база!$M$5*Таблица1[[#This Row],[сумма]]*Таблица1[[#This Row],[коэф]])),
IF((G755="3/24"),((база!$M$4*Таблица1[[#This Row],[сумма]]*Таблица1[[#This Row],[коэф]])),
IF((G755="5/16"),((база!$L$6*Таблица1[[#This Row],[сумма]]*Таблица1[[#This Row],[коэф]])),
IF((G755="4/16"),((база!$L$5*Таблица1[[#This Row],[сумма]]*Таблица1[[#This Row],[коэф]])),
IF((G755="3/16"),((база!$L$4*Таблица1[[#This Row],[сумма]]*Таблица1[[#This Row],[коэф]])),
IF((G755="4/4"),((база!$I$5*Таблица1[[#This Row],[сумма]]*Таблица1[[#This Row],[коэф]])),
IF(OR(G755="2/4",G755="3/4"),((база!$I$4*Таблица1[[#This Row],[сумма]]*Таблица1[[#This Row],[коэф]])),
IF((G755="5/8"),((база!$J$6*Таблица1[[#This Row],[сумма]]*Таблица1[[#This Row],[коэф]])),
IF((G755="4/8"),((база!$J$5*Таблица1[[#This Row],[сумма]]*Таблица1[[#This Row],[коэф]])),
IF(OR(G755="3/8",G755="2/8"),((база!$J$4*Таблица1[[#This Row],[сумма]]*Таблица1[[#This Row],[коэф]])))))))))))))),
(IF((G755="5/24"),((база!$M$6*Таблица1[[#This Row],[сумма]]*Таблица1[[#This Row],[коэф]])),
IF(OR(G755="4/24",G755="3/24"),((база!$M$5*Таблица1[[#This Row],[сумма]]*Таблица1[[#This Row],[коэф]])),
IF((G755="5/16"),((база!$L$6*Таблица1[[#This Row],[сумма]]*Таблица1[[#This Row],[коэф]])),
IF(OR(G755="4/16",G755="3/16"),((база!$L$5*Таблица1[[#This Row],[сумма]]*Таблица1[[#This Row],[коэф]])),
IF(OR(G755="2/4",G755="3/4",G755="4/4"),((база!$I$5*Таблица1[[#This Row],[сумма]]*Таблица1[[#This Row],[коэф]])),
IF((G755="5/8"),((база!$J$6*Таблица1[[#This Row],[сумма]]*Таблица1[[#This Row],[коэф]])),
IF(OR(G755="4/8",G755="3/8",G755="2/8"),((база!$J$5*Таблица1[[#This Row],[сумма]]*Таблица1[[#This Row],[коэф]])))))))))))</f>
        <v>0</v>
      </c>
      <c r="AP755" s="696" t="b">
        <f>IF(AR755&lt;=3,(IF((G755="5/24"),((база!$M$6*2*Таблица1[[#This Row],[Столбец1]]*Таблица1[[#This Row],[коэф]])),
IF((G755="4/24"),((база!$M$5*2*Таблица1[[#This Row],[Столбец1]]*Таблица1[[#This Row],[коэф]])),
IF((G755="3/24"),((база!$M$4*2*Таблица1[[#This Row],[Столбец1]]*Таблица1[[#This Row],[коэф]])),
IF((G755="5/16"),((база!$L$6*2*Таблица1[[#This Row],[Столбец1]]*Таблица1[[#This Row],[коэф]])),
IF((G755="4/16"),((база!$L$5*2*Таблица1[[#This Row],[Столбец1]]*Таблица1[[#This Row],[коэф]])),
IF((G755="3/16"),((база!$L$4*2*Таблица1[[#This Row],[Столбец1]]*Таблица1[[#This Row],[коэф]])),
IF((G755="4/4"),((база!$I$5*2*Таблица1[[#This Row],[Столбец1]]*Таблица1[[#This Row],[коэф]])),
IF(OR(G755="2/4",G755="3/4"),((база!$I$4*2*Таблица1[[#This Row],[Столбец1]]*Таблица1[[#This Row],[коэф]])),
IF((G755="5/8"),((база!$J$6*2*Таблица1[[#This Row],[Столбец1]]*Таблица1[[#This Row],[коэф]])),
IF((G755="4/8"),((база!$J$5*2*Таблица1[[#This Row],[Столбец1]]*Таблица1[[#This Row],[коэф]])),
IF(OR(G755="3/8",G755="2/8"),((база!$J$4*2*Таблица1[[#This Row],[Столбец1]]*Таблица1[[#This Row],[коэф]])))))))))))))),
(IF((G755="5/24"),((база!$M$6*2*Таблица1[[#This Row],[Столбец1]]*Таблица1[[#This Row],[коэф]])),
IF(OR(G755="4/24",G755="3/24"),((база!$M$5*2*Таблица1[[#This Row],[Столбец1]]*Таблица1[[#This Row],[коэф]])),
IF((G755="5/16"),((база!$L$6*2*Таблица1[[#This Row],[Столбец1]]*Таблица1[[#This Row],[коэф]])),
IF(OR(G755="4/16",G755="3/16"),((база!$L$5*2*Таблица1[[#This Row],[Столбец1]]*Таблица1[[#This Row],[коэф]])),
IF(OR(G755="2/4",G755="3/4",G755="4/4"),((база!$I$5*2*Таблица1[[#This Row],[Столбец1]]*Таблица1[[#This Row],[коэф]])),
IF((G755="5/8"),((база!$J$6*2*Таблица1[[#This Row],[Столбец1]]*Таблица1[[#This Row],[коэф]])),
IF(OR(G755="4/8",G755="3/8",G755="2/8"),((база!$J$5*2*Таблица1[[#This Row],[Столбец1]]*Таблица1[[#This Row],[коэф]])))))))))))</f>
        <v>0</v>
      </c>
      <c r="AQ755" s="678" t="str">
        <f>IFERROR(INDEX(база!T:T, MATCH(F755,база!Q:Q,0)),"")</f>
        <v/>
      </c>
      <c r="AR755" s="193">
        <f>IFERROR(INDEX(база!D:D, MATCH(F755,база!B:B,0)),"")</f>
        <v>0</v>
      </c>
    </row>
    <row r="756" spans="1:44" ht="15">
      <c r="A756" s="59"/>
      <c r="B756" s="215"/>
      <c r="C756" s="277"/>
      <c r="D756" s="55"/>
      <c r="E756" s="196"/>
      <c r="F756" s="651"/>
      <c r="G756" s="42"/>
      <c r="H756" s="539"/>
      <c r="I756" s="539"/>
      <c r="J756" s="539"/>
      <c r="K756" s="539"/>
      <c r="L756" s="539"/>
      <c r="M756" s="539"/>
      <c r="N756" s="539"/>
      <c r="O756" s="539"/>
      <c r="P756" s="278"/>
      <c r="Q756" s="539"/>
      <c r="R756" s="539"/>
      <c r="S756" s="539"/>
      <c r="T756" s="539"/>
      <c r="U756" s="539"/>
      <c r="V756" s="539"/>
      <c r="W756" s="539"/>
      <c r="X756" s="539"/>
      <c r="Y756" s="539"/>
      <c r="Z756" s="539"/>
      <c r="AA756" s="539"/>
      <c r="AB756" s="539"/>
      <c r="AC756" s="539"/>
      <c r="AD756" s="43"/>
      <c r="AE756" s="43"/>
      <c r="AF756" s="238"/>
      <c r="AG756" s="43"/>
      <c r="AH756" s="43"/>
      <c r="AI756" s="43"/>
      <c r="AJ756" s="43"/>
      <c r="AK756" s="43"/>
      <c r="AL756" s="45"/>
      <c r="AM756" s="197">
        <f>IF(AQ756=1,SUM(H756:I756,L756:O756,R756:U756,X756:AA756,AD756:AG756,AI756:AK756),
IF(AQ756=2,SUM(H756:K756,N756:Q756,T756:W756,Z756:AC756,AF756:AI756),
IF(AQ756=3,SUM(J756:M756,P756:S756,V756:Y756,AB756:AE756,AH756:AK756),SUM(Таблица1[[#This Row],[1]:[31]])-Таблица1[[#This Row],[Столбец1]])))</f>
        <v>0</v>
      </c>
      <c r="AN756" s="269">
        <f t="array" ref="AN756">IF(AQ756=1,SUM(J756:K756,P756:Q756,V756:W756,AB756:AC756,AH756:AI756),
IF(AQ756=2,SUM(L756:M756,R756:S756,X756:Y756,AD756:AE756),
IF(AQ756=3,SUM(H756:I756,N756:O756,T756:U756,Z756:AA756,AF756:AG756),
SUM(IFERROR(WEEKDAY($H$2:$AL$2,2)&gt;5,)*H756:AL756))))</f>
        <v>0</v>
      </c>
      <c r="AO756" s="271" t="b">
        <f>IF(AR756&lt;=3,(IF((G756="5/24"),((база!$M$6*Таблица1[[#This Row],[сумма]]*Таблица1[[#This Row],[коэф]])),
IF((G756="4/24"),((база!$M$5*Таблица1[[#This Row],[сумма]]*Таблица1[[#This Row],[коэф]])),
IF((G756="3/24"),((база!$M$4*Таблица1[[#This Row],[сумма]]*Таблица1[[#This Row],[коэф]])),
IF((G756="5/16"),((база!$L$6*Таблица1[[#This Row],[сумма]]*Таблица1[[#This Row],[коэф]])),
IF((G756="4/16"),((база!$L$5*Таблица1[[#This Row],[сумма]]*Таблица1[[#This Row],[коэф]])),
IF((G756="3/16"),((база!$L$4*Таблица1[[#This Row],[сумма]]*Таблица1[[#This Row],[коэф]])),
IF((G756="4/4"),((база!$I$5*Таблица1[[#This Row],[сумма]]*Таблица1[[#This Row],[коэф]])),
IF(OR(G756="2/4",G756="3/4"),((база!$I$4*Таблица1[[#This Row],[сумма]]*Таблица1[[#This Row],[коэф]])),
IF((G756="5/8"),((база!$J$6*Таблица1[[#This Row],[сумма]]*Таблица1[[#This Row],[коэф]])),
IF((G756="4/8"),((база!$J$5*Таблица1[[#This Row],[сумма]]*Таблица1[[#This Row],[коэф]])),
IF(OR(G756="3/8",G756="2/8"),((база!$J$4*Таблица1[[#This Row],[сумма]]*Таблица1[[#This Row],[коэф]])))))))))))))),
(IF((G756="5/24"),((база!$M$6*Таблица1[[#This Row],[сумма]]*Таблица1[[#This Row],[коэф]])),
IF(OR(G756="4/24",G756="3/24"),((база!$M$5*Таблица1[[#This Row],[сумма]]*Таблица1[[#This Row],[коэф]])),
IF((G756="5/16"),((база!$L$6*Таблица1[[#This Row],[сумма]]*Таблица1[[#This Row],[коэф]])),
IF(OR(G756="4/16",G756="3/16"),((база!$L$5*Таблица1[[#This Row],[сумма]]*Таблица1[[#This Row],[коэф]])),
IF(OR(G756="2/4",G756="3/4",G756="4/4"),((база!$I$5*Таблица1[[#This Row],[сумма]]*Таблица1[[#This Row],[коэф]])),
IF((G756="5/8"),((база!$J$6*Таблица1[[#This Row],[сумма]]*Таблица1[[#This Row],[коэф]])),
IF(OR(G756="4/8",G756="3/8",G756="2/8"),((база!$J$5*Таблица1[[#This Row],[сумма]]*Таблица1[[#This Row],[коэф]])))))))))))</f>
        <v>0</v>
      </c>
      <c r="AP756" s="696" t="b">
        <f>IF(AR756&lt;=3,(IF((G756="5/24"),((база!$M$6*2*Таблица1[[#This Row],[Столбец1]]*Таблица1[[#This Row],[коэф]])),
IF((G756="4/24"),((база!$M$5*2*Таблица1[[#This Row],[Столбец1]]*Таблица1[[#This Row],[коэф]])),
IF((G756="3/24"),((база!$M$4*2*Таблица1[[#This Row],[Столбец1]]*Таблица1[[#This Row],[коэф]])),
IF((G756="5/16"),((база!$L$6*2*Таблица1[[#This Row],[Столбец1]]*Таблица1[[#This Row],[коэф]])),
IF((G756="4/16"),((база!$L$5*2*Таблица1[[#This Row],[Столбец1]]*Таблица1[[#This Row],[коэф]])),
IF((G756="3/16"),((база!$L$4*2*Таблица1[[#This Row],[Столбец1]]*Таблица1[[#This Row],[коэф]])),
IF((G756="4/4"),((база!$I$5*2*Таблица1[[#This Row],[Столбец1]]*Таблица1[[#This Row],[коэф]])),
IF(OR(G756="2/4",G756="3/4"),((база!$I$4*2*Таблица1[[#This Row],[Столбец1]]*Таблица1[[#This Row],[коэф]])),
IF((G756="5/8"),((база!$J$6*2*Таблица1[[#This Row],[Столбец1]]*Таблица1[[#This Row],[коэф]])),
IF((G756="4/8"),((база!$J$5*2*Таблица1[[#This Row],[Столбец1]]*Таблица1[[#This Row],[коэф]])),
IF(OR(G756="3/8",G756="2/8"),((база!$J$4*2*Таблица1[[#This Row],[Столбец1]]*Таблица1[[#This Row],[коэф]])))))))))))))),
(IF((G756="5/24"),((база!$M$6*2*Таблица1[[#This Row],[Столбец1]]*Таблица1[[#This Row],[коэф]])),
IF(OR(G756="4/24",G756="3/24"),((база!$M$5*2*Таблица1[[#This Row],[Столбец1]]*Таблица1[[#This Row],[коэф]])),
IF((G756="5/16"),((база!$L$6*2*Таблица1[[#This Row],[Столбец1]]*Таблица1[[#This Row],[коэф]])),
IF(OR(G756="4/16",G756="3/16"),((база!$L$5*2*Таблица1[[#This Row],[Столбец1]]*Таблица1[[#This Row],[коэф]])),
IF(OR(G756="2/4",G756="3/4",G756="4/4"),((база!$I$5*2*Таблица1[[#This Row],[Столбец1]]*Таблица1[[#This Row],[коэф]])),
IF((G756="5/8"),((база!$J$6*2*Таблица1[[#This Row],[Столбец1]]*Таблица1[[#This Row],[коэф]])),
IF(OR(G756="4/8",G756="3/8",G756="2/8"),((база!$J$5*2*Таблица1[[#This Row],[Столбец1]]*Таблица1[[#This Row],[коэф]])))))))))))</f>
        <v>0</v>
      </c>
      <c r="AQ756" s="678" t="str">
        <f>IFERROR(INDEX(база!T:T, MATCH(F756,база!Q:Q,0)),"")</f>
        <v/>
      </c>
      <c r="AR756" s="193">
        <f>IFERROR(INDEX(база!D:D, MATCH(F756,база!B:B,0)),"")</f>
        <v>0</v>
      </c>
    </row>
    <row r="757" spans="1:44" ht="15">
      <c r="A757" s="59"/>
      <c r="B757" s="215"/>
      <c r="C757" s="277"/>
      <c r="D757" s="55"/>
      <c r="E757" s="196"/>
      <c r="F757" s="651"/>
      <c r="G757" s="42"/>
      <c r="H757" s="539"/>
      <c r="I757" s="539"/>
      <c r="J757" s="539"/>
      <c r="K757" s="539"/>
      <c r="L757" s="539"/>
      <c r="M757" s="539"/>
      <c r="N757" s="539"/>
      <c r="O757" s="539"/>
      <c r="P757" s="278"/>
      <c r="Q757" s="539"/>
      <c r="R757" s="539"/>
      <c r="S757" s="539"/>
      <c r="T757" s="539"/>
      <c r="U757" s="539"/>
      <c r="V757" s="539"/>
      <c r="W757" s="539"/>
      <c r="X757" s="539"/>
      <c r="Y757" s="539"/>
      <c r="Z757" s="539"/>
      <c r="AA757" s="539"/>
      <c r="AB757" s="539"/>
      <c r="AC757" s="539"/>
      <c r="AD757" s="43"/>
      <c r="AE757" s="43"/>
      <c r="AF757" s="238"/>
      <c r="AG757" s="43"/>
      <c r="AH757" s="43"/>
      <c r="AI757" s="238"/>
      <c r="AJ757" s="238"/>
      <c r="AK757" s="238"/>
      <c r="AL757" s="238"/>
      <c r="AM757" s="197">
        <f>IF(AQ757=1,SUM(H757:I757,L757:O757,R757:U757,X757:AA757,AD757:AG757,AI757:AK757),
IF(AQ757=2,SUM(H757:K757,N757:Q757,T757:W757,Z757:AC757,AF757:AI757),
IF(AQ757=3,SUM(J757:M757,P757:S757,V757:Y757,AB757:AE757,AH757:AK757),SUM(Таблица1[[#This Row],[1]:[31]])-Таблица1[[#This Row],[Столбец1]])))</f>
        <v>0</v>
      </c>
      <c r="AN757" s="269">
        <f t="array" ref="AN757">IF(AQ757=1,SUM(J757:K757,P757:Q757,V757:W757,AB757:AC757,AH757:AI757),
IF(AQ757=2,SUM(L757:M757,R757:S757,X757:Y757,AD757:AE757),
IF(AQ757=3,SUM(H757:I757,N757:O757,T757:U757,Z757:AA757,AF757:AG757),
SUM(IFERROR(WEEKDAY($H$2:$AL$2,2)&gt;5,)*H757:AL757))))</f>
        <v>0</v>
      </c>
      <c r="AO757" s="271" t="b">
        <f>IF(AR757&lt;=3,(IF((G757="5/24"),((база!$M$6*Таблица1[[#This Row],[сумма]]*Таблица1[[#This Row],[коэф]])),
IF((G757="4/24"),((база!$M$5*Таблица1[[#This Row],[сумма]]*Таблица1[[#This Row],[коэф]])),
IF((G757="3/24"),((база!$M$4*Таблица1[[#This Row],[сумма]]*Таблица1[[#This Row],[коэф]])),
IF((G757="5/16"),((база!$L$6*Таблица1[[#This Row],[сумма]]*Таблица1[[#This Row],[коэф]])),
IF((G757="4/16"),((база!$L$5*Таблица1[[#This Row],[сумма]]*Таблица1[[#This Row],[коэф]])),
IF((G757="3/16"),((база!$L$4*Таблица1[[#This Row],[сумма]]*Таблица1[[#This Row],[коэф]])),
IF((G757="4/4"),((база!$I$5*Таблица1[[#This Row],[сумма]]*Таблица1[[#This Row],[коэф]])),
IF(OR(G757="2/4",G757="3/4"),((база!$I$4*Таблица1[[#This Row],[сумма]]*Таблица1[[#This Row],[коэф]])),
IF((G757="5/8"),((база!$J$6*Таблица1[[#This Row],[сумма]]*Таблица1[[#This Row],[коэф]])),
IF((G757="4/8"),((база!$J$5*Таблица1[[#This Row],[сумма]]*Таблица1[[#This Row],[коэф]])),
IF(OR(G757="3/8",G757="2/8"),((база!$J$4*Таблица1[[#This Row],[сумма]]*Таблица1[[#This Row],[коэф]])))))))))))))),
(IF((G757="5/24"),((база!$M$6*Таблица1[[#This Row],[сумма]]*Таблица1[[#This Row],[коэф]])),
IF(OR(G757="4/24",G757="3/24"),((база!$M$5*Таблица1[[#This Row],[сумма]]*Таблица1[[#This Row],[коэф]])),
IF((G757="5/16"),((база!$L$6*Таблица1[[#This Row],[сумма]]*Таблица1[[#This Row],[коэф]])),
IF(OR(G757="4/16",G757="3/16"),((база!$L$5*Таблица1[[#This Row],[сумма]]*Таблица1[[#This Row],[коэф]])),
IF(OR(G757="2/4",G757="3/4",G757="4/4"),((база!$I$5*Таблица1[[#This Row],[сумма]]*Таблица1[[#This Row],[коэф]])),
IF((G757="5/8"),((база!$J$6*Таблица1[[#This Row],[сумма]]*Таблица1[[#This Row],[коэф]])),
IF(OR(G757="4/8",G757="3/8",G757="2/8"),((база!$J$5*Таблица1[[#This Row],[сумма]]*Таблица1[[#This Row],[коэф]])))))))))))</f>
        <v>0</v>
      </c>
      <c r="AP757" s="696" t="b">
        <f>IF(AR757&lt;=3,(IF((G757="5/24"),((база!$M$6*2*Таблица1[[#This Row],[Столбец1]]*Таблица1[[#This Row],[коэф]])),
IF((G757="4/24"),((база!$M$5*2*Таблица1[[#This Row],[Столбец1]]*Таблица1[[#This Row],[коэф]])),
IF((G757="3/24"),((база!$M$4*2*Таблица1[[#This Row],[Столбец1]]*Таблица1[[#This Row],[коэф]])),
IF((G757="5/16"),((база!$L$6*2*Таблица1[[#This Row],[Столбец1]]*Таблица1[[#This Row],[коэф]])),
IF((G757="4/16"),((база!$L$5*2*Таблица1[[#This Row],[Столбец1]]*Таблица1[[#This Row],[коэф]])),
IF((G757="3/16"),((база!$L$4*2*Таблица1[[#This Row],[Столбец1]]*Таблица1[[#This Row],[коэф]])),
IF((G757="4/4"),((база!$I$5*2*Таблица1[[#This Row],[Столбец1]]*Таблица1[[#This Row],[коэф]])),
IF(OR(G757="2/4",G757="3/4"),((база!$I$4*2*Таблица1[[#This Row],[Столбец1]]*Таблица1[[#This Row],[коэф]])),
IF((G757="5/8"),((база!$J$6*2*Таблица1[[#This Row],[Столбец1]]*Таблица1[[#This Row],[коэф]])),
IF((G757="4/8"),((база!$J$5*2*Таблица1[[#This Row],[Столбец1]]*Таблица1[[#This Row],[коэф]])),
IF(OR(G757="3/8",G757="2/8"),((база!$J$4*2*Таблица1[[#This Row],[Столбец1]]*Таблица1[[#This Row],[коэф]])))))))))))))),
(IF((G757="5/24"),((база!$M$6*2*Таблица1[[#This Row],[Столбец1]]*Таблица1[[#This Row],[коэф]])),
IF(OR(G757="4/24",G757="3/24"),((база!$M$5*2*Таблица1[[#This Row],[Столбец1]]*Таблица1[[#This Row],[коэф]])),
IF((G757="5/16"),((база!$L$6*2*Таблица1[[#This Row],[Столбец1]]*Таблица1[[#This Row],[коэф]])),
IF(OR(G757="4/16",G757="3/16"),((база!$L$5*2*Таблица1[[#This Row],[Столбец1]]*Таблица1[[#This Row],[коэф]])),
IF(OR(G757="2/4",G757="3/4",G757="4/4"),((база!$I$5*2*Таблица1[[#This Row],[Столбец1]]*Таблица1[[#This Row],[коэф]])),
IF((G757="5/8"),((база!$J$6*2*Таблица1[[#This Row],[Столбец1]]*Таблица1[[#This Row],[коэф]])),
IF(OR(G757="4/8",G757="3/8",G757="2/8"),((база!$J$5*2*Таблица1[[#This Row],[Столбец1]]*Таблица1[[#This Row],[коэф]])))))))))))</f>
        <v>0</v>
      </c>
      <c r="AQ757" s="678" t="str">
        <f>IFERROR(INDEX(база!T:T, MATCH(F757,база!Q:Q,0)),"")</f>
        <v/>
      </c>
      <c r="AR757" s="193">
        <f>IFERROR(INDEX(база!D:D, MATCH(F757,база!B:B,0)),"")</f>
        <v>0</v>
      </c>
    </row>
    <row r="758" spans="1:44" ht="15">
      <c r="A758" s="59"/>
      <c r="B758" s="215"/>
      <c r="C758" s="277"/>
      <c r="D758" s="55"/>
      <c r="E758" s="196"/>
      <c r="F758" s="651"/>
      <c r="G758" s="42"/>
      <c r="H758" s="539"/>
      <c r="I758" s="539"/>
      <c r="J758" s="539"/>
      <c r="K758" s="539"/>
      <c r="L758" s="539"/>
      <c r="M758" s="539"/>
      <c r="N758" s="539"/>
      <c r="O758" s="539"/>
      <c r="P758" s="278"/>
      <c r="Q758" s="539"/>
      <c r="R758" s="539"/>
      <c r="S758" s="539"/>
      <c r="T758" s="539"/>
      <c r="U758" s="539"/>
      <c r="V758" s="539"/>
      <c r="W758" s="539"/>
      <c r="X758" s="539"/>
      <c r="Y758" s="539"/>
      <c r="Z758" s="539"/>
      <c r="AA758" s="539"/>
      <c r="AB758" s="539"/>
      <c r="AC758" s="539"/>
      <c r="AD758" s="43"/>
      <c r="AE758" s="43"/>
      <c r="AF758" s="238"/>
      <c r="AG758" s="43"/>
      <c r="AH758" s="43"/>
      <c r="AI758" s="43"/>
      <c r="AJ758" s="43"/>
      <c r="AK758" s="43"/>
      <c r="AL758" s="45"/>
      <c r="AM758" s="197">
        <f>IF(AQ758=1,SUM(H758:I758,L758:O758,R758:U758,X758:AA758,AD758:AG758,AI758:AK758),
IF(AQ758=2,SUM(H758:K758,N758:Q758,T758:W758,Z758:AC758,AF758:AI758),
IF(AQ758=3,SUM(J758:M758,P758:S758,V758:Y758,AB758:AE758,AH758:AK758),SUM(Таблица1[[#This Row],[1]:[31]])-Таблица1[[#This Row],[Столбец1]])))</f>
        <v>0</v>
      </c>
      <c r="AN758" s="269">
        <f t="array" ref="AN758">IF(AQ758=1,SUM(J758:K758,P758:Q758,V758:W758,AB758:AC758,AH758:AI758),
IF(AQ758=2,SUM(L758:M758,R758:S758,X758:Y758,AD758:AE758),
IF(AQ758=3,SUM(H758:I758,N758:O758,T758:U758,Z758:AA758,AF758:AG758),
SUM(IFERROR(WEEKDAY($H$2:$AL$2,2)&gt;5,)*H758:AL758))))</f>
        <v>0</v>
      </c>
      <c r="AO758" s="271" t="b">
        <f>IF(AR758&lt;=3,(IF((G758="5/24"),((база!$M$6*Таблица1[[#This Row],[сумма]]*Таблица1[[#This Row],[коэф]])),
IF((G758="4/24"),((база!$M$5*Таблица1[[#This Row],[сумма]]*Таблица1[[#This Row],[коэф]])),
IF((G758="3/24"),((база!$M$4*Таблица1[[#This Row],[сумма]]*Таблица1[[#This Row],[коэф]])),
IF((G758="5/16"),((база!$L$6*Таблица1[[#This Row],[сумма]]*Таблица1[[#This Row],[коэф]])),
IF((G758="4/16"),((база!$L$5*Таблица1[[#This Row],[сумма]]*Таблица1[[#This Row],[коэф]])),
IF((G758="3/16"),((база!$L$4*Таблица1[[#This Row],[сумма]]*Таблица1[[#This Row],[коэф]])),
IF((G758="4/4"),((база!$I$5*Таблица1[[#This Row],[сумма]]*Таблица1[[#This Row],[коэф]])),
IF(OR(G758="2/4",G758="3/4"),((база!$I$4*Таблица1[[#This Row],[сумма]]*Таблица1[[#This Row],[коэф]])),
IF((G758="5/8"),((база!$J$6*Таблица1[[#This Row],[сумма]]*Таблица1[[#This Row],[коэф]])),
IF((G758="4/8"),((база!$J$5*Таблица1[[#This Row],[сумма]]*Таблица1[[#This Row],[коэф]])),
IF(OR(G758="3/8",G758="2/8"),((база!$J$4*Таблица1[[#This Row],[сумма]]*Таблица1[[#This Row],[коэф]])))))))))))))),
(IF((G758="5/24"),((база!$M$6*Таблица1[[#This Row],[сумма]]*Таблица1[[#This Row],[коэф]])),
IF(OR(G758="4/24",G758="3/24"),((база!$M$5*Таблица1[[#This Row],[сумма]]*Таблица1[[#This Row],[коэф]])),
IF((G758="5/16"),((база!$L$6*Таблица1[[#This Row],[сумма]]*Таблица1[[#This Row],[коэф]])),
IF(OR(G758="4/16",G758="3/16"),((база!$L$5*Таблица1[[#This Row],[сумма]]*Таблица1[[#This Row],[коэф]])),
IF(OR(G758="2/4",G758="3/4",G758="4/4"),((база!$I$5*Таблица1[[#This Row],[сумма]]*Таблица1[[#This Row],[коэф]])),
IF((G758="5/8"),((база!$J$6*Таблица1[[#This Row],[сумма]]*Таблица1[[#This Row],[коэф]])),
IF(OR(G758="4/8",G758="3/8",G758="2/8"),((база!$J$5*Таблица1[[#This Row],[сумма]]*Таблица1[[#This Row],[коэф]])))))))))))</f>
        <v>0</v>
      </c>
      <c r="AP758" s="696" t="b">
        <f>IF(AR758&lt;=3,(IF((G758="5/24"),((база!$M$6*2*Таблица1[[#This Row],[Столбец1]]*Таблица1[[#This Row],[коэф]])),
IF((G758="4/24"),((база!$M$5*2*Таблица1[[#This Row],[Столбец1]]*Таблица1[[#This Row],[коэф]])),
IF((G758="3/24"),((база!$M$4*2*Таблица1[[#This Row],[Столбец1]]*Таблица1[[#This Row],[коэф]])),
IF((G758="5/16"),((база!$L$6*2*Таблица1[[#This Row],[Столбец1]]*Таблица1[[#This Row],[коэф]])),
IF((G758="4/16"),((база!$L$5*2*Таблица1[[#This Row],[Столбец1]]*Таблица1[[#This Row],[коэф]])),
IF((G758="3/16"),((база!$L$4*2*Таблица1[[#This Row],[Столбец1]]*Таблица1[[#This Row],[коэф]])),
IF((G758="4/4"),((база!$I$5*2*Таблица1[[#This Row],[Столбец1]]*Таблица1[[#This Row],[коэф]])),
IF(OR(G758="2/4",G758="3/4"),((база!$I$4*2*Таблица1[[#This Row],[Столбец1]]*Таблица1[[#This Row],[коэф]])),
IF((G758="5/8"),((база!$J$6*2*Таблица1[[#This Row],[Столбец1]]*Таблица1[[#This Row],[коэф]])),
IF((G758="4/8"),((база!$J$5*2*Таблица1[[#This Row],[Столбец1]]*Таблица1[[#This Row],[коэф]])),
IF(OR(G758="3/8",G758="2/8"),((база!$J$4*2*Таблица1[[#This Row],[Столбец1]]*Таблица1[[#This Row],[коэф]])))))))))))))),
(IF((G758="5/24"),((база!$M$6*2*Таблица1[[#This Row],[Столбец1]]*Таблица1[[#This Row],[коэф]])),
IF(OR(G758="4/24",G758="3/24"),((база!$M$5*2*Таблица1[[#This Row],[Столбец1]]*Таблица1[[#This Row],[коэф]])),
IF((G758="5/16"),((база!$L$6*2*Таблица1[[#This Row],[Столбец1]]*Таблица1[[#This Row],[коэф]])),
IF(OR(G758="4/16",G758="3/16"),((база!$L$5*2*Таблица1[[#This Row],[Столбец1]]*Таблица1[[#This Row],[коэф]])),
IF(OR(G758="2/4",G758="3/4",G758="4/4"),((база!$I$5*2*Таблица1[[#This Row],[Столбец1]]*Таблица1[[#This Row],[коэф]])),
IF((G758="5/8"),((база!$J$6*2*Таблица1[[#This Row],[Столбец1]]*Таблица1[[#This Row],[коэф]])),
IF(OR(G758="4/8",G758="3/8",G758="2/8"),((база!$J$5*2*Таблица1[[#This Row],[Столбец1]]*Таблица1[[#This Row],[коэф]])))))))))))</f>
        <v>0</v>
      </c>
      <c r="AQ758" s="678" t="str">
        <f>IFERROR(INDEX(база!T:T, MATCH(F758,база!Q:Q,0)),"")</f>
        <v/>
      </c>
      <c r="AR758" s="193">
        <f>IFERROR(INDEX(база!D:D, MATCH(F758,база!B:B,0)),"")</f>
        <v>0</v>
      </c>
    </row>
    <row r="759" spans="1:44" ht="15">
      <c r="A759" s="59"/>
      <c r="B759" s="215"/>
      <c r="C759" s="277"/>
      <c r="D759" s="55"/>
      <c r="E759" s="196"/>
      <c r="F759" s="651"/>
      <c r="G759" s="42"/>
      <c r="H759" s="539"/>
      <c r="I759" s="539"/>
      <c r="J759" s="539"/>
      <c r="K759" s="539"/>
      <c r="L759" s="539"/>
      <c r="M759" s="539"/>
      <c r="N759" s="539"/>
      <c r="O759" s="539"/>
      <c r="P759" s="278"/>
      <c r="Q759" s="539"/>
      <c r="R759" s="539"/>
      <c r="S759" s="539"/>
      <c r="T759" s="539"/>
      <c r="U759" s="539"/>
      <c r="V759" s="539"/>
      <c r="W759" s="539"/>
      <c r="X759" s="539"/>
      <c r="Y759" s="539"/>
      <c r="Z759" s="539"/>
      <c r="AA759" s="539"/>
      <c r="AB759" s="539"/>
      <c r="AC759" s="539"/>
      <c r="AD759" s="43"/>
      <c r="AE759" s="43"/>
      <c r="AF759" s="238"/>
      <c r="AG759" s="43"/>
      <c r="AH759" s="43"/>
      <c r="AI759" s="238"/>
      <c r="AJ759" s="238"/>
      <c r="AK759" s="238"/>
      <c r="AL759" s="238"/>
      <c r="AM759" s="197">
        <f>IF(AQ759=1,SUM(H759:I759,L759:O759,R759:U759,X759:AA759,AD759:AG759,AI759:AK759),
IF(AQ759=2,SUM(H759:K759,N759:Q759,T759:W759,Z759:AC759,AF759:AI759),
IF(AQ759=3,SUM(J759:M759,P759:S759,V759:Y759,AB759:AE759,AH759:AK759),SUM(Таблица1[[#This Row],[1]:[31]])-Таблица1[[#This Row],[Столбец1]])))</f>
        <v>0</v>
      </c>
      <c r="AN759" s="269">
        <f t="array" ref="AN759">IF(AQ759=1,SUM(J759:K759,P759:Q759,V759:W759,AB759:AC759,AH759:AI759),
IF(AQ759=2,SUM(L759:M759,R759:S759,X759:Y759,AD759:AE759),
IF(AQ759=3,SUM(H759:I759,N759:O759,T759:U759,Z759:AA759,AF759:AG759),
SUM(IFERROR(WEEKDAY($H$2:$AL$2,2)&gt;5,)*H759:AL759))))</f>
        <v>0</v>
      </c>
      <c r="AO759" s="271" t="b">
        <f>IF(AR759&lt;=3,(IF((G759="5/24"),((база!$M$6*Таблица1[[#This Row],[сумма]]*Таблица1[[#This Row],[коэф]])),
IF((G759="4/24"),((база!$M$5*Таблица1[[#This Row],[сумма]]*Таблица1[[#This Row],[коэф]])),
IF((G759="3/24"),((база!$M$4*Таблица1[[#This Row],[сумма]]*Таблица1[[#This Row],[коэф]])),
IF((G759="5/16"),((база!$L$6*Таблица1[[#This Row],[сумма]]*Таблица1[[#This Row],[коэф]])),
IF((G759="4/16"),((база!$L$5*Таблица1[[#This Row],[сумма]]*Таблица1[[#This Row],[коэф]])),
IF((G759="3/16"),((база!$L$4*Таблица1[[#This Row],[сумма]]*Таблица1[[#This Row],[коэф]])),
IF((G759="4/4"),((база!$I$5*Таблица1[[#This Row],[сумма]]*Таблица1[[#This Row],[коэф]])),
IF(OR(G759="2/4",G759="3/4"),((база!$I$4*Таблица1[[#This Row],[сумма]]*Таблица1[[#This Row],[коэф]])),
IF((G759="5/8"),((база!$J$6*Таблица1[[#This Row],[сумма]]*Таблица1[[#This Row],[коэф]])),
IF((G759="4/8"),((база!$J$5*Таблица1[[#This Row],[сумма]]*Таблица1[[#This Row],[коэф]])),
IF(OR(G759="3/8",G759="2/8"),((база!$J$4*Таблица1[[#This Row],[сумма]]*Таблица1[[#This Row],[коэф]])))))))))))))),
(IF((G759="5/24"),((база!$M$6*Таблица1[[#This Row],[сумма]]*Таблица1[[#This Row],[коэф]])),
IF(OR(G759="4/24",G759="3/24"),((база!$M$5*Таблица1[[#This Row],[сумма]]*Таблица1[[#This Row],[коэф]])),
IF((G759="5/16"),((база!$L$6*Таблица1[[#This Row],[сумма]]*Таблица1[[#This Row],[коэф]])),
IF(OR(G759="4/16",G759="3/16"),((база!$L$5*Таблица1[[#This Row],[сумма]]*Таблица1[[#This Row],[коэф]])),
IF(OR(G759="2/4",G759="3/4",G759="4/4"),((база!$I$5*Таблица1[[#This Row],[сумма]]*Таблица1[[#This Row],[коэф]])),
IF((G759="5/8"),((база!$J$6*Таблица1[[#This Row],[сумма]]*Таблица1[[#This Row],[коэф]])),
IF(OR(G759="4/8",G759="3/8",G759="2/8"),((база!$J$5*Таблица1[[#This Row],[сумма]]*Таблица1[[#This Row],[коэф]])))))))))))</f>
        <v>0</v>
      </c>
      <c r="AP759" s="696" t="b">
        <f>IF(AR759&lt;=3,(IF((G759="5/24"),((база!$M$6*2*Таблица1[[#This Row],[Столбец1]]*Таблица1[[#This Row],[коэф]])),
IF((G759="4/24"),((база!$M$5*2*Таблица1[[#This Row],[Столбец1]]*Таблица1[[#This Row],[коэф]])),
IF((G759="3/24"),((база!$M$4*2*Таблица1[[#This Row],[Столбец1]]*Таблица1[[#This Row],[коэф]])),
IF((G759="5/16"),((база!$L$6*2*Таблица1[[#This Row],[Столбец1]]*Таблица1[[#This Row],[коэф]])),
IF((G759="4/16"),((база!$L$5*2*Таблица1[[#This Row],[Столбец1]]*Таблица1[[#This Row],[коэф]])),
IF((G759="3/16"),((база!$L$4*2*Таблица1[[#This Row],[Столбец1]]*Таблица1[[#This Row],[коэф]])),
IF((G759="4/4"),((база!$I$5*2*Таблица1[[#This Row],[Столбец1]]*Таблица1[[#This Row],[коэф]])),
IF(OR(G759="2/4",G759="3/4"),((база!$I$4*2*Таблица1[[#This Row],[Столбец1]]*Таблица1[[#This Row],[коэф]])),
IF((G759="5/8"),((база!$J$6*2*Таблица1[[#This Row],[Столбец1]]*Таблица1[[#This Row],[коэф]])),
IF((G759="4/8"),((база!$J$5*2*Таблица1[[#This Row],[Столбец1]]*Таблица1[[#This Row],[коэф]])),
IF(OR(G759="3/8",G759="2/8"),((база!$J$4*2*Таблица1[[#This Row],[Столбец1]]*Таблица1[[#This Row],[коэф]])))))))))))))),
(IF((G759="5/24"),((база!$M$6*2*Таблица1[[#This Row],[Столбец1]]*Таблица1[[#This Row],[коэф]])),
IF(OR(G759="4/24",G759="3/24"),((база!$M$5*2*Таблица1[[#This Row],[Столбец1]]*Таблица1[[#This Row],[коэф]])),
IF((G759="5/16"),((база!$L$6*2*Таблица1[[#This Row],[Столбец1]]*Таблица1[[#This Row],[коэф]])),
IF(OR(G759="4/16",G759="3/16"),((база!$L$5*2*Таблица1[[#This Row],[Столбец1]]*Таблица1[[#This Row],[коэф]])),
IF(OR(G759="2/4",G759="3/4",G759="4/4"),((база!$I$5*2*Таблица1[[#This Row],[Столбец1]]*Таблица1[[#This Row],[коэф]])),
IF((G759="5/8"),((база!$J$6*2*Таблица1[[#This Row],[Столбец1]]*Таблица1[[#This Row],[коэф]])),
IF(OR(G759="4/8",G759="3/8",G759="2/8"),((база!$J$5*2*Таблица1[[#This Row],[Столбец1]]*Таблица1[[#This Row],[коэф]])))))))))))</f>
        <v>0</v>
      </c>
      <c r="AQ759" s="678" t="str">
        <f>IFERROR(INDEX(база!T:T, MATCH(F759,база!Q:Q,0)),"")</f>
        <v/>
      </c>
      <c r="AR759" s="193">
        <f>IFERROR(INDEX(база!D:D, MATCH(F759,база!B:B,0)),"")</f>
        <v>0</v>
      </c>
    </row>
    <row r="760" spans="1:44" ht="15">
      <c r="A760" s="59"/>
      <c r="B760" s="215"/>
      <c r="C760" s="54"/>
      <c r="D760" s="55"/>
      <c r="E760" s="196"/>
      <c r="F760" s="651"/>
      <c r="G760" s="42"/>
      <c r="H760" s="539"/>
      <c r="I760" s="539"/>
      <c r="J760" s="539"/>
      <c r="K760" s="539"/>
      <c r="L760" s="539"/>
      <c r="M760" s="539"/>
      <c r="N760" s="539"/>
      <c r="O760" s="539"/>
      <c r="P760" s="278"/>
      <c r="Q760" s="539"/>
      <c r="R760" s="539"/>
      <c r="S760" s="539"/>
      <c r="T760" s="539"/>
      <c r="U760" s="539"/>
      <c r="V760" s="539"/>
      <c r="W760" s="539"/>
      <c r="X760" s="539"/>
      <c r="Y760" s="539"/>
      <c r="Z760" s="539"/>
      <c r="AA760" s="539"/>
      <c r="AB760" s="539"/>
      <c r="AC760" s="539"/>
      <c r="AD760" s="43"/>
      <c r="AE760" s="43"/>
      <c r="AF760" s="238"/>
      <c r="AG760" s="43"/>
      <c r="AH760" s="43"/>
      <c r="AI760" s="43"/>
      <c r="AJ760" s="43"/>
      <c r="AK760" s="43"/>
      <c r="AL760" s="45"/>
      <c r="AM760" s="197">
        <f>IF(AQ760=1,SUM(H760:I760,L760:O760,R760:U760,X760:AA760,AD760:AG760,AI760:AK760),
IF(AQ760=2,SUM(H760:K760,N760:Q760,T760:W760,Z760:AC760,AF760:AI760),
IF(AQ760=3,SUM(J760:M760,P760:S760,V760:Y760,AB760:AE760,AH760:AK760),SUM(Таблица1[[#This Row],[1]:[31]])-Таблица1[[#This Row],[Столбец1]])))</f>
        <v>0</v>
      </c>
      <c r="AN760" s="269">
        <f t="array" ref="AN760">IF(AQ760=1,SUM(J760:K760,P760:Q760,V760:W760,AB760:AC760,AH760:AI760),
IF(AQ760=2,SUM(L760:M760,R760:S760,X760:Y760,AD760:AE760),
IF(AQ760=3,SUM(H760:I760,N760:O760,T760:U760,Z760:AA760,AF760:AG760),
SUM(IFERROR(WEEKDAY($H$2:$AL$2,2)&gt;5,)*H760:AL760))))</f>
        <v>0</v>
      </c>
      <c r="AO760" s="271" t="b">
        <f>IF(AR760&lt;=3,(IF((G760="5/24"),((база!$M$6*Таблица1[[#This Row],[сумма]]*Таблица1[[#This Row],[коэф]])),
IF((G760="4/24"),((база!$M$5*Таблица1[[#This Row],[сумма]]*Таблица1[[#This Row],[коэф]])),
IF((G760="3/24"),((база!$M$4*Таблица1[[#This Row],[сумма]]*Таблица1[[#This Row],[коэф]])),
IF((G760="5/16"),((база!$L$6*Таблица1[[#This Row],[сумма]]*Таблица1[[#This Row],[коэф]])),
IF((G760="4/16"),((база!$L$5*Таблица1[[#This Row],[сумма]]*Таблица1[[#This Row],[коэф]])),
IF((G760="3/16"),((база!$L$4*Таблица1[[#This Row],[сумма]]*Таблица1[[#This Row],[коэф]])),
IF((G760="4/4"),((база!$I$5*Таблица1[[#This Row],[сумма]]*Таблица1[[#This Row],[коэф]])),
IF(OR(G760="2/4",G760="3/4"),((база!$I$4*Таблица1[[#This Row],[сумма]]*Таблица1[[#This Row],[коэф]])),
IF((G760="5/8"),((база!$J$6*Таблица1[[#This Row],[сумма]]*Таблица1[[#This Row],[коэф]])),
IF((G760="4/8"),((база!$J$5*Таблица1[[#This Row],[сумма]]*Таблица1[[#This Row],[коэф]])),
IF(OR(G760="3/8",G760="2/8"),((база!$J$4*Таблица1[[#This Row],[сумма]]*Таблица1[[#This Row],[коэф]])))))))))))))),
(IF((G760="5/24"),((база!$M$6*Таблица1[[#This Row],[сумма]]*Таблица1[[#This Row],[коэф]])),
IF(OR(G760="4/24",G760="3/24"),((база!$M$5*Таблица1[[#This Row],[сумма]]*Таблица1[[#This Row],[коэф]])),
IF((G760="5/16"),((база!$L$6*Таблица1[[#This Row],[сумма]]*Таблица1[[#This Row],[коэф]])),
IF(OR(G760="4/16",G760="3/16"),((база!$L$5*Таблица1[[#This Row],[сумма]]*Таблица1[[#This Row],[коэф]])),
IF(OR(G760="2/4",G760="3/4",G760="4/4"),((база!$I$5*Таблица1[[#This Row],[сумма]]*Таблица1[[#This Row],[коэф]])),
IF((G760="5/8"),((база!$J$6*Таблица1[[#This Row],[сумма]]*Таблица1[[#This Row],[коэф]])),
IF(OR(G760="4/8",G760="3/8",G760="2/8"),((база!$J$5*Таблица1[[#This Row],[сумма]]*Таблица1[[#This Row],[коэф]])))))))))))</f>
        <v>0</v>
      </c>
      <c r="AP760" s="696" t="b">
        <f>IF(AR760&lt;=3,(IF((G760="5/24"),((база!$M$6*2*Таблица1[[#This Row],[Столбец1]]*Таблица1[[#This Row],[коэф]])),
IF((G760="4/24"),((база!$M$5*2*Таблица1[[#This Row],[Столбец1]]*Таблица1[[#This Row],[коэф]])),
IF((G760="3/24"),((база!$M$4*2*Таблица1[[#This Row],[Столбец1]]*Таблица1[[#This Row],[коэф]])),
IF((G760="5/16"),((база!$L$6*2*Таблица1[[#This Row],[Столбец1]]*Таблица1[[#This Row],[коэф]])),
IF((G760="4/16"),((база!$L$5*2*Таблица1[[#This Row],[Столбец1]]*Таблица1[[#This Row],[коэф]])),
IF((G760="3/16"),((база!$L$4*2*Таблица1[[#This Row],[Столбец1]]*Таблица1[[#This Row],[коэф]])),
IF((G760="4/4"),((база!$I$5*2*Таблица1[[#This Row],[Столбец1]]*Таблица1[[#This Row],[коэф]])),
IF(OR(G760="2/4",G760="3/4"),((база!$I$4*2*Таблица1[[#This Row],[Столбец1]]*Таблица1[[#This Row],[коэф]])),
IF((G760="5/8"),((база!$J$6*2*Таблица1[[#This Row],[Столбец1]]*Таблица1[[#This Row],[коэф]])),
IF((G760="4/8"),((база!$J$5*2*Таблица1[[#This Row],[Столбец1]]*Таблица1[[#This Row],[коэф]])),
IF(OR(G760="3/8",G760="2/8"),((база!$J$4*2*Таблица1[[#This Row],[Столбец1]]*Таблица1[[#This Row],[коэф]])))))))))))))),
(IF((G760="5/24"),((база!$M$6*2*Таблица1[[#This Row],[Столбец1]]*Таблица1[[#This Row],[коэф]])),
IF(OR(G760="4/24",G760="3/24"),((база!$M$5*2*Таблица1[[#This Row],[Столбец1]]*Таблица1[[#This Row],[коэф]])),
IF((G760="5/16"),((база!$L$6*2*Таблица1[[#This Row],[Столбец1]]*Таблица1[[#This Row],[коэф]])),
IF(OR(G760="4/16",G760="3/16"),((база!$L$5*2*Таблица1[[#This Row],[Столбец1]]*Таблица1[[#This Row],[коэф]])),
IF(OR(G760="2/4",G760="3/4",G760="4/4"),((база!$I$5*2*Таблица1[[#This Row],[Столбец1]]*Таблица1[[#This Row],[коэф]])),
IF((G760="5/8"),((база!$J$6*2*Таблица1[[#This Row],[Столбец1]]*Таблица1[[#This Row],[коэф]])),
IF(OR(G760="4/8",G760="3/8",G760="2/8"),((база!$J$5*2*Таблица1[[#This Row],[Столбец1]]*Таблица1[[#This Row],[коэф]])))))))))))</f>
        <v>0</v>
      </c>
      <c r="AQ760" s="678" t="str">
        <f>IFERROR(INDEX(база!T:T, MATCH(F760,база!Q:Q,0)),"")</f>
        <v/>
      </c>
      <c r="AR760" s="193">
        <f>IFERROR(INDEX(база!D:D, MATCH(F760,база!B:B,0)),"")</f>
        <v>0</v>
      </c>
    </row>
    <row r="761" spans="1:44" ht="15">
      <c r="A761" s="59"/>
      <c r="B761" s="215"/>
      <c r="C761" s="277"/>
      <c r="D761" s="55"/>
      <c r="E761" s="196"/>
      <c r="F761" s="651"/>
      <c r="G761" s="42"/>
      <c r="H761" s="539"/>
      <c r="I761" s="539"/>
      <c r="J761" s="539"/>
      <c r="K761" s="539"/>
      <c r="L761" s="539"/>
      <c r="M761" s="539"/>
      <c r="N761" s="539"/>
      <c r="O761" s="539"/>
      <c r="P761" s="278"/>
      <c r="Q761" s="539"/>
      <c r="R761" s="539"/>
      <c r="S761" s="539"/>
      <c r="T761" s="539"/>
      <c r="U761" s="539"/>
      <c r="V761" s="539"/>
      <c r="W761" s="539"/>
      <c r="X761" s="539"/>
      <c r="Y761" s="539"/>
      <c r="Z761" s="539"/>
      <c r="AA761" s="539"/>
      <c r="AB761" s="539"/>
      <c r="AC761" s="539"/>
      <c r="AD761" s="43"/>
      <c r="AE761" s="43"/>
      <c r="AF761" s="238"/>
      <c r="AG761" s="43"/>
      <c r="AH761" s="43"/>
      <c r="AI761" s="238"/>
      <c r="AJ761" s="238"/>
      <c r="AK761" s="238"/>
      <c r="AL761" s="238"/>
      <c r="AM761" s="197">
        <f>IF(AQ761=1,SUM(H761:I761,L761:O761,R761:U761,X761:AA761,AD761:AG761,AI761:AK761),
IF(AQ761=2,SUM(H761:K761,N761:Q761,T761:W761,Z761:AC761,AF761:AI761),
IF(AQ761=3,SUM(J761:M761,P761:S761,V761:Y761,AB761:AE761,AH761:AK761),SUM(Таблица1[[#This Row],[1]:[31]])-Таблица1[[#This Row],[Столбец1]])))</f>
        <v>0</v>
      </c>
      <c r="AN761" s="269">
        <f t="array" ref="AN761">IF(AQ761=1,SUM(J761:K761,P761:Q761,V761:W761,AB761:AC761,AH761:AI761),
IF(AQ761=2,SUM(L761:M761,R761:S761,X761:Y761,AD761:AE761),
IF(AQ761=3,SUM(H761:I761,N761:O761,T761:U761,Z761:AA761,AF761:AG761),
SUM(IFERROR(WEEKDAY($H$2:$AL$2,2)&gt;5,)*H761:AL761))))</f>
        <v>0</v>
      </c>
      <c r="AO761" s="271" t="b">
        <f>IF(AR761&lt;=3,(IF((G761="5/24"),((база!$M$6*Таблица1[[#This Row],[сумма]]*Таблица1[[#This Row],[коэф]])),
IF((G761="4/24"),((база!$M$5*Таблица1[[#This Row],[сумма]]*Таблица1[[#This Row],[коэф]])),
IF((G761="3/24"),((база!$M$4*Таблица1[[#This Row],[сумма]]*Таблица1[[#This Row],[коэф]])),
IF((G761="5/16"),((база!$L$6*Таблица1[[#This Row],[сумма]]*Таблица1[[#This Row],[коэф]])),
IF((G761="4/16"),((база!$L$5*Таблица1[[#This Row],[сумма]]*Таблица1[[#This Row],[коэф]])),
IF((G761="3/16"),((база!$L$4*Таблица1[[#This Row],[сумма]]*Таблица1[[#This Row],[коэф]])),
IF((G761="4/4"),((база!$I$5*Таблица1[[#This Row],[сумма]]*Таблица1[[#This Row],[коэф]])),
IF(OR(G761="2/4",G761="3/4"),((база!$I$4*Таблица1[[#This Row],[сумма]]*Таблица1[[#This Row],[коэф]])),
IF((G761="5/8"),((база!$J$6*Таблица1[[#This Row],[сумма]]*Таблица1[[#This Row],[коэф]])),
IF((G761="4/8"),((база!$J$5*Таблица1[[#This Row],[сумма]]*Таблица1[[#This Row],[коэф]])),
IF(OR(G761="3/8",G761="2/8"),((база!$J$4*Таблица1[[#This Row],[сумма]]*Таблица1[[#This Row],[коэф]])))))))))))))),
(IF((G761="5/24"),((база!$M$6*Таблица1[[#This Row],[сумма]]*Таблица1[[#This Row],[коэф]])),
IF(OR(G761="4/24",G761="3/24"),((база!$M$5*Таблица1[[#This Row],[сумма]]*Таблица1[[#This Row],[коэф]])),
IF((G761="5/16"),((база!$L$6*Таблица1[[#This Row],[сумма]]*Таблица1[[#This Row],[коэф]])),
IF(OR(G761="4/16",G761="3/16"),((база!$L$5*Таблица1[[#This Row],[сумма]]*Таблица1[[#This Row],[коэф]])),
IF(OR(G761="2/4",G761="3/4",G761="4/4"),((база!$I$5*Таблица1[[#This Row],[сумма]]*Таблица1[[#This Row],[коэф]])),
IF((G761="5/8"),((база!$J$6*Таблица1[[#This Row],[сумма]]*Таблица1[[#This Row],[коэф]])),
IF(OR(G761="4/8",G761="3/8",G761="2/8"),((база!$J$5*Таблица1[[#This Row],[сумма]]*Таблица1[[#This Row],[коэф]])))))))))))</f>
        <v>0</v>
      </c>
      <c r="AP761" s="696" t="b">
        <f>IF(AR761&lt;=3,(IF((G761="5/24"),((база!$M$6*2*Таблица1[[#This Row],[Столбец1]]*Таблица1[[#This Row],[коэф]])),
IF((G761="4/24"),((база!$M$5*2*Таблица1[[#This Row],[Столбец1]]*Таблица1[[#This Row],[коэф]])),
IF((G761="3/24"),((база!$M$4*2*Таблица1[[#This Row],[Столбец1]]*Таблица1[[#This Row],[коэф]])),
IF((G761="5/16"),((база!$L$6*2*Таблица1[[#This Row],[Столбец1]]*Таблица1[[#This Row],[коэф]])),
IF((G761="4/16"),((база!$L$5*2*Таблица1[[#This Row],[Столбец1]]*Таблица1[[#This Row],[коэф]])),
IF((G761="3/16"),((база!$L$4*2*Таблица1[[#This Row],[Столбец1]]*Таблица1[[#This Row],[коэф]])),
IF((G761="4/4"),((база!$I$5*2*Таблица1[[#This Row],[Столбец1]]*Таблица1[[#This Row],[коэф]])),
IF(OR(G761="2/4",G761="3/4"),((база!$I$4*2*Таблица1[[#This Row],[Столбец1]]*Таблица1[[#This Row],[коэф]])),
IF((G761="5/8"),((база!$J$6*2*Таблица1[[#This Row],[Столбец1]]*Таблица1[[#This Row],[коэф]])),
IF((G761="4/8"),((база!$J$5*2*Таблица1[[#This Row],[Столбец1]]*Таблица1[[#This Row],[коэф]])),
IF(OR(G761="3/8",G761="2/8"),((база!$J$4*2*Таблица1[[#This Row],[Столбец1]]*Таблица1[[#This Row],[коэф]])))))))))))))),
(IF((G761="5/24"),((база!$M$6*2*Таблица1[[#This Row],[Столбец1]]*Таблица1[[#This Row],[коэф]])),
IF(OR(G761="4/24",G761="3/24"),((база!$M$5*2*Таблица1[[#This Row],[Столбец1]]*Таблица1[[#This Row],[коэф]])),
IF((G761="5/16"),((база!$L$6*2*Таблица1[[#This Row],[Столбец1]]*Таблица1[[#This Row],[коэф]])),
IF(OR(G761="4/16",G761="3/16"),((база!$L$5*2*Таблица1[[#This Row],[Столбец1]]*Таблица1[[#This Row],[коэф]])),
IF(OR(G761="2/4",G761="3/4",G761="4/4"),((база!$I$5*2*Таблица1[[#This Row],[Столбец1]]*Таблица1[[#This Row],[коэф]])),
IF((G761="5/8"),((база!$J$6*2*Таблица1[[#This Row],[Столбец1]]*Таблица1[[#This Row],[коэф]])),
IF(OR(G761="4/8",G761="3/8",G761="2/8"),((база!$J$5*2*Таблица1[[#This Row],[Столбец1]]*Таблица1[[#This Row],[коэф]])))))))))))</f>
        <v>0</v>
      </c>
      <c r="AQ761" s="678" t="str">
        <f>IFERROR(INDEX(база!T:T, MATCH(F761,база!Q:Q,0)),"")</f>
        <v/>
      </c>
      <c r="AR761" s="193">
        <f>IFERROR(INDEX(база!D:D, MATCH(F761,база!B:B,0)),"")</f>
        <v>0</v>
      </c>
    </row>
    <row r="762" spans="1:44" ht="15">
      <c r="A762" s="59"/>
      <c r="B762" s="215"/>
      <c r="C762" s="277"/>
      <c r="D762" s="55"/>
      <c r="E762" s="196"/>
      <c r="F762" s="651"/>
      <c r="G762" s="42"/>
      <c r="H762" s="539"/>
      <c r="I762" s="539"/>
      <c r="J762" s="539"/>
      <c r="K762" s="539"/>
      <c r="L762" s="539"/>
      <c r="M762" s="539"/>
      <c r="N762" s="539"/>
      <c r="O762" s="539"/>
      <c r="P762" s="278"/>
      <c r="Q762" s="539"/>
      <c r="R762" s="539"/>
      <c r="S762" s="539"/>
      <c r="T762" s="539"/>
      <c r="U762" s="539"/>
      <c r="V762" s="539"/>
      <c r="W762" s="539"/>
      <c r="X762" s="539"/>
      <c r="Y762" s="539"/>
      <c r="Z762" s="539"/>
      <c r="AA762" s="539"/>
      <c r="AB762" s="539"/>
      <c r="AC762" s="539"/>
      <c r="AD762" s="43"/>
      <c r="AE762" s="43"/>
      <c r="AF762" s="238"/>
      <c r="AG762" s="43"/>
      <c r="AH762" s="43"/>
      <c r="AI762" s="43"/>
      <c r="AJ762" s="43"/>
      <c r="AK762" s="43"/>
      <c r="AL762" s="45"/>
      <c r="AM762" s="197">
        <f>IF(AQ762=1,SUM(H762:I762,L762:O762,R762:U762,X762:AA762,AD762:AG762,AI762:AK762),
IF(AQ762=2,SUM(H762:K762,N762:Q762,T762:W762,Z762:AC762,AF762:AI762),
IF(AQ762=3,SUM(J762:M762,P762:S762,V762:Y762,AB762:AE762,AH762:AK762),SUM(Таблица1[[#This Row],[1]:[31]])-Таблица1[[#This Row],[Столбец1]])))</f>
        <v>0</v>
      </c>
      <c r="AN762" s="269">
        <f t="array" ref="AN762">IF(AQ762=1,SUM(J762:K762,P762:Q762,V762:W762,AB762:AC762,AH762:AI762),
IF(AQ762=2,SUM(L762:M762,R762:S762,X762:Y762,AD762:AE762),
IF(AQ762=3,SUM(H762:I762,N762:O762,T762:U762,Z762:AA762,AF762:AG762),
SUM(IFERROR(WEEKDAY($H$2:$AL$2,2)&gt;5,)*H762:AL762))))</f>
        <v>0</v>
      </c>
      <c r="AO762" s="271" t="b">
        <f>IF(AR762&lt;=3,(IF((G762="5/24"),((база!$M$6*Таблица1[[#This Row],[сумма]]*Таблица1[[#This Row],[коэф]])),
IF((G762="4/24"),((база!$M$5*Таблица1[[#This Row],[сумма]]*Таблица1[[#This Row],[коэф]])),
IF((G762="3/24"),((база!$M$4*Таблица1[[#This Row],[сумма]]*Таблица1[[#This Row],[коэф]])),
IF((G762="5/16"),((база!$L$6*Таблица1[[#This Row],[сумма]]*Таблица1[[#This Row],[коэф]])),
IF((G762="4/16"),((база!$L$5*Таблица1[[#This Row],[сумма]]*Таблица1[[#This Row],[коэф]])),
IF((G762="3/16"),((база!$L$4*Таблица1[[#This Row],[сумма]]*Таблица1[[#This Row],[коэф]])),
IF((G762="4/4"),((база!$I$5*Таблица1[[#This Row],[сумма]]*Таблица1[[#This Row],[коэф]])),
IF(OR(G762="2/4",G762="3/4"),((база!$I$4*Таблица1[[#This Row],[сумма]]*Таблица1[[#This Row],[коэф]])),
IF((G762="5/8"),((база!$J$6*Таблица1[[#This Row],[сумма]]*Таблица1[[#This Row],[коэф]])),
IF((G762="4/8"),((база!$J$5*Таблица1[[#This Row],[сумма]]*Таблица1[[#This Row],[коэф]])),
IF(OR(G762="3/8",G762="2/8"),((база!$J$4*Таблица1[[#This Row],[сумма]]*Таблица1[[#This Row],[коэф]])))))))))))))),
(IF((G762="5/24"),((база!$M$6*Таблица1[[#This Row],[сумма]]*Таблица1[[#This Row],[коэф]])),
IF(OR(G762="4/24",G762="3/24"),((база!$M$5*Таблица1[[#This Row],[сумма]]*Таблица1[[#This Row],[коэф]])),
IF((G762="5/16"),((база!$L$6*Таблица1[[#This Row],[сумма]]*Таблица1[[#This Row],[коэф]])),
IF(OR(G762="4/16",G762="3/16"),((база!$L$5*Таблица1[[#This Row],[сумма]]*Таблица1[[#This Row],[коэф]])),
IF(OR(G762="2/4",G762="3/4",G762="4/4"),((база!$I$5*Таблица1[[#This Row],[сумма]]*Таблица1[[#This Row],[коэф]])),
IF((G762="5/8"),((база!$J$6*Таблица1[[#This Row],[сумма]]*Таблица1[[#This Row],[коэф]])),
IF(OR(G762="4/8",G762="3/8",G762="2/8"),((база!$J$5*Таблица1[[#This Row],[сумма]]*Таблица1[[#This Row],[коэф]])))))))))))</f>
        <v>0</v>
      </c>
      <c r="AP762" s="696" t="b">
        <f>IF(AR762&lt;=3,(IF((G762="5/24"),((база!$M$6*2*Таблица1[[#This Row],[Столбец1]]*Таблица1[[#This Row],[коэф]])),
IF((G762="4/24"),((база!$M$5*2*Таблица1[[#This Row],[Столбец1]]*Таблица1[[#This Row],[коэф]])),
IF((G762="3/24"),((база!$M$4*2*Таблица1[[#This Row],[Столбец1]]*Таблица1[[#This Row],[коэф]])),
IF((G762="5/16"),((база!$L$6*2*Таблица1[[#This Row],[Столбец1]]*Таблица1[[#This Row],[коэф]])),
IF((G762="4/16"),((база!$L$5*2*Таблица1[[#This Row],[Столбец1]]*Таблица1[[#This Row],[коэф]])),
IF((G762="3/16"),((база!$L$4*2*Таблица1[[#This Row],[Столбец1]]*Таблица1[[#This Row],[коэф]])),
IF((G762="4/4"),((база!$I$5*2*Таблица1[[#This Row],[Столбец1]]*Таблица1[[#This Row],[коэф]])),
IF(OR(G762="2/4",G762="3/4"),((база!$I$4*2*Таблица1[[#This Row],[Столбец1]]*Таблица1[[#This Row],[коэф]])),
IF((G762="5/8"),((база!$J$6*2*Таблица1[[#This Row],[Столбец1]]*Таблица1[[#This Row],[коэф]])),
IF((G762="4/8"),((база!$J$5*2*Таблица1[[#This Row],[Столбец1]]*Таблица1[[#This Row],[коэф]])),
IF(OR(G762="3/8",G762="2/8"),((база!$J$4*2*Таблица1[[#This Row],[Столбец1]]*Таблица1[[#This Row],[коэф]])))))))))))))),
(IF((G762="5/24"),((база!$M$6*2*Таблица1[[#This Row],[Столбец1]]*Таблица1[[#This Row],[коэф]])),
IF(OR(G762="4/24",G762="3/24"),((база!$M$5*2*Таблица1[[#This Row],[Столбец1]]*Таблица1[[#This Row],[коэф]])),
IF((G762="5/16"),((база!$L$6*2*Таблица1[[#This Row],[Столбец1]]*Таблица1[[#This Row],[коэф]])),
IF(OR(G762="4/16",G762="3/16"),((база!$L$5*2*Таблица1[[#This Row],[Столбец1]]*Таблица1[[#This Row],[коэф]])),
IF(OR(G762="2/4",G762="3/4",G762="4/4"),((база!$I$5*2*Таблица1[[#This Row],[Столбец1]]*Таблица1[[#This Row],[коэф]])),
IF((G762="5/8"),((база!$J$6*2*Таблица1[[#This Row],[Столбец1]]*Таблица1[[#This Row],[коэф]])),
IF(OR(G762="4/8",G762="3/8",G762="2/8"),((база!$J$5*2*Таблица1[[#This Row],[Столбец1]]*Таблица1[[#This Row],[коэф]])))))))))))</f>
        <v>0</v>
      </c>
      <c r="AQ762" s="678" t="str">
        <f>IFERROR(INDEX(база!T:T, MATCH(F762,база!Q:Q,0)),"")</f>
        <v/>
      </c>
      <c r="AR762" s="193">
        <f>IFERROR(INDEX(база!D:D, MATCH(F762,база!B:B,0)),"")</f>
        <v>0</v>
      </c>
    </row>
    <row r="763" spans="1:44" ht="15">
      <c r="A763" s="59"/>
      <c r="B763" s="215"/>
      <c r="C763" s="277"/>
      <c r="D763" s="55"/>
      <c r="E763" s="196"/>
      <c r="F763" s="651"/>
      <c r="G763" s="42"/>
      <c r="H763" s="539"/>
      <c r="I763" s="539"/>
      <c r="J763" s="539"/>
      <c r="K763" s="539"/>
      <c r="L763" s="539"/>
      <c r="M763" s="539"/>
      <c r="N763" s="539"/>
      <c r="O763" s="539"/>
      <c r="P763" s="278"/>
      <c r="Q763" s="539"/>
      <c r="R763" s="539"/>
      <c r="S763" s="539"/>
      <c r="T763" s="539"/>
      <c r="U763" s="539"/>
      <c r="V763" s="539"/>
      <c r="W763" s="539"/>
      <c r="X763" s="539"/>
      <c r="Y763" s="539"/>
      <c r="Z763" s="539"/>
      <c r="AA763" s="539"/>
      <c r="AB763" s="539"/>
      <c r="AC763" s="539"/>
      <c r="AD763" s="43"/>
      <c r="AE763" s="43"/>
      <c r="AF763" s="238"/>
      <c r="AG763" s="43"/>
      <c r="AH763" s="43"/>
      <c r="AI763" s="238"/>
      <c r="AJ763" s="238"/>
      <c r="AK763" s="238"/>
      <c r="AL763" s="238"/>
      <c r="AM763" s="197">
        <f>IF(AQ763=1,SUM(H763:I763,L763:O763,R763:U763,X763:AA763,AD763:AG763,AI763:AK763),
IF(AQ763=2,SUM(H763:K763,N763:Q763,T763:W763,Z763:AC763,AF763:AI763),
IF(AQ763=3,SUM(J763:M763,P763:S763,V763:Y763,AB763:AE763,AH763:AK763),SUM(Таблица1[[#This Row],[1]:[31]])-Таблица1[[#This Row],[Столбец1]])))</f>
        <v>0</v>
      </c>
      <c r="AN763" s="269">
        <f t="array" ref="AN763">IF(AQ763=1,SUM(J763:K763,P763:Q763,V763:W763,AB763:AC763,AH763:AI763),
IF(AQ763=2,SUM(L763:M763,R763:S763,X763:Y763,AD763:AE763),
IF(AQ763=3,SUM(H763:I763,N763:O763,T763:U763,Z763:AA763,AF763:AG763),
SUM(IFERROR(WEEKDAY($H$2:$AL$2,2)&gt;5,)*H763:AL763))))</f>
        <v>0</v>
      </c>
      <c r="AO763" s="271" t="b">
        <f>IF(AR763&lt;=3,(IF((G763="5/24"),((база!$M$6*Таблица1[[#This Row],[сумма]]*Таблица1[[#This Row],[коэф]])),
IF((G763="4/24"),((база!$M$5*Таблица1[[#This Row],[сумма]]*Таблица1[[#This Row],[коэф]])),
IF((G763="3/24"),((база!$M$4*Таблица1[[#This Row],[сумма]]*Таблица1[[#This Row],[коэф]])),
IF((G763="5/16"),((база!$L$6*Таблица1[[#This Row],[сумма]]*Таблица1[[#This Row],[коэф]])),
IF((G763="4/16"),((база!$L$5*Таблица1[[#This Row],[сумма]]*Таблица1[[#This Row],[коэф]])),
IF((G763="3/16"),((база!$L$4*Таблица1[[#This Row],[сумма]]*Таблица1[[#This Row],[коэф]])),
IF((G763="4/4"),((база!$I$5*Таблица1[[#This Row],[сумма]]*Таблица1[[#This Row],[коэф]])),
IF(OR(G763="2/4",G763="3/4"),((база!$I$4*Таблица1[[#This Row],[сумма]]*Таблица1[[#This Row],[коэф]])),
IF((G763="5/8"),((база!$J$6*Таблица1[[#This Row],[сумма]]*Таблица1[[#This Row],[коэф]])),
IF((G763="4/8"),((база!$J$5*Таблица1[[#This Row],[сумма]]*Таблица1[[#This Row],[коэф]])),
IF(OR(G763="3/8",G763="2/8"),((база!$J$4*Таблица1[[#This Row],[сумма]]*Таблица1[[#This Row],[коэф]])))))))))))))),
(IF((G763="5/24"),((база!$M$6*Таблица1[[#This Row],[сумма]]*Таблица1[[#This Row],[коэф]])),
IF(OR(G763="4/24",G763="3/24"),((база!$M$5*Таблица1[[#This Row],[сумма]]*Таблица1[[#This Row],[коэф]])),
IF((G763="5/16"),((база!$L$6*Таблица1[[#This Row],[сумма]]*Таблица1[[#This Row],[коэф]])),
IF(OR(G763="4/16",G763="3/16"),((база!$L$5*Таблица1[[#This Row],[сумма]]*Таблица1[[#This Row],[коэф]])),
IF(OR(G763="2/4",G763="3/4",G763="4/4"),((база!$I$5*Таблица1[[#This Row],[сумма]]*Таблица1[[#This Row],[коэф]])),
IF((G763="5/8"),((база!$J$6*Таблица1[[#This Row],[сумма]]*Таблица1[[#This Row],[коэф]])),
IF(OR(G763="4/8",G763="3/8",G763="2/8"),((база!$J$5*Таблица1[[#This Row],[сумма]]*Таблица1[[#This Row],[коэф]])))))))))))</f>
        <v>0</v>
      </c>
      <c r="AP763" s="696" t="b">
        <f>IF(AR763&lt;=3,(IF((G763="5/24"),((база!$M$6*2*Таблица1[[#This Row],[Столбец1]]*Таблица1[[#This Row],[коэф]])),
IF((G763="4/24"),((база!$M$5*2*Таблица1[[#This Row],[Столбец1]]*Таблица1[[#This Row],[коэф]])),
IF((G763="3/24"),((база!$M$4*2*Таблица1[[#This Row],[Столбец1]]*Таблица1[[#This Row],[коэф]])),
IF((G763="5/16"),((база!$L$6*2*Таблица1[[#This Row],[Столбец1]]*Таблица1[[#This Row],[коэф]])),
IF((G763="4/16"),((база!$L$5*2*Таблица1[[#This Row],[Столбец1]]*Таблица1[[#This Row],[коэф]])),
IF((G763="3/16"),((база!$L$4*2*Таблица1[[#This Row],[Столбец1]]*Таблица1[[#This Row],[коэф]])),
IF((G763="4/4"),((база!$I$5*2*Таблица1[[#This Row],[Столбец1]]*Таблица1[[#This Row],[коэф]])),
IF(OR(G763="2/4",G763="3/4"),((база!$I$4*2*Таблица1[[#This Row],[Столбец1]]*Таблица1[[#This Row],[коэф]])),
IF((G763="5/8"),((база!$J$6*2*Таблица1[[#This Row],[Столбец1]]*Таблица1[[#This Row],[коэф]])),
IF((G763="4/8"),((база!$J$5*2*Таблица1[[#This Row],[Столбец1]]*Таблица1[[#This Row],[коэф]])),
IF(OR(G763="3/8",G763="2/8"),((база!$J$4*2*Таблица1[[#This Row],[Столбец1]]*Таблица1[[#This Row],[коэф]])))))))))))))),
(IF((G763="5/24"),((база!$M$6*2*Таблица1[[#This Row],[Столбец1]]*Таблица1[[#This Row],[коэф]])),
IF(OR(G763="4/24",G763="3/24"),((база!$M$5*2*Таблица1[[#This Row],[Столбец1]]*Таблица1[[#This Row],[коэф]])),
IF((G763="5/16"),((база!$L$6*2*Таблица1[[#This Row],[Столбец1]]*Таблица1[[#This Row],[коэф]])),
IF(OR(G763="4/16",G763="3/16"),((база!$L$5*2*Таблица1[[#This Row],[Столбец1]]*Таблица1[[#This Row],[коэф]])),
IF(OR(G763="2/4",G763="3/4",G763="4/4"),((база!$I$5*2*Таблица1[[#This Row],[Столбец1]]*Таблица1[[#This Row],[коэф]])),
IF((G763="5/8"),((база!$J$6*2*Таблица1[[#This Row],[Столбец1]]*Таблица1[[#This Row],[коэф]])),
IF(OR(G763="4/8",G763="3/8",G763="2/8"),((база!$J$5*2*Таблица1[[#This Row],[Столбец1]]*Таблица1[[#This Row],[коэф]])))))))))))</f>
        <v>0</v>
      </c>
      <c r="AQ763" s="678" t="str">
        <f>IFERROR(INDEX(база!T:T, MATCH(F763,база!Q:Q,0)),"")</f>
        <v/>
      </c>
      <c r="AR763" s="193">
        <f>IFERROR(INDEX(база!D:D, MATCH(F763,база!B:B,0)),"")</f>
        <v>0</v>
      </c>
    </row>
    <row r="764" spans="1:44" ht="15">
      <c r="A764" s="59"/>
      <c r="B764" s="215"/>
      <c r="C764" s="277"/>
      <c r="D764" s="55"/>
      <c r="E764" s="196"/>
      <c r="F764" s="651"/>
      <c r="G764" s="42"/>
      <c r="H764" s="539"/>
      <c r="I764" s="539"/>
      <c r="J764" s="539"/>
      <c r="K764" s="539"/>
      <c r="L764" s="539"/>
      <c r="M764" s="539"/>
      <c r="N764" s="539"/>
      <c r="O764" s="539"/>
      <c r="P764" s="278"/>
      <c r="Q764" s="539"/>
      <c r="R764" s="539"/>
      <c r="S764" s="539"/>
      <c r="T764" s="539"/>
      <c r="U764" s="539"/>
      <c r="V764" s="539"/>
      <c r="W764" s="539"/>
      <c r="X764" s="539"/>
      <c r="Y764" s="539"/>
      <c r="Z764" s="539"/>
      <c r="AA764" s="539"/>
      <c r="AB764" s="539"/>
      <c r="AC764" s="539"/>
      <c r="AD764" s="43"/>
      <c r="AE764" s="43"/>
      <c r="AF764" s="238"/>
      <c r="AG764" s="43"/>
      <c r="AH764" s="43"/>
      <c r="AI764" s="43"/>
      <c r="AJ764" s="43"/>
      <c r="AK764" s="43"/>
      <c r="AL764" s="45"/>
      <c r="AM764" s="197">
        <f>IF(AQ764=1,SUM(H764:I764,L764:O764,R764:U764,X764:AA764,AD764:AG764,AI764:AK764),
IF(AQ764=2,SUM(H764:K764,N764:Q764,T764:W764,Z764:AC764,AF764:AI764),
IF(AQ764=3,SUM(J764:M764,P764:S764,V764:Y764,AB764:AE764,AH764:AK764),SUM(Таблица1[[#This Row],[1]:[31]])-Таблица1[[#This Row],[Столбец1]])))</f>
        <v>0</v>
      </c>
      <c r="AN764" s="269">
        <f t="array" ref="AN764">IF(AQ764=1,SUM(J764:K764,P764:Q764,V764:W764,AB764:AC764,AH764:AI764),
IF(AQ764=2,SUM(L764:M764,R764:S764,X764:Y764,AD764:AE764),
IF(AQ764=3,SUM(H764:I764,N764:O764,T764:U764,Z764:AA764,AF764:AG764),
SUM(IFERROR(WEEKDAY($H$2:$AL$2,2)&gt;5,)*H764:AL764))))</f>
        <v>0</v>
      </c>
      <c r="AO764" s="271" t="b">
        <f>IF(AR764&lt;=3,(IF((G764="5/24"),((база!$M$6*Таблица1[[#This Row],[сумма]]*Таблица1[[#This Row],[коэф]])),
IF((G764="4/24"),((база!$M$5*Таблица1[[#This Row],[сумма]]*Таблица1[[#This Row],[коэф]])),
IF((G764="3/24"),((база!$M$4*Таблица1[[#This Row],[сумма]]*Таблица1[[#This Row],[коэф]])),
IF((G764="5/16"),((база!$L$6*Таблица1[[#This Row],[сумма]]*Таблица1[[#This Row],[коэф]])),
IF((G764="4/16"),((база!$L$5*Таблица1[[#This Row],[сумма]]*Таблица1[[#This Row],[коэф]])),
IF((G764="3/16"),((база!$L$4*Таблица1[[#This Row],[сумма]]*Таблица1[[#This Row],[коэф]])),
IF((G764="4/4"),((база!$I$5*Таблица1[[#This Row],[сумма]]*Таблица1[[#This Row],[коэф]])),
IF(OR(G764="2/4",G764="3/4"),((база!$I$4*Таблица1[[#This Row],[сумма]]*Таблица1[[#This Row],[коэф]])),
IF((G764="5/8"),((база!$J$6*Таблица1[[#This Row],[сумма]]*Таблица1[[#This Row],[коэф]])),
IF((G764="4/8"),((база!$J$5*Таблица1[[#This Row],[сумма]]*Таблица1[[#This Row],[коэф]])),
IF(OR(G764="3/8",G764="2/8"),((база!$J$4*Таблица1[[#This Row],[сумма]]*Таблица1[[#This Row],[коэф]])))))))))))))),
(IF((G764="5/24"),((база!$M$6*Таблица1[[#This Row],[сумма]]*Таблица1[[#This Row],[коэф]])),
IF(OR(G764="4/24",G764="3/24"),((база!$M$5*Таблица1[[#This Row],[сумма]]*Таблица1[[#This Row],[коэф]])),
IF((G764="5/16"),((база!$L$6*Таблица1[[#This Row],[сумма]]*Таблица1[[#This Row],[коэф]])),
IF(OR(G764="4/16",G764="3/16"),((база!$L$5*Таблица1[[#This Row],[сумма]]*Таблица1[[#This Row],[коэф]])),
IF(OR(G764="2/4",G764="3/4",G764="4/4"),((база!$I$5*Таблица1[[#This Row],[сумма]]*Таблица1[[#This Row],[коэф]])),
IF((G764="5/8"),((база!$J$6*Таблица1[[#This Row],[сумма]]*Таблица1[[#This Row],[коэф]])),
IF(OR(G764="4/8",G764="3/8",G764="2/8"),((база!$J$5*Таблица1[[#This Row],[сумма]]*Таблица1[[#This Row],[коэф]])))))))))))</f>
        <v>0</v>
      </c>
      <c r="AP764" s="696" t="b">
        <f>IF(AR764&lt;=3,(IF((G764="5/24"),((база!$M$6*2*Таблица1[[#This Row],[Столбец1]]*Таблица1[[#This Row],[коэф]])),
IF((G764="4/24"),((база!$M$5*2*Таблица1[[#This Row],[Столбец1]]*Таблица1[[#This Row],[коэф]])),
IF((G764="3/24"),((база!$M$4*2*Таблица1[[#This Row],[Столбец1]]*Таблица1[[#This Row],[коэф]])),
IF((G764="5/16"),((база!$L$6*2*Таблица1[[#This Row],[Столбец1]]*Таблица1[[#This Row],[коэф]])),
IF((G764="4/16"),((база!$L$5*2*Таблица1[[#This Row],[Столбец1]]*Таблица1[[#This Row],[коэф]])),
IF((G764="3/16"),((база!$L$4*2*Таблица1[[#This Row],[Столбец1]]*Таблица1[[#This Row],[коэф]])),
IF((G764="4/4"),((база!$I$5*2*Таблица1[[#This Row],[Столбец1]]*Таблица1[[#This Row],[коэф]])),
IF(OR(G764="2/4",G764="3/4"),((база!$I$4*2*Таблица1[[#This Row],[Столбец1]]*Таблица1[[#This Row],[коэф]])),
IF((G764="5/8"),((база!$J$6*2*Таблица1[[#This Row],[Столбец1]]*Таблица1[[#This Row],[коэф]])),
IF((G764="4/8"),((база!$J$5*2*Таблица1[[#This Row],[Столбец1]]*Таблица1[[#This Row],[коэф]])),
IF(OR(G764="3/8",G764="2/8"),((база!$J$4*2*Таблица1[[#This Row],[Столбец1]]*Таблица1[[#This Row],[коэф]])))))))))))))),
(IF((G764="5/24"),((база!$M$6*2*Таблица1[[#This Row],[Столбец1]]*Таблица1[[#This Row],[коэф]])),
IF(OR(G764="4/24",G764="3/24"),((база!$M$5*2*Таблица1[[#This Row],[Столбец1]]*Таблица1[[#This Row],[коэф]])),
IF((G764="5/16"),((база!$L$6*2*Таблица1[[#This Row],[Столбец1]]*Таблица1[[#This Row],[коэф]])),
IF(OR(G764="4/16",G764="3/16"),((база!$L$5*2*Таблица1[[#This Row],[Столбец1]]*Таблица1[[#This Row],[коэф]])),
IF(OR(G764="2/4",G764="3/4",G764="4/4"),((база!$I$5*2*Таблица1[[#This Row],[Столбец1]]*Таблица1[[#This Row],[коэф]])),
IF((G764="5/8"),((база!$J$6*2*Таблица1[[#This Row],[Столбец1]]*Таблица1[[#This Row],[коэф]])),
IF(OR(G764="4/8",G764="3/8",G764="2/8"),((база!$J$5*2*Таблица1[[#This Row],[Столбец1]]*Таблица1[[#This Row],[коэф]])))))))))))</f>
        <v>0</v>
      </c>
      <c r="AQ764" s="678" t="str">
        <f>IFERROR(INDEX(база!T:T, MATCH(F764,база!Q:Q,0)),"")</f>
        <v/>
      </c>
      <c r="AR764" s="193">
        <f>IFERROR(INDEX(база!D:D, MATCH(F764,база!B:B,0)),"")</f>
        <v>0</v>
      </c>
    </row>
    <row r="765" spans="1:44" ht="15">
      <c r="A765" s="59"/>
      <c r="B765" s="215"/>
      <c r="C765" s="54"/>
      <c r="D765" s="55"/>
      <c r="E765" s="196"/>
      <c r="F765" s="651"/>
      <c r="G765" s="42"/>
      <c r="H765" s="539"/>
      <c r="I765" s="539"/>
      <c r="J765" s="539"/>
      <c r="K765" s="539"/>
      <c r="L765" s="539"/>
      <c r="M765" s="539"/>
      <c r="N765" s="539"/>
      <c r="O765" s="539"/>
      <c r="P765" s="278"/>
      <c r="Q765" s="539"/>
      <c r="R765" s="539"/>
      <c r="S765" s="539"/>
      <c r="T765" s="539"/>
      <c r="U765" s="539"/>
      <c r="V765" s="539"/>
      <c r="W765" s="539"/>
      <c r="X765" s="539"/>
      <c r="Y765" s="539"/>
      <c r="Z765" s="539"/>
      <c r="AA765" s="539"/>
      <c r="AB765" s="539"/>
      <c r="AC765" s="539"/>
      <c r="AD765" s="43"/>
      <c r="AE765" s="43"/>
      <c r="AF765" s="238"/>
      <c r="AG765" s="43"/>
      <c r="AH765" s="43"/>
      <c r="AI765" s="238"/>
      <c r="AJ765" s="238"/>
      <c r="AK765" s="238"/>
      <c r="AL765" s="238"/>
      <c r="AM765" s="197">
        <f>IF(AQ765=1,SUM(H765:I765,L765:O765,R765:U765,X765:AA765,AD765:AG765,AI765:AK765),
IF(AQ765=2,SUM(H765:K765,N765:Q765,T765:W765,Z765:AC765,AF765:AI765),
IF(AQ765=3,SUM(J765:M765,P765:S765,V765:Y765,AB765:AE765,AH765:AK765),SUM(Таблица1[[#This Row],[1]:[31]])-Таблица1[[#This Row],[Столбец1]])))</f>
        <v>0</v>
      </c>
      <c r="AN765" s="269">
        <f t="array" ref="AN765">IF(AQ765=1,SUM(J765:K765,P765:Q765,V765:W765,AB765:AC765,AH765:AI765),
IF(AQ765=2,SUM(L765:M765,R765:S765,X765:Y765,AD765:AE765),
IF(AQ765=3,SUM(H765:I765,N765:O765,T765:U765,Z765:AA765,AF765:AG765),
SUM(IFERROR(WEEKDAY($H$2:$AL$2,2)&gt;5,)*H765:AL765))))</f>
        <v>0</v>
      </c>
      <c r="AO765" s="271" t="b">
        <f>IF(AR765&lt;=3,(IF((G765="5/24"),((база!$M$6*Таблица1[[#This Row],[сумма]]*Таблица1[[#This Row],[коэф]])),
IF((G765="4/24"),((база!$M$5*Таблица1[[#This Row],[сумма]]*Таблица1[[#This Row],[коэф]])),
IF((G765="3/24"),((база!$M$4*Таблица1[[#This Row],[сумма]]*Таблица1[[#This Row],[коэф]])),
IF((G765="5/16"),((база!$L$6*Таблица1[[#This Row],[сумма]]*Таблица1[[#This Row],[коэф]])),
IF((G765="4/16"),((база!$L$5*Таблица1[[#This Row],[сумма]]*Таблица1[[#This Row],[коэф]])),
IF((G765="3/16"),((база!$L$4*Таблица1[[#This Row],[сумма]]*Таблица1[[#This Row],[коэф]])),
IF((G765="4/4"),((база!$I$5*Таблица1[[#This Row],[сумма]]*Таблица1[[#This Row],[коэф]])),
IF(OR(G765="2/4",G765="3/4"),((база!$I$4*Таблица1[[#This Row],[сумма]]*Таблица1[[#This Row],[коэф]])),
IF((G765="5/8"),((база!$J$6*Таблица1[[#This Row],[сумма]]*Таблица1[[#This Row],[коэф]])),
IF((G765="4/8"),((база!$J$5*Таблица1[[#This Row],[сумма]]*Таблица1[[#This Row],[коэф]])),
IF(OR(G765="3/8",G765="2/8"),((база!$J$4*Таблица1[[#This Row],[сумма]]*Таблица1[[#This Row],[коэф]])))))))))))))),
(IF((G765="5/24"),((база!$M$6*Таблица1[[#This Row],[сумма]]*Таблица1[[#This Row],[коэф]])),
IF(OR(G765="4/24",G765="3/24"),((база!$M$5*Таблица1[[#This Row],[сумма]]*Таблица1[[#This Row],[коэф]])),
IF((G765="5/16"),((база!$L$6*Таблица1[[#This Row],[сумма]]*Таблица1[[#This Row],[коэф]])),
IF(OR(G765="4/16",G765="3/16"),((база!$L$5*Таблица1[[#This Row],[сумма]]*Таблица1[[#This Row],[коэф]])),
IF(OR(G765="2/4",G765="3/4",G765="4/4"),((база!$I$5*Таблица1[[#This Row],[сумма]]*Таблица1[[#This Row],[коэф]])),
IF((G765="5/8"),((база!$J$6*Таблица1[[#This Row],[сумма]]*Таблица1[[#This Row],[коэф]])),
IF(OR(G765="4/8",G765="3/8",G765="2/8"),((база!$J$5*Таблица1[[#This Row],[сумма]]*Таблица1[[#This Row],[коэф]])))))))))))</f>
        <v>0</v>
      </c>
      <c r="AP765" s="696" t="b">
        <f>IF(AR765&lt;=3,(IF((G765="5/24"),((база!$M$6*2*Таблица1[[#This Row],[Столбец1]]*Таблица1[[#This Row],[коэф]])),
IF((G765="4/24"),((база!$M$5*2*Таблица1[[#This Row],[Столбец1]]*Таблица1[[#This Row],[коэф]])),
IF((G765="3/24"),((база!$M$4*2*Таблица1[[#This Row],[Столбец1]]*Таблица1[[#This Row],[коэф]])),
IF((G765="5/16"),((база!$L$6*2*Таблица1[[#This Row],[Столбец1]]*Таблица1[[#This Row],[коэф]])),
IF((G765="4/16"),((база!$L$5*2*Таблица1[[#This Row],[Столбец1]]*Таблица1[[#This Row],[коэф]])),
IF((G765="3/16"),((база!$L$4*2*Таблица1[[#This Row],[Столбец1]]*Таблица1[[#This Row],[коэф]])),
IF((G765="4/4"),((база!$I$5*2*Таблица1[[#This Row],[Столбец1]]*Таблица1[[#This Row],[коэф]])),
IF(OR(G765="2/4",G765="3/4"),((база!$I$4*2*Таблица1[[#This Row],[Столбец1]]*Таблица1[[#This Row],[коэф]])),
IF((G765="5/8"),((база!$J$6*2*Таблица1[[#This Row],[Столбец1]]*Таблица1[[#This Row],[коэф]])),
IF((G765="4/8"),((база!$J$5*2*Таблица1[[#This Row],[Столбец1]]*Таблица1[[#This Row],[коэф]])),
IF(OR(G765="3/8",G765="2/8"),((база!$J$4*2*Таблица1[[#This Row],[Столбец1]]*Таблица1[[#This Row],[коэф]])))))))))))))),
(IF((G765="5/24"),((база!$M$6*2*Таблица1[[#This Row],[Столбец1]]*Таблица1[[#This Row],[коэф]])),
IF(OR(G765="4/24",G765="3/24"),((база!$M$5*2*Таблица1[[#This Row],[Столбец1]]*Таблица1[[#This Row],[коэф]])),
IF((G765="5/16"),((база!$L$6*2*Таблица1[[#This Row],[Столбец1]]*Таблица1[[#This Row],[коэф]])),
IF(OR(G765="4/16",G765="3/16"),((база!$L$5*2*Таблица1[[#This Row],[Столбец1]]*Таблица1[[#This Row],[коэф]])),
IF(OR(G765="2/4",G765="3/4",G765="4/4"),((база!$I$5*2*Таблица1[[#This Row],[Столбец1]]*Таблица1[[#This Row],[коэф]])),
IF((G765="5/8"),((база!$J$6*2*Таблица1[[#This Row],[Столбец1]]*Таблица1[[#This Row],[коэф]])),
IF(OR(G765="4/8",G765="3/8",G765="2/8"),((база!$J$5*2*Таблица1[[#This Row],[Столбец1]]*Таблица1[[#This Row],[коэф]])))))))))))</f>
        <v>0</v>
      </c>
      <c r="AQ765" s="678" t="str">
        <f>IFERROR(INDEX(база!T:T, MATCH(F765,база!Q:Q,0)),"")</f>
        <v/>
      </c>
      <c r="AR765" s="193">
        <f>IFERROR(INDEX(база!D:D, MATCH(F765,база!B:B,0)),"")</f>
        <v>0</v>
      </c>
    </row>
    <row r="766" spans="1:44" ht="15">
      <c r="A766" s="59"/>
      <c r="B766" s="215"/>
      <c r="C766" s="277"/>
      <c r="D766" s="55"/>
      <c r="E766" s="196"/>
      <c r="F766" s="651"/>
      <c r="G766" s="42"/>
      <c r="H766" s="539"/>
      <c r="I766" s="539"/>
      <c r="J766" s="539"/>
      <c r="K766" s="539"/>
      <c r="L766" s="539"/>
      <c r="M766" s="539"/>
      <c r="N766" s="539"/>
      <c r="O766" s="539"/>
      <c r="P766" s="278"/>
      <c r="Q766" s="539"/>
      <c r="R766" s="539"/>
      <c r="S766" s="539"/>
      <c r="T766" s="539"/>
      <c r="U766" s="539"/>
      <c r="V766" s="539"/>
      <c r="W766" s="539"/>
      <c r="X766" s="539"/>
      <c r="Y766" s="539"/>
      <c r="Z766" s="539"/>
      <c r="AA766" s="539"/>
      <c r="AB766" s="539"/>
      <c r="AC766" s="539"/>
      <c r="AD766" s="43"/>
      <c r="AE766" s="43"/>
      <c r="AF766" s="238"/>
      <c r="AG766" s="43"/>
      <c r="AH766" s="43"/>
      <c r="AI766" s="43"/>
      <c r="AJ766" s="43"/>
      <c r="AK766" s="43"/>
      <c r="AL766" s="45"/>
      <c r="AM766" s="197">
        <f>IF(AQ766=1,SUM(H766:I766,L766:O766,R766:U766,X766:AA766,AD766:AG766,AI766:AK766),
IF(AQ766=2,SUM(H766:K766,N766:Q766,T766:W766,Z766:AC766,AF766:AI766),
IF(AQ766=3,SUM(J766:M766,P766:S766,V766:Y766,AB766:AE766,AH766:AK766),SUM(Таблица1[[#This Row],[1]:[31]])-Таблица1[[#This Row],[Столбец1]])))</f>
        <v>0</v>
      </c>
      <c r="AN766" s="269">
        <f t="array" ref="AN766">IF(AQ766=1,SUM(J766:K766,P766:Q766,V766:W766,AB766:AC766,AH766:AI766),
IF(AQ766=2,SUM(L766:M766,R766:S766,X766:Y766,AD766:AE766),
IF(AQ766=3,SUM(H766:I766,N766:O766,T766:U766,Z766:AA766,AF766:AG766),
SUM(IFERROR(WEEKDAY($H$2:$AL$2,2)&gt;5,)*H766:AL766))))</f>
        <v>0</v>
      </c>
      <c r="AO766" s="271" t="b">
        <f>IF(AR766&lt;=3,(IF((G766="5/24"),((база!$M$6*Таблица1[[#This Row],[сумма]]*Таблица1[[#This Row],[коэф]])),
IF((G766="4/24"),((база!$M$5*Таблица1[[#This Row],[сумма]]*Таблица1[[#This Row],[коэф]])),
IF((G766="3/24"),((база!$M$4*Таблица1[[#This Row],[сумма]]*Таблица1[[#This Row],[коэф]])),
IF((G766="5/16"),((база!$L$6*Таблица1[[#This Row],[сумма]]*Таблица1[[#This Row],[коэф]])),
IF((G766="4/16"),((база!$L$5*Таблица1[[#This Row],[сумма]]*Таблица1[[#This Row],[коэф]])),
IF((G766="3/16"),((база!$L$4*Таблица1[[#This Row],[сумма]]*Таблица1[[#This Row],[коэф]])),
IF((G766="4/4"),((база!$I$5*Таблица1[[#This Row],[сумма]]*Таблица1[[#This Row],[коэф]])),
IF(OR(G766="2/4",G766="3/4"),((база!$I$4*Таблица1[[#This Row],[сумма]]*Таблица1[[#This Row],[коэф]])),
IF((G766="5/8"),((база!$J$6*Таблица1[[#This Row],[сумма]]*Таблица1[[#This Row],[коэф]])),
IF((G766="4/8"),((база!$J$5*Таблица1[[#This Row],[сумма]]*Таблица1[[#This Row],[коэф]])),
IF(OR(G766="3/8",G766="2/8"),((база!$J$4*Таблица1[[#This Row],[сумма]]*Таблица1[[#This Row],[коэф]])))))))))))))),
(IF((G766="5/24"),((база!$M$6*Таблица1[[#This Row],[сумма]]*Таблица1[[#This Row],[коэф]])),
IF(OR(G766="4/24",G766="3/24"),((база!$M$5*Таблица1[[#This Row],[сумма]]*Таблица1[[#This Row],[коэф]])),
IF((G766="5/16"),((база!$L$6*Таблица1[[#This Row],[сумма]]*Таблица1[[#This Row],[коэф]])),
IF(OR(G766="4/16",G766="3/16"),((база!$L$5*Таблица1[[#This Row],[сумма]]*Таблица1[[#This Row],[коэф]])),
IF(OR(G766="2/4",G766="3/4",G766="4/4"),((база!$I$5*Таблица1[[#This Row],[сумма]]*Таблица1[[#This Row],[коэф]])),
IF((G766="5/8"),((база!$J$6*Таблица1[[#This Row],[сумма]]*Таблица1[[#This Row],[коэф]])),
IF(OR(G766="4/8",G766="3/8",G766="2/8"),((база!$J$5*Таблица1[[#This Row],[сумма]]*Таблица1[[#This Row],[коэф]])))))))))))</f>
        <v>0</v>
      </c>
      <c r="AP766" s="696" t="b">
        <f>IF(AR766&lt;=3,(IF((G766="5/24"),((база!$M$6*2*Таблица1[[#This Row],[Столбец1]]*Таблица1[[#This Row],[коэф]])),
IF((G766="4/24"),((база!$M$5*2*Таблица1[[#This Row],[Столбец1]]*Таблица1[[#This Row],[коэф]])),
IF((G766="3/24"),((база!$M$4*2*Таблица1[[#This Row],[Столбец1]]*Таблица1[[#This Row],[коэф]])),
IF((G766="5/16"),((база!$L$6*2*Таблица1[[#This Row],[Столбец1]]*Таблица1[[#This Row],[коэф]])),
IF((G766="4/16"),((база!$L$5*2*Таблица1[[#This Row],[Столбец1]]*Таблица1[[#This Row],[коэф]])),
IF((G766="3/16"),((база!$L$4*2*Таблица1[[#This Row],[Столбец1]]*Таблица1[[#This Row],[коэф]])),
IF((G766="4/4"),((база!$I$5*2*Таблица1[[#This Row],[Столбец1]]*Таблица1[[#This Row],[коэф]])),
IF(OR(G766="2/4",G766="3/4"),((база!$I$4*2*Таблица1[[#This Row],[Столбец1]]*Таблица1[[#This Row],[коэф]])),
IF((G766="5/8"),((база!$J$6*2*Таблица1[[#This Row],[Столбец1]]*Таблица1[[#This Row],[коэф]])),
IF((G766="4/8"),((база!$J$5*2*Таблица1[[#This Row],[Столбец1]]*Таблица1[[#This Row],[коэф]])),
IF(OR(G766="3/8",G766="2/8"),((база!$J$4*2*Таблица1[[#This Row],[Столбец1]]*Таблица1[[#This Row],[коэф]])))))))))))))),
(IF((G766="5/24"),((база!$M$6*2*Таблица1[[#This Row],[Столбец1]]*Таблица1[[#This Row],[коэф]])),
IF(OR(G766="4/24",G766="3/24"),((база!$M$5*2*Таблица1[[#This Row],[Столбец1]]*Таблица1[[#This Row],[коэф]])),
IF((G766="5/16"),((база!$L$6*2*Таблица1[[#This Row],[Столбец1]]*Таблица1[[#This Row],[коэф]])),
IF(OR(G766="4/16",G766="3/16"),((база!$L$5*2*Таблица1[[#This Row],[Столбец1]]*Таблица1[[#This Row],[коэф]])),
IF(OR(G766="2/4",G766="3/4",G766="4/4"),((база!$I$5*2*Таблица1[[#This Row],[Столбец1]]*Таблица1[[#This Row],[коэф]])),
IF((G766="5/8"),((база!$J$6*2*Таблица1[[#This Row],[Столбец1]]*Таблица1[[#This Row],[коэф]])),
IF(OR(G766="4/8",G766="3/8",G766="2/8"),((база!$J$5*2*Таблица1[[#This Row],[Столбец1]]*Таблица1[[#This Row],[коэф]])))))))))))</f>
        <v>0</v>
      </c>
      <c r="AQ766" s="678" t="str">
        <f>IFERROR(INDEX(база!T:T, MATCH(F766,база!Q:Q,0)),"")</f>
        <v/>
      </c>
      <c r="AR766" s="193">
        <f>IFERROR(INDEX(база!D:D, MATCH(F766,база!B:B,0)),"")</f>
        <v>0</v>
      </c>
    </row>
    <row r="767" spans="1:44" ht="15">
      <c r="A767" s="59"/>
      <c r="B767" s="215"/>
      <c r="C767" s="277"/>
      <c r="D767" s="55"/>
      <c r="E767" s="196"/>
      <c r="F767" s="651"/>
      <c r="G767" s="42"/>
      <c r="H767" s="539"/>
      <c r="I767" s="539"/>
      <c r="J767" s="539"/>
      <c r="K767" s="539"/>
      <c r="L767" s="539"/>
      <c r="M767" s="539"/>
      <c r="N767" s="539"/>
      <c r="O767" s="539"/>
      <c r="P767" s="278"/>
      <c r="Q767" s="539"/>
      <c r="R767" s="539"/>
      <c r="S767" s="539"/>
      <c r="T767" s="539"/>
      <c r="U767" s="539"/>
      <c r="V767" s="539"/>
      <c r="W767" s="539"/>
      <c r="X767" s="539"/>
      <c r="Y767" s="539"/>
      <c r="Z767" s="539"/>
      <c r="AA767" s="539"/>
      <c r="AB767" s="539"/>
      <c r="AC767" s="539"/>
      <c r="AD767" s="43"/>
      <c r="AE767" s="43"/>
      <c r="AF767" s="238"/>
      <c r="AG767" s="43"/>
      <c r="AH767" s="43"/>
      <c r="AI767" s="238"/>
      <c r="AJ767" s="238"/>
      <c r="AK767" s="238"/>
      <c r="AL767" s="238"/>
      <c r="AM767" s="197">
        <f>IF(AQ767=1,SUM(H767:I767,L767:O767,R767:U767,X767:AA767,AD767:AG767,AI767:AK767),
IF(AQ767=2,SUM(H767:K767,N767:Q767,T767:W767,Z767:AC767,AF767:AI767),
IF(AQ767=3,SUM(J767:M767,P767:S767,V767:Y767,AB767:AE767,AH767:AK767),SUM(Таблица1[[#This Row],[1]:[31]])-Таблица1[[#This Row],[Столбец1]])))</f>
        <v>0</v>
      </c>
      <c r="AN767" s="269">
        <f t="array" ref="AN767">IF(AQ767=1,SUM(J767:K767,P767:Q767,V767:W767,AB767:AC767,AH767:AI767),
IF(AQ767=2,SUM(L767:M767,R767:S767,X767:Y767,AD767:AE767),
IF(AQ767=3,SUM(H767:I767,N767:O767,T767:U767,Z767:AA767,AF767:AG767),
SUM(IFERROR(WEEKDAY($H$2:$AL$2,2)&gt;5,)*H767:AL767))))</f>
        <v>0</v>
      </c>
      <c r="AO767" s="271" t="b">
        <f>IF(AR767&lt;=3,(IF((G767="5/24"),((база!$M$6*Таблица1[[#This Row],[сумма]]*Таблица1[[#This Row],[коэф]])),
IF((G767="4/24"),((база!$M$5*Таблица1[[#This Row],[сумма]]*Таблица1[[#This Row],[коэф]])),
IF((G767="3/24"),((база!$M$4*Таблица1[[#This Row],[сумма]]*Таблица1[[#This Row],[коэф]])),
IF((G767="5/16"),((база!$L$6*Таблица1[[#This Row],[сумма]]*Таблица1[[#This Row],[коэф]])),
IF((G767="4/16"),((база!$L$5*Таблица1[[#This Row],[сумма]]*Таблица1[[#This Row],[коэф]])),
IF((G767="3/16"),((база!$L$4*Таблица1[[#This Row],[сумма]]*Таблица1[[#This Row],[коэф]])),
IF((G767="4/4"),((база!$I$5*Таблица1[[#This Row],[сумма]]*Таблица1[[#This Row],[коэф]])),
IF(OR(G767="2/4",G767="3/4"),((база!$I$4*Таблица1[[#This Row],[сумма]]*Таблица1[[#This Row],[коэф]])),
IF((G767="5/8"),((база!$J$6*Таблица1[[#This Row],[сумма]]*Таблица1[[#This Row],[коэф]])),
IF((G767="4/8"),((база!$J$5*Таблица1[[#This Row],[сумма]]*Таблица1[[#This Row],[коэф]])),
IF(OR(G767="3/8",G767="2/8"),((база!$J$4*Таблица1[[#This Row],[сумма]]*Таблица1[[#This Row],[коэф]])))))))))))))),
(IF((G767="5/24"),((база!$M$6*Таблица1[[#This Row],[сумма]]*Таблица1[[#This Row],[коэф]])),
IF(OR(G767="4/24",G767="3/24"),((база!$M$5*Таблица1[[#This Row],[сумма]]*Таблица1[[#This Row],[коэф]])),
IF((G767="5/16"),((база!$L$6*Таблица1[[#This Row],[сумма]]*Таблица1[[#This Row],[коэф]])),
IF(OR(G767="4/16",G767="3/16"),((база!$L$5*Таблица1[[#This Row],[сумма]]*Таблица1[[#This Row],[коэф]])),
IF(OR(G767="2/4",G767="3/4",G767="4/4"),((база!$I$5*Таблица1[[#This Row],[сумма]]*Таблица1[[#This Row],[коэф]])),
IF((G767="5/8"),((база!$J$6*Таблица1[[#This Row],[сумма]]*Таблица1[[#This Row],[коэф]])),
IF(OR(G767="4/8",G767="3/8",G767="2/8"),((база!$J$5*Таблица1[[#This Row],[сумма]]*Таблица1[[#This Row],[коэф]])))))))))))</f>
        <v>0</v>
      </c>
      <c r="AP767" s="696" t="b">
        <f>IF(AR767&lt;=3,(IF((G767="5/24"),((база!$M$6*2*Таблица1[[#This Row],[Столбец1]]*Таблица1[[#This Row],[коэф]])),
IF((G767="4/24"),((база!$M$5*2*Таблица1[[#This Row],[Столбец1]]*Таблица1[[#This Row],[коэф]])),
IF((G767="3/24"),((база!$M$4*2*Таблица1[[#This Row],[Столбец1]]*Таблица1[[#This Row],[коэф]])),
IF((G767="5/16"),((база!$L$6*2*Таблица1[[#This Row],[Столбец1]]*Таблица1[[#This Row],[коэф]])),
IF((G767="4/16"),((база!$L$5*2*Таблица1[[#This Row],[Столбец1]]*Таблица1[[#This Row],[коэф]])),
IF((G767="3/16"),((база!$L$4*2*Таблица1[[#This Row],[Столбец1]]*Таблица1[[#This Row],[коэф]])),
IF((G767="4/4"),((база!$I$5*2*Таблица1[[#This Row],[Столбец1]]*Таблица1[[#This Row],[коэф]])),
IF(OR(G767="2/4",G767="3/4"),((база!$I$4*2*Таблица1[[#This Row],[Столбец1]]*Таблица1[[#This Row],[коэф]])),
IF((G767="5/8"),((база!$J$6*2*Таблица1[[#This Row],[Столбец1]]*Таблица1[[#This Row],[коэф]])),
IF((G767="4/8"),((база!$J$5*2*Таблица1[[#This Row],[Столбец1]]*Таблица1[[#This Row],[коэф]])),
IF(OR(G767="3/8",G767="2/8"),((база!$J$4*2*Таблица1[[#This Row],[Столбец1]]*Таблица1[[#This Row],[коэф]])))))))))))))),
(IF((G767="5/24"),((база!$M$6*2*Таблица1[[#This Row],[Столбец1]]*Таблица1[[#This Row],[коэф]])),
IF(OR(G767="4/24",G767="3/24"),((база!$M$5*2*Таблица1[[#This Row],[Столбец1]]*Таблица1[[#This Row],[коэф]])),
IF((G767="5/16"),((база!$L$6*2*Таблица1[[#This Row],[Столбец1]]*Таблица1[[#This Row],[коэф]])),
IF(OR(G767="4/16",G767="3/16"),((база!$L$5*2*Таблица1[[#This Row],[Столбец1]]*Таблица1[[#This Row],[коэф]])),
IF(OR(G767="2/4",G767="3/4",G767="4/4"),((база!$I$5*2*Таблица1[[#This Row],[Столбец1]]*Таблица1[[#This Row],[коэф]])),
IF((G767="5/8"),((база!$J$6*2*Таблица1[[#This Row],[Столбец1]]*Таблица1[[#This Row],[коэф]])),
IF(OR(G767="4/8",G767="3/8",G767="2/8"),((база!$J$5*2*Таблица1[[#This Row],[Столбец1]]*Таблица1[[#This Row],[коэф]])))))))))))</f>
        <v>0</v>
      </c>
      <c r="AQ767" s="678" t="str">
        <f>IFERROR(INDEX(база!T:T, MATCH(F767,база!Q:Q,0)),"")</f>
        <v/>
      </c>
      <c r="AR767" s="193">
        <f>IFERROR(INDEX(база!D:D, MATCH(F767,база!B:B,0)),"")</f>
        <v>0</v>
      </c>
    </row>
    <row r="768" spans="1:44" ht="15">
      <c r="A768" s="59"/>
      <c r="B768" s="215"/>
      <c r="C768" s="277"/>
      <c r="D768" s="55"/>
      <c r="E768" s="196"/>
      <c r="F768" s="651"/>
      <c r="G768" s="42"/>
      <c r="H768" s="539"/>
      <c r="I768" s="539"/>
      <c r="J768" s="539"/>
      <c r="K768" s="539"/>
      <c r="L768" s="539"/>
      <c r="M768" s="539"/>
      <c r="N768" s="539"/>
      <c r="O768" s="539"/>
      <c r="P768" s="278"/>
      <c r="Q768" s="539"/>
      <c r="R768" s="539"/>
      <c r="S768" s="539"/>
      <c r="T768" s="539"/>
      <c r="U768" s="539"/>
      <c r="V768" s="539"/>
      <c r="W768" s="539"/>
      <c r="X768" s="539"/>
      <c r="Y768" s="539"/>
      <c r="Z768" s="539"/>
      <c r="AA768" s="539"/>
      <c r="AB768" s="539"/>
      <c r="AC768" s="539"/>
      <c r="AD768" s="43"/>
      <c r="AE768" s="43"/>
      <c r="AF768" s="238"/>
      <c r="AG768" s="43"/>
      <c r="AH768" s="43"/>
      <c r="AI768" s="43"/>
      <c r="AJ768" s="43"/>
      <c r="AK768" s="43"/>
      <c r="AL768" s="45"/>
      <c r="AM768" s="197">
        <f>IF(AQ768=1,SUM(H768:I768,L768:O768,R768:U768,X768:AA768,AD768:AG768,AI768:AK768),
IF(AQ768=2,SUM(H768:K768,N768:Q768,T768:W768,Z768:AC768,AF768:AI768),
IF(AQ768=3,SUM(J768:M768,P768:S768,V768:Y768,AB768:AE768,AH768:AK768),SUM(Таблица1[[#This Row],[1]:[31]])-Таблица1[[#This Row],[Столбец1]])))</f>
        <v>0</v>
      </c>
      <c r="AN768" s="269">
        <f t="array" ref="AN768">IF(AQ768=1,SUM(J768:K768,P768:Q768,V768:W768,AB768:AC768,AH768:AI768),
IF(AQ768=2,SUM(L768:M768,R768:S768,X768:Y768,AD768:AE768),
IF(AQ768=3,SUM(H768:I768,N768:O768,T768:U768,Z768:AA768,AF768:AG768),
SUM(IFERROR(WEEKDAY($H$2:$AL$2,2)&gt;5,)*H768:AL768))))</f>
        <v>0</v>
      </c>
      <c r="AO768" s="271" t="b">
        <f>IF(AR768&lt;=3,(IF((G768="5/24"),((база!$M$6*Таблица1[[#This Row],[сумма]]*Таблица1[[#This Row],[коэф]])),
IF((G768="4/24"),((база!$M$5*Таблица1[[#This Row],[сумма]]*Таблица1[[#This Row],[коэф]])),
IF((G768="3/24"),((база!$M$4*Таблица1[[#This Row],[сумма]]*Таблица1[[#This Row],[коэф]])),
IF((G768="5/16"),((база!$L$6*Таблица1[[#This Row],[сумма]]*Таблица1[[#This Row],[коэф]])),
IF((G768="4/16"),((база!$L$5*Таблица1[[#This Row],[сумма]]*Таблица1[[#This Row],[коэф]])),
IF((G768="3/16"),((база!$L$4*Таблица1[[#This Row],[сумма]]*Таблица1[[#This Row],[коэф]])),
IF((G768="4/4"),((база!$I$5*Таблица1[[#This Row],[сумма]]*Таблица1[[#This Row],[коэф]])),
IF(OR(G768="2/4",G768="3/4"),((база!$I$4*Таблица1[[#This Row],[сумма]]*Таблица1[[#This Row],[коэф]])),
IF((G768="5/8"),((база!$J$6*Таблица1[[#This Row],[сумма]]*Таблица1[[#This Row],[коэф]])),
IF((G768="4/8"),((база!$J$5*Таблица1[[#This Row],[сумма]]*Таблица1[[#This Row],[коэф]])),
IF(OR(G768="3/8",G768="2/8"),((база!$J$4*Таблица1[[#This Row],[сумма]]*Таблица1[[#This Row],[коэф]])))))))))))))),
(IF((G768="5/24"),((база!$M$6*Таблица1[[#This Row],[сумма]]*Таблица1[[#This Row],[коэф]])),
IF(OR(G768="4/24",G768="3/24"),((база!$M$5*Таблица1[[#This Row],[сумма]]*Таблица1[[#This Row],[коэф]])),
IF((G768="5/16"),((база!$L$6*Таблица1[[#This Row],[сумма]]*Таблица1[[#This Row],[коэф]])),
IF(OR(G768="4/16",G768="3/16"),((база!$L$5*Таблица1[[#This Row],[сумма]]*Таблица1[[#This Row],[коэф]])),
IF(OR(G768="2/4",G768="3/4",G768="4/4"),((база!$I$5*Таблица1[[#This Row],[сумма]]*Таблица1[[#This Row],[коэф]])),
IF((G768="5/8"),((база!$J$6*Таблица1[[#This Row],[сумма]]*Таблица1[[#This Row],[коэф]])),
IF(OR(G768="4/8",G768="3/8",G768="2/8"),((база!$J$5*Таблица1[[#This Row],[сумма]]*Таблица1[[#This Row],[коэф]])))))))))))</f>
        <v>0</v>
      </c>
      <c r="AP768" s="696" t="b">
        <f>IF(AR768&lt;=3,(IF((G768="5/24"),((база!$M$6*2*Таблица1[[#This Row],[Столбец1]]*Таблица1[[#This Row],[коэф]])),
IF((G768="4/24"),((база!$M$5*2*Таблица1[[#This Row],[Столбец1]]*Таблица1[[#This Row],[коэф]])),
IF((G768="3/24"),((база!$M$4*2*Таблица1[[#This Row],[Столбец1]]*Таблица1[[#This Row],[коэф]])),
IF((G768="5/16"),((база!$L$6*2*Таблица1[[#This Row],[Столбец1]]*Таблица1[[#This Row],[коэф]])),
IF((G768="4/16"),((база!$L$5*2*Таблица1[[#This Row],[Столбец1]]*Таблица1[[#This Row],[коэф]])),
IF((G768="3/16"),((база!$L$4*2*Таблица1[[#This Row],[Столбец1]]*Таблица1[[#This Row],[коэф]])),
IF((G768="4/4"),((база!$I$5*2*Таблица1[[#This Row],[Столбец1]]*Таблица1[[#This Row],[коэф]])),
IF(OR(G768="2/4",G768="3/4"),((база!$I$4*2*Таблица1[[#This Row],[Столбец1]]*Таблица1[[#This Row],[коэф]])),
IF((G768="5/8"),((база!$J$6*2*Таблица1[[#This Row],[Столбец1]]*Таблица1[[#This Row],[коэф]])),
IF((G768="4/8"),((база!$J$5*2*Таблица1[[#This Row],[Столбец1]]*Таблица1[[#This Row],[коэф]])),
IF(OR(G768="3/8",G768="2/8"),((база!$J$4*2*Таблица1[[#This Row],[Столбец1]]*Таблица1[[#This Row],[коэф]])))))))))))))),
(IF((G768="5/24"),((база!$M$6*2*Таблица1[[#This Row],[Столбец1]]*Таблица1[[#This Row],[коэф]])),
IF(OR(G768="4/24",G768="3/24"),((база!$M$5*2*Таблица1[[#This Row],[Столбец1]]*Таблица1[[#This Row],[коэф]])),
IF((G768="5/16"),((база!$L$6*2*Таблица1[[#This Row],[Столбец1]]*Таблица1[[#This Row],[коэф]])),
IF(OR(G768="4/16",G768="3/16"),((база!$L$5*2*Таблица1[[#This Row],[Столбец1]]*Таблица1[[#This Row],[коэф]])),
IF(OR(G768="2/4",G768="3/4",G768="4/4"),((база!$I$5*2*Таблица1[[#This Row],[Столбец1]]*Таблица1[[#This Row],[коэф]])),
IF((G768="5/8"),((база!$J$6*2*Таблица1[[#This Row],[Столбец1]]*Таблица1[[#This Row],[коэф]])),
IF(OR(G768="4/8",G768="3/8",G768="2/8"),((база!$J$5*2*Таблица1[[#This Row],[Столбец1]]*Таблица1[[#This Row],[коэф]])))))))))))</f>
        <v>0</v>
      </c>
      <c r="AQ768" s="678" t="str">
        <f>IFERROR(INDEX(база!T:T, MATCH(F768,база!Q:Q,0)),"")</f>
        <v/>
      </c>
      <c r="AR768" s="193">
        <f>IFERROR(INDEX(база!D:D, MATCH(F768,база!B:B,0)),"")</f>
        <v>0</v>
      </c>
    </row>
    <row r="769" spans="1:44" ht="15">
      <c r="A769" s="59"/>
      <c r="B769" s="215"/>
      <c r="C769" s="277"/>
      <c r="D769" s="55"/>
      <c r="E769" s="196"/>
      <c r="F769" s="651"/>
      <c r="G769" s="42"/>
      <c r="H769" s="539"/>
      <c r="I769" s="539"/>
      <c r="J769" s="539"/>
      <c r="K769" s="539"/>
      <c r="L769" s="539"/>
      <c r="M769" s="539"/>
      <c r="N769" s="539"/>
      <c r="O769" s="539"/>
      <c r="P769" s="278"/>
      <c r="Q769" s="539"/>
      <c r="R769" s="539"/>
      <c r="S769" s="539"/>
      <c r="T769" s="539"/>
      <c r="U769" s="539"/>
      <c r="V769" s="539"/>
      <c r="W769" s="539"/>
      <c r="X769" s="539"/>
      <c r="Y769" s="539"/>
      <c r="Z769" s="539"/>
      <c r="AA769" s="539"/>
      <c r="AB769" s="539"/>
      <c r="AC769" s="539"/>
      <c r="AD769" s="43"/>
      <c r="AE769" s="43"/>
      <c r="AF769" s="238"/>
      <c r="AG769" s="43"/>
      <c r="AH769" s="43"/>
      <c r="AI769" s="238"/>
      <c r="AJ769" s="238"/>
      <c r="AK769" s="238"/>
      <c r="AL769" s="238"/>
      <c r="AM769" s="197">
        <f>IF(AQ769=1,SUM(H769:I769,L769:O769,R769:U769,X769:AA769,AD769:AG769,AI769:AK769),
IF(AQ769=2,SUM(H769:K769,N769:Q769,T769:W769,Z769:AC769,AF769:AI769),
IF(AQ769=3,SUM(J769:M769,P769:S769,V769:Y769,AB769:AE769,AH769:AK769),SUM(Таблица1[[#This Row],[1]:[31]])-Таблица1[[#This Row],[Столбец1]])))</f>
        <v>0</v>
      </c>
      <c r="AN769" s="269">
        <f t="array" ref="AN769">IF(AQ769=1,SUM(J769:K769,P769:Q769,V769:W769,AB769:AC769,AH769:AI769),
IF(AQ769=2,SUM(L769:M769,R769:S769,X769:Y769,AD769:AE769),
IF(AQ769=3,SUM(H769:I769,N769:O769,T769:U769,Z769:AA769,AF769:AG769),
SUM(IFERROR(WEEKDAY($H$2:$AL$2,2)&gt;5,)*H769:AL769))))</f>
        <v>0</v>
      </c>
      <c r="AO769" s="271" t="b">
        <f>IF(AR769&lt;=3,(IF((G769="5/24"),((база!$M$6*Таблица1[[#This Row],[сумма]]*Таблица1[[#This Row],[коэф]])),
IF((G769="4/24"),((база!$M$5*Таблица1[[#This Row],[сумма]]*Таблица1[[#This Row],[коэф]])),
IF((G769="3/24"),((база!$M$4*Таблица1[[#This Row],[сумма]]*Таблица1[[#This Row],[коэф]])),
IF((G769="5/16"),((база!$L$6*Таблица1[[#This Row],[сумма]]*Таблица1[[#This Row],[коэф]])),
IF((G769="4/16"),((база!$L$5*Таблица1[[#This Row],[сумма]]*Таблица1[[#This Row],[коэф]])),
IF((G769="3/16"),((база!$L$4*Таблица1[[#This Row],[сумма]]*Таблица1[[#This Row],[коэф]])),
IF((G769="4/4"),((база!$I$5*Таблица1[[#This Row],[сумма]]*Таблица1[[#This Row],[коэф]])),
IF(OR(G769="2/4",G769="3/4"),((база!$I$4*Таблица1[[#This Row],[сумма]]*Таблица1[[#This Row],[коэф]])),
IF((G769="5/8"),((база!$J$6*Таблица1[[#This Row],[сумма]]*Таблица1[[#This Row],[коэф]])),
IF((G769="4/8"),((база!$J$5*Таблица1[[#This Row],[сумма]]*Таблица1[[#This Row],[коэф]])),
IF(OR(G769="3/8",G769="2/8"),((база!$J$4*Таблица1[[#This Row],[сумма]]*Таблица1[[#This Row],[коэф]])))))))))))))),
(IF((G769="5/24"),((база!$M$6*Таблица1[[#This Row],[сумма]]*Таблица1[[#This Row],[коэф]])),
IF(OR(G769="4/24",G769="3/24"),((база!$M$5*Таблица1[[#This Row],[сумма]]*Таблица1[[#This Row],[коэф]])),
IF((G769="5/16"),((база!$L$6*Таблица1[[#This Row],[сумма]]*Таблица1[[#This Row],[коэф]])),
IF(OR(G769="4/16",G769="3/16"),((база!$L$5*Таблица1[[#This Row],[сумма]]*Таблица1[[#This Row],[коэф]])),
IF(OR(G769="2/4",G769="3/4",G769="4/4"),((база!$I$5*Таблица1[[#This Row],[сумма]]*Таблица1[[#This Row],[коэф]])),
IF((G769="5/8"),((база!$J$6*Таблица1[[#This Row],[сумма]]*Таблица1[[#This Row],[коэф]])),
IF(OR(G769="4/8",G769="3/8",G769="2/8"),((база!$J$5*Таблица1[[#This Row],[сумма]]*Таблица1[[#This Row],[коэф]])))))))))))</f>
        <v>0</v>
      </c>
      <c r="AP769" s="696" t="b">
        <f>IF(AR769&lt;=3,(IF((G769="5/24"),((база!$M$6*2*Таблица1[[#This Row],[Столбец1]]*Таблица1[[#This Row],[коэф]])),
IF((G769="4/24"),((база!$M$5*2*Таблица1[[#This Row],[Столбец1]]*Таблица1[[#This Row],[коэф]])),
IF((G769="3/24"),((база!$M$4*2*Таблица1[[#This Row],[Столбец1]]*Таблица1[[#This Row],[коэф]])),
IF((G769="5/16"),((база!$L$6*2*Таблица1[[#This Row],[Столбец1]]*Таблица1[[#This Row],[коэф]])),
IF((G769="4/16"),((база!$L$5*2*Таблица1[[#This Row],[Столбец1]]*Таблица1[[#This Row],[коэф]])),
IF((G769="3/16"),((база!$L$4*2*Таблица1[[#This Row],[Столбец1]]*Таблица1[[#This Row],[коэф]])),
IF((G769="4/4"),((база!$I$5*2*Таблица1[[#This Row],[Столбец1]]*Таблица1[[#This Row],[коэф]])),
IF(OR(G769="2/4",G769="3/4"),((база!$I$4*2*Таблица1[[#This Row],[Столбец1]]*Таблица1[[#This Row],[коэф]])),
IF((G769="5/8"),((база!$J$6*2*Таблица1[[#This Row],[Столбец1]]*Таблица1[[#This Row],[коэф]])),
IF((G769="4/8"),((база!$J$5*2*Таблица1[[#This Row],[Столбец1]]*Таблица1[[#This Row],[коэф]])),
IF(OR(G769="3/8",G769="2/8"),((база!$J$4*2*Таблица1[[#This Row],[Столбец1]]*Таблица1[[#This Row],[коэф]])))))))))))))),
(IF((G769="5/24"),((база!$M$6*2*Таблица1[[#This Row],[Столбец1]]*Таблица1[[#This Row],[коэф]])),
IF(OR(G769="4/24",G769="3/24"),((база!$M$5*2*Таблица1[[#This Row],[Столбец1]]*Таблица1[[#This Row],[коэф]])),
IF((G769="5/16"),((база!$L$6*2*Таблица1[[#This Row],[Столбец1]]*Таблица1[[#This Row],[коэф]])),
IF(OR(G769="4/16",G769="3/16"),((база!$L$5*2*Таблица1[[#This Row],[Столбец1]]*Таблица1[[#This Row],[коэф]])),
IF(OR(G769="2/4",G769="3/4",G769="4/4"),((база!$I$5*2*Таблица1[[#This Row],[Столбец1]]*Таблица1[[#This Row],[коэф]])),
IF((G769="5/8"),((база!$J$6*2*Таблица1[[#This Row],[Столбец1]]*Таблица1[[#This Row],[коэф]])),
IF(OR(G769="4/8",G769="3/8",G769="2/8"),((база!$J$5*2*Таблица1[[#This Row],[Столбец1]]*Таблица1[[#This Row],[коэф]])))))))))))</f>
        <v>0</v>
      </c>
      <c r="AQ769" s="678" t="str">
        <f>IFERROR(INDEX(база!T:T, MATCH(F769,база!Q:Q,0)),"")</f>
        <v/>
      </c>
      <c r="AR769" s="193">
        <f>IFERROR(INDEX(база!D:D, MATCH(F769,база!B:B,0)),"")</f>
        <v>0</v>
      </c>
    </row>
    <row r="770" spans="1:44" ht="15">
      <c r="A770" s="59"/>
      <c r="B770" s="215"/>
      <c r="C770" s="277"/>
      <c r="D770" s="55"/>
      <c r="E770" s="196"/>
      <c r="F770" s="651"/>
      <c r="G770" s="42"/>
      <c r="H770" s="539"/>
      <c r="I770" s="539"/>
      <c r="J770" s="539"/>
      <c r="K770" s="539"/>
      <c r="L770" s="539"/>
      <c r="M770" s="539"/>
      <c r="N770" s="539"/>
      <c r="O770" s="539"/>
      <c r="P770" s="278"/>
      <c r="Q770" s="539"/>
      <c r="R770" s="539"/>
      <c r="S770" s="539"/>
      <c r="T770" s="539"/>
      <c r="U770" s="539"/>
      <c r="V770" s="539"/>
      <c r="W770" s="539"/>
      <c r="X770" s="539"/>
      <c r="Y770" s="539"/>
      <c r="Z770" s="539"/>
      <c r="AA770" s="539"/>
      <c r="AB770" s="539"/>
      <c r="AC770" s="539"/>
      <c r="AD770" s="43"/>
      <c r="AE770" s="43"/>
      <c r="AF770" s="238"/>
      <c r="AG770" s="43"/>
      <c r="AH770" s="43"/>
      <c r="AI770" s="43"/>
      <c r="AJ770" s="43"/>
      <c r="AK770" s="43"/>
      <c r="AL770" s="45"/>
      <c r="AM770" s="197">
        <f>IF(AQ770=1,SUM(H770:I770,L770:O770,R770:U770,X770:AA770,AD770:AG770,AI770:AK770),
IF(AQ770=2,SUM(H770:K770,N770:Q770,T770:W770,Z770:AC770,AF770:AI770),
IF(AQ770=3,SUM(J770:M770,P770:S770,V770:Y770,AB770:AE770,AH770:AK770),SUM(Таблица1[[#This Row],[1]:[31]])-Таблица1[[#This Row],[Столбец1]])))</f>
        <v>0</v>
      </c>
      <c r="AN770" s="269">
        <f t="array" ref="AN770">IF(AQ770=1,SUM(J770:K770,P770:Q770,V770:W770,AB770:AC770,AH770:AI770),
IF(AQ770=2,SUM(L770:M770,R770:S770,X770:Y770,AD770:AE770),
IF(AQ770=3,SUM(H770:I770,N770:O770,T770:U770,Z770:AA770,AF770:AG770),
SUM(IFERROR(WEEKDAY($H$2:$AL$2,2)&gt;5,)*H770:AL770))))</f>
        <v>0</v>
      </c>
      <c r="AO770" s="271" t="b">
        <f>IF(AR770&lt;=3,(IF((G770="5/24"),((база!$M$6*Таблица1[[#This Row],[сумма]]*Таблица1[[#This Row],[коэф]])),
IF((G770="4/24"),((база!$M$5*Таблица1[[#This Row],[сумма]]*Таблица1[[#This Row],[коэф]])),
IF((G770="3/24"),((база!$M$4*Таблица1[[#This Row],[сумма]]*Таблица1[[#This Row],[коэф]])),
IF((G770="5/16"),((база!$L$6*Таблица1[[#This Row],[сумма]]*Таблица1[[#This Row],[коэф]])),
IF((G770="4/16"),((база!$L$5*Таблица1[[#This Row],[сумма]]*Таблица1[[#This Row],[коэф]])),
IF((G770="3/16"),((база!$L$4*Таблица1[[#This Row],[сумма]]*Таблица1[[#This Row],[коэф]])),
IF((G770="4/4"),((база!$I$5*Таблица1[[#This Row],[сумма]]*Таблица1[[#This Row],[коэф]])),
IF(OR(G770="2/4",G770="3/4"),((база!$I$4*Таблица1[[#This Row],[сумма]]*Таблица1[[#This Row],[коэф]])),
IF((G770="5/8"),((база!$J$6*Таблица1[[#This Row],[сумма]]*Таблица1[[#This Row],[коэф]])),
IF((G770="4/8"),((база!$J$5*Таблица1[[#This Row],[сумма]]*Таблица1[[#This Row],[коэф]])),
IF(OR(G770="3/8",G770="2/8"),((база!$J$4*Таблица1[[#This Row],[сумма]]*Таблица1[[#This Row],[коэф]])))))))))))))),
(IF((G770="5/24"),((база!$M$6*Таблица1[[#This Row],[сумма]]*Таблица1[[#This Row],[коэф]])),
IF(OR(G770="4/24",G770="3/24"),((база!$M$5*Таблица1[[#This Row],[сумма]]*Таблица1[[#This Row],[коэф]])),
IF((G770="5/16"),((база!$L$6*Таблица1[[#This Row],[сумма]]*Таблица1[[#This Row],[коэф]])),
IF(OR(G770="4/16",G770="3/16"),((база!$L$5*Таблица1[[#This Row],[сумма]]*Таблица1[[#This Row],[коэф]])),
IF(OR(G770="2/4",G770="3/4",G770="4/4"),((база!$I$5*Таблица1[[#This Row],[сумма]]*Таблица1[[#This Row],[коэф]])),
IF((G770="5/8"),((база!$J$6*Таблица1[[#This Row],[сумма]]*Таблица1[[#This Row],[коэф]])),
IF(OR(G770="4/8",G770="3/8",G770="2/8"),((база!$J$5*Таблица1[[#This Row],[сумма]]*Таблица1[[#This Row],[коэф]])))))))))))</f>
        <v>0</v>
      </c>
      <c r="AP770" s="696" t="b">
        <f>IF(AR770&lt;=3,(IF((G770="5/24"),((база!$M$6*2*Таблица1[[#This Row],[Столбец1]]*Таблица1[[#This Row],[коэф]])),
IF((G770="4/24"),((база!$M$5*2*Таблица1[[#This Row],[Столбец1]]*Таблица1[[#This Row],[коэф]])),
IF((G770="3/24"),((база!$M$4*2*Таблица1[[#This Row],[Столбец1]]*Таблица1[[#This Row],[коэф]])),
IF((G770="5/16"),((база!$L$6*2*Таблица1[[#This Row],[Столбец1]]*Таблица1[[#This Row],[коэф]])),
IF((G770="4/16"),((база!$L$5*2*Таблица1[[#This Row],[Столбец1]]*Таблица1[[#This Row],[коэф]])),
IF((G770="3/16"),((база!$L$4*2*Таблица1[[#This Row],[Столбец1]]*Таблица1[[#This Row],[коэф]])),
IF((G770="4/4"),((база!$I$5*2*Таблица1[[#This Row],[Столбец1]]*Таблица1[[#This Row],[коэф]])),
IF(OR(G770="2/4",G770="3/4"),((база!$I$4*2*Таблица1[[#This Row],[Столбец1]]*Таблица1[[#This Row],[коэф]])),
IF((G770="5/8"),((база!$J$6*2*Таблица1[[#This Row],[Столбец1]]*Таблица1[[#This Row],[коэф]])),
IF((G770="4/8"),((база!$J$5*2*Таблица1[[#This Row],[Столбец1]]*Таблица1[[#This Row],[коэф]])),
IF(OR(G770="3/8",G770="2/8"),((база!$J$4*2*Таблица1[[#This Row],[Столбец1]]*Таблица1[[#This Row],[коэф]])))))))))))))),
(IF((G770="5/24"),((база!$M$6*2*Таблица1[[#This Row],[Столбец1]]*Таблица1[[#This Row],[коэф]])),
IF(OR(G770="4/24",G770="3/24"),((база!$M$5*2*Таблица1[[#This Row],[Столбец1]]*Таблица1[[#This Row],[коэф]])),
IF((G770="5/16"),((база!$L$6*2*Таблица1[[#This Row],[Столбец1]]*Таблица1[[#This Row],[коэф]])),
IF(OR(G770="4/16",G770="3/16"),((база!$L$5*2*Таблица1[[#This Row],[Столбец1]]*Таблица1[[#This Row],[коэф]])),
IF(OR(G770="2/4",G770="3/4",G770="4/4"),((база!$I$5*2*Таблица1[[#This Row],[Столбец1]]*Таблица1[[#This Row],[коэф]])),
IF((G770="5/8"),((база!$J$6*2*Таблица1[[#This Row],[Столбец1]]*Таблица1[[#This Row],[коэф]])),
IF(OR(G770="4/8",G770="3/8",G770="2/8"),((база!$J$5*2*Таблица1[[#This Row],[Столбец1]]*Таблица1[[#This Row],[коэф]])))))))))))</f>
        <v>0</v>
      </c>
      <c r="AQ770" s="678" t="str">
        <f>IFERROR(INDEX(база!T:T, MATCH(F770,база!Q:Q,0)),"")</f>
        <v/>
      </c>
      <c r="AR770" s="193">
        <f>IFERROR(INDEX(база!D:D, MATCH(F770,база!B:B,0)),"")</f>
        <v>0</v>
      </c>
    </row>
    <row r="771" spans="1:44" ht="15">
      <c r="A771" s="59"/>
      <c r="B771" s="215"/>
      <c r="C771" s="277"/>
      <c r="D771" s="55"/>
      <c r="E771" s="196"/>
      <c r="F771" s="651"/>
      <c r="G771" s="42"/>
      <c r="H771" s="539"/>
      <c r="I771" s="539"/>
      <c r="J771" s="539"/>
      <c r="K771" s="539"/>
      <c r="L771" s="539"/>
      <c r="M771" s="539"/>
      <c r="N771" s="539"/>
      <c r="O771" s="539"/>
      <c r="P771" s="278"/>
      <c r="Q771" s="539"/>
      <c r="R771" s="539"/>
      <c r="S771" s="539"/>
      <c r="T771" s="539"/>
      <c r="U771" s="539"/>
      <c r="V771" s="539"/>
      <c r="W771" s="539"/>
      <c r="X771" s="539"/>
      <c r="Y771" s="539"/>
      <c r="Z771" s="539"/>
      <c r="AA771" s="539"/>
      <c r="AB771" s="539"/>
      <c r="AC771" s="539"/>
      <c r="AD771" s="43"/>
      <c r="AE771" s="43"/>
      <c r="AF771" s="238"/>
      <c r="AG771" s="43"/>
      <c r="AH771" s="43"/>
      <c r="AI771" s="238"/>
      <c r="AJ771" s="238"/>
      <c r="AK771" s="238"/>
      <c r="AL771" s="238"/>
      <c r="AM771" s="197">
        <f>IF(AQ771=1,SUM(H771:I771,L771:O771,R771:U771,X771:AA771,AD771:AG771,AI771:AK771),
IF(AQ771=2,SUM(H771:K771,N771:Q771,T771:W771,Z771:AC771,AF771:AI771),
IF(AQ771=3,SUM(J771:M771,P771:S771,V771:Y771,AB771:AE771,AH771:AK771),SUM(Таблица1[[#This Row],[1]:[31]])-Таблица1[[#This Row],[Столбец1]])))</f>
        <v>0</v>
      </c>
      <c r="AN771" s="269">
        <f t="array" ref="AN771">IF(AQ771=1,SUM(J771:K771,P771:Q771,V771:W771,AB771:AC771,AH771:AI771),
IF(AQ771=2,SUM(L771:M771,R771:S771,X771:Y771,AD771:AE771),
IF(AQ771=3,SUM(H771:I771,N771:O771,T771:U771,Z771:AA771,AF771:AG771),
SUM(IFERROR(WEEKDAY($H$2:$AL$2,2)&gt;5,)*H771:AL771))))</f>
        <v>0</v>
      </c>
      <c r="AO771" s="271" t="b">
        <f>IF(AR771&lt;=3,(IF((G771="5/24"),((база!$M$6*Таблица1[[#This Row],[сумма]]*Таблица1[[#This Row],[коэф]])),
IF((G771="4/24"),((база!$M$5*Таблица1[[#This Row],[сумма]]*Таблица1[[#This Row],[коэф]])),
IF((G771="3/24"),((база!$M$4*Таблица1[[#This Row],[сумма]]*Таблица1[[#This Row],[коэф]])),
IF((G771="5/16"),((база!$L$6*Таблица1[[#This Row],[сумма]]*Таблица1[[#This Row],[коэф]])),
IF((G771="4/16"),((база!$L$5*Таблица1[[#This Row],[сумма]]*Таблица1[[#This Row],[коэф]])),
IF((G771="3/16"),((база!$L$4*Таблица1[[#This Row],[сумма]]*Таблица1[[#This Row],[коэф]])),
IF((G771="4/4"),((база!$I$5*Таблица1[[#This Row],[сумма]]*Таблица1[[#This Row],[коэф]])),
IF(OR(G771="2/4",G771="3/4"),((база!$I$4*Таблица1[[#This Row],[сумма]]*Таблица1[[#This Row],[коэф]])),
IF((G771="5/8"),((база!$J$6*Таблица1[[#This Row],[сумма]]*Таблица1[[#This Row],[коэф]])),
IF((G771="4/8"),((база!$J$5*Таблица1[[#This Row],[сумма]]*Таблица1[[#This Row],[коэф]])),
IF(OR(G771="3/8",G771="2/8"),((база!$J$4*Таблица1[[#This Row],[сумма]]*Таблица1[[#This Row],[коэф]])))))))))))))),
(IF((G771="5/24"),((база!$M$6*Таблица1[[#This Row],[сумма]]*Таблица1[[#This Row],[коэф]])),
IF(OR(G771="4/24",G771="3/24"),((база!$M$5*Таблица1[[#This Row],[сумма]]*Таблица1[[#This Row],[коэф]])),
IF((G771="5/16"),((база!$L$6*Таблица1[[#This Row],[сумма]]*Таблица1[[#This Row],[коэф]])),
IF(OR(G771="4/16",G771="3/16"),((база!$L$5*Таблица1[[#This Row],[сумма]]*Таблица1[[#This Row],[коэф]])),
IF(OR(G771="2/4",G771="3/4",G771="4/4"),((база!$I$5*Таблица1[[#This Row],[сумма]]*Таблица1[[#This Row],[коэф]])),
IF((G771="5/8"),((база!$J$6*Таблица1[[#This Row],[сумма]]*Таблица1[[#This Row],[коэф]])),
IF(OR(G771="4/8",G771="3/8",G771="2/8"),((база!$J$5*Таблица1[[#This Row],[сумма]]*Таблица1[[#This Row],[коэф]])))))))))))</f>
        <v>0</v>
      </c>
      <c r="AP771" s="696" t="b">
        <f>IF(AR771&lt;=3,(IF((G771="5/24"),((база!$M$6*2*Таблица1[[#This Row],[Столбец1]]*Таблица1[[#This Row],[коэф]])),
IF((G771="4/24"),((база!$M$5*2*Таблица1[[#This Row],[Столбец1]]*Таблица1[[#This Row],[коэф]])),
IF((G771="3/24"),((база!$M$4*2*Таблица1[[#This Row],[Столбец1]]*Таблица1[[#This Row],[коэф]])),
IF((G771="5/16"),((база!$L$6*2*Таблица1[[#This Row],[Столбец1]]*Таблица1[[#This Row],[коэф]])),
IF((G771="4/16"),((база!$L$5*2*Таблица1[[#This Row],[Столбец1]]*Таблица1[[#This Row],[коэф]])),
IF((G771="3/16"),((база!$L$4*2*Таблица1[[#This Row],[Столбец1]]*Таблица1[[#This Row],[коэф]])),
IF((G771="4/4"),((база!$I$5*2*Таблица1[[#This Row],[Столбец1]]*Таблица1[[#This Row],[коэф]])),
IF(OR(G771="2/4",G771="3/4"),((база!$I$4*2*Таблица1[[#This Row],[Столбец1]]*Таблица1[[#This Row],[коэф]])),
IF((G771="5/8"),((база!$J$6*2*Таблица1[[#This Row],[Столбец1]]*Таблица1[[#This Row],[коэф]])),
IF((G771="4/8"),((база!$J$5*2*Таблица1[[#This Row],[Столбец1]]*Таблица1[[#This Row],[коэф]])),
IF(OR(G771="3/8",G771="2/8"),((база!$J$4*2*Таблица1[[#This Row],[Столбец1]]*Таблица1[[#This Row],[коэф]])))))))))))))),
(IF((G771="5/24"),((база!$M$6*2*Таблица1[[#This Row],[Столбец1]]*Таблица1[[#This Row],[коэф]])),
IF(OR(G771="4/24",G771="3/24"),((база!$M$5*2*Таблица1[[#This Row],[Столбец1]]*Таблица1[[#This Row],[коэф]])),
IF((G771="5/16"),((база!$L$6*2*Таблица1[[#This Row],[Столбец1]]*Таблица1[[#This Row],[коэф]])),
IF(OR(G771="4/16",G771="3/16"),((база!$L$5*2*Таблица1[[#This Row],[Столбец1]]*Таблица1[[#This Row],[коэф]])),
IF(OR(G771="2/4",G771="3/4",G771="4/4"),((база!$I$5*2*Таблица1[[#This Row],[Столбец1]]*Таблица1[[#This Row],[коэф]])),
IF((G771="5/8"),((база!$J$6*2*Таблица1[[#This Row],[Столбец1]]*Таблица1[[#This Row],[коэф]])),
IF(OR(G771="4/8",G771="3/8",G771="2/8"),((база!$J$5*2*Таблица1[[#This Row],[Столбец1]]*Таблица1[[#This Row],[коэф]])))))))))))</f>
        <v>0</v>
      </c>
      <c r="AQ771" s="678" t="str">
        <f>IFERROR(INDEX(база!T:T, MATCH(F771,база!Q:Q,0)),"")</f>
        <v/>
      </c>
      <c r="AR771" s="193">
        <f>IFERROR(INDEX(база!D:D, MATCH(F771,база!B:B,0)),"")</f>
        <v>0</v>
      </c>
    </row>
    <row r="772" spans="1:44" ht="15">
      <c r="A772" s="59"/>
      <c r="B772" s="215"/>
      <c r="C772" s="277"/>
      <c r="D772" s="55"/>
      <c r="E772" s="196"/>
      <c r="F772" s="651"/>
      <c r="G772" s="42"/>
      <c r="H772" s="539"/>
      <c r="I772" s="539"/>
      <c r="J772" s="539"/>
      <c r="K772" s="539"/>
      <c r="L772" s="539"/>
      <c r="M772" s="539"/>
      <c r="N772" s="539"/>
      <c r="O772" s="539"/>
      <c r="P772" s="278"/>
      <c r="Q772" s="539"/>
      <c r="R772" s="539"/>
      <c r="S772" s="539"/>
      <c r="T772" s="539"/>
      <c r="U772" s="539"/>
      <c r="V772" s="539"/>
      <c r="W772" s="539"/>
      <c r="X772" s="539"/>
      <c r="Y772" s="539"/>
      <c r="Z772" s="539"/>
      <c r="AA772" s="539"/>
      <c r="AB772" s="539"/>
      <c r="AC772" s="539"/>
      <c r="AD772" s="43"/>
      <c r="AE772" s="43"/>
      <c r="AF772" s="238"/>
      <c r="AG772" s="43"/>
      <c r="AH772" s="43"/>
      <c r="AI772" s="43"/>
      <c r="AJ772" s="43"/>
      <c r="AK772" s="43"/>
      <c r="AL772" s="45"/>
      <c r="AM772" s="197">
        <f>IF(AQ772=1,SUM(H772:I772,L772:O772,R772:U772,X772:AA772,AD772:AG772,AI772:AK772),
IF(AQ772=2,SUM(H772:K772,N772:Q772,T772:W772,Z772:AC772,AF772:AI772),
IF(AQ772=3,SUM(J772:M772,P772:S772,V772:Y772,AB772:AE772,AH772:AK772),SUM(Таблица1[[#This Row],[1]:[31]])-Таблица1[[#This Row],[Столбец1]])))</f>
        <v>0</v>
      </c>
      <c r="AN772" s="269">
        <f t="array" ref="AN772">IF(AQ772=1,SUM(J772:K772,P772:Q772,V772:W772,AB772:AC772,AH772:AI772),
IF(AQ772=2,SUM(L772:M772,R772:S772,X772:Y772,AD772:AE772),
IF(AQ772=3,SUM(H772:I772,N772:O772,T772:U772,Z772:AA772,AF772:AG772),
SUM(IFERROR(WEEKDAY($H$2:$AL$2,2)&gt;5,)*H772:AL772))))</f>
        <v>0</v>
      </c>
      <c r="AO772" s="271" t="b">
        <f>IF(AR772&lt;=3,(IF((G772="5/24"),((база!$M$6*Таблица1[[#This Row],[сумма]]*Таблица1[[#This Row],[коэф]])),
IF((G772="4/24"),((база!$M$5*Таблица1[[#This Row],[сумма]]*Таблица1[[#This Row],[коэф]])),
IF((G772="3/24"),((база!$M$4*Таблица1[[#This Row],[сумма]]*Таблица1[[#This Row],[коэф]])),
IF((G772="5/16"),((база!$L$6*Таблица1[[#This Row],[сумма]]*Таблица1[[#This Row],[коэф]])),
IF((G772="4/16"),((база!$L$5*Таблица1[[#This Row],[сумма]]*Таблица1[[#This Row],[коэф]])),
IF((G772="3/16"),((база!$L$4*Таблица1[[#This Row],[сумма]]*Таблица1[[#This Row],[коэф]])),
IF((G772="4/4"),((база!$I$5*Таблица1[[#This Row],[сумма]]*Таблица1[[#This Row],[коэф]])),
IF(OR(G772="2/4",G772="3/4"),((база!$I$4*Таблица1[[#This Row],[сумма]]*Таблица1[[#This Row],[коэф]])),
IF((G772="5/8"),((база!$J$6*Таблица1[[#This Row],[сумма]]*Таблица1[[#This Row],[коэф]])),
IF((G772="4/8"),((база!$J$5*Таблица1[[#This Row],[сумма]]*Таблица1[[#This Row],[коэф]])),
IF(OR(G772="3/8",G772="2/8"),((база!$J$4*Таблица1[[#This Row],[сумма]]*Таблица1[[#This Row],[коэф]])))))))))))))),
(IF((G772="5/24"),((база!$M$6*Таблица1[[#This Row],[сумма]]*Таблица1[[#This Row],[коэф]])),
IF(OR(G772="4/24",G772="3/24"),((база!$M$5*Таблица1[[#This Row],[сумма]]*Таблица1[[#This Row],[коэф]])),
IF((G772="5/16"),((база!$L$6*Таблица1[[#This Row],[сумма]]*Таблица1[[#This Row],[коэф]])),
IF(OR(G772="4/16",G772="3/16"),((база!$L$5*Таблица1[[#This Row],[сумма]]*Таблица1[[#This Row],[коэф]])),
IF(OR(G772="2/4",G772="3/4",G772="4/4"),((база!$I$5*Таблица1[[#This Row],[сумма]]*Таблица1[[#This Row],[коэф]])),
IF((G772="5/8"),((база!$J$6*Таблица1[[#This Row],[сумма]]*Таблица1[[#This Row],[коэф]])),
IF(OR(G772="4/8",G772="3/8",G772="2/8"),((база!$J$5*Таблица1[[#This Row],[сумма]]*Таблица1[[#This Row],[коэф]])))))))))))</f>
        <v>0</v>
      </c>
      <c r="AP772" s="696" t="b">
        <f>IF(AR772&lt;=3,(IF((G772="5/24"),((база!$M$6*2*Таблица1[[#This Row],[Столбец1]]*Таблица1[[#This Row],[коэф]])),
IF((G772="4/24"),((база!$M$5*2*Таблица1[[#This Row],[Столбец1]]*Таблица1[[#This Row],[коэф]])),
IF((G772="3/24"),((база!$M$4*2*Таблица1[[#This Row],[Столбец1]]*Таблица1[[#This Row],[коэф]])),
IF((G772="5/16"),((база!$L$6*2*Таблица1[[#This Row],[Столбец1]]*Таблица1[[#This Row],[коэф]])),
IF((G772="4/16"),((база!$L$5*2*Таблица1[[#This Row],[Столбец1]]*Таблица1[[#This Row],[коэф]])),
IF((G772="3/16"),((база!$L$4*2*Таблица1[[#This Row],[Столбец1]]*Таблица1[[#This Row],[коэф]])),
IF((G772="4/4"),((база!$I$5*2*Таблица1[[#This Row],[Столбец1]]*Таблица1[[#This Row],[коэф]])),
IF(OR(G772="2/4",G772="3/4"),((база!$I$4*2*Таблица1[[#This Row],[Столбец1]]*Таблица1[[#This Row],[коэф]])),
IF((G772="5/8"),((база!$J$6*2*Таблица1[[#This Row],[Столбец1]]*Таблица1[[#This Row],[коэф]])),
IF((G772="4/8"),((база!$J$5*2*Таблица1[[#This Row],[Столбец1]]*Таблица1[[#This Row],[коэф]])),
IF(OR(G772="3/8",G772="2/8"),((база!$J$4*2*Таблица1[[#This Row],[Столбец1]]*Таблица1[[#This Row],[коэф]])))))))))))))),
(IF((G772="5/24"),((база!$M$6*2*Таблица1[[#This Row],[Столбец1]]*Таблица1[[#This Row],[коэф]])),
IF(OR(G772="4/24",G772="3/24"),((база!$M$5*2*Таблица1[[#This Row],[Столбец1]]*Таблица1[[#This Row],[коэф]])),
IF((G772="5/16"),((база!$L$6*2*Таблица1[[#This Row],[Столбец1]]*Таблица1[[#This Row],[коэф]])),
IF(OR(G772="4/16",G772="3/16"),((база!$L$5*2*Таблица1[[#This Row],[Столбец1]]*Таблица1[[#This Row],[коэф]])),
IF(OR(G772="2/4",G772="3/4",G772="4/4"),((база!$I$5*2*Таблица1[[#This Row],[Столбец1]]*Таблица1[[#This Row],[коэф]])),
IF((G772="5/8"),((база!$J$6*2*Таблица1[[#This Row],[Столбец1]]*Таблица1[[#This Row],[коэф]])),
IF(OR(G772="4/8",G772="3/8",G772="2/8"),((база!$J$5*2*Таблица1[[#This Row],[Столбец1]]*Таблица1[[#This Row],[коэф]])))))))))))</f>
        <v>0</v>
      </c>
      <c r="AQ772" s="678" t="str">
        <f>IFERROR(INDEX(база!T:T, MATCH(F772,база!Q:Q,0)),"")</f>
        <v/>
      </c>
      <c r="AR772" s="193">
        <f>IFERROR(INDEX(база!D:D, MATCH(F772,база!B:B,0)),"")</f>
        <v>0</v>
      </c>
    </row>
    <row r="773" spans="1:44" ht="15">
      <c r="A773" s="59"/>
      <c r="B773" s="215"/>
      <c r="C773" s="277"/>
      <c r="D773" s="55"/>
      <c r="E773" s="196"/>
      <c r="F773" s="651"/>
      <c r="G773" s="42"/>
      <c r="H773" s="539"/>
      <c r="I773" s="539"/>
      <c r="J773" s="539"/>
      <c r="K773" s="539"/>
      <c r="L773" s="539"/>
      <c r="M773" s="539"/>
      <c r="N773" s="539"/>
      <c r="O773" s="539"/>
      <c r="P773" s="278"/>
      <c r="Q773" s="539"/>
      <c r="R773" s="539"/>
      <c r="S773" s="539"/>
      <c r="T773" s="539"/>
      <c r="U773" s="539"/>
      <c r="V773" s="539"/>
      <c r="W773" s="539"/>
      <c r="X773" s="539"/>
      <c r="Y773" s="539"/>
      <c r="Z773" s="539"/>
      <c r="AA773" s="539"/>
      <c r="AB773" s="539"/>
      <c r="AC773" s="539"/>
      <c r="AD773" s="43"/>
      <c r="AE773" s="43"/>
      <c r="AF773" s="238"/>
      <c r="AG773" s="43"/>
      <c r="AH773" s="43"/>
      <c r="AI773" s="238"/>
      <c r="AJ773" s="238"/>
      <c r="AK773" s="238"/>
      <c r="AL773" s="238"/>
      <c r="AM773" s="197">
        <f>IF(AQ773=1,SUM(H773:I773,L773:O773,R773:U773,X773:AA773,AD773:AG773,AI773:AK773),
IF(AQ773=2,SUM(H773:K773,N773:Q773,T773:W773,Z773:AC773,AF773:AI773),
IF(AQ773=3,SUM(J773:M773,P773:S773,V773:Y773,AB773:AE773,AH773:AK773),SUM(Таблица1[[#This Row],[1]:[31]])-Таблица1[[#This Row],[Столбец1]])))</f>
        <v>0</v>
      </c>
      <c r="AN773" s="269">
        <f t="array" ref="AN773">IF(AQ773=1,SUM(J773:K773,P773:Q773,V773:W773,AB773:AC773,AH773:AI773),
IF(AQ773=2,SUM(L773:M773,R773:S773,X773:Y773,AD773:AE773),
IF(AQ773=3,SUM(H773:I773,N773:O773,T773:U773,Z773:AA773,AF773:AG773),
SUM(IFERROR(WEEKDAY($H$2:$AL$2,2)&gt;5,)*H773:AL773))))</f>
        <v>0</v>
      </c>
      <c r="AO773" s="271" t="b">
        <f>IF(AR773&lt;=3,(IF((G773="5/24"),((база!$M$6*Таблица1[[#This Row],[сумма]]*Таблица1[[#This Row],[коэф]])),
IF((G773="4/24"),((база!$M$5*Таблица1[[#This Row],[сумма]]*Таблица1[[#This Row],[коэф]])),
IF((G773="3/24"),((база!$M$4*Таблица1[[#This Row],[сумма]]*Таблица1[[#This Row],[коэф]])),
IF((G773="5/16"),((база!$L$6*Таблица1[[#This Row],[сумма]]*Таблица1[[#This Row],[коэф]])),
IF((G773="4/16"),((база!$L$5*Таблица1[[#This Row],[сумма]]*Таблица1[[#This Row],[коэф]])),
IF((G773="3/16"),((база!$L$4*Таблица1[[#This Row],[сумма]]*Таблица1[[#This Row],[коэф]])),
IF((G773="4/4"),((база!$I$5*Таблица1[[#This Row],[сумма]]*Таблица1[[#This Row],[коэф]])),
IF(OR(G773="2/4",G773="3/4"),((база!$I$4*Таблица1[[#This Row],[сумма]]*Таблица1[[#This Row],[коэф]])),
IF((G773="5/8"),((база!$J$6*Таблица1[[#This Row],[сумма]]*Таблица1[[#This Row],[коэф]])),
IF((G773="4/8"),((база!$J$5*Таблица1[[#This Row],[сумма]]*Таблица1[[#This Row],[коэф]])),
IF(OR(G773="3/8",G773="2/8"),((база!$J$4*Таблица1[[#This Row],[сумма]]*Таблица1[[#This Row],[коэф]])))))))))))))),
(IF((G773="5/24"),((база!$M$6*Таблица1[[#This Row],[сумма]]*Таблица1[[#This Row],[коэф]])),
IF(OR(G773="4/24",G773="3/24"),((база!$M$5*Таблица1[[#This Row],[сумма]]*Таблица1[[#This Row],[коэф]])),
IF((G773="5/16"),((база!$L$6*Таблица1[[#This Row],[сумма]]*Таблица1[[#This Row],[коэф]])),
IF(OR(G773="4/16",G773="3/16"),((база!$L$5*Таблица1[[#This Row],[сумма]]*Таблица1[[#This Row],[коэф]])),
IF(OR(G773="2/4",G773="3/4",G773="4/4"),((база!$I$5*Таблица1[[#This Row],[сумма]]*Таблица1[[#This Row],[коэф]])),
IF((G773="5/8"),((база!$J$6*Таблица1[[#This Row],[сумма]]*Таблица1[[#This Row],[коэф]])),
IF(OR(G773="4/8",G773="3/8",G773="2/8"),((база!$J$5*Таблица1[[#This Row],[сумма]]*Таблица1[[#This Row],[коэф]])))))))))))</f>
        <v>0</v>
      </c>
      <c r="AP773" s="696" t="b">
        <f>IF(AR773&lt;=3,(IF((G773="5/24"),((база!$M$6*2*Таблица1[[#This Row],[Столбец1]]*Таблица1[[#This Row],[коэф]])),
IF((G773="4/24"),((база!$M$5*2*Таблица1[[#This Row],[Столбец1]]*Таблица1[[#This Row],[коэф]])),
IF((G773="3/24"),((база!$M$4*2*Таблица1[[#This Row],[Столбец1]]*Таблица1[[#This Row],[коэф]])),
IF((G773="5/16"),((база!$L$6*2*Таблица1[[#This Row],[Столбец1]]*Таблица1[[#This Row],[коэф]])),
IF((G773="4/16"),((база!$L$5*2*Таблица1[[#This Row],[Столбец1]]*Таблица1[[#This Row],[коэф]])),
IF((G773="3/16"),((база!$L$4*2*Таблица1[[#This Row],[Столбец1]]*Таблица1[[#This Row],[коэф]])),
IF((G773="4/4"),((база!$I$5*2*Таблица1[[#This Row],[Столбец1]]*Таблица1[[#This Row],[коэф]])),
IF(OR(G773="2/4",G773="3/4"),((база!$I$4*2*Таблица1[[#This Row],[Столбец1]]*Таблица1[[#This Row],[коэф]])),
IF((G773="5/8"),((база!$J$6*2*Таблица1[[#This Row],[Столбец1]]*Таблица1[[#This Row],[коэф]])),
IF((G773="4/8"),((база!$J$5*2*Таблица1[[#This Row],[Столбец1]]*Таблица1[[#This Row],[коэф]])),
IF(OR(G773="3/8",G773="2/8"),((база!$J$4*2*Таблица1[[#This Row],[Столбец1]]*Таблица1[[#This Row],[коэф]])))))))))))))),
(IF((G773="5/24"),((база!$M$6*2*Таблица1[[#This Row],[Столбец1]]*Таблица1[[#This Row],[коэф]])),
IF(OR(G773="4/24",G773="3/24"),((база!$M$5*2*Таблица1[[#This Row],[Столбец1]]*Таблица1[[#This Row],[коэф]])),
IF((G773="5/16"),((база!$L$6*2*Таблица1[[#This Row],[Столбец1]]*Таблица1[[#This Row],[коэф]])),
IF(OR(G773="4/16",G773="3/16"),((база!$L$5*2*Таблица1[[#This Row],[Столбец1]]*Таблица1[[#This Row],[коэф]])),
IF(OR(G773="2/4",G773="3/4",G773="4/4"),((база!$I$5*2*Таблица1[[#This Row],[Столбец1]]*Таблица1[[#This Row],[коэф]])),
IF((G773="5/8"),((база!$J$6*2*Таблица1[[#This Row],[Столбец1]]*Таблица1[[#This Row],[коэф]])),
IF(OR(G773="4/8",G773="3/8",G773="2/8"),((база!$J$5*2*Таблица1[[#This Row],[Столбец1]]*Таблица1[[#This Row],[коэф]])))))))))))</f>
        <v>0</v>
      </c>
      <c r="AQ773" s="678" t="str">
        <f>IFERROR(INDEX(база!T:T, MATCH(F773,база!Q:Q,0)),"")</f>
        <v/>
      </c>
      <c r="AR773" s="193">
        <f>IFERROR(INDEX(база!D:D, MATCH(F773,база!B:B,0)),"")</f>
        <v>0</v>
      </c>
    </row>
    <row r="774" spans="1:44" ht="15">
      <c r="A774" s="59"/>
      <c r="B774" s="215"/>
      <c r="C774" s="277"/>
      <c r="D774" s="55"/>
      <c r="E774" s="196"/>
      <c r="F774" s="651"/>
      <c r="G774" s="42"/>
      <c r="H774" s="539"/>
      <c r="I774" s="539"/>
      <c r="J774" s="539"/>
      <c r="K774" s="539"/>
      <c r="L774" s="539"/>
      <c r="M774" s="539"/>
      <c r="N774" s="539"/>
      <c r="O774" s="539"/>
      <c r="P774" s="278"/>
      <c r="Q774" s="539"/>
      <c r="R774" s="539"/>
      <c r="S774" s="539"/>
      <c r="T774" s="539"/>
      <c r="U774" s="539"/>
      <c r="V774" s="539"/>
      <c r="W774" s="539"/>
      <c r="X774" s="539"/>
      <c r="Y774" s="539"/>
      <c r="Z774" s="539"/>
      <c r="AA774" s="539"/>
      <c r="AB774" s="539"/>
      <c r="AC774" s="539"/>
      <c r="AD774" s="43"/>
      <c r="AE774" s="43"/>
      <c r="AF774" s="45"/>
      <c r="AG774" s="43"/>
      <c r="AH774" s="43"/>
      <c r="AI774" s="43"/>
      <c r="AJ774" s="43"/>
      <c r="AK774" s="43"/>
      <c r="AL774" s="45"/>
      <c r="AM774" s="197">
        <f>IF(AQ774=1,SUM(H774:I774,L774:O774,R774:U774,X774:AA774,AD774:AG774,AI774:AK774),
IF(AQ774=2,SUM(H774:K774,N774:Q774,T774:W774,Z774:AC774,AF774:AI774),
IF(AQ774=3,SUM(J774:M774,P774:S774,V774:Y774,AB774:AE774,AH774:AK774),SUM(Таблица1[[#This Row],[1]:[31]])-Таблица1[[#This Row],[Столбец1]])))</f>
        <v>0</v>
      </c>
      <c r="AN774" s="269">
        <f t="array" ref="AN774">IF(AQ774=1,SUM(J774:K774,P774:Q774,V774:W774,AB774:AC774,AH774:AI774),
IF(AQ774=2,SUM(L774:M774,R774:S774,X774:Y774,AD774:AE774),
IF(AQ774=3,SUM(H774:I774,N774:O774,T774:U774,Z774:AA774,AF774:AG774),
SUM(IFERROR(WEEKDAY($H$2:$AL$2,2)&gt;5,)*H774:AL774))))</f>
        <v>0</v>
      </c>
      <c r="AO774" s="271" t="b">
        <f>IF(AR774&lt;=3,(IF((G774="5/24"),((база!$M$6*Таблица1[[#This Row],[сумма]]*Таблица1[[#This Row],[коэф]])),
IF((G774="4/24"),((база!$M$5*Таблица1[[#This Row],[сумма]]*Таблица1[[#This Row],[коэф]])),
IF((G774="3/24"),((база!$M$4*Таблица1[[#This Row],[сумма]]*Таблица1[[#This Row],[коэф]])),
IF((G774="5/16"),((база!$L$6*Таблица1[[#This Row],[сумма]]*Таблица1[[#This Row],[коэф]])),
IF((G774="4/16"),((база!$L$5*Таблица1[[#This Row],[сумма]]*Таблица1[[#This Row],[коэф]])),
IF((G774="3/16"),((база!$L$4*Таблица1[[#This Row],[сумма]]*Таблица1[[#This Row],[коэф]])),
IF((G774="4/4"),((база!$I$5*Таблица1[[#This Row],[сумма]]*Таблица1[[#This Row],[коэф]])),
IF(OR(G774="2/4",G774="3/4"),((база!$I$4*Таблица1[[#This Row],[сумма]]*Таблица1[[#This Row],[коэф]])),
IF((G774="5/8"),((база!$J$6*Таблица1[[#This Row],[сумма]]*Таблица1[[#This Row],[коэф]])),
IF((G774="4/8"),((база!$J$5*Таблица1[[#This Row],[сумма]]*Таблица1[[#This Row],[коэф]])),
IF(OR(G774="3/8",G774="2/8"),((база!$J$4*Таблица1[[#This Row],[сумма]]*Таблица1[[#This Row],[коэф]])))))))))))))),
(IF((G774="5/24"),((база!$M$6*Таблица1[[#This Row],[сумма]]*Таблица1[[#This Row],[коэф]])),
IF(OR(G774="4/24",G774="3/24"),((база!$M$5*Таблица1[[#This Row],[сумма]]*Таблица1[[#This Row],[коэф]])),
IF((G774="5/16"),((база!$L$6*Таблица1[[#This Row],[сумма]]*Таблица1[[#This Row],[коэф]])),
IF(OR(G774="4/16",G774="3/16"),((база!$L$5*Таблица1[[#This Row],[сумма]]*Таблица1[[#This Row],[коэф]])),
IF(OR(G774="2/4",G774="3/4",G774="4/4"),((база!$I$5*Таблица1[[#This Row],[сумма]]*Таблица1[[#This Row],[коэф]])),
IF((G774="5/8"),((база!$J$6*Таблица1[[#This Row],[сумма]]*Таблица1[[#This Row],[коэф]])),
IF(OR(G774="4/8",G774="3/8",G774="2/8"),((база!$J$5*Таблица1[[#This Row],[сумма]]*Таблица1[[#This Row],[коэф]])))))))))))</f>
        <v>0</v>
      </c>
      <c r="AP774" s="696" t="b">
        <f>IF(AR774&lt;=3,(IF((G774="5/24"),((база!$M$6*2*Таблица1[[#This Row],[Столбец1]]*Таблица1[[#This Row],[коэф]])),
IF((G774="4/24"),((база!$M$5*2*Таблица1[[#This Row],[Столбец1]]*Таблица1[[#This Row],[коэф]])),
IF((G774="3/24"),((база!$M$4*2*Таблица1[[#This Row],[Столбец1]]*Таблица1[[#This Row],[коэф]])),
IF((G774="5/16"),((база!$L$6*2*Таблица1[[#This Row],[Столбец1]]*Таблица1[[#This Row],[коэф]])),
IF((G774="4/16"),((база!$L$5*2*Таблица1[[#This Row],[Столбец1]]*Таблица1[[#This Row],[коэф]])),
IF((G774="3/16"),((база!$L$4*2*Таблица1[[#This Row],[Столбец1]]*Таблица1[[#This Row],[коэф]])),
IF((G774="4/4"),((база!$I$5*2*Таблица1[[#This Row],[Столбец1]]*Таблица1[[#This Row],[коэф]])),
IF(OR(G774="2/4",G774="3/4"),((база!$I$4*2*Таблица1[[#This Row],[Столбец1]]*Таблица1[[#This Row],[коэф]])),
IF((G774="5/8"),((база!$J$6*2*Таблица1[[#This Row],[Столбец1]]*Таблица1[[#This Row],[коэф]])),
IF((G774="4/8"),((база!$J$5*2*Таблица1[[#This Row],[Столбец1]]*Таблица1[[#This Row],[коэф]])),
IF(OR(G774="3/8",G774="2/8"),((база!$J$4*2*Таблица1[[#This Row],[Столбец1]]*Таблица1[[#This Row],[коэф]])))))))))))))),
(IF((G774="5/24"),((база!$M$6*2*Таблица1[[#This Row],[Столбец1]]*Таблица1[[#This Row],[коэф]])),
IF(OR(G774="4/24",G774="3/24"),((база!$M$5*2*Таблица1[[#This Row],[Столбец1]]*Таблица1[[#This Row],[коэф]])),
IF((G774="5/16"),((база!$L$6*2*Таблица1[[#This Row],[Столбец1]]*Таблица1[[#This Row],[коэф]])),
IF(OR(G774="4/16",G774="3/16"),((база!$L$5*2*Таблица1[[#This Row],[Столбец1]]*Таблица1[[#This Row],[коэф]])),
IF(OR(G774="2/4",G774="3/4",G774="4/4"),((база!$I$5*2*Таблица1[[#This Row],[Столбец1]]*Таблица1[[#This Row],[коэф]])),
IF((G774="5/8"),((база!$J$6*2*Таблица1[[#This Row],[Столбец1]]*Таблица1[[#This Row],[коэф]])),
IF(OR(G774="4/8",G774="3/8",G774="2/8"),((база!$J$5*2*Таблица1[[#This Row],[Столбец1]]*Таблица1[[#This Row],[коэф]])))))))))))</f>
        <v>0</v>
      </c>
      <c r="AQ774" s="678" t="str">
        <f>IFERROR(INDEX(база!T:T, MATCH(F774,база!Q:Q,0)),"")</f>
        <v/>
      </c>
      <c r="AR774" s="193">
        <f>IFERROR(INDEX(база!D:D, MATCH(F774,база!B:B,0)),"")</f>
        <v>0</v>
      </c>
    </row>
    <row r="775" spans="1:44" ht="16.5" customHeight="1">
      <c r="A775" s="59"/>
      <c r="B775" s="215"/>
      <c r="C775" s="277"/>
      <c r="D775" s="55"/>
      <c r="E775" s="196"/>
      <c r="F775" s="651"/>
      <c r="G775" s="42"/>
      <c r="H775" s="539"/>
      <c r="I775" s="539"/>
      <c r="J775" s="539"/>
      <c r="K775" s="539"/>
      <c r="L775" s="539"/>
      <c r="M775" s="539"/>
      <c r="N775" s="539"/>
      <c r="O775" s="539"/>
      <c r="P775" s="278"/>
      <c r="Q775" s="539"/>
      <c r="R775" s="539"/>
      <c r="S775" s="539"/>
      <c r="T775" s="539"/>
      <c r="U775" s="539"/>
      <c r="V775" s="539"/>
      <c r="W775" s="539"/>
      <c r="X775" s="539"/>
      <c r="Y775" s="539"/>
      <c r="Z775" s="539"/>
      <c r="AA775" s="539"/>
      <c r="AB775" s="539"/>
      <c r="AC775" s="539"/>
      <c r="AD775" s="43"/>
      <c r="AE775" s="43"/>
      <c r="AF775" s="238"/>
      <c r="AG775" s="43"/>
      <c r="AH775" s="43"/>
      <c r="AI775" s="238"/>
      <c r="AJ775" s="238"/>
      <c r="AK775" s="238"/>
      <c r="AL775" s="238"/>
      <c r="AM775" s="197">
        <f>IF(AQ775=1,SUM(H775:I775,L775:O775,R775:U775,X775:AA775,AD775:AG775,AI775:AK775),
IF(AQ775=2,SUM(H775:K775,N775:Q775,T775:W775,Z775:AC775,AF775:AI775),
IF(AQ775=3,SUM(J775:M775,P775:S775,V775:Y775,AB775:AE775,AH775:AK775),SUM(Таблица1[[#This Row],[1]:[31]])-Таблица1[[#This Row],[Столбец1]])))</f>
        <v>0</v>
      </c>
      <c r="AN775" s="269">
        <f t="array" ref="AN775">IF(AQ775=1,SUM(J775:K775,P775:Q775,V775:W775,AB775:AC775,AH775:AI775),
IF(AQ775=2,SUM(L775:M775,R775:S775,X775:Y775,AD775:AE775),
IF(AQ775=3,SUM(H775:I775,N775:O775,T775:U775,Z775:AA775,AF775:AG775),
SUM(IFERROR(WEEKDAY($H$2:$AL$2,2)&gt;5,)*H775:AL775))))</f>
        <v>0</v>
      </c>
      <c r="AO775" s="271" t="b">
        <f>IF(AR775&lt;=3,(IF((G775="5/24"),((база!$M$6*Таблица1[[#This Row],[сумма]]*Таблица1[[#This Row],[коэф]])),
IF((G775="4/24"),((база!$M$5*Таблица1[[#This Row],[сумма]]*Таблица1[[#This Row],[коэф]])),
IF((G775="3/24"),((база!$M$4*Таблица1[[#This Row],[сумма]]*Таблица1[[#This Row],[коэф]])),
IF((G775="5/16"),((база!$L$6*Таблица1[[#This Row],[сумма]]*Таблица1[[#This Row],[коэф]])),
IF((G775="4/16"),((база!$L$5*Таблица1[[#This Row],[сумма]]*Таблица1[[#This Row],[коэф]])),
IF((G775="3/16"),((база!$L$4*Таблица1[[#This Row],[сумма]]*Таблица1[[#This Row],[коэф]])),
IF((G775="4/4"),((база!$I$5*Таблица1[[#This Row],[сумма]]*Таблица1[[#This Row],[коэф]])),
IF(OR(G775="2/4",G775="3/4"),((база!$I$4*Таблица1[[#This Row],[сумма]]*Таблица1[[#This Row],[коэф]])),
IF((G775="5/8"),((база!$J$6*Таблица1[[#This Row],[сумма]]*Таблица1[[#This Row],[коэф]])),
IF((G775="4/8"),((база!$J$5*Таблица1[[#This Row],[сумма]]*Таблица1[[#This Row],[коэф]])),
IF(OR(G775="3/8",G775="2/8"),((база!$J$4*Таблица1[[#This Row],[сумма]]*Таблица1[[#This Row],[коэф]])))))))))))))),
(IF((G775="5/24"),((база!$M$6*Таблица1[[#This Row],[сумма]]*Таблица1[[#This Row],[коэф]])),
IF(OR(G775="4/24",G775="3/24"),((база!$M$5*Таблица1[[#This Row],[сумма]]*Таблица1[[#This Row],[коэф]])),
IF((G775="5/16"),((база!$L$6*Таблица1[[#This Row],[сумма]]*Таблица1[[#This Row],[коэф]])),
IF(OR(G775="4/16",G775="3/16"),((база!$L$5*Таблица1[[#This Row],[сумма]]*Таблица1[[#This Row],[коэф]])),
IF(OR(G775="2/4",G775="3/4",G775="4/4"),((база!$I$5*Таблица1[[#This Row],[сумма]]*Таблица1[[#This Row],[коэф]])),
IF((G775="5/8"),((база!$J$6*Таблица1[[#This Row],[сумма]]*Таблица1[[#This Row],[коэф]])),
IF(OR(G775="4/8",G775="3/8",G775="2/8"),((база!$J$5*Таблица1[[#This Row],[сумма]]*Таблица1[[#This Row],[коэф]])))))))))))</f>
        <v>0</v>
      </c>
      <c r="AP775" s="696" t="b">
        <f>IF(AR775&lt;=3,(IF((G775="5/24"),((база!$M$6*2*Таблица1[[#This Row],[Столбец1]]*Таблица1[[#This Row],[коэф]])),
IF((G775="4/24"),((база!$M$5*2*Таблица1[[#This Row],[Столбец1]]*Таблица1[[#This Row],[коэф]])),
IF((G775="3/24"),((база!$M$4*2*Таблица1[[#This Row],[Столбец1]]*Таблица1[[#This Row],[коэф]])),
IF((G775="5/16"),((база!$L$6*2*Таблица1[[#This Row],[Столбец1]]*Таблица1[[#This Row],[коэф]])),
IF((G775="4/16"),((база!$L$5*2*Таблица1[[#This Row],[Столбец1]]*Таблица1[[#This Row],[коэф]])),
IF((G775="3/16"),((база!$L$4*2*Таблица1[[#This Row],[Столбец1]]*Таблица1[[#This Row],[коэф]])),
IF((G775="4/4"),((база!$I$5*2*Таблица1[[#This Row],[Столбец1]]*Таблица1[[#This Row],[коэф]])),
IF(OR(G775="2/4",G775="3/4"),((база!$I$4*2*Таблица1[[#This Row],[Столбец1]]*Таблица1[[#This Row],[коэф]])),
IF((G775="5/8"),((база!$J$6*2*Таблица1[[#This Row],[Столбец1]]*Таблица1[[#This Row],[коэф]])),
IF((G775="4/8"),((база!$J$5*2*Таблица1[[#This Row],[Столбец1]]*Таблица1[[#This Row],[коэф]])),
IF(OR(G775="3/8",G775="2/8"),((база!$J$4*2*Таблица1[[#This Row],[Столбец1]]*Таблица1[[#This Row],[коэф]])))))))))))))),
(IF((G775="5/24"),((база!$M$6*2*Таблица1[[#This Row],[Столбец1]]*Таблица1[[#This Row],[коэф]])),
IF(OR(G775="4/24",G775="3/24"),((база!$M$5*2*Таблица1[[#This Row],[Столбец1]]*Таблица1[[#This Row],[коэф]])),
IF((G775="5/16"),((база!$L$6*2*Таблица1[[#This Row],[Столбец1]]*Таблица1[[#This Row],[коэф]])),
IF(OR(G775="4/16",G775="3/16"),((база!$L$5*2*Таблица1[[#This Row],[Столбец1]]*Таблица1[[#This Row],[коэф]])),
IF(OR(G775="2/4",G775="3/4",G775="4/4"),((база!$I$5*2*Таблица1[[#This Row],[Столбец1]]*Таблица1[[#This Row],[коэф]])),
IF((G775="5/8"),((база!$J$6*2*Таблица1[[#This Row],[Столбец1]]*Таблица1[[#This Row],[коэф]])),
IF(OR(G775="4/8",G775="3/8",G775="2/8"),((база!$J$5*2*Таблица1[[#This Row],[Столбец1]]*Таблица1[[#This Row],[коэф]])))))))))))</f>
        <v>0</v>
      </c>
      <c r="AQ775" s="678" t="str">
        <f>IFERROR(INDEX(база!T:T, MATCH(F775,база!Q:Q,0)),"")</f>
        <v/>
      </c>
      <c r="AR775" s="193">
        <f>IFERROR(INDEX(база!D:D, MATCH(F775,база!B:B,0)),"")</f>
        <v>0</v>
      </c>
    </row>
    <row r="776" spans="1:44" ht="15.75" customHeight="1">
      <c r="A776" s="59"/>
      <c r="B776" s="215"/>
      <c r="C776" s="277"/>
      <c r="D776" s="55"/>
      <c r="E776" s="196"/>
      <c r="F776" s="651"/>
      <c r="G776" s="42"/>
      <c r="H776" s="539"/>
      <c r="I776" s="539"/>
      <c r="J776" s="539"/>
      <c r="K776" s="539"/>
      <c r="L776" s="539"/>
      <c r="M776" s="539"/>
      <c r="N776" s="539"/>
      <c r="O776" s="539"/>
      <c r="P776" s="278"/>
      <c r="Q776" s="539"/>
      <c r="R776" s="539"/>
      <c r="S776" s="539"/>
      <c r="T776" s="539"/>
      <c r="U776" s="539"/>
      <c r="V776" s="539"/>
      <c r="W776" s="539"/>
      <c r="X776" s="539"/>
      <c r="Y776" s="539"/>
      <c r="Z776" s="539"/>
      <c r="AA776" s="539"/>
      <c r="AB776" s="539"/>
      <c r="AC776" s="539"/>
      <c r="AD776" s="43"/>
      <c r="AE776" s="43"/>
      <c r="AF776" s="238"/>
      <c r="AG776" s="43"/>
      <c r="AH776" s="43"/>
      <c r="AI776" s="43"/>
      <c r="AJ776" s="43"/>
      <c r="AK776" s="43"/>
      <c r="AL776" s="45"/>
      <c r="AM776" s="197">
        <f>IF(AQ776=1,SUM(H776:I776,L776:O776,R776:U776,X776:AA776,AD776:AG776,AI776:AK776),
IF(AQ776=2,SUM(H776:K776,N776:Q776,T776:W776,Z776:AC776,AF776:AI776),
IF(AQ776=3,SUM(J776:M776,P776:S776,V776:Y776,AB776:AE776,AH776:AK776),SUM(Таблица1[[#This Row],[1]:[31]])-Таблица1[[#This Row],[Столбец1]])))</f>
        <v>0</v>
      </c>
      <c r="AN776" s="269">
        <f t="array" ref="AN776">IF(AQ776=1,SUM(J776:K776,P776:Q776,V776:W776,AB776:AC776,AH776:AI776),
IF(AQ776=2,SUM(L776:M776,R776:S776,X776:Y776,AD776:AE776),
IF(AQ776=3,SUM(H776:I776,N776:O776,T776:U776,Z776:AA776,AF776:AG776),
SUM(IFERROR(WEEKDAY($H$2:$AL$2,2)&gt;5,)*H776:AL776))))</f>
        <v>0</v>
      </c>
      <c r="AO776" s="271" t="b">
        <f>IF(AR776&lt;=3,(IF((G776="5/24"),((база!$M$6*Таблица1[[#This Row],[сумма]]*Таблица1[[#This Row],[коэф]])),
IF((G776="4/24"),((база!$M$5*Таблица1[[#This Row],[сумма]]*Таблица1[[#This Row],[коэф]])),
IF((G776="3/24"),((база!$M$4*Таблица1[[#This Row],[сумма]]*Таблица1[[#This Row],[коэф]])),
IF((G776="5/16"),((база!$L$6*Таблица1[[#This Row],[сумма]]*Таблица1[[#This Row],[коэф]])),
IF((G776="4/16"),((база!$L$5*Таблица1[[#This Row],[сумма]]*Таблица1[[#This Row],[коэф]])),
IF((G776="3/16"),((база!$L$4*Таблица1[[#This Row],[сумма]]*Таблица1[[#This Row],[коэф]])),
IF((G776="4/4"),((база!$I$5*Таблица1[[#This Row],[сумма]]*Таблица1[[#This Row],[коэф]])),
IF(OR(G776="2/4",G776="3/4"),((база!$I$4*Таблица1[[#This Row],[сумма]]*Таблица1[[#This Row],[коэф]])),
IF((G776="5/8"),((база!$J$6*Таблица1[[#This Row],[сумма]]*Таблица1[[#This Row],[коэф]])),
IF((G776="4/8"),((база!$J$5*Таблица1[[#This Row],[сумма]]*Таблица1[[#This Row],[коэф]])),
IF(OR(G776="3/8",G776="2/8"),((база!$J$4*Таблица1[[#This Row],[сумма]]*Таблица1[[#This Row],[коэф]])))))))))))))),
(IF((G776="5/24"),((база!$M$6*Таблица1[[#This Row],[сумма]]*Таблица1[[#This Row],[коэф]])),
IF(OR(G776="4/24",G776="3/24"),((база!$M$5*Таблица1[[#This Row],[сумма]]*Таблица1[[#This Row],[коэф]])),
IF((G776="5/16"),((база!$L$6*Таблица1[[#This Row],[сумма]]*Таблица1[[#This Row],[коэф]])),
IF(OR(G776="4/16",G776="3/16"),((база!$L$5*Таблица1[[#This Row],[сумма]]*Таблица1[[#This Row],[коэф]])),
IF(OR(G776="2/4",G776="3/4",G776="4/4"),((база!$I$5*Таблица1[[#This Row],[сумма]]*Таблица1[[#This Row],[коэф]])),
IF((G776="5/8"),((база!$J$6*Таблица1[[#This Row],[сумма]]*Таблица1[[#This Row],[коэф]])),
IF(OR(G776="4/8",G776="3/8",G776="2/8"),((база!$J$5*Таблица1[[#This Row],[сумма]]*Таблица1[[#This Row],[коэф]])))))))))))</f>
        <v>0</v>
      </c>
      <c r="AP776" s="696" t="b">
        <f>IF(AR776&lt;=3,(IF((G776="5/24"),((база!$M$6*2*Таблица1[[#This Row],[Столбец1]]*Таблица1[[#This Row],[коэф]])),
IF((G776="4/24"),((база!$M$5*2*Таблица1[[#This Row],[Столбец1]]*Таблица1[[#This Row],[коэф]])),
IF((G776="3/24"),((база!$M$4*2*Таблица1[[#This Row],[Столбец1]]*Таблица1[[#This Row],[коэф]])),
IF((G776="5/16"),((база!$L$6*2*Таблица1[[#This Row],[Столбец1]]*Таблица1[[#This Row],[коэф]])),
IF((G776="4/16"),((база!$L$5*2*Таблица1[[#This Row],[Столбец1]]*Таблица1[[#This Row],[коэф]])),
IF((G776="3/16"),((база!$L$4*2*Таблица1[[#This Row],[Столбец1]]*Таблица1[[#This Row],[коэф]])),
IF((G776="4/4"),((база!$I$5*2*Таблица1[[#This Row],[Столбец1]]*Таблица1[[#This Row],[коэф]])),
IF(OR(G776="2/4",G776="3/4"),((база!$I$4*2*Таблица1[[#This Row],[Столбец1]]*Таблица1[[#This Row],[коэф]])),
IF((G776="5/8"),((база!$J$6*2*Таблица1[[#This Row],[Столбец1]]*Таблица1[[#This Row],[коэф]])),
IF((G776="4/8"),((база!$J$5*2*Таблица1[[#This Row],[Столбец1]]*Таблица1[[#This Row],[коэф]])),
IF(OR(G776="3/8",G776="2/8"),((база!$J$4*2*Таблица1[[#This Row],[Столбец1]]*Таблица1[[#This Row],[коэф]])))))))))))))),
(IF((G776="5/24"),((база!$M$6*2*Таблица1[[#This Row],[Столбец1]]*Таблица1[[#This Row],[коэф]])),
IF(OR(G776="4/24",G776="3/24"),((база!$M$5*2*Таблица1[[#This Row],[Столбец1]]*Таблица1[[#This Row],[коэф]])),
IF((G776="5/16"),((база!$L$6*2*Таблица1[[#This Row],[Столбец1]]*Таблица1[[#This Row],[коэф]])),
IF(OR(G776="4/16",G776="3/16"),((база!$L$5*2*Таблица1[[#This Row],[Столбец1]]*Таблица1[[#This Row],[коэф]])),
IF(OR(G776="2/4",G776="3/4",G776="4/4"),((база!$I$5*2*Таблица1[[#This Row],[Столбец1]]*Таблица1[[#This Row],[коэф]])),
IF((G776="5/8"),((база!$J$6*2*Таблица1[[#This Row],[Столбец1]]*Таблица1[[#This Row],[коэф]])),
IF(OR(G776="4/8",G776="3/8",G776="2/8"),((база!$J$5*2*Таблица1[[#This Row],[Столбец1]]*Таблица1[[#This Row],[коэф]])))))))))))</f>
        <v>0</v>
      </c>
      <c r="AQ776" s="678" t="str">
        <f>IFERROR(INDEX(база!T:T, MATCH(F776,база!Q:Q,0)),"")</f>
        <v/>
      </c>
      <c r="AR776" s="193">
        <f>IFERROR(INDEX(база!D:D, MATCH(F776,база!B:B,0)),"")</f>
        <v>0</v>
      </c>
    </row>
    <row r="777" spans="1:44" ht="15">
      <c r="A777" s="59"/>
      <c r="B777" s="215"/>
      <c r="C777" s="277"/>
      <c r="D777" s="55"/>
      <c r="E777" s="196"/>
      <c r="F777" s="651"/>
      <c r="G777" s="42"/>
      <c r="H777" s="539"/>
      <c r="I777" s="539"/>
      <c r="J777" s="539"/>
      <c r="K777" s="539"/>
      <c r="L777" s="539"/>
      <c r="M777" s="539"/>
      <c r="N777" s="539"/>
      <c r="O777" s="539"/>
      <c r="P777" s="278"/>
      <c r="Q777" s="539"/>
      <c r="R777" s="539"/>
      <c r="S777" s="539"/>
      <c r="T777" s="539"/>
      <c r="U777" s="539"/>
      <c r="V777" s="539"/>
      <c r="W777" s="539"/>
      <c r="X777" s="539"/>
      <c r="Y777" s="539"/>
      <c r="Z777" s="539"/>
      <c r="AA777" s="539"/>
      <c r="AB777" s="539"/>
      <c r="AC777" s="539"/>
      <c r="AD777" s="43"/>
      <c r="AE777" s="43"/>
      <c r="AF777" s="238"/>
      <c r="AG777" s="43"/>
      <c r="AH777" s="43"/>
      <c r="AI777" s="238"/>
      <c r="AJ777" s="238"/>
      <c r="AK777" s="238"/>
      <c r="AL777" s="238"/>
      <c r="AM777" s="197">
        <f>IF(AQ777=1,SUM(H777:I777,L777:O777,R777:U777,X777:AA777,AD777:AG777,AI777:AK777),
IF(AQ777=2,SUM(H777:K777,N777:Q777,T777:W777,Z777:AC777,AF777:AI777),
IF(AQ777=3,SUM(J777:M777,P777:S777,V777:Y777,AB777:AE777,AH777:AK777),SUM(Таблица1[[#This Row],[1]:[31]])-Таблица1[[#This Row],[Столбец1]])))</f>
        <v>0</v>
      </c>
      <c r="AN777" s="269">
        <f t="array" ref="AN777">IF(AQ777=1,SUM(J777:K777,P777:Q777,V777:W777,AB777:AC777,AH777:AI777),
IF(AQ777=2,SUM(L777:M777,R777:S777,X777:Y777,AD777:AE777),
IF(AQ777=3,SUM(H777:I777,N777:O777,T777:U777,Z777:AA777,AF777:AG777),
SUM(IFERROR(WEEKDAY($H$2:$AL$2,2)&gt;5,)*H777:AL777))))</f>
        <v>0</v>
      </c>
      <c r="AO777" s="271" t="b">
        <f>IF(AR777&lt;=3,(IF((G777="5/24"),((база!$M$6*Таблица1[[#This Row],[сумма]]*Таблица1[[#This Row],[коэф]])),
IF((G777="4/24"),((база!$M$5*Таблица1[[#This Row],[сумма]]*Таблица1[[#This Row],[коэф]])),
IF((G777="3/24"),((база!$M$4*Таблица1[[#This Row],[сумма]]*Таблица1[[#This Row],[коэф]])),
IF((G777="5/16"),((база!$L$6*Таблица1[[#This Row],[сумма]]*Таблица1[[#This Row],[коэф]])),
IF((G777="4/16"),((база!$L$5*Таблица1[[#This Row],[сумма]]*Таблица1[[#This Row],[коэф]])),
IF((G777="3/16"),((база!$L$4*Таблица1[[#This Row],[сумма]]*Таблица1[[#This Row],[коэф]])),
IF((G777="4/4"),((база!$I$5*Таблица1[[#This Row],[сумма]]*Таблица1[[#This Row],[коэф]])),
IF(OR(G777="2/4",G777="3/4"),((база!$I$4*Таблица1[[#This Row],[сумма]]*Таблица1[[#This Row],[коэф]])),
IF((G777="5/8"),((база!$J$6*Таблица1[[#This Row],[сумма]]*Таблица1[[#This Row],[коэф]])),
IF((G777="4/8"),((база!$J$5*Таблица1[[#This Row],[сумма]]*Таблица1[[#This Row],[коэф]])),
IF(OR(G777="3/8",G777="2/8"),((база!$J$4*Таблица1[[#This Row],[сумма]]*Таблица1[[#This Row],[коэф]])))))))))))))),
(IF((G777="5/24"),((база!$M$6*Таблица1[[#This Row],[сумма]]*Таблица1[[#This Row],[коэф]])),
IF(OR(G777="4/24",G777="3/24"),((база!$M$5*Таблица1[[#This Row],[сумма]]*Таблица1[[#This Row],[коэф]])),
IF((G777="5/16"),((база!$L$6*Таблица1[[#This Row],[сумма]]*Таблица1[[#This Row],[коэф]])),
IF(OR(G777="4/16",G777="3/16"),((база!$L$5*Таблица1[[#This Row],[сумма]]*Таблица1[[#This Row],[коэф]])),
IF(OR(G777="2/4",G777="3/4",G777="4/4"),((база!$I$5*Таблица1[[#This Row],[сумма]]*Таблица1[[#This Row],[коэф]])),
IF((G777="5/8"),((база!$J$6*Таблица1[[#This Row],[сумма]]*Таблица1[[#This Row],[коэф]])),
IF(OR(G777="4/8",G777="3/8",G777="2/8"),((база!$J$5*Таблица1[[#This Row],[сумма]]*Таблица1[[#This Row],[коэф]])))))))))))</f>
        <v>0</v>
      </c>
      <c r="AP777" s="696" t="b">
        <f>IF(AR777&lt;=3,(IF((G777="5/24"),((база!$M$6*2*Таблица1[[#This Row],[Столбец1]]*Таблица1[[#This Row],[коэф]])),
IF((G777="4/24"),((база!$M$5*2*Таблица1[[#This Row],[Столбец1]]*Таблица1[[#This Row],[коэф]])),
IF((G777="3/24"),((база!$M$4*2*Таблица1[[#This Row],[Столбец1]]*Таблица1[[#This Row],[коэф]])),
IF((G777="5/16"),((база!$L$6*2*Таблица1[[#This Row],[Столбец1]]*Таблица1[[#This Row],[коэф]])),
IF((G777="4/16"),((база!$L$5*2*Таблица1[[#This Row],[Столбец1]]*Таблица1[[#This Row],[коэф]])),
IF((G777="3/16"),((база!$L$4*2*Таблица1[[#This Row],[Столбец1]]*Таблица1[[#This Row],[коэф]])),
IF((G777="4/4"),((база!$I$5*2*Таблица1[[#This Row],[Столбец1]]*Таблица1[[#This Row],[коэф]])),
IF(OR(G777="2/4",G777="3/4"),((база!$I$4*2*Таблица1[[#This Row],[Столбец1]]*Таблица1[[#This Row],[коэф]])),
IF((G777="5/8"),((база!$J$6*2*Таблица1[[#This Row],[Столбец1]]*Таблица1[[#This Row],[коэф]])),
IF((G777="4/8"),((база!$J$5*2*Таблица1[[#This Row],[Столбец1]]*Таблица1[[#This Row],[коэф]])),
IF(OR(G777="3/8",G777="2/8"),((база!$J$4*2*Таблица1[[#This Row],[Столбец1]]*Таблица1[[#This Row],[коэф]])))))))))))))),
(IF((G777="5/24"),((база!$M$6*2*Таблица1[[#This Row],[Столбец1]]*Таблица1[[#This Row],[коэф]])),
IF(OR(G777="4/24",G777="3/24"),((база!$M$5*2*Таблица1[[#This Row],[Столбец1]]*Таблица1[[#This Row],[коэф]])),
IF((G777="5/16"),((база!$L$6*2*Таблица1[[#This Row],[Столбец1]]*Таблица1[[#This Row],[коэф]])),
IF(OR(G777="4/16",G777="3/16"),((база!$L$5*2*Таблица1[[#This Row],[Столбец1]]*Таблица1[[#This Row],[коэф]])),
IF(OR(G777="2/4",G777="3/4",G777="4/4"),((база!$I$5*2*Таблица1[[#This Row],[Столбец1]]*Таблица1[[#This Row],[коэф]])),
IF((G777="5/8"),((база!$J$6*2*Таблица1[[#This Row],[Столбец1]]*Таблица1[[#This Row],[коэф]])),
IF(OR(G777="4/8",G777="3/8",G777="2/8"),((база!$J$5*2*Таблица1[[#This Row],[Столбец1]]*Таблица1[[#This Row],[коэф]])))))))))))</f>
        <v>0</v>
      </c>
      <c r="AQ777" s="678" t="str">
        <f>IFERROR(INDEX(база!T:T, MATCH(F777,база!Q:Q,0)),"")</f>
        <v/>
      </c>
      <c r="AR777" s="193">
        <f>IFERROR(INDEX(база!D:D, MATCH(F777,база!B:B,0)),"")</f>
        <v>0</v>
      </c>
    </row>
    <row r="778" spans="1:44" ht="15">
      <c r="A778" s="59"/>
      <c r="B778" s="215"/>
      <c r="C778" s="277"/>
      <c r="D778" s="55"/>
      <c r="E778" s="196"/>
      <c r="F778" s="651"/>
      <c r="G778" s="42"/>
      <c r="H778" s="539"/>
      <c r="I778" s="539"/>
      <c r="J778" s="539"/>
      <c r="K778" s="539"/>
      <c r="L778" s="539"/>
      <c r="M778" s="539"/>
      <c r="N778" s="539"/>
      <c r="O778" s="539"/>
      <c r="P778" s="278"/>
      <c r="Q778" s="539"/>
      <c r="R778" s="539"/>
      <c r="S778" s="539"/>
      <c r="T778" s="539"/>
      <c r="U778" s="539"/>
      <c r="V778" s="539"/>
      <c r="W778" s="539"/>
      <c r="X778" s="539"/>
      <c r="Y778" s="539"/>
      <c r="Z778" s="539"/>
      <c r="AA778" s="539"/>
      <c r="AB778" s="539"/>
      <c r="AC778" s="539"/>
      <c r="AD778" s="43"/>
      <c r="AE778" s="43"/>
      <c r="AF778" s="238"/>
      <c r="AG778" s="43"/>
      <c r="AH778" s="43"/>
      <c r="AI778" s="43"/>
      <c r="AJ778" s="43"/>
      <c r="AK778" s="43"/>
      <c r="AL778" s="45"/>
      <c r="AM778" s="197">
        <f>IF(AQ778=1,SUM(H778:I778,L778:O778,R778:U778,X778:AA778,AD778:AG778,AI778:AK778),
IF(AQ778=2,SUM(H778:K778,N778:Q778,T778:W778,Z778:AC778,AF778:AI778),
IF(AQ778=3,SUM(J778:M778,P778:S778,V778:Y778,AB778:AE778,AH778:AK778),SUM(Таблица1[[#This Row],[1]:[31]])-Таблица1[[#This Row],[Столбец1]])))</f>
        <v>0</v>
      </c>
      <c r="AN778" s="269">
        <f t="array" ref="AN778">IF(AQ778=1,SUM(J778:K778,P778:Q778,V778:W778,AB778:AC778,AH778:AI778),
IF(AQ778=2,SUM(L778:M778,R778:S778,X778:Y778,AD778:AE778),
IF(AQ778=3,SUM(H778:I778,N778:O778,T778:U778,Z778:AA778,AF778:AG778),
SUM(IFERROR(WEEKDAY($H$2:$AL$2,2)&gt;5,)*H778:AL778))))</f>
        <v>0</v>
      </c>
      <c r="AO778" s="271" t="b">
        <f>IF(AR778&lt;=3,(IF((G778="5/24"),((база!$M$6*Таблица1[[#This Row],[сумма]]*Таблица1[[#This Row],[коэф]])),
IF((G778="4/24"),((база!$M$5*Таблица1[[#This Row],[сумма]]*Таблица1[[#This Row],[коэф]])),
IF((G778="3/24"),((база!$M$4*Таблица1[[#This Row],[сумма]]*Таблица1[[#This Row],[коэф]])),
IF((G778="5/16"),((база!$L$6*Таблица1[[#This Row],[сумма]]*Таблица1[[#This Row],[коэф]])),
IF((G778="4/16"),((база!$L$5*Таблица1[[#This Row],[сумма]]*Таблица1[[#This Row],[коэф]])),
IF((G778="3/16"),((база!$L$4*Таблица1[[#This Row],[сумма]]*Таблица1[[#This Row],[коэф]])),
IF((G778="4/4"),((база!$I$5*Таблица1[[#This Row],[сумма]]*Таблица1[[#This Row],[коэф]])),
IF(OR(G778="2/4",G778="3/4"),((база!$I$4*Таблица1[[#This Row],[сумма]]*Таблица1[[#This Row],[коэф]])),
IF((G778="5/8"),((база!$J$6*Таблица1[[#This Row],[сумма]]*Таблица1[[#This Row],[коэф]])),
IF((G778="4/8"),((база!$J$5*Таблица1[[#This Row],[сумма]]*Таблица1[[#This Row],[коэф]])),
IF(OR(G778="3/8",G778="2/8"),((база!$J$4*Таблица1[[#This Row],[сумма]]*Таблица1[[#This Row],[коэф]])))))))))))))),
(IF((G778="5/24"),((база!$M$6*Таблица1[[#This Row],[сумма]]*Таблица1[[#This Row],[коэф]])),
IF(OR(G778="4/24",G778="3/24"),((база!$M$5*Таблица1[[#This Row],[сумма]]*Таблица1[[#This Row],[коэф]])),
IF((G778="5/16"),((база!$L$6*Таблица1[[#This Row],[сумма]]*Таблица1[[#This Row],[коэф]])),
IF(OR(G778="4/16",G778="3/16"),((база!$L$5*Таблица1[[#This Row],[сумма]]*Таблица1[[#This Row],[коэф]])),
IF(OR(G778="2/4",G778="3/4",G778="4/4"),((база!$I$5*Таблица1[[#This Row],[сумма]]*Таблица1[[#This Row],[коэф]])),
IF((G778="5/8"),((база!$J$6*Таблица1[[#This Row],[сумма]]*Таблица1[[#This Row],[коэф]])),
IF(OR(G778="4/8",G778="3/8",G778="2/8"),((база!$J$5*Таблица1[[#This Row],[сумма]]*Таблица1[[#This Row],[коэф]])))))))))))</f>
        <v>0</v>
      </c>
      <c r="AP778" s="696" t="b">
        <f>IF(AR778&lt;=3,(IF((G778="5/24"),((база!$M$6*2*Таблица1[[#This Row],[Столбец1]]*Таблица1[[#This Row],[коэф]])),
IF((G778="4/24"),((база!$M$5*2*Таблица1[[#This Row],[Столбец1]]*Таблица1[[#This Row],[коэф]])),
IF((G778="3/24"),((база!$M$4*2*Таблица1[[#This Row],[Столбец1]]*Таблица1[[#This Row],[коэф]])),
IF((G778="5/16"),((база!$L$6*2*Таблица1[[#This Row],[Столбец1]]*Таблица1[[#This Row],[коэф]])),
IF((G778="4/16"),((база!$L$5*2*Таблица1[[#This Row],[Столбец1]]*Таблица1[[#This Row],[коэф]])),
IF((G778="3/16"),((база!$L$4*2*Таблица1[[#This Row],[Столбец1]]*Таблица1[[#This Row],[коэф]])),
IF((G778="4/4"),((база!$I$5*2*Таблица1[[#This Row],[Столбец1]]*Таблица1[[#This Row],[коэф]])),
IF(OR(G778="2/4",G778="3/4"),((база!$I$4*2*Таблица1[[#This Row],[Столбец1]]*Таблица1[[#This Row],[коэф]])),
IF((G778="5/8"),((база!$J$6*2*Таблица1[[#This Row],[Столбец1]]*Таблица1[[#This Row],[коэф]])),
IF((G778="4/8"),((база!$J$5*2*Таблица1[[#This Row],[Столбец1]]*Таблица1[[#This Row],[коэф]])),
IF(OR(G778="3/8",G778="2/8"),((база!$J$4*2*Таблица1[[#This Row],[Столбец1]]*Таблица1[[#This Row],[коэф]])))))))))))))),
(IF((G778="5/24"),((база!$M$6*2*Таблица1[[#This Row],[Столбец1]]*Таблица1[[#This Row],[коэф]])),
IF(OR(G778="4/24",G778="3/24"),((база!$M$5*2*Таблица1[[#This Row],[Столбец1]]*Таблица1[[#This Row],[коэф]])),
IF((G778="5/16"),((база!$L$6*2*Таблица1[[#This Row],[Столбец1]]*Таблица1[[#This Row],[коэф]])),
IF(OR(G778="4/16",G778="3/16"),((база!$L$5*2*Таблица1[[#This Row],[Столбец1]]*Таблица1[[#This Row],[коэф]])),
IF(OR(G778="2/4",G778="3/4",G778="4/4"),((база!$I$5*2*Таблица1[[#This Row],[Столбец1]]*Таблица1[[#This Row],[коэф]])),
IF((G778="5/8"),((база!$J$6*2*Таблица1[[#This Row],[Столбец1]]*Таблица1[[#This Row],[коэф]])),
IF(OR(G778="4/8",G778="3/8",G778="2/8"),((база!$J$5*2*Таблица1[[#This Row],[Столбец1]]*Таблица1[[#This Row],[коэф]])))))))))))</f>
        <v>0</v>
      </c>
      <c r="AQ778" s="678" t="str">
        <f>IFERROR(INDEX(база!T:T, MATCH(F778,база!Q:Q,0)),"")</f>
        <v/>
      </c>
      <c r="AR778" s="193">
        <f>IFERROR(INDEX(база!D:D, MATCH(F778,база!B:B,0)),"")</f>
        <v>0</v>
      </c>
    </row>
    <row r="779" spans="1:44" ht="15">
      <c r="A779" s="59"/>
      <c r="B779" s="215"/>
      <c r="C779" s="277"/>
      <c r="D779" s="55"/>
      <c r="E779" s="196"/>
      <c r="F779" s="651"/>
      <c r="G779" s="42"/>
      <c r="H779" s="539"/>
      <c r="I779" s="539"/>
      <c r="J779" s="539"/>
      <c r="K779" s="539"/>
      <c r="L779" s="539"/>
      <c r="M779" s="539"/>
      <c r="N779" s="539"/>
      <c r="O779" s="539"/>
      <c r="P779" s="278"/>
      <c r="Q779" s="539"/>
      <c r="R779" s="539"/>
      <c r="S779" s="539"/>
      <c r="T779" s="539"/>
      <c r="U779" s="539"/>
      <c r="V779" s="539"/>
      <c r="W779" s="539"/>
      <c r="X779" s="539"/>
      <c r="Y779" s="539"/>
      <c r="Z779" s="539"/>
      <c r="AA779" s="539"/>
      <c r="AB779" s="539"/>
      <c r="AC779" s="539"/>
      <c r="AD779" s="43"/>
      <c r="AE779" s="43"/>
      <c r="AF779" s="238"/>
      <c r="AG779" s="43"/>
      <c r="AH779" s="43"/>
      <c r="AI779" s="238"/>
      <c r="AJ779" s="238"/>
      <c r="AK779" s="238"/>
      <c r="AL779" s="238"/>
      <c r="AM779" s="197">
        <f>IF(AQ779=1,SUM(H779:I779,L779:O779,R779:U779,X779:AA779,AD779:AG779,AI779:AK779),
IF(AQ779=2,SUM(H779:K779,N779:Q779,T779:W779,Z779:AC779,AF779:AI779),
IF(AQ779=3,SUM(J779:M779,P779:S779,V779:Y779,AB779:AE779,AH779:AK779),SUM(Таблица1[[#This Row],[1]:[31]])-Таблица1[[#This Row],[Столбец1]])))</f>
        <v>0</v>
      </c>
      <c r="AN779" s="269">
        <f t="array" ref="AN779">IF(AQ779=1,SUM(J779:K779,P779:Q779,V779:W779,AB779:AC779,AH779:AI779),
IF(AQ779=2,SUM(L779:M779,R779:S779,X779:Y779,AD779:AE779),
IF(AQ779=3,SUM(H779:I779,N779:O779,T779:U779,Z779:AA779,AF779:AG779),
SUM(IFERROR(WEEKDAY($H$2:$AL$2,2)&gt;5,)*H779:AL779))))</f>
        <v>0</v>
      </c>
      <c r="AO779" s="271" t="b">
        <f>IF(AR779&lt;=3,(IF((G779="5/24"),((база!$M$6*Таблица1[[#This Row],[сумма]]*Таблица1[[#This Row],[коэф]])),
IF((G779="4/24"),((база!$M$5*Таблица1[[#This Row],[сумма]]*Таблица1[[#This Row],[коэф]])),
IF((G779="3/24"),((база!$M$4*Таблица1[[#This Row],[сумма]]*Таблица1[[#This Row],[коэф]])),
IF((G779="5/16"),((база!$L$6*Таблица1[[#This Row],[сумма]]*Таблица1[[#This Row],[коэф]])),
IF((G779="4/16"),((база!$L$5*Таблица1[[#This Row],[сумма]]*Таблица1[[#This Row],[коэф]])),
IF((G779="3/16"),((база!$L$4*Таблица1[[#This Row],[сумма]]*Таблица1[[#This Row],[коэф]])),
IF((G779="4/4"),((база!$I$5*Таблица1[[#This Row],[сумма]]*Таблица1[[#This Row],[коэф]])),
IF(OR(G779="2/4",G779="3/4"),((база!$I$4*Таблица1[[#This Row],[сумма]]*Таблица1[[#This Row],[коэф]])),
IF((G779="5/8"),((база!$J$6*Таблица1[[#This Row],[сумма]]*Таблица1[[#This Row],[коэф]])),
IF((G779="4/8"),((база!$J$5*Таблица1[[#This Row],[сумма]]*Таблица1[[#This Row],[коэф]])),
IF(OR(G779="3/8",G779="2/8"),((база!$J$4*Таблица1[[#This Row],[сумма]]*Таблица1[[#This Row],[коэф]])))))))))))))),
(IF((G779="5/24"),((база!$M$6*Таблица1[[#This Row],[сумма]]*Таблица1[[#This Row],[коэф]])),
IF(OR(G779="4/24",G779="3/24"),((база!$M$5*Таблица1[[#This Row],[сумма]]*Таблица1[[#This Row],[коэф]])),
IF((G779="5/16"),((база!$L$6*Таблица1[[#This Row],[сумма]]*Таблица1[[#This Row],[коэф]])),
IF(OR(G779="4/16",G779="3/16"),((база!$L$5*Таблица1[[#This Row],[сумма]]*Таблица1[[#This Row],[коэф]])),
IF(OR(G779="2/4",G779="3/4",G779="4/4"),((база!$I$5*Таблица1[[#This Row],[сумма]]*Таблица1[[#This Row],[коэф]])),
IF((G779="5/8"),((база!$J$6*Таблица1[[#This Row],[сумма]]*Таблица1[[#This Row],[коэф]])),
IF(OR(G779="4/8",G779="3/8",G779="2/8"),((база!$J$5*Таблица1[[#This Row],[сумма]]*Таблица1[[#This Row],[коэф]])))))))))))</f>
        <v>0</v>
      </c>
      <c r="AP779" s="696" t="b">
        <f>IF(AR779&lt;=3,(IF((G779="5/24"),((база!$M$6*2*Таблица1[[#This Row],[Столбец1]]*Таблица1[[#This Row],[коэф]])),
IF((G779="4/24"),((база!$M$5*2*Таблица1[[#This Row],[Столбец1]]*Таблица1[[#This Row],[коэф]])),
IF((G779="3/24"),((база!$M$4*2*Таблица1[[#This Row],[Столбец1]]*Таблица1[[#This Row],[коэф]])),
IF((G779="5/16"),((база!$L$6*2*Таблица1[[#This Row],[Столбец1]]*Таблица1[[#This Row],[коэф]])),
IF((G779="4/16"),((база!$L$5*2*Таблица1[[#This Row],[Столбец1]]*Таблица1[[#This Row],[коэф]])),
IF((G779="3/16"),((база!$L$4*2*Таблица1[[#This Row],[Столбец1]]*Таблица1[[#This Row],[коэф]])),
IF((G779="4/4"),((база!$I$5*2*Таблица1[[#This Row],[Столбец1]]*Таблица1[[#This Row],[коэф]])),
IF(OR(G779="2/4",G779="3/4"),((база!$I$4*2*Таблица1[[#This Row],[Столбец1]]*Таблица1[[#This Row],[коэф]])),
IF((G779="5/8"),((база!$J$6*2*Таблица1[[#This Row],[Столбец1]]*Таблица1[[#This Row],[коэф]])),
IF((G779="4/8"),((база!$J$5*2*Таблица1[[#This Row],[Столбец1]]*Таблица1[[#This Row],[коэф]])),
IF(OR(G779="3/8",G779="2/8"),((база!$J$4*2*Таблица1[[#This Row],[Столбец1]]*Таблица1[[#This Row],[коэф]])))))))))))))),
(IF((G779="5/24"),((база!$M$6*2*Таблица1[[#This Row],[Столбец1]]*Таблица1[[#This Row],[коэф]])),
IF(OR(G779="4/24",G779="3/24"),((база!$M$5*2*Таблица1[[#This Row],[Столбец1]]*Таблица1[[#This Row],[коэф]])),
IF((G779="5/16"),((база!$L$6*2*Таблица1[[#This Row],[Столбец1]]*Таблица1[[#This Row],[коэф]])),
IF(OR(G779="4/16",G779="3/16"),((база!$L$5*2*Таблица1[[#This Row],[Столбец1]]*Таблица1[[#This Row],[коэф]])),
IF(OR(G779="2/4",G779="3/4",G779="4/4"),((база!$I$5*2*Таблица1[[#This Row],[Столбец1]]*Таблица1[[#This Row],[коэф]])),
IF((G779="5/8"),((база!$J$6*2*Таблица1[[#This Row],[Столбец1]]*Таблица1[[#This Row],[коэф]])),
IF(OR(G779="4/8",G779="3/8",G779="2/8"),((база!$J$5*2*Таблица1[[#This Row],[Столбец1]]*Таблица1[[#This Row],[коэф]])))))))))))</f>
        <v>0</v>
      </c>
      <c r="AQ779" s="678" t="str">
        <f>IFERROR(INDEX(база!T:T, MATCH(F779,база!Q:Q,0)),"")</f>
        <v/>
      </c>
      <c r="AR779" s="193">
        <f>IFERROR(INDEX(база!D:D, MATCH(F779,база!B:B,0)),"")</f>
        <v>0</v>
      </c>
    </row>
    <row r="780" spans="1:44" ht="15">
      <c r="A780" s="59"/>
      <c r="B780" s="215"/>
      <c r="C780" s="277"/>
      <c r="D780" s="55"/>
      <c r="E780" s="196"/>
      <c r="F780" s="651"/>
      <c r="G780" s="42"/>
      <c r="H780" s="539"/>
      <c r="I780" s="539"/>
      <c r="J780" s="539"/>
      <c r="K780" s="539"/>
      <c r="L780" s="539"/>
      <c r="M780" s="539"/>
      <c r="N780" s="539"/>
      <c r="O780" s="539"/>
      <c r="P780" s="278"/>
      <c r="Q780" s="539"/>
      <c r="R780" s="539"/>
      <c r="S780" s="539"/>
      <c r="T780" s="539"/>
      <c r="U780" s="539"/>
      <c r="V780" s="539"/>
      <c r="W780" s="539"/>
      <c r="X780" s="539"/>
      <c r="Y780" s="539"/>
      <c r="Z780" s="539"/>
      <c r="AA780" s="539"/>
      <c r="AB780" s="539"/>
      <c r="AC780" s="539"/>
      <c r="AD780" s="43"/>
      <c r="AE780" s="43"/>
      <c r="AF780" s="238"/>
      <c r="AG780" s="43"/>
      <c r="AH780" s="43"/>
      <c r="AI780" s="43"/>
      <c r="AJ780" s="43"/>
      <c r="AK780" s="43"/>
      <c r="AL780" s="45"/>
      <c r="AM780" s="197">
        <f>IF(AQ780=1,SUM(H780:I780,L780:O780,R780:U780,X780:AA780,AD780:AG780,AI780:AK780),
IF(AQ780=2,SUM(H780:K780,N780:Q780,T780:W780,Z780:AC780,AF780:AI780),
IF(AQ780=3,SUM(J780:M780,P780:S780,V780:Y780,AB780:AE780,AH780:AK780),SUM(Таблица1[[#This Row],[1]:[31]])-Таблица1[[#This Row],[Столбец1]])))</f>
        <v>0</v>
      </c>
      <c r="AN780" s="269">
        <f t="array" ref="AN780">IF(AQ780=1,SUM(J780:K780,P780:Q780,V780:W780,AB780:AC780,AH780:AI780),
IF(AQ780=2,SUM(L780:M780,R780:S780,X780:Y780,AD780:AE780),
IF(AQ780=3,SUM(H780:I780,N780:O780,T780:U780,Z780:AA780,AF780:AG780),
SUM(IFERROR(WEEKDAY($H$2:$AL$2,2)&gt;5,)*H780:AL780))))</f>
        <v>0</v>
      </c>
      <c r="AO780" s="271" t="b">
        <f>IF(AR780&lt;=3,(IF((G780="5/24"),((база!$M$6*Таблица1[[#This Row],[сумма]]*Таблица1[[#This Row],[коэф]])),
IF((G780="4/24"),((база!$M$5*Таблица1[[#This Row],[сумма]]*Таблица1[[#This Row],[коэф]])),
IF((G780="3/24"),((база!$M$4*Таблица1[[#This Row],[сумма]]*Таблица1[[#This Row],[коэф]])),
IF((G780="5/16"),((база!$L$6*Таблица1[[#This Row],[сумма]]*Таблица1[[#This Row],[коэф]])),
IF((G780="4/16"),((база!$L$5*Таблица1[[#This Row],[сумма]]*Таблица1[[#This Row],[коэф]])),
IF((G780="3/16"),((база!$L$4*Таблица1[[#This Row],[сумма]]*Таблица1[[#This Row],[коэф]])),
IF((G780="4/4"),((база!$I$5*Таблица1[[#This Row],[сумма]]*Таблица1[[#This Row],[коэф]])),
IF(OR(G780="2/4",G780="3/4"),((база!$I$4*Таблица1[[#This Row],[сумма]]*Таблица1[[#This Row],[коэф]])),
IF((G780="5/8"),((база!$J$6*Таблица1[[#This Row],[сумма]]*Таблица1[[#This Row],[коэф]])),
IF((G780="4/8"),((база!$J$5*Таблица1[[#This Row],[сумма]]*Таблица1[[#This Row],[коэф]])),
IF(OR(G780="3/8",G780="2/8"),((база!$J$4*Таблица1[[#This Row],[сумма]]*Таблица1[[#This Row],[коэф]])))))))))))))),
(IF((G780="5/24"),((база!$M$6*Таблица1[[#This Row],[сумма]]*Таблица1[[#This Row],[коэф]])),
IF(OR(G780="4/24",G780="3/24"),((база!$M$5*Таблица1[[#This Row],[сумма]]*Таблица1[[#This Row],[коэф]])),
IF((G780="5/16"),((база!$L$6*Таблица1[[#This Row],[сумма]]*Таблица1[[#This Row],[коэф]])),
IF(OR(G780="4/16",G780="3/16"),((база!$L$5*Таблица1[[#This Row],[сумма]]*Таблица1[[#This Row],[коэф]])),
IF(OR(G780="2/4",G780="3/4",G780="4/4"),((база!$I$5*Таблица1[[#This Row],[сумма]]*Таблица1[[#This Row],[коэф]])),
IF((G780="5/8"),((база!$J$6*Таблица1[[#This Row],[сумма]]*Таблица1[[#This Row],[коэф]])),
IF(OR(G780="4/8",G780="3/8",G780="2/8"),((база!$J$5*Таблица1[[#This Row],[сумма]]*Таблица1[[#This Row],[коэф]])))))))))))</f>
        <v>0</v>
      </c>
      <c r="AP780" s="696" t="b">
        <f>IF(AR780&lt;=3,(IF((G780="5/24"),((база!$M$6*2*Таблица1[[#This Row],[Столбец1]]*Таблица1[[#This Row],[коэф]])),
IF((G780="4/24"),((база!$M$5*2*Таблица1[[#This Row],[Столбец1]]*Таблица1[[#This Row],[коэф]])),
IF((G780="3/24"),((база!$M$4*2*Таблица1[[#This Row],[Столбец1]]*Таблица1[[#This Row],[коэф]])),
IF((G780="5/16"),((база!$L$6*2*Таблица1[[#This Row],[Столбец1]]*Таблица1[[#This Row],[коэф]])),
IF((G780="4/16"),((база!$L$5*2*Таблица1[[#This Row],[Столбец1]]*Таблица1[[#This Row],[коэф]])),
IF((G780="3/16"),((база!$L$4*2*Таблица1[[#This Row],[Столбец1]]*Таблица1[[#This Row],[коэф]])),
IF((G780="4/4"),((база!$I$5*2*Таблица1[[#This Row],[Столбец1]]*Таблица1[[#This Row],[коэф]])),
IF(OR(G780="2/4",G780="3/4"),((база!$I$4*2*Таблица1[[#This Row],[Столбец1]]*Таблица1[[#This Row],[коэф]])),
IF((G780="5/8"),((база!$J$6*2*Таблица1[[#This Row],[Столбец1]]*Таблица1[[#This Row],[коэф]])),
IF((G780="4/8"),((база!$J$5*2*Таблица1[[#This Row],[Столбец1]]*Таблица1[[#This Row],[коэф]])),
IF(OR(G780="3/8",G780="2/8"),((база!$J$4*2*Таблица1[[#This Row],[Столбец1]]*Таблица1[[#This Row],[коэф]])))))))))))))),
(IF((G780="5/24"),((база!$M$6*2*Таблица1[[#This Row],[Столбец1]]*Таблица1[[#This Row],[коэф]])),
IF(OR(G780="4/24",G780="3/24"),((база!$M$5*2*Таблица1[[#This Row],[Столбец1]]*Таблица1[[#This Row],[коэф]])),
IF((G780="5/16"),((база!$L$6*2*Таблица1[[#This Row],[Столбец1]]*Таблица1[[#This Row],[коэф]])),
IF(OR(G780="4/16",G780="3/16"),((база!$L$5*2*Таблица1[[#This Row],[Столбец1]]*Таблица1[[#This Row],[коэф]])),
IF(OR(G780="2/4",G780="3/4",G780="4/4"),((база!$I$5*2*Таблица1[[#This Row],[Столбец1]]*Таблица1[[#This Row],[коэф]])),
IF((G780="5/8"),((база!$J$6*2*Таблица1[[#This Row],[Столбец1]]*Таблица1[[#This Row],[коэф]])),
IF(OR(G780="4/8",G780="3/8",G780="2/8"),((база!$J$5*2*Таблица1[[#This Row],[Столбец1]]*Таблица1[[#This Row],[коэф]])))))))))))</f>
        <v>0</v>
      </c>
      <c r="AQ780" s="678" t="str">
        <f>IFERROR(INDEX(база!T:T, MATCH(F780,база!Q:Q,0)),"")</f>
        <v/>
      </c>
      <c r="AR780" s="193">
        <f>IFERROR(INDEX(база!D:D, MATCH(F780,база!B:B,0)),"")</f>
        <v>0</v>
      </c>
    </row>
    <row r="781" spans="1:44" ht="15">
      <c r="A781" s="59"/>
      <c r="B781" s="215"/>
      <c r="C781" s="277"/>
      <c r="D781" s="55"/>
      <c r="E781" s="196"/>
      <c r="F781" s="651"/>
      <c r="G781" s="42"/>
      <c r="H781" s="539"/>
      <c r="I781" s="539"/>
      <c r="J781" s="539"/>
      <c r="K781" s="539"/>
      <c r="L781" s="539"/>
      <c r="M781" s="539"/>
      <c r="N781" s="539"/>
      <c r="O781" s="539"/>
      <c r="P781" s="278"/>
      <c r="Q781" s="539"/>
      <c r="R781" s="539"/>
      <c r="S781" s="539"/>
      <c r="T781" s="539"/>
      <c r="U781" s="539"/>
      <c r="V781" s="539"/>
      <c r="W781" s="539"/>
      <c r="X781" s="539"/>
      <c r="Y781" s="539"/>
      <c r="Z781" s="539"/>
      <c r="AA781" s="539"/>
      <c r="AB781" s="539"/>
      <c r="AC781" s="539"/>
      <c r="AD781" s="43"/>
      <c r="AE781" s="43"/>
      <c r="AF781" s="238"/>
      <c r="AG781" s="43"/>
      <c r="AH781" s="43"/>
      <c r="AI781" s="238"/>
      <c r="AJ781" s="238"/>
      <c r="AK781" s="238"/>
      <c r="AL781" s="238"/>
      <c r="AM781" s="197">
        <f>IF(AQ781=1,SUM(H781:I781,L781:O781,R781:U781,X781:AA781,AD781:AG781,AI781:AK781),
IF(AQ781=2,SUM(H781:K781,N781:Q781,T781:W781,Z781:AC781,AF781:AI781),
IF(AQ781=3,SUM(J781:M781,P781:S781,V781:Y781,AB781:AE781,AH781:AK781),SUM(Таблица1[[#This Row],[1]:[31]])-Таблица1[[#This Row],[Столбец1]])))</f>
        <v>0</v>
      </c>
      <c r="AN781" s="269">
        <f t="array" ref="AN781">IF(AQ781=1,SUM(J781:K781,P781:Q781,V781:W781,AB781:AC781,AH781:AI781),
IF(AQ781=2,SUM(L781:M781,R781:S781,X781:Y781,AD781:AE781),
IF(AQ781=3,SUM(H781:I781,N781:O781,T781:U781,Z781:AA781,AF781:AG781),
SUM(IFERROR(WEEKDAY($H$2:$AL$2,2)&gt;5,)*H781:AL781))))</f>
        <v>0</v>
      </c>
      <c r="AO781" s="271" t="b">
        <f>IF(AR781&lt;=3,(IF((G781="5/24"),((база!$M$6*Таблица1[[#This Row],[сумма]]*Таблица1[[#This Row],[коэф]])),
IF((G781="4/24"),((база!$M$5*Таблица1[[#This Row],[сумма]]*Таблица1[[#This Row],[коэф]])),
IF((G781="3/24"),((база!$M$4*Таблица1[[#This Row],[сумма]]*Таблица1[[#This Row],[коэф]])),
IF((G781="5/16"),((база!$L$6*Таблица1[[#This Row],[сумма]]*Таблица1[[#This Row],[коэф]])),
IF((G781="4/16"),((база!$L$5*Таблица1[[#This Row],[сумма]]*Таблица1[[#This Row],[коэф]])),
IF((G781="3/16"),((база!$L$4*Таблица1[[#This Row],[сумма]]*Таблица1[[#This Row],[коэф]])),
IF((G781="4/4"),((база!$I$5*Таблица1[[#This Row],[сумма]]*Таблица1[[#This Row],[коэф]])),
IF(OR(G781="2/4",G781="3/4"),((база!$I$4*Таблица1[[#This Row],[сумма]]*Таблица1[[#This Row],[коэф]])),
IF((G781="5/8"),((база!$J$6*Таблица1[[#This Row],[сумма]]*Таблица1[[#This Row],[коэф]])),
IF((G781="4/8"),((база!$J$5*Таблица1[[#This Row],[сумма]]*Таблица1[[#This Row],[коэф]])),
IF(OR(G781="3/8",G781="2/8"),((база!$J$4*Таблица1[[#This Row],[сумма]]*Таблица1[[#This Row],[коэф]])))))))))))))),
(IF((G781="5/24"),((база!$M$6*Таблица1[[#This Row],[сумма]]*Таблица1[[#This Row],[коэф]])),
IF(OR(G781="4/24",G781="3/24"),((база!$M$5*Таблица1[[#This Row],[сумма]]*Таблица1[[#This Row],[коэф]])),
IF((G781="5/16"),((база!$L$6*Таблица1[[#This Row],[сумма]]*Таблица1[[#This Row],[коэф]])),
IF(OR(G781="4/16",G781="3/16"),((база!$L$5*Таблица1[[#This Row],[сумма]]*Таблица1[[#This Row],[коэф]])),
IF(OR(G781="2/4",G781="3/4",G781="4/4"),((база!$I$5*Таблица1[[#This Row],[сумма]]*Таблица1[[#This Row],[коэф]])),
IF((G781="5/8"),((база!$J$6*Таблица1[[#This Row],[сумма]]*Таблица1[[#This Row],[коэф]])),
IF(OR(G781="4/8",G781="3/8",G781="2/8"),((база!$J$5*Таблица1[[#This Row],[сумма]]*Таблица1[[#This Row],[коэф]])))))))))))</f>
        <v>0</v>
      </c>
      <c r="AP781" s="696" t="b">
        <f>IF(AR781&lt;=3,(IF((G781="5/24"),((база!$M$6*2*Таблица1[[#This Row],[Столбец1]]*Таблица1[[#This Row],[коэф]])),
IF((G781="4/24"),((база!$M$5*2*Таблица1[[#This Row],[Столбец1]]*Таблица1[[#This Row],[коэф]])),
IF((G781="3/24"),((база!$M$4*2*Таблица1[[#This Row],[Столбец1]]*Таблица1[[#This Row],[коэф]])),
IF((G781="5/16"),((база!$L$6*2*Таблица1[[#This Row],[Столбец1]]*Таблица1[[#This Row],[коэф]])),
IF((G781="4/16"),((база!$L$5*2*Таблица1[[#This Row],[Столбец1]]*Таблица1[[#This Row],[коэф]])),
IF((G781="3/16"),((база!$L$4*2*Таблица1[[#This Row],[Столбец1]]*Таблица1[[#This Row],[коэф]])),
IF((G781="4/4"),((база!$I$5*2*Таблица1[[#This Row],[Столбец1]]*Таблица1[[#This Row],[коэф]])),
IF(OR(G781="2/4",G781="3/4"),((база!$I$4*2*Таблица1[[#This Row],[Столбец1]]*Таблица1[[#This Row],[коэф]])),
IF((G781="5/8"),((база!$J$6*2*Таблица1[[#This Row],[Столбец1]]*Таблица1[[#This Row],[коэф]])),
IF((G781="4/8"),((база!$J$5*2*Таблица1[[#This Row],[Столбец1]]*Таблица1[[#This Row],[коэф]])),
IF(OR(G781="3/8",G781="2/8"),((база!$J$4*2*Таблица1[[#This Row],[Столбец1]]*Таблица1[[#This Row],[коэф]])))))))))))))),
(IF((G781="5/24"),((база!$M$6*2*Таблица1[[#This Row],[Столбец1]]*Таблица1[[#This Row],[коэф]])),
IF(OR(G781="4/24",G781="3/24"),((база!$M$5*2*Таблица1[[#This Row],[Столбец1]]*Таблица1[[#This Row],[коэф]])),
IF((G781="5/16"),((база!$L$6*2*Таблица1[[#This Row],[Столбец1]]*Таблица1[[#This Row],[коэф]])),
IF(OR(G781="4/16",G781="3/16"),((база!$L$5*2*Таблица1[[#This Row],[Столбец1]]*Таблица1[[#This Row],[коэф]])),
IF(OR(G781="2/4",G781="3/4",G781="4/4"),((база!$I$5*2*Таблица1[[#This Row],[Столбец1]]*Таблица1[[#This Row],[коэф]])),
IF((G781="5/8"),((база!$J$6*2*Таблица1[[#This Row],[Столбец1]]*Таблица1[[#This Row],[коэф]])),
IF(OR(G781="4/8",G781="3/8",G781="2/8"),((база!$J$5*2*Таблица1[[#This Row],[Столбец1]]*Таблица1[[#This Row],[коэф]])))))))))))</f>
        <v>0</v>
      </c>
      <c r="AQ781" s="678" t="str">
        <f>IFERROR(INDEX(база!T:T, MATCH(F781,база!Q:Q,0)),"")</f>
        <v/>
      </c>
      <c r="AR781" s="193">
        <f>IFERROR(INDEX(база!D:D, MATCH(F781,база!B:B,0)),"")</f>
        <v>0</v>
      </c>
    </row>
    <row r="782" spans="1:44" ht="15">
      <c r="A782" s="59"/>
      <c r="B782" s="215"/>
      <c r="C782" s="277"/>
      <c r="D782" s="55"/>
      <c r="E782" s="196"/>
      <c r="F782" s="651"/>
      <c r="G782" s="42"/>
      <c r="H782" s="539"/>
      <c r="I782" s="539"/>
      <c r="J782" s="539"/>
      <c r="K782" s="539"/>
      <c r="L782" s="539"/>
      <c r="M782" s="539"/>
      <c r="N782" s="539"/>
      <c r="O782" s="539"/>
      <c r="P782" s="278"/>
      <c r="Q782" s="539"/>
      <c r="R782" s="539"/>
      <c r="S782" s="539"/>
      <c r="T782" s="539"/>
      <c r="U782" s="539"/>
      <c r="V782" s="539"/>
      <c r="W782" s="539"/>
      <c r="X782" s="539"/>
      <c r="Y782" s="539"/>
      <c r="Z782" s="539"/>
      <c r="AA782" s="539"/>
      <c r="AB782" s="539"/>
      <c r="AC782" s="539"/>
      <c r="AD782" s="43"/>
      <c r="AE782" s="43"/>
      <c r="AF782" s="238"/>
      <c r="AG782" s="43"/>
      <c r="AH782" s="43"/>
      <c r="AI782" s="43"/>
      <c r="AJ782" s="43"/>
      <c r="AK782" s="43"/>
      <c r="AL782" s="45"/>
      <c r="AM782" s="197">
        <f>IF(AQ782=1,SUM(H782:I782,L782:O782,R782:U782,X782:AA782,AD782:AG782,AI782:AK782),
IF(AQ782=2,SUM(H782:K782,N782:Q782,T782:W782,Z782:AC782,AF782:AI782),
IF(AQ782=3,SUM(J782:M782,P782:S782,V782:Y782,AB782:AE782,AH782:AK782),SUM(Таблица1[[#This Row],[1]:[31]])-Таблица1[[#This Row],[Столбец1]])))</f>
        <v>0</v>
      </c>
      <c r="AN782" s="269">
        <f t="array" ref="AN782">IF(AQ782=1,SUM(J782:K782,P782:Q782,V782:W782,AB782:AC782,AH782:AI782),
IF(AQ782=2,SUM(L782:M782,R782:S782,X782:Y782,AD782:AE782),
IF(AQ782=3,SUM(H782:I782,N782:O782,T782:U782,Z782:AA782,AF782:AG782),
SUM(IFERROR(WEEKDAY($H$2:$AL$2,2)&gt;5,)*H782:AL782))))</f>
        <v>0</v>
      </c>
      <c r="AO782" s="271" t="b">
        <f>IF(AR782&lt;=3,(IF((G782="5/24"),((база!$M$6*Таблица1[[#This Row],[сумма]]*Таблица1[[#This Row],[коэф]])),
IF((G782="4/24"),((база!$M$5*Таблица1[[#This Row],[сумма]]*Таблица1[[#This Row],[коэф]])),
IF((G782="3/24"),((база!$M$4*Таблица1[[#This Row],[сумма]]*Таблица1[[#This Row],[коэф]])),
IF((G782="5/16"),((база!$L$6*Таблица1[[#This Row],[сумма]]*Таблица1[[#This Row],[коэф]])),
IF((G782="4/16"),((база!$L$5*Таблица1[[#This Row],[сумма]]*Таблица1[[#This Row],[коэф]])),
IF((G782="3/16"),((база!$L$4*Таблица1[[#This Row],[сумма]]*Таблица1[[#This Row],[коэф]])),
IF((G782="4/4"),((база!$I$5*Таблица1[[#This Row],[сумма]]*Таблица1[[#This Row],[коэф]])),
IF(OR(G782="2/4",G782="3/4"),((база!$I$4*Таблица1[[#This Row],[сумма]]*Таблица1[[#This Row],[коэф]])),
IF((G782="5/8"),((база!$J$6*Таблица1[[#This Row],[сумма]]*Таблица1[[#This Row],[коэф]])),
IF((G782="4/8"),((база!$J$5*Таблица1[[#This Row],[сумма]]*Таблица1[[#This Row],[коэф]])),
IF(OR(G782="3/8",G782="2/8"),((база!$J$4*Таблица1[[#This Row],[сумма]]*Таблица1[[#This Row],[коэф]])))))))))))))),
(IF((G782="5/24"),((база!$M$6*Таблица1[[#This Row],[сумма]]*Таблица1[[#This Row],[коэф]])),
IF(OR(G782="4/24",G782="3/24"),((база!$M$5*Таблица1[[#This Row],[сумма]]*Таблица1[[#This Row],[коэф]])),
IF((G782="5/16"),((база!$L$6*Таблица1[[#This Row],[сумма]]*Таблица1[[#This Row],[коэф]])),
IF(OR(G782="4/16",G782="3/16"),((база!$L$5*Таблица1[[#This Row],[сумма]]*Таблица1[[#This Row],[коэф]])),
IF(OR(G782="2/4",G782="3/4",G782="4/4"),((база!$I$5*Таблица1[[#This Row],[сумма]]*Таблица1[[#This Row],[коэф]])),
IF((G782="5/8"),((база!$J$6*Таблица1[[#This Row],[сумма]]*Таблица1[[#This Row],[коэф]])),
IF(OR(G782="4/8",G782="3/8",G782="2/8"),((база!$J$5*Таблица1[[#This Row],[сумма]]*Таблица1[[#This Row],[коэф]])))))))))))</f>
        <v>0</v>
      </c>
      <c r="AP782" s="696" t="b">
        <f>IF(AR782&lt;=3,(IF((G782="5/24"),((база!$M$6*2*Таблица1[[#This Row],[Столбец1]]*Таблица1[[#This Row],[коэф]])),
IF((G782="4/24"),((база!$M$5*2*Таблица1[[#This Row],[Столбец1]]*Таблица1[[#This Row],[коэф]])),
IF((G782="3/24"),((база!$M$4*2*Таблица1[[#This Row],[Столбец1]]*Таблица1[[#This Row],[коэф]])),
IF((G782="5/16"),((база!$L$6*2*Таблица1[[#This Row],[Столбец1]]*Таблица1[[#This Row],[коэф]])),
IF((G782="4/16"),((база!$L$5*2*Таблица1[[#This Row],[Столбец1]]*Таблица1[[#This Row],[коэф]])),
IF((G782="3/16"),((база!$L$4*2*Таблица1[[#This Row],[Столбец1]]*Таблица1[[#This Row],[коэф]])),
IF((G782="4/4"),((база!$I$5*2*Таблица1[[#This Row],[Столбец1]]*Таблица1[[#This Row],[коэф]])),
IF(OR(G782="2/4",G782="3/4"),((база!$I$4*2*Таблица1[[#This Row],[Столбец1]]*Таблица1[[#This Row],[коэф]])),
IF((G782="5/8"),((база!$J$6*2*Таблица1[[#This Row],[Столбец1]]*Таблица1[[#This Row],[коэф]])),
IF((G782="4/8"),((база!$J$5*2*Таблица1[[#This Row],[Столбец1]]*Таблица1[[#This Row],[коэф]])),
IF(OR(G782="3/8",G782="2/8"),((база!$J$4*2*Таблица1[[#This Row],[Столбец1]]*Таблица1[[#This Row],[коэф]])))))))))))))),
(IF((G782="5/24"),((база!$M$6*2*Таблица1[[#This Row],[Столбец1]]*Таблица1[[#This Row],[коэф]])),
IF(OR(G782="4/24",G782="3/24"),((база!$M$5*2*Таблица1[[#This Row],[Столбец1]]*Таблица1[[#This Row],[коэф]])),
IF((G782="5/16"),((база!$L$6*2*Таблица1[[#This Row],[Столбец1]]*Таблица1[[#This Row],[коэф]])),
IF(OR(G782="4/16",G782="3/16"),((база!$L$5*2*Таблица1[[#This Row],[Столбец1]]*Таблица1[[#This Row],[коэф]])),
IF(OR(G782="2/4",G782="3/4",G782="4/4"),((база!$I$5*2*Таблица1[[#This Row],[Столбец1]]*Таблица1[[#This Row],[коэф]])),
IF((G782="5/8"),((база!$J$6*2*Таблица1[[#This Row],[Столбец1]]*Таблица1[[#This Row],[коэф]])),
IF(OR(G782="4/8",G782="3/8",G782="2/8"),((база!$J$5*2*Таблица1[[#This Row],[Столбец1]]*Таблица1[[#This Row],[коэф]])))))))))))</f>
        <v>0</v>
      </c>
      <c r="AQ782" s="678" t="str">
        <f>IFERROR(INDEX(база!T:T, MATCH(F782,база!Q:Q,0)),"")</f>
        <v/>
      </c>
      <c r="AR782" s="193">
        <f>IFERROR(INDEX(база!D:D, MATCH(F782,база!B:B,0)),"")</f>
        <v>0</v>
      </c>
    </row>
    <row r="783" spans="1:44" ht="15">
      <c r="A783" s="59"/>
      <c r="B783" s="215"/>
      <c r="C783" s="277"/>
      <c r="D783" s="55"/>
      <c r="E783" s="196"/>
      <c r="F783" s="651"/>
      <c r="G783" s="42"/>
      <c r="H783" s="539"/>
      <c r="I783" s="539"/>
      <c r="J783" s="539"/>
      <c r="K783" s="539"/>
      <c r="L783" s="539"/>
      <c r="M783" s="539"/>
      <c r="N783" s="539"/>
      <c r="O783" s="539"/>
      <c r="P783" s="278"/>
      <c r="Q783" s="539"/>
      <c r="R783" s="539"/>
      <c r="S783" s="539"/>
      <c r="T783" s="539"/>
      <c r="U783" s="539"/>
      <c r="V783" s="539"/>
      <c r="W783" s="539"/>
      <c r="X783" s="539"/>
      <c r="Y783" s="539"/>
      <c r="Z783" s="539"/>
      <c r="AA783" s="539"/>
      <c r="AB783" s="539"/>
      <c r="AC783" s="539"/>
      <c r="AD783" s="43"/>
      <c r="AE783" s="43"/>
      <c r="AF783" s="238"/>
      <c r="AG783" s="43"/>
      <c r="AH783" s="43"/>
      <c r="AI783" s="238"/>
      <c r="AJ783" s="238"/>
      <c r="AK783" s="238"/>
      <c r="AL783" s="238"/>
      <c r="AM783" s="197">
        <f>IF(AQ783=1,SUM(H783:I783,L783:O783,R783:U783,X783:AA783,AD783:AG783,AI783:AK783),
IF(AQ783=2,SUM(H783:K783,N783:Q783,T783:W783,Z783:AC783,AF783:AI783),
IF(AQ783=3,SUM(J783:M783,P783:S783,V783:Y783,AB783:AE783,AH783:AK783),SUM(Таблица1[[#This Row],[1]:[31]])-Таблица1[[#This Row],[Столбец1]])))</f>
        <v>0</v>
      </c>
      <c r="AN783" s="269">
        <f t="array" ref="AN783">IF(AQ783=1,SUM(J783:K783,P783:Q783,V783:W783,AB783:AC783,AH783:AI783),
IF(AQ783=2,SUM(L783:M783,R783:S783,X783:Y783,AD783:AE783),
IF(AQ783=3,SUM(H783:I783,N783:O783,T783:U783,Z783:AA783,AF783:AG783),
SUM(IFERROR(WEEKDAY($H$2:$AL$2,2)&gt;5,)*H783:AL783))))</f>
        <v>0</v>
      </c>
      <c r="AO783" s="271" t="b">
        <f>IF(AR783&lt;=3,(IF((G783="5/24"),((база!$M$6*Таблица1[[#This Row],[сумма]]*Таблица1[[#This Row],[коэф]])),
IF((G783="4/24"),((база!$M$5*Таблица1[[#This Row],[сумма]]*Таблица1[[#This Row],[коэф]])),
IF((G783="3/24"),((база!$M$4*Таблица1[[#This Row],[сумма]]*Таблица1[[#This Row],[коэф]])),
IF((G783="5/16"),((база!$L$6*Таблица1[[#This Row],[сумма]]*Таблица1[[#This Row],[коэф]])),
IF((G783="4/16"),((база!$L$5*Таблица1[[#This Row],[сумма]]*Таблица1[[#This Row],[коэф]])),
IF((G783="3/16"),((база!$L$4*Таблица1[[#This Row],[сумма]]*Таблица1[[#This Row],[коэф]])),
IF((G783="4/4"),((база!$I$5*Таблица1[[#This Row],[сумма]]*Таблица1[[#This Row],[коэф]])),
IF(OR(G783="2/4",G783="3/4"),((база!$I$4*Таблица1[[#This Row],[сумма]]*Таблица1[[#This Row],[коэф]])),
IF((G783="5/8"),((база!$J$6*Таблица1[[#This Row],[сумма]]*Таблица1[[#This Row],[коэф]])),
IF((G783="4/8"),((база!$J$5*Таблица1[[#This Row],[сумма]]*Таблица1[[#This Row],[коэф]])),
IF(OR(G783="3/8",G783="2/8"),((база!$J$4*Таблица1[[#This Row],[сумма]]*Таблица1[[#This Row],[коэф]])))))))))))))),
(IF((G783="5/24"),((база!$M$6*Таблица1[[#This Row],[сумма]]*Таблица1[[#This Row],[коэф]])),
IF(OR(G783="4/24",G783="3/24"),((база!$M$5*Таблица1[[#This Row],[сумма]]*Таблица1[[#This Row],[коэф]])),
IF((G783="5/16"),((база!$L$6*Таблица1[[#This Row],[сумма]]*Таблица1[[#This Row],[коэф]])),
IF(OR(G783="4/16",G783="3/16"),((база!$L$5*Таблица1[[#This Row],[сумма]]*Таблица1[[#This Row],[коэф]])),
IF(OR(G783="2/4",G783="3/4",G783="4/4"),((база!$I$5*Таблица1[[#This Row],[сумма]]*Таблица1[[#This Row],[коэф]])),
IF((G783="5/8"),((база!$J$6*Таблица1[[#This Row],[сумма]]*Таблица1[[#This Row],[коэф]])),
IF(OR(G783="4/8",G783="3/8",G783="2/8"),((база!$J$5*Таблица1[[#This Row],[сумма]]*Таблица1[[#This Row],[коэф]])))))))))))</f>
        <v>0</v>
      </c>
      <c r="AP783" s="696" t="b">
        <f>IF(AR783&lt;=3,(IF((G783="5/24"),((база!$M$6*2*Таблица1[[#This Row],[Столбец1]]*Таблица1[[#This Row],[коэф]])),
IF((G783="4/24"),((база!$M$5*2*Таблица1[[#This Row],[Столбец1]]*Таблица1[[#This Row],[коэф]])),
IF((G783="3/24"),((база!$M$4*2*Таблица1[[#This Row],[Столбец1]]*Таблица1[[#This Row],[коэф]])),
IF((G783="5/16"),((база!$L$6*2*Таблица1[[#This Row],[Столбец1]]*Таблица1[[#This Row],[коэф]])),
IF((G783="4/16"),((база!$L$5*2*Таблица1[[#This Row],[Столбец1]]*Таблица1[[#This Row],[коэф]])),
IF((G783="3/16"),((база!$L$4*2*Таблица1[[#This Row],[Столбец1]]*Таблица1[[#This Row],[коэф]])),
IF((G783="4/4"),((база!$I$5*2*Таблица1[[#This Row],[Столбец1]]*Таблица1[[#This Row],[коэф]])),
IF(OR(G783="2/4",G783="3/4"),((база!$I$4*2*Таблица1[[#This Row],[Столбец1]]*Таблица1[[#This Row],[коэф]])),
IF((G783="5/8"),((база!$J$6*2*Таблица1[[#This Row],[Столбец1]]*Таблица1[[#This Row],[коэф]])),
IF((G783="4/8"),((база!$J$5*2*Таблица1[[#This Row],[Столбец1]]*Таблица1[[#This Row],[коэф]])),
IF(OR(G783="3/8",G783="2/8"),((база!$J$4*2*Таблица1[[#This Row],[Столбец1]]*Таблица1[[#This Row],[коэф]])))))))))))))),
(IF((G783="5/24"),((база!$M$6*2*Таблица1[[#This Row],[Столбец1]]*Таблица1[[#This Row],[коэф]])),
IF(OR(G783="4/24",G783="3/24"),((база!$M$5*2*Таблица1[[#This Row],[Столбец1]]*Таблица1[[#This Row],[коэф]])),
IF((G783="5/16"),((база!$L$6*2*Таблица1[[#This Row],[Столбец1]]*Таблица1[[#This Row],[коэф]])),
IF(OR(G783="4/16",G783="3/16"),((база!$L$5*2*Таблица1[[#This Row],[Столбец1]]*Таблица1[[#This Row],[коэф]])),
IF(OR(G783="2/4",G783="3/4",G783="4/4"),((база!$I$5*2*Таблица1[[#This Row],[Столбец1]]*Таблица1[[#This Row],[коэф]])),
IF((G783="5/8"),((база!$J$6*2*Таблица1[[#This Row],[Столбец1]]*Таблица1[[#This Row],[коэф]])),
IF(OR(G783="4/8",G783="3/8",G783="2/8"),((база!$J$5*2*Таблица1[[#This Row],[Столбец1]]*Таблица1[[#This Row],[коэф]])))))))))))</f>
        <v>0</v>
      </c>
      <c r="AQ783" s="678" t="str">
        <f>IFERROR(INDEX(база!T:T, MATCH(F783,база!Q:Q,0)),"")</f>
        <v/>
      </c>
      <c r="AR783" s="193">
        <f>IFERROR(INDEX(база!D:D, MATCH(F783,база!B:B,0)),"")</f>
        <v>0</v>
      </c>
    </row>
    <row r="784" spans="1:44" ht="15">
      <c r="A784" s="59"/>
      <c r="B784" s="215"/>
      <c r="C784" s="277"/>
      <c r="D784" s="55"/>
      <c r="E784" s="196"/>
      <c r="F784" s="651"/>
      <c r="G784" s="42"/>
      <c r="H784" s="539"/>
      <c r="I784" s="539"/>
      <c r="J784" s="539"/>
      <c r="K784" s="539"/>
      <c r="L784" s="539"/>
      <c r="M784" s="539"/>
      <c r="N784" s="539"/>
      <c r="O784" s="539"/>
      <c r="P784" s="278"/>
      <c r="Q784" s="539"/>
      <c r="R784" s="539"/>
      <c r="S784" s="539"/>
      <c r="T784" s="539"/>
      <c r="U784" s="539"/>
      <c r="V784" s="539"/>
      <c r="W784" s="539"/>
      <c r="X784" s="539"/>
      <c r="Y784" s="539"/>
      <c r="Z784" s="539"/>
      <c r="AA784" s="539"/>
      <c r="AB784" s="539"/>
      <c r="AC784" s="539"/>
      <c r="AD784" s="43"/>
      <c r="AE784" s="43"/>
      <c r="AF784" s="238"/>
      <c r="AG784" s="43"/>
      <c r="AH784" s="43"/>
      <c r="AI784" s="43"/>
      <c r="AJ784" s="43"/>
      <c r="AK784" s="43"/>
      <c r="AL784" s="45"/>
      <c r="AM784" s="197">
        <f>IF(AQ784=1,SUM(H784:I784,L784:O784,R784:U784,X784:AA784,AD784:AG784,AI784:AK784),
IF(AQ784=2,SUM(H784:K784,N784:Q784,T784:W784,Z784:AC784,AF784:AI784),
IF(AQ784=3,SUM(J784:M784,P784:S784,V784:Y784,AB784:AE784,AH784:AK784),SUM(Таблица1[[#This Row],[1]:[31]])-Таблица1[[#This Row],[Столбец1]])))</f>
        <v>0</v>
      </c>
      <c r="AN784" s="269">
        <f t="array" ref="AN784">IF(AQ784=1,SUM(J784:K784,P784:Q784,V784:W784,AB784:AC784,AH784:AI784),
IF(AQ784=2,SUM(L784:M784,R784:S784,X784:Y784,AD784:AE784),
IF(AQ784=3,SUM(H784:I784,N784:O784,T784:U784,Z784:AA784,AF784:AG784),
SUM(IFERROR(WEEKDAY($H$2:$AL$2,2)&gt;5,)*H784:AL784))))</f>
        <v>0</v>
      </c>
      <c r="AO784" s="271" t="b">
        <f>IF(AR784&lt;=3,(IF((G784="5/24"),((база!$M$6*Таблица1[[#This Row],[сумма]]*Таблица1[[#This Row],[коэф]])),
IF((G784="4/24"),((база!$M$5*Таблица1[[#This Row],[сумма]]*Таблица1[[#This Row],[коэф]])),
IF((G784="3/24"),((база!$M$4*Таблица1[[#This Row],[сумма]]*Таблица1[[#This Row],[коэф]])),
IF((G784="5/16"),((база!$L$6*Таблица1[[#This Row],[сумма]]*Таблица1[[#This Row],[коэф]])),
IF((G784="4/16"),((база!$L$5*Таблица1[[#This Row],[сумма]]*Таблица1[[#This Row],[коэф]])),
IF((G784="3/16"),((база!$L$4*Таблица1[[#This Row],[сумма]]*Таблица1[[#This Row],[коэф]])),
IF((G784="4/4"),((база!$I$5*Таблица1[[#This Row],[сумма]]*Таблица1[[#This Row],[коэф]])),
IF(OR(G784="2/4",G784="3/4"),((база!$I$4*Таблица1[[#This Row],[сумма]]*Таблица1[[#This Row],[коэф]])),
IF((G784="5/8"),((база!$J$6*Таблица1[[#This Row],[сумма]]*Таблица1[[#This Row],[коэф]])),
IF((G784="4/8"),((база!$J$5*Таблица1[[#This Row],[сумма]]*Таблица1[[#This Row],[коэф]])),
IF(OR(G784="3/8",G784="2/8"),((база!$J$4*Таблица1[[#This Row],[сумма]]*Таблица1[[#This Row],[коэф]])))))))))))))),
(IF((G784="5/24"),((база!$M$6*Таблица1[[#This Row],[сумма]]*Таблица1[[#This Row],[коэф]])),
IF(OR(G784="4/24",G784="3/24"),((база!$M$5*Таблица1[[#This Row],[сумма]]*Таблица1[[#This Row],[коэф]])),
IF((G784="5/16"),((база!$L$6*Таблица1[[#This Row],[сумма]]*Таблица1[[#This Row],[коэф]])),
IF(OR(G784="4/16",G784="3/16"),((база!$L$5*Таблица1[[#This Row],[сумма]]*Таблица1[[#This Row],[коэф]])),
IF(OR(G784="2/4",G784="3/4",G784="4/4"),((база!$I$5*Таблица1[[#This Row],[сумма]]*Таблица1[[#This Row],[коэф]])),
IF((G784="5/8"),((база!$J$6*Таблица1[[#This Row],[сумма]]*Таблица1[[#This Row],[коэф]])),
IF(OR(G784="4/8",G784="3/8",G784="2/8"),((база!$J$5*Таблица1[[#This Row],[сумма]]*Таблица1[[#This Row],[коэф]])))))))))))</f>
        <v>0</v>
      </c>
      <c r="AP784" s="696" t="b">
        <f>IF(AR784&lt;=3,(IF((G784="5/24"),((база!$M$6*2*Таблица1[[#This Row],[Столбец1]]*Таблица1[[#This Row],[коэф]])),
IF((G784="4/24"),((база!$M$5*2*Таблица1[[#This Row],[Столбец1]]*Таблица1[[#This Row],[коэф]])),
IF((G784="3/24"),((база!$M$4*2*Таблица1[[#This Row],[Столбец1]]*Таблица1[[#This Row],[коэф]])),
IF((G784="5/16"),((база!$L$6*2*Таблица1[[#This Row],[Столбец1]]*Таблица1[[#This Row],[коэф]])),
IF((G784="4/16"),((база!$L$5*2*Таблица1[[#This Row],[Столбец1]]*Таблица1[[#This Row],[коэф]])),
IF((G784="3/16"),((база!$L$4*2*Таблица1[[#This Row],[Столбец1]]*Таблица1[[#This Row],[коэф]])),
IF((G784="4/4"),((база!$I$5*2*Таблица1[[#This Row],[Столбец1]]*Таблица1[[#This Row],[коэф]])),
IF(OR(G784="2/4",G784="3/4"),((база!$I$4*2*Таблица1[[#This Row],[Столбец1]]*Таблица1[[#This Row],[коэф]])),
IF((G784="5/8"),((база!$J$6*2*Таблица1[[#This Row],[Столбец1]]*Таблица1[[#This Row],[коэф]])),
IF((G784="4/8"),((база!$J$5*2*Таблица1[[#This Row],[Столбец1]]*Таблица1[[#This Row],[коэф]])),
IF(OR(G784="3/8",G784="2/8"),((база!$J$4*2*Таблица1[[#This Row],[Столбец1]]*Таблица1[[#This Row],[коэф]])))))))))))))),
(IF((G784="5/24"),((база!$M$6*2*Таблица1[[#This Row],[Столбец1]]*Таблица1[[#This Row],[коэф]])),
IF(OR(G784="4/24",G784="3/24"),((база!$M$5*2*Таблица1[[#This Row],[Столбец1]]*Таблица1[[#This Row],[коэф]])),
IF((G784="5/16"),((база!$L$6*2*Таблица1[[#This Row],[Столбец1]]*Таблица1[[#This Row],[коэф]])),
IF(OR(G784="4/16",G784="3/16"),((база!$L$5*2*Таблица1[[#This Row],[Столбец1]]*Таблица1[[#This Row],[коэф]])),
IF(OR(G784="2/4",G784="3/4",G784="4/4"),((база!$I$5*2*Таблица1[[#This Row],[Столбец1]]*Таблица1[[#This Row],[коэф]])),
IF((G784="5/8"),((база!$J$6*2*Таблица1[[#This Row],[Столбец1]]*Таблица1[[#This Row],[коэф]])),
IF(OR(G784="4/8",G784="3/8",G784="2/8"),((база!$J$5*2*Таблица1[[#This Row],[Столбец1]]*Таблица1[[#This Row],[коэф]])))))))))))</f>
        <v>0</v>
      </c>
      <c r="AQ784" s="678" t="str">
        <f>IFERROR(INDEX(база!T:T, MATCH(F784,база!Q:Q,0)),"")</f>
        <v/>
      </c>
      <c r="AR784" s="193">
        <f>IFERROR(INDEX(база!D:D, MATCH(F784,база!B:B,0)),"")</f>
        <v>0</v>
      </c>
    </row>
    <row r="785" spans="1:44" ht="15">
      <c r="A785" s="59"/>
      <c r="B785" s="215"/>
      <c r="C785" s="277"/>
      <c r="D785" s="55"/>
      <c r="E785" s="196"/>
      <c r="F785" s="651"/>
      <c r="G785" s="42"/>
      <c r="H785" s="539"/>
      <c r="I785" s="539"/>
      <c r="J785" s="539"/>
      <c r="K785" s="539"/>
      <c r="L785" s="539"/>
      <c r="M785" s="539"/>
      <c r="N785" s="539"/>
      <c r="O785" s="539"/>
      <c r="P785" s="278"/>
      <c r="Q785" s="539"/>
      <c r="R785" s="539"/>
      <c r="S785" s="539"/>
      <c r="T785" s="539"/>
      <c r="U785" s="539"/>
      <c r="V785" s="539"/>
      <c r="W785" s="539"/>
      <c r="X785" s="539"/>
      <c r="Y785" s="539"/>
      <c r="Z785" s="539"/>
      <c r="AA785" s="539"/>
      <c r="AB785" s="539"/>
      <c r="AC785" s="539"/>
      <c r="AD785" s="43"/>
      <c r="AE785" s="43"/>
      <c r="AF785" s="238"/>
      <c r="AG785" s="43"/>
      <c r="AH785" s="43"/>
      <c r="AI785" s="238"/>
      <c r="AJ785" s="238"/>
      <c r="AK785" s="238"/>
      <c r="AL785" s="238"/>
      <c r="AM785" s="197">
        <f>IF(AQ785=1,SUM(H785:I785,L785:O785,R785:U785,X785:AA785,AD785:AG785,AI785:AK785),
IF(AQ785=2,SUM(H785:K785,N785:Q785,T785:W785,Z785:AC785,AF785:AI785),
IF(AQ785=3,SUM(J785:M785,P785:S785,V785:Y785,AB785:AE785,AH785:AK785),SUM(Таблица1[[#This Row],[1]:[31]])-Таблица1[[#This Row],[Столбец1]])))</f>
        <v>0</v>
      </c>
      <c r="AN785" s="269">
        <f t="array" ref="AN785">IF(AQ785=1,SUM(J785:K785,P785:Q785,V785:W785,AB785:AC785,AH785:AI785),
IF(AQ785=2,SUM(L785:M785,R785:S785,X785:Y785,AD785:AE785),
IF(AQ785=3,SUM(H785:I785,N785:O785,T785:U785,Z785:AA785,AF785:AG785),
SUM(IFERROR(WEEKDAY($H$2:$AL$2,2)&gt;5,)*H785:AL785))))</f>
        <v>0</v>
      </c>
      <c r="AO785" s="271" t="b">
        <f>IF(AR785&lt;=3,(IF((G785="5/24"),((база!$M$6*Таблица1[[#This Row],[сумма]]*Таблица1[[#This Row],[коэф]])),
IF((G785="4/24"),((база!$M$5*Таблица1[[#This Row],[сумма]]*Таблица1[[#This Row],[коэф]])),
IF((G785="3/24"),((база!$M$4*Таблица1[[#This Row],[сумма]]*Таблица1[[#This Row],[коэф]])),
IF((G785="5/16"),((база!$L$6*Таблица1[[#This Row],[сумма]]*Таблица1[[#This Row],[коэф]])),
IF((G785="4/16"),((база!$L$5*Таблица1[[#This Row],[сумма]]*Таблица1[[#This Row],[коэф]])),
IF((G785="3/16"),((база!$L$4*Таблица1[[#This Row],[сумма]]*Таблица1[[#This Row],[коэф]])),
IF((G785="4/4"),((база!$I$5*Таблица1[[#This Row],[сумма]]*Таблица1[[#This Row],[коэф]])),
IF(OR(G785="2/4",G785="3/4"),((база!$I$4*Таблица1[[#This Row],[сумма]]*Таблица1[[#This Row],[коэф]])),
IF((G785="5/8"),((база!$J$6*Таблица1[[#This Row],[сумма]]*Таблица1[[#This Row],[коэф]])),
IF((G785="4/8"),((база!$J$5*Таблица1[[#This Row],[сумма]]*Таблица1[[#This Row],[коэф]])),
IF(OR(G785="3/8",G785="2/8"),((база!$J$4*Таблица1[[#This Row],[сумма]]*Таблица1[[#This Row],[коэф]])))))))))))))),
(IF((G785="5/24"),((база!$M$6*Таблица1[[#This Row],[сумма]]*Таблица1[[#This Row],[коэф]])),
IF(OR(G785="4/24",G785="3/24"),((база!$M$5*Таблица1[[#This Row],[сумма]]*Таблица1[[#This Row],[коэф]])),
IF((G785="5/16"),((база!$L$6*Таблица1[[#This Row],[сумма]]*Таблица1[[#This Row],[коэф]])),
IF(OR(G785="4/16",G785="3/16"),((база!$L$5*Таблица1[[#This Row],[сумма]]*Таблица1[[#This Row],[коэф]])),
IF(OR(G785="2/4",G785="3/4",G785="4/4"),((база!$I$5*Таблица1[[#This Row],[сумма]]*Таблица1[[#This Row],[коэф]])),
IF((G785="5/8"),((база!$J$6*Таблица1[[#This Row],[сумма]]*Таблица1[[#This Row],[коэф]])),
IF(OR(G785="4/8",G785="3/8",G785="2/8"),((база!$J$5*Таблица1[[#This Row],[сумма]]*Таблица1[[#This Row],[коэф]])))))))))))</f>
        <v>0</v>
      </c>
      <c r="AP785" s="696" t="b">
        <f>IF(AR785&lt;=3,(IF((G785="5/24"),((база!$M$6*2*Таблица1[[#This Row],[Столбец1]]*Таблица1[[#This Row],[коэф]])),
IF((G785="4/24"),((база!$M$5*2*Таблица1[[#This Row],[Столбец1]]*Таблица1[[#This Row],[коэф]])),
IF((G785="3/24"),((база!$M$4*2*Таблица1[[#This Row],[Столбец1]]*Таблица1[[#This Row],[коэф]])),
IF((G785="5/16"),((база!$L$6*2*Таблица1[[#This Row],[Столбец1]]*Таблица1[[#This Row],[коэф]])),
IF((G785="4/16"),((база!$L$5*2*Таблица1[[#This Row],[Столбец1]]*Таблица1[[#This Row],[коэф]])),
IF((G785="3/16"),((база!$L$4*2*Таблица1[[#This Row],[Столбец1]]*Таблица1[[#This Row],[коэф]])),
IF((G785="4/4"),((база!$I$5*2*Таблица1[[#This Row],[Столбец1]]*Таблица1[[#This Row],[коэф]])),
IF(OR(G785="2/4",G785="3/4"),((база!$I$4*2*Таблица1[[#This Row],[Столбец1]]*Таблица1[[#This Row],[коэф]])),
IF((G785="5/8"),((база!$J$6*2*Таблица1[[#This Row],[Столбец1]]*Таблица1[[#This Row],[коэф]])),
IF((G785="4/8"),((база!$J$5*2*Таблица1[[#This Row],[Столбец1]]*Таблица1[[#This Row],[коэф]])),
IF(OR(G785="3/8",G785="2/8"),((база!$J$4*2*Таблица1[[#This Row],[Столбец1]]*Таблица1[[#This Row],[коэф]])))))))))))))),
(IF((G785="5/24"),((база!$M$6*2*Таблица1[[#This Row],[Столбец1]]*Таблица1[[#This Row],[коэф]])),
IF(OR(G785="4/24",G785="3/24"),((база!$M$5*2*Таблица1[[#This Row],[Столбец1]]*Таблица1[[#This Row],[коэф]])),
IF((G785="5/16"),((база!$L$6*2*Таблица1[[#This Row],[Столбец1]]*Таблица1[[#This Row],[коэф]])),
IF(OR(G785="4/16",G785="3/16"),((база!$L$5*2*Таблица1[[#This Row],[Столбец1]]*Таблица1[[#This Row],[коэф]])),
IF(OR(G785="2/4",G785="3/4",G785="4/4"),((база!$I$5*2*Таблица1[[#This Row],[Столбец1]]*Таблица1[[#This Row],[коэф]])),
IF((G785="5/8"),((база!$J$6*2*Таблица1[[#This Row],[Столбец1]]*Таблица1[[#This Row],[коэф]])),
IF(OR(G785="4/8",G785="3/8",G785="2/8"),((база!$J$5*2*Таблица1[[#This Row],[Столбец1]]*Таблица1[[#This Row],[коэф]])))))))))))</f>
        <v>0</v>
      </c>
      <c r="AQ785" s="678" t="str">
        <f>IFERROR(INDEX(база!T:T, MATCH(F785,база!Q:Q,0)),"")</f>
        <v/>
      </c>
      <c r="AR785" s="193">
        <f>IFERROR(INDEX(база!D:D, MATCH(F785,база!B:B,0)),"")</f>
        <v>0</v>
      </c>
    </row>
    <row r="786" spans="1:44" ht="15">
      <c r="A786" s="59"/>
      <c r="B786" s="215"/>
      <c r="C786" s="277"/>
      <c r="D786" s="55"/>
      <c r="E786" s="196"/>
      <c r="F786" s="651"/>
      <c r="G786" s="42"/>
      <c r="H786" s="539"/>
      <c r="I786" s="539"/>
      <c r="J786" s="539"/>
      <c r="K786" s="539"/>
      <c r="L786" s="539"/>
      <c r="M786" s="539"/>
      <c r="N786" s="539"/>
      <c r="O786" s="539"/>
      <c r="P786" s="278"/>
      <c r="Q786" s="539"/>
      <c r="R786" s="539"/>
      <c r="S786" s="539"/>
      <c r="T786" s="539"/>
      <c r="U786" s="539"/>
      <c r="V786" s="539"/>
      <c r="W786" s="539"/>
      <c r="X786" s="539"/>
      <c r="Y786" s="539"/>
      <c r="Z786" s="539"/>
      <c r="AA786" s="539"/>
      <c r="AB786" s="539"/>
      <c r="AC786" s="539"/>
      <c r="AD786" s="43"/>
      <c r="AE786" s="43"/>
      <c r="AF786" s="238"/>
      <c r="AG786" s="43"/>
      <c r="AH786" s="43"/>
      <c r="AI786" s="43"/>
      <c r="AJ786" s="43"/>
      <c r="AK786" s="43"/>
      <c r="AL786" s="45"/>
      <c r="AM786" s="197">
        <f>IF(AQ786=1,SUM(H786:I786,L786:O786,R786:U786,X786:AA786,AD786:AG786,AI786:AK786),
IF(AQ786=2,SUM(H786:K786,N786:Q786,T786:W786,Z786:AC786,AF786:AI786),
IF(AQ786=3,SUM(J786:M786,P786:S786,V786:Y786,AB786:AE786,AH786:AK786),SUM(Таблица1[[#This Row],[1]:[31]])-Таблица1[[#This Row],[Столбец1]])))</f>
        <v>0</v>
      </c>
      <c r="AN786" s="269">
        <f t="array" ref="AN786">IF(AQ786=1,SUM(J786:K786,P786:Q786,V786:W786,AB786:AC786,AH786:AI786),
IF(AQ786=2,SUM(L786:M786,R786:S786,X786:Y786,AD786:AE786),
IF(AQ786=3,SUM(H786:I786,N786:O786,T786:U786,Z786:AA786,AF786:AG786),
SUM(IFERROR(WEEKDAY($H$2:$AL$2,2)&gt;5,)*H786:AL786))))</f>
        <v>0</v>
      </c>
      <c r="AO786" s="271" t="b">
        <f>IF(AR786&lt;=3,(IF((G786="5/24"),((база!$M$6*Таблица1[[#This Row],[сумма]]*Таблица1[[#This Row],[коэф]])),
IF((G786="4/24"),((база!$M$5*Таблица1[[#This Row],[сумма]]*Таблица1[[#This Row],[коэф]])),
IF((G786="3/24"),((база!$M$4*Таблица1[[#This Row],[сумма]]*Таблица1[[#This Row],[коэф]])),
IF((G786="5/16"),((база!$L$6*Таблица1[[#This Row],[сумма]]*Таблица1[[#This Row],[коэф]])),
IF((G786="4/16"),((база!$L$5*Таблица1[[#This Row],[сумма]]*Таблица1[[#This Row],[коэф]])),
IF((G786="3/16"),((база!$L$4*Таблица1[[#This Row],[сумма]]*Таблица1[[#This Row],[коэф]])),
IF((G786="4/4"),((база!$I$5*Таблица1[[#This Row],[сумма]]*Таблица1[[#This Row],[коэф]])),
IF(OR(G786="2/4",G786="3/4"),((база!$I$4*Таблица1[[#This Row],[сумма]]*Таблица1[[#This Row],[коэф]])),
IF((G786="5/8"),((база!$J$6*Таблица1[[#This Row],[сумма]]*Таблица1[[#This Row],[коэф]])),
IF((G786="4/8"),((база!$J$5*Таблица1[[#This Row],[сумма]]*Таблица1[[#This Row],[коэф]])),
IF(OR(G786="3/8",G786="2/8"),((база!$J$4*Таблица1[[#This Row],[сумма]]*Таблица1[[#This Row],[коэф]])))))))))))))),
(IF((G786="5/24"),((база!$M$6*Таблица1[[#This Row],[сумма]]*Таблица1[[#This Row],[коэф]])),
IF(OR(G786="4/24",G786="3/24"),((база!$M$5*Таблица1[[#This Row],[сумма]]*Таблица1[[#This Row],[коэф]])),
IF((G786="5/16"),((база!$L$6*Таблица1[[#This Row],[сумма]]*Таблица1[[#This Row],[коэф]])),
IF(OR(G786="4/16",G786="3/16"),((база!$L$5*Таблица1[[#This Row],[сумма]]*Таблица1[[#This Row],[коэф]])),
IF(OR(G786="2/4",G786="3/4",G786="4/4"),((база!$I$5*Таблица1[[#This Row],[сумма]]*Таблица1[[#This Row],[коэф]])),
IF((G786="5/8"),((база!$J$6*Таблица1[[#This Row],[сумма]]*Таблица1[[#This Row],[коэф]])),
IF(OR(G786="4/8",G786="3/8",G786="2/8"),((база!$J$5*Таблица1[[#This Row],[сумма]]*Таблица1[[#This Row],[коэф]])))))))))))</f>
        <v>0</v>
      </c>
      <c r="AP786" s="696" t="b">
        <f>IF(AR786&lt;=3,(IF((G786="5/24"),((база!$M$6*2*Таблица1[[#This Row],[Столбец1]]*Таблица1[[#This Row],[коэф]])),
IF((G786="4/24"),((база!$M$5*2*Таблица1[[#This Row],[Столбец1]]*Таблица1[[#This Row],[коэф]])),
IF((G786="3/24"),((база!$M$4*2*Таблица1[[#This Row],[Столбец1]]*Таблица1[[#This Row],[коэф]])),
IF((G786="5/16"),((база!$L$6*2*Таблица1[[#This Row],[Столбец1]]*Таблица1[[#This Row],[коэф]])),
IF((G786="4/16"),((база!$L$5*2*Таблица1[[#This Row],[Столбец1]]*Таблица1[[#This Row],[коэф]])),
IF((G786="3/16"),((база!$L$4*2*Таблица1[[#This Row],[Столбец1]]*Таблица1[[#This Row],[коэф]])),
IF((G786="4/4"),((база!$I$5*2*Таблица1[[#This Row],[Столбец1]]*Таблица1[[#This Row],[коэф]])),
IF(OR(G786="2/4",G786="3/4"),((база!$I$4*2*Таблица1[[#This Row],[Столбец1]]*Таблица1[[#This Row],[коэф]])),
IF((G786="5/8"),((база!$J$6*2*Таблица1[[#This Row],[Столбец1]]*Таблица1[[#This Row],[коэф]])),
IF((G786="4/8"),((база!$J$5*2*Таблица1[[#This Row],[Столбец1]]*Таблица1[[#This Row],[коэф]])),
IF(OR(G786="3/8",G786="2/8"),((база!$J$4*2*Таблица1[[#This Row],[Столбец1]]*Таблица1[[#This Row],[коэф]])))))))))))))),
(IF((G786="5/24"),((база!$M$6*2*Таблица1[[#This Row],[Столбец1]]*Таблица1[[#This Row],[коэф]])),
IF(OR(G786="4/24",G786="3/24"),((база!$M$5*2*Таблица1[[#This Row],[Столбец1]]*Таблица1[[#This Row],[коэф]])),
IF((G786="5/16"),((база!$L$6*2*Таблица1[[#This Row],[Столбец1]]*Таблица1[[#This Row],[коэф]])),
IF(OR(G786="4/16",G786="3/16"),((база!$L$5*2*Таблица1[[#This Row],[Столбец1]]*Таблица1[[#This Row],[коэф]])),
IF(OR(G786="2/4",G786="3/4",G786="4/4"),((база!$I$5*2*Таблица1[[#This Row],[Столбец1]]*Таблица1[[#This Row],[коэф]])),
IF((G786="5/8"),((база!$J$6*2*Таблица1[[#This Row],[Столбец1]]*Таблица1[[#This Row],[коэф]])),
IF(OR(G786="4/8",G786="3/8",G786="2/8"),((база!$J$5*2*Таблица1[[#This Row],[Столбец1]]*Таблица1[[#This Row],[коэф]])))))))))))</f>
        <v>0</v>
      </c>
      <c r="AQ786" s="678" t="str">
        <f>IFERROR(INDEX(база!T:T, MATCH(F786,база!Q:Q,0)),"")</f>
        <v/>
      </c>
      <c r="AR786" s="193">
        <f>IFERROR(INDEX(база!D:D, MATCH(F786,база!B:B,0)),"")</f>
        <v>0</v>
      </c>
    </row>
    <row r="787" spans="1:44" ht="15">
      <c r="A787" s="59"/>
      <c r="B787" s="215"/>
      <c r="C787" s="277"/>
      <c r="D787" s="55"/>
      <c r="E787" s="196"/>
      <c r="F787" s="651"/>
      <c r="G787" s="42"/>
      <c r="H787" s="539"/>
      <c r="I787" s="539"/>
      <c r="J787" s="539"/>
      <c r="K787" s="539"/>
      <c r="L787" s="539"/>
      <c r="M787" s="539"/>
      <c r="N787" s="539"/>
      <c r="O787" s="539"/>
      <c r="P787" s="278"/>
      <c r="Q787" s="539"/>
      <c r="R787" s="539"/>
      <c r="S787" s="539"/>
      <c r="T787" s="539"/>
      <c r="U787" s="539"/>
      <c r="V787" s="539"/>
      <c r="W787" s="539"/>
      <c r="X787" s="539"/>
      <c r="Y787" s="539"/>
      <c r="Z787" s="539"/>
      <c r="AA787" s="539"/>
      <c r="AB787" s="539"/>
      <c r="AC787" s="539"/>
      <c r="AD787" s="43"/>
      <c r="AE787" s="43"/>
      <c r="AF787" s="238"/>
      <c r="AG787" s="43"/>
      <c r="AH787" s="43"/>
      <c r="AI787" s="238"/>
      <c r="AJ787" s="238"/>
      <c r="AK787" s="238"/>
      <c r="AL787" s="238"/>
      <c r="AM787" s="197">
        <f>IF(AQ787=1,SUM(H787:I787,L787:O787,R787:U787,X787:AA787,AD787:AG787,AI787:AK787),
IF(AQ787=2,SUM(H787:K787,N787:Q787,T787:W787,Z787:AC787,AF787:AI787),
IF(AQ787=3,SUM(J787:M787,P787:S787,V787:Y787,AB787:AE787,AH787:AK787),SUM(Таблица1[[#This Row],[1]:[31]])-Таблица1[[#This Row],[Столбец1]])))</f>
        <v>0</v>
      </c>
      <c r="AN787" s="269">
        <f t="array" ref="AN787">IF(AQ787=1,SUM(J787:K787,P787:Q787,V787:W787,AB787:AC787,AH787:AI787),
IF(AQ787=2,SUM(L787:M787,R787:S787,X787:Y787,AD787:AE787),
IF(AQ787=3,SUM(H787:I787,N787:O787,T787:U787,Z787:AA787,AF787:AG787),
SUM(IFERROR(WEEKDAY($H$2:$AL$2,2)&gt;5,)*H787:AL787))))</f>
        <v>0</v>
      </c>
      <c r="AO787" s="271" t="b">
        <f>IF(AR787&lt;=3,(IF((G787="5/24"),((база!$M$6*Таблица1[[#This Row],[сумма]]*Таблица1[[#This Row],[коэф]])),
IF((G787="4/24"),((база!$M$5*Таблица1[[#This Row],[сумма]]*Таблица1[[#This Row],[коэф]])),
IF((G787="3/24"),((база!$M$4*Таблица1[[#This Row],[сумма]]*Таблица1[[#This Row],[коэф]])),
IF((G787="5/16"),((база!$L$6*Таблица1[[#This Row],[сумма]]*Таблица1[[#This Row],[коэф]])),
IF((G787="4/16"),((база!$L$5*Таблица1[[#This Row],[сумма]]*Таблица1[[#This Row],[коэф]])),
IF((G787="3/16"),((база!$L$4*Таблица1[[#This Row],[сумма]]*Таблица1[[#This Row],[коэф]])),
IF((G787="4/4"),((база!$I$5*Таблица1[[#This Row],[сумма]]*Таблица1[[#This Row],[коэф]])),
IF(OR(G787="2/4",G787="3/4"),((база!$I$4*Таблица1[[#This Row],[сумма]]*Таблица1[[#This Row],[коэф]])),
IF((G787="5/8"),((база!$J$6*Таблица1[[#This Row],[сумма]]*Таблица1[[#This Row],[коэф]])),
IF((G787="4/8"),((база!$J$5*Таблица1[[#This Row],[сумма]]*Таблица1[[#This Row],[коэф]])),
IF(OR(G787="3/8",G787="2/8"),((база!$J$4*Таблица1[[#This Row],[сумма]]*Таблица1[[#This Row],[коэф]])))))))))))))),
(IF((G787="5/24"),((база!$M$6*Таблица1[[#This Row],[сумма]]*Таблица1[[#This Row],[коэф]])),
IF(OR(G787="4/24",G787="3/24"),((база!$M$5*Таблица1[[#This Row],[сумма]]*Таблица1[[#This Row],[коэф]])),
IF((G787="5/16"),((база!$L$6*Таблица1[[#This Row],[сумма]]*Таблица1[[#This Row],[коэф]])),
IF(OR(G787="4/16",G787="3/16"),((база!$L$5*Таблица1[[#This Row],[сумма]]*Таблица1[[#This Row],[коэф]])),
IF(OR(G787="2/4",G787="3/4",G787="4/4"),((база!$I$5*Таблица1[[#This Row],[сумма]]*Таблица1[[#This Row],[коэф]])),
IF((G787="5/8"),((база!$J$6*Таблица1[[#This Row],[сумма]]*Таблица1[[#This Row],[коэф]])),
IF(OR(G787="4/8",G787="3/8",G787="2/8"),((база!$J$5*Таблица1[[#This Row],[сумма]]*Таблица1[[#This Row],[коэф]])))))))))))</f>
        <v>0</v>
      </c>
      <c r="AP787" s="696" t="b">
        <f>IF(AR787&lt;=3,(IF((G787="5/24"),((база!$M$6*2*Таблица1[[#This Row],[Столбец1]]*Таблица1[[#This Row],[коэф]])),
IF((G787="4/24"),((база!$M$5*2*Таблица1[[#This Row],[Столбец1]]*Таблица1[[#This Row],[коэф]])),
IF((G787="3/24"),((база!$M$4*2*Таблица1[[#This Row],[Столбец1]]*Таблица1[[#This Row],[коэф]])),
IF((G787="5/16"),((база!$L$6*2*Таблица1[[#This Row],[Столбец1]]*Таблица1[[#This Row],[коэф]])),
IF((G787="4/16"),((база!$L$5*2*Таблица1[[#This Row],[Столбец1]]*Таблица1[[#This Row],[коэф]])),
IF((G787="3/16"),((база!$L$4*2*Таблица1[[#This Row],[Столбец1]]*Таблица1[[#This Row],[коэф]])),
IF((G787="4/4"),((база!$I$5*2*Таблица1[[#This Row],[Столбец1]]*Таблица1[[#This Row],[коэф]])),
IF(OR(G787="2/4",G787="3/4"),((база!$I$4*2*Таблица1[[#This Row],[Столбец1]]*Таблица1[[#This Row],[коэф]])),
IF((G787="5/8"),((база!$J$6*2*Таблица1[[#This Row],[Столбец1]]*Таблица1[[#This Row],[коэф]])),
IF((G787="4/8"),((база!$J$5*2*Таблица1[[#This Row],[Столбец1]]*Таблица1[[#This Row],[коэф]])),
IF(OR(G787="3/8",G787="2/8"),((база!$J$4*2*Таблица1[[#This Row],[Столбец1]]*Таблица1[[#This Row],[коэф]])))))))))))))),
(IF((G787="5/24"),((база!$M$6*2*Таблица1[[#This Row],[Столбец1]]*Таблица1[[#This Row],[коэф]])),
IF(OR(G787="4/24",G787="3/24"),((база!$M$5*2*Таблица1[[#This Row],[Столбец1]]*Таблица1[[#This Row],[коэф]])),
IF((G787="5/16"),((база!$L$6*2*Таблица1[[#This Row],[Столбец1]]*Таблица1[[#This Row],[коэф]])),
IF(OR(G787="4/16",G787="3/16"),((база!$L$5*2*Таблица1[[#This Row],[Столбец1]]*Таблица1[[#This Row],[коэф]])),
IF(OR(G787="2/4",G787="3/4",G787="4/4"),((база!$I$5*2*Таблица1[[#This Row],[Столбец1]]*Таблица1[[#This Row],[коэф]])),
IF((G787="5/8"),((база!$J$6*2*Таблица1[[#This Row],[Столбец1]]*Таблица1[[#This Row],[коэф]])),
IF(OR(G787="4/8",G787="3/8",G787="2/8"),((база!$J$5*2*Таблица1[[#This Row],[Столбец1]]*Таблица1[[#This Row],[коэф]])))))))))))</f>
        <v>0</v>
      </c>
      <c r="AQ787" s="678" t="str">
        <f>IFERROR(INDEX(база!T:T, MATCH(F787,база!Q:Q,0)),"")</f>
        <v/>
      </c>
      <c r="AR787" s="193">
        <f>IFERROR(INDEX(база!D:D, MATCH(F787,база!B:B,0)),"")</f>
        <v>0</v>
      </c>
    </row>
    <row r="788" spans="1:44" ht="15">
      <c r="A788" s="59"/>
      <c r="B788" s="215"/>
      <c r="C788" s="277"/>
      <c r="D788" s="55"/>
      <c r="E788" s="196"/>
      <c r="F788" s="651"/>
      <c r="G788" s="42"/>
      <c r="H788" s="539"/>
      <c r="I788" s="539"/>
      <c r="J788" s="539"/>
      <c r="K788" s="539"/>
      <c r="L788" s="539"/>
      <c r="M788" s="539"/>
      <c r="N788" s="539"/>
      <c r="O788" s="539"/>
      <c r="P788" s="278"/>
      <c r="Q788" s="539"/>
      <c r="R788" s="539"/>
      <c r="S788" s="539"/>
      <c r="T788" s="539"/>
      <c r="U788" s="539"/>
      <c r="V788" s="539"/>
      <c r="W788" s="539"/>
      <c r="X788" s="539"/>
      <c r="Y788" s="539"/>
      <c r="Z788" s="539"/>
      <c r="AA788" s="539"/>
      <c r="AB788" s="539"/>
      <c r="AC788" s="539"/>
      <c r="AD788" s="43"/>
      <c r="AE788" s="43"/>
      <c r="AF788" s="238"/>
      <c r="AG788" s="43"/>
      <c r="AH788" s="43"/>
      <c r="AI788" s="43"/>
      <c r="AJ788" s="43"/>
      <c r="AK788" s="43"/>
      <c r="AL788" s="45"/>
      <c r="AM788" s="197">
        <f>IF(AQ788=1,SUM(H788:I788,L788:O788,R788:U788,X788:AA788,AD788:AG788,AI788:AK788),
IF(AQ788=2,SUM(H788:K788,N788:Q788,T788:W788,Z788:AC788,AF788:AI788),
IF(AQ788=3,SUM(J788:M788,P788:S788,V788:Y788,AB788:AE788,AH788:AK788),SUM(Таблица1[[#This Row],[1]:[31]])-Таблица1[[#This Row],[Столбец1]])))</f>
        <v>0</v>
      </c>
      <c r="AN788" s="269">
        <f t="array" ref="AN788">IF(AQ788=1,SUM(J788:K788,P788:Q788,V788:W788,AB788:AC788,AH788:AI788),
IF(AQ788=2,SUM(L788:M788,R788:S788,X788:Y788,AD788:AE788),
IF(AQ788=3,SUM(H788:I788,N788:O788,T788:U788,Z788:AA788,AF788:AG788),
SUM(IFERROR(WEEKDAY($H$2:$AL$2,2)&gt;5,)*H788:AL788))))</f>
        <v>0</v>
      </c>
      <c r="AO788" s="271" t="b">
        <f>IF(AR788&lt;=3,(IF((G788="5/24"),((база!$M$6*Таблица1[[#This Row],[сумма]]*Таблица1[[#This Row],[коэф]])),
IF((G788="4/24"),((база!$M$5*Таблица1[[#This Row],[сумма]]*Таблица1[[#This Row],[коэф]])),
IF((G788="3/24"),((база!$M$4*Таблица1[[#This Row],[сумма]]*Таблица1[[#This Row],[коэф]])),
IF((G788="5/16"),((база!$L$6*Таблица1[[#This Row],[сумма]]*Таблица1[[#This Row],[коэф]])),
IF((G788="4/16"),((база!$L$5*Таблица1[[#This Row],[сумма]]*Таблица1[[#This Row],[коэф]])),
IF((G788="3/16"),((база!$L$4*Таблица1[[#This Row],[сумма]]*Таблица1[[#This Row],[коэф]])),
IF((G788="4/4"),((база!$I$5*Таблица1[[#This Row],[сумма]]*Таблица1[[#This Row],[коэф]])),
IF(OR(G788="2/4",G788="3/4"),((база!$I$4*Таблица1[[#This Row],[сумма]]*Таблица1[[#This Row],[коэф]])),
IF((G788="5/8"),((база!$J$6*Таблица1[[#This Row],[сумма]]*Таблица1[[#This Row],[коэф]])),
IF((G788="4/8"),((база!$J$5*Таблица1[[#This Row],[сумма]]*Таблица1[[#This Row],[коэф]])),
IF(OR(G788="3/8",G788="2/8"),((база!$J$4*Таблица1[[#This Row],[сумма]]*Таблица1[[#This Row],[коэф]])))))))))))))),
(IF((G788="5/24"),((база!$M$6*Таблица1[[#This Row],[сумма]]*Таблица1[[#This Row],[коэф]])),
IF(OR(G788="4/24",G788="3/24"),((база!$M$5*Таблица1[[#This Row],[сумма]]*Таблица1[[#This Row],[коэф]])),
IF((G788="5/16"),((база!$L$6*Таблица1[[#This Row],[сумма]]*Таблица1[[#This Row],[коэф]])),
IF(OR(G788="4/16",G788="3/16"),((база!$L$5*Таблица1[[#This Row],[сумма]]*Таблица1[[#This Row],[коэф]])),
IF(OR(G788="2/4",G788="3/4",G788="4/4"),((база!$I$5*Таблица1[[#This Row],[сумма]]*Таблица1[[#This Row],[коэф]])),
IF((G788="5/8"),((база!$J$6*Таблица1[[#This Row],[сумма]]*Таблица1[[#This Row],[коэф]])),
IF(OR(G788="4/8",G788="3/8",G788="2/8"),((база!$J$5*Таблица1[[#This Row],[сумма]]*Таблица1[[#This Row],[коэф]])))))))))))</f>
        <v>0</v>
      </c>
      <c r="AP788" s="696" t="b">
        <f>IF(AR788&lt;=3,(IF((G788="5/24"),((база!$M$6*2*Таблица1[[#This Row],[Столбец1]]*Таблица1[[#This Row],[коэф]])),
IF((G788="4/24"),((база!$M$5*2*Таблица1[[#This Row],[Столбец1]]*Таблица1[[#This Row],[коэф]])),
IF((G788="3/24"),((база!$M$4*2*Таблица1[[#This Row],[Столбец1]]*Таблица1[[#This Row],[коэф]])),
IF((G788="5/16"),((база!$L$6*2*Таблица1[[#This Row],[Столбец1]]*Таблица1[[#This Row],[коэф]])),
IF((G788="4/16"),((база!$L$5*2*Таблица1[[#This Row],[Столбец1]]*Таблица1[[#This Row],[коэф]])),
IF((G788="3/16"),((база!$L$4*2*Таблица1[[#This Row],[Столбец1]]*Таблица1[[#This Row],[коэф]])),
IF((G788="4/4"),((база!$I$5*2*Таблица1[[#This Row],[Столбец1]]*Таблица1[[#This Row],[коэф]])),
IF(OR(G788="2/4",G788="3/4"),((база!$I$4*2*Таблица1[[#This Row],[Столбец1]]*Таблица1[[#This Row],[коэф]])),
IF((G788="5/8"),((база!$J$6*2*Таблица1[[#This Row],[Столбец1]]*Таблица1[[#This Row],[коэф]])),
IF((G788="4/8"),((база!$J$5*2*Таблица1[[#This Row],[Столбец1]]*Таблица1[[#This Row],[коэф]])),
IF(OR(G788="3/8",G788="2/8"),((база!$J$4*2*Таблица1[[#This Row],[Столбец1]]*Таблица1[[#This Row],[коэф]])))))))))))))),
(IF((G788="5/24"),((база!$M$6*2*Таблица1[[#This Row],[Столбец1]]*Таблица1[[#This Row],[коэф]])),
IF(OR(G788="4/24",G788="3/24"),((база!$M$5*2*Таблица1[[#This Row],[Столбец1]]*Таблица1[[#This Row],[коэф]])),
IF((G788="5/16"),((база!$L$6*2*Таблица1[[#This Row],[Столбец1]]*Таблица1[[#This Row],[коэф]])),
IF(OR(G788="4/16",G788="3/16"),((база!$L$5*2*Таблица1[[#This Row],[Столбец1]]*Таблица1[[#This Row],[коэф]])),
IF(OR(G788="2/4",G788="3/4",G788="4/4"),((база!$I$5*2*Таблица1[[#This Row],[Столбец1]]*Таблица1[[#This Row],[коэф]])),
IF((G788="5/8"),((база!$J$6*2*Таблица1[[#This Row],[Столбец1]]*Таблица1[[#This Row],[коэф]])),
IF(OR(G788="4/8",G788="3/8",G788="2/8"),((база!$J$5*2*Таблица1[[#This Row],[Столбец1]]*Таблица1[[#This Row],[коэф]])))))))))))</f>
        <v>0</v>
      </c>
      <c r="AQ788" s="678" t="str">
        <f>IFERROR(INDEX(база!T:T, MATCH(F788,база!Q:Q,0)),"")</f>
        <v/>
      </c>
      <c r="AR788" s="193">
        <f>IFERROR(INDEX(база!D:D, MATCH(F788,база!B:B,0)),"")</f>
        <v>0</v>
      </c>
    </row>
    <row r="789" spans="1:44" ht="15">
      <c r="A789" s="59"/>
      <c r="B789" s="215"/>
      <c r="C789" s="277"/>
      <c r="D789" s="55"/>
      <c r="E789" s="196"/>
      <c r="F789" s="651"/>
      <c r="G789" s="42"/>
      <c r="H789" s="539"/>
      <c r="I789" s="539"/>
      <c r="J789" s="539"/>
      <c r="K789" s="539"/>
      <c r="L789" s="539"/>
      <c r="M789" s="539"/>
      <c r="N789" s="539"/>
      <c r="O789" s="539"/>
      <c r="P789" s="278"/>
      <c r="Q789" s="539"/>
      <c r="R789" s="539"/>
      <c r="S789" s="539"/>
      <c r="T789" s="539"/>
      <c r="U789" s="539"/>
      <c r="V789" s="539"/>
      <c r="W789" s="539"/>
      <c r="X789" s="539"/>
      <c r="Y789" s="539"/>
      <c r="Z789" s="539"/>
      <c r="AA789" s="539"/>
      <c r="AB789" s="539"/>
      <c r="AC789" s="539"/>
      <c r="AD789" s="43"/>
      <c r="AE789" s="43"/>
      <c r="AF789" s="238"/>
      <c r="AG789" s="43"/>
      <c r="AH789" s="43"/>
      <c r="AI789" s="238"/>
      <c r="AJ789" s="238"/>
      <c r="AK789" s="238"/>
      <c r="AL789" s="238"/>
      <c r="AM789" s="197">
        <f>IF(AQ789=1,SUM(H789:I789,L789:O789,R789:U789,X789:AA789,AD789:AG789,AI789:AK789),
IF(AQ789=2,SUM(H789:K789,N789:Q789,T789:W789,Z789:AC789,AF789:AI789),
IF(AQ789=3,SUM(J789:M789,P789:S789,V789:Y789,AB789:AE789,AH789:AK789),SUM(Таблица1[[#This Row],[1]:[31]])-Таблица1[[#This Row],[Столбец1]])))</f>
        <v>0</v>
      </c>
      <c r="AN789" s="269">
        <f t="array" ref="AN789">IF(AQ789=1,SUM(J789:K789,P789:Q789,V789:W789,AB789:AC789,AH789:AI789),
IF(AQ789=2,SUM(L789:M789,R789:S789,X789:Y789,AD789:AE789),
IF(AQ789=3,SUM(H789:I789,N789:O789,T789:U789,Z789:AA789,AF789:AG789),
SUM(IFERROR(WEEKDAY($H$2:$AL$2,2)&gt;5,)*H789:AL789))))</f>
        <v>0</v>
      </c>
      <c r="AO789" s="271" t="b">
        <f>IF(AR789&lt;=3,(IF((G789="5/24"),((база!$M$6*Таблица1[[#This Row],[сумма]]*Таблица1[[#This Row],[коэф]])),
IF((G789="4/24"),((база!$M$5*Таблица1[[#This Row],[сумма]]*Таблица1[[#This Row],[коэф]])),
IF((G789="3/24"),((база!$M$4*Таблица1[[#This Row],[сумма]]*Таблица1[[#This Row],[коэф]])),
IF((G789="5/16"),((база!$L$6*Таблица1[[#This Row],[сумма]]*Таблица1[[#This Row],[коэф]])),
IF((G789="4/16"),((база!$L$5*Таблица1[[#This Row],[сумма]]*Таблица1[[#This Row],[коэф]])),
IF((G789="3/16"),((база!$L$4*Таблица1[[#This Row],[сумма]]*Таблица1[[#This Row],[коэф]])),
IF((G789="4/4"),((база!$I$5*Таблица1[[#This Row],[сумма]]*Таблица1[[#This Row],[коэф]])),
IF(OR(G789="2/4",G789="3/4"),((база!$I$4*Таблица1[[#This Row],[сумма]]*Таблица1[[#This Row],[коэф]])),
IF((G789="5/8"),((база!$J$6*Таблица1[[#This Row],[сумма]]*Таблица1[[#This Row],[коэф]])),
IF((G789="4/8"),((база!$J$5*Таблица1[[#This Row],[сумма]]*Таблица1[[#This Row],[коэф]])),
IF(OR(G789="3/8",G789="2/8"),((база!$J$4*Таблица1[[#This Row],[сумма]]*Таблица1[[#This Row],[коэф]])))))))))))))),
(IF((G789="5/24"),((база!$M$6*Таблица1[[#This Row],[сумма]]*Таблица1[[#This Row],[коэф]])),
IF(OR(G789="4/24",G789="3/24"),((база!$M$5*Таблица1[[#This Row],[сумма]]*Таблица1[[#This Row],[коэф]])),
IF((G789="5/16"),((база!$L$6*Таблица1[[#This Row],[сумма]]*Таблица1[[#This Row],[коэф]])),
IF(OR(G789="4/16",G789="3/16"),((база!$L$5*Таблица1[[#This Row],[сумма]]*Таблица1[[#This Row],[коэф]])),
IF(OR(G789="2/4",G789="3/4",G789="4/4"),((база!$I$5*Таблица1[[#This Row],[сумма]]*Таблица1[[#This Row],[коэф]])),
IF((G789="5/8"),((база!$J$6*Таблица1[[#This Row],[сумма]]*Таблица1[[#This Row],[коэф]])),
IF(OR(G789="4/8",G789="3/8",G789="2/8"),((база!$J$5*Таблица1[[#This Row],[сумма]]*Таблица1[[#This Row],[коэф]])))))))))))</f>
        <v>0</v>
      </c>
      <c r="AP789" s="696" t="b">
        <f>IF(AR789&lt;=3,(IF((G789="5/24"),((база!$M$6*2*Таблица1[[#This Row],[Столбец1]]*Таблица1[[#This Row],[коэф]])),
IF((G789="4/24"),((база!$M$5*2*Таблица1[[#This Row],[Столбец1]]*Таблица1[[#This Row],[коэф]])),
IF((G789="3/24"),((база!$M$4*2*Таблица1[[#This Row],[Столбец1]]*Таблица1[[#This Row],[коэф]])),
IF((G789="5/16"),((база!$L$6*2*Таблица1[[#This Row],[Столбец1]]*Таблица1[[#This Row],[коэф]])),
IF((G789="4/16"),((база!$L$5*2*Таблица1[[#This Row],[Столбец1]]*Таблица1[[#This Row],[коэф]])),
IF((G789="3/16"),((база!$L$4*2*Таблица1[[#This Row],[Столбец1]]*Таблица1[[#This Row],[коэф]])),
IF((G789="4/4"),((база!$I$5*2*Таблица1[[#This Row],[Столбец1]]*Таблица1[[#This Row],[коэф]])),
IF(OR(G789="2/4",G789="3/4"),((база!$I$4*2*Таблица1[[#This Row],[Столбец1]]*Таблица1[[#This Row],[коэф]])),
IF((G789="5/8"),((база!$J$6*2*Таблица1[[#This Row],[Столбец1]]*Таблица1[[#This Row],[коэф]])),
IF((G789="4/8"),((база!$J$5*2*Таблица1[[#This Row],[Столбец1]]*Таблица1[[#This Row],[коэф]])),
IF(OR(G789="3/8",G789="2/8"),((база!$J$4*2*Таблица1[[#This Row],[Столбец1]]*Таблица1[[#This Row],[коэф]])))))))))))))),
(IF((G789="5/24"),((база!$M$6*2*Таблица1[[#This Row],[Столбец1]]*Таблица1[[#This Row],[коэф]])),
IF(OR(G789="4/24",G789="3/24"),((база!$M$5*2*Таблица1[[#This Row],[Столбец1]]*Таблица1[[#This Row],[коэф]])),
IF((G789="5/16"),((база!$L$6*2*Таблица1[[#This Row],[Столбец1]]*Таблица1[[#This Row],[коэф]])),
IF(OR(G789="4/16",G789="3/16"),((база!$L$5*2*Таблица1[[#This Row],[Столбец1]]*Таблица1[[#This Row],[коэф]])),
IF(OR(G789="2/4",G789="3/4",G789="4/4"),((база!$I$5*2*Таблица1[[#This Row],[Столбец1]]*Таблица1[[#This Row],[коэф]])),
IF((G789="5/8"),((база!$J$6*2*Таблица1[[#This Row],[Столбец1]]*Таблица1[[#This Row],[коэф]])),
IF(OR(G789="4/8",G789="3/8",G789="2/8"),((база!$J$5*2*Таблица1[[#This Row],[Столбец1]]*Таблица1[[#This Row],[коэф]])))))))))))</f>
        <v>0</v>
      </c>
      <c r="AQ789" s="678" t="str">
        <f>IFERROR(INDEX(база!T:T, MATCH(F789,база!Q:Q,0)),"")</f>
        <v/>
      </c>
      <c r="AR789" s="193">
        <f>IFERROR(INDEX(база!D:D, MATCH(F789,база!B:B,0)),"")</f>
        <v>0</v>
      </c>
    </row>
    <row r="790" spans="1:44" ht="15">
      <c r="A790" s="59"/>
      <c r="B790" s="215"/>
      <c r="C790" s="277"/>
      <c r="D790" s="55"/>
      <c r="E790" s="196"/>
      <c r="F790" s="651"/>
      <c r="G790" s="42"/>
      <c r="H790" s="539"/>
      <c r="I790" s="539"/>
      <c r="J790" s="539"/>
      <c r="K790" s="539"/>
      <c r="L790" s="539"/>
      <c r="M790" s="539"/>
      <c r="N790" s="539"/>
      <c r="O790" s="539"/>
      <c r="P790" s="278"/>
      <c r="Q790" s="539"/>
      <c r="R790" s="539"/>
      <c r="S790" s="539"/>
      <c r="T790" s="539"/>
      <c r="U790" s="539"/>
      <c r="V790" s="539"/>
      <c r="W790" s="539"/>
      <c r="X790" s="539"/>
      <c r="Y790" s="539"/>
      <c r="Z790" s="539"/>
      <c r="AA790" s="539"/>
      <c r="AB790" s="539"/>
      <c r="AC790" s="539"/>
      <c r="AD790" s="43"/>
      <c r="AE790" s="43"/>
      <c r="AF790" s="238"/>
      <c r="AG790" s="43"/>
      <c r="AH790" s="43"/>
      <c r="AI790" s="43"/>
      <c r="AJ790" s="43"/>
      <c r="AK790" s="43"/>
      <c r="AL790" s="45"/>
      <c r="AM790" s="197">
        <f>IF(AQ790=1,SUM(H790:I790,L790:O790,R790:U790,X790:AA790,AD790:AG790,AI790:AK790),
IF(AQ790=2,SUM(H790:K790,N790:Q790,T790:W790,Z790:AC790,AF790:AI790),
IF(AQ790=3,SUM(J790:M790,P790:S790,V790:Y790,AB790:AE790,AH790:AK790),SUM(Таблица1[[#This Row],[1]:[31]])-Таблица1[[#This Row],[Столбец1]])))</f>
        <v>0</v>
      </c>
      <c r="AN790" s="269">
        <f t="array" ref="AN790">IF(AQ790=1,SUM(J790:K790,P790:Q790,V790:W790,AB790:AC790,AH790:AI790),
IF(AQ790=2,SUM(L790:M790,R790:S790,X790:Y790,AD790:AE790),
IF(AQ790=3,SUM(H790:I790,N790:O790,T790:U790,Z790:AA790,AF790:AG790),
SUM(IFERROR(WEEKDAY($H$2:$AL$2,2)&gt;5,)*H790:AL790))))</f>
        <v>0</v>
      </c>
      <c r="AO790" s="271" t="b">
        <f>IF(AR790&lt;=3,(IF((G790="5/24"),((база!$M$6*Таблица1[[#This Row],[сумма]]*Таблица1[[#This Row],[коэф]])),
IF((G790="4/24"),((база!$M$5*Таблица1[[#This Row],[сумма]]*Таблица1[[#This Row],[коэф]])),
IF((G790="3/24"),((база!$M$4*Таблица1[[#This Row],[сумма]]*Таблица1[[#This Row],[коэф]])),
IF((G790="5/16"),((база!$L$6*Таблица1[[#This Row],[сумма]]*Таблица1[[#This Row],[коэф]])),
IF((G790="4/16"),((база!$L$5*Таблица1[[#This Row],[сумма]]*Таблица1[[#This Row],[коэф]])),
IF((G790="3/16"),((база!$L$4*Таблица1[[#This Row],[сумма]]*Таблица1[[#This Row],[коэф]])),
IF((G790="4/4"),((база!$I$5*Таблица1[[#This Row],[сумма]]*Таблица1[[#This Row],[коэф]])),
IF(OR(G790="2/4",G790="3/4"),((база!$I$4*Таблица1[[#This Row],[сумма]]*Таблица1[[#This Row],[коэф]])),
IF((G790="5/8"),((база!$J$6*Таблица1[[#This Row],[сумма]]*Таблица1[[#This Row],[коэф]])),
IF((G790="4/8"),((база!$J$5*Таблица1[[#This Row],[сумма]]*Таблица1[[#This Row],[коэф]])),
IF(OR(G790="3/8",G790="2/8"),((база!$J$4*Таблица1[[#This Row],[сумма]]*Таблица1[[#This Row],[коэф]])))))))))))))),
(IF((G790="5/24"),((база!$M$6*Таблица1[[#This Row],[сумма]]*Таблица1[[#This Row],[коэф]])),
IF(OR(G790="4/24",G790="3/24"),((база!$M$5*Таблица1[[#This Row],[сумма]]*Таблица1[[#This Row],[коэф]])),
IF((G790="5/16"),((база!$L$6*Таблица1[[#This Row],[сумма]]*Таблица1[[#This Row],[коэф]])),
IF(OR(G790="4/16",G790="3/16"),((база!$L$5*Таблица1[[#This Row],[сумма]]*Таблица1[[#This Row],[коэф]])),
IF(OR(G790="2/4",G790="3/4",G790="4/4"),((база!$I$5*Таблица1[[#This Row],[сумма]]*Таблица1[[#This Row],[коэф]])),
IF((G790="5/8"),((база!$J$6*Таблица1[[#This Row],[сумма]]*Таблица1[[#This Row],[коэф]])),
IF(OR(G790="4/8",G790="3/8",G790="2/8"),((база!$J$5*Таблица1[[#This Row],[сумма]]*Таблица1[[#This Row],[коэф]])))))))))))</f>
        <v>0</v>
      </c>
      <c r="AP790" s="696" t="b">
        <f>IF(AR790&lt;=3,(IF((G790="5/24"),((база!$M$6*2*Таблица1[[#This Row],[Столбец1]]*Таблица1[[#This Row],[коэф]])),
IF((G790="4/24"),((база!$M$5*2*Таблица1[[#This Row],[Столбец1]]*Таблица1[[#This Row],[коэф]])),
IF((G790="3/24"),((база!$M$4*2*Таблица1[[#This Row],[Столбец1]]*Таблица1[[#This Row],[коэф]])),
IF((G790="5/16"),((база!$L$6*2*Таблица1[[#This Row],[Столбец1]]*Таблица1[[#This Row],[коэф]])),
IF((G790="4/16"),((база!$L$5*2*Таблица1[[#This Row],[Столбец1]]*Таблица1[[#This Row],[коэф]])),
IF((G790="3/16"),((база!$L$4*2*Таблица1[[#This Row],[Столбец1]]*Таблица1[[#This Row],[коэф]])),
IF((G790="4/4"),((база!$I$5*2*Таблица1[[#This Row],[Столбец1]]*Таблица1[[#This Row],[коэф]])),
IF(OR(G790="2/4",G790="3/4"),((база!$I$4*2*Таблица1[[#This Row],[Столбец1]]*Таблица1[[#This Row],[коэф]])),
IF((G790="5/8"),((база!$J$6*2*Таблица1[[#This Row],[Столбец1]]*Таблица1[[#This Row],[коэф]])),
IF((G790="4/8"),((база!$J$5*2*Таблица1[[#This Row],[Столбец1]]*Таблица1[[#This Row],[коэф]])),
IF(OR(G790="3/8",G790="2/8"),((база!$J$4*2*Таблица1[[#This Row],[Столбец1]]*Таблица1[[#This Row],[коэф]])))))))))))))),
(IF((G790="5/24"),((база!$M$6*2*Таблица1[[#This Row],[Столбец1]]*Таблица1[[#This Row],[коэф]])),
IF(OR(G790="4/24",G790="3/24"),((база!$M$5*2*Таблица1[[#This Row],[Столбец1]]*Таблица1[[#This Row],[коэф]])),
IF((G790="5/16"),((база!$L$6*2*Таблица1[[#This Row],[Столбец1]]*Таблица1[[#This Row],[коэф]])),
IF(OR(G790="4/16",G790="3/16"),((база!$L$5*2*Таблица1[[#This Row],[Столбец1]]*Таблица1[[#This Row],[коэф]])),
IF(OR(G790="2/4",G790="3/4",G790="4/4"),((база!$I$5*2*Таблица1[[#This Row],[Столбец1]]*Таблица1[[#This Row],[коэф]])),
IF((G790="5/8"),((база!$J$6*2*Таблица1[[#This Row],[Столбец1]]*Таблица1[[#This Row],[коэф]])),
IF(OR(G790="4/8",G790="3/8",G790="2/8"),((база!$J$5*2*Таблица1[[#This Row],[Столбец1]]*Таблица1[[#This Row],[коэф]])))))))))))</f>
        <v>0</v>
      </c>
      <c r="AQ790" s="678" t="str">
        <f>IFERROR(INDEX(база!T:T, MATCH(F790,база!Q:Q,0)),"")</f>
        <v/>
      </c>
      <c r="AR790" s="193">
        <f>IFERROR(INDEX(база!D:D, MATCH(F790,база!B:B,0)),"")</f>
        <v>0</v>
      </c>
    </row>
    <row r="791" spans="1:44" ht="15">
      <c r="A791" s="59"/>
      <c r="B791" s="215"/>
      <c r="C791" s="277"/>
      <c r="D791" s="55"/>
      <c r="E791" s="196"/>
      <c r="F791" s="651"/>
      <c r="G791" s="42"/>
      <c r="H791" s="539"/>
      <c r="I791" s="539"/>
      <c r="J791" s="539"/>
      <c r="K791" s="539"/>
      <c r="L791" s="539"/>
      <c r="M791" s="539"/>
      <c r="N791" s="539"/>
      <c r="O791" s="539"/>
      <c r="P791" s="278"/>
      <c r="Q791" s="539"/>
      <c r="R791" s="539"/>
      <c r="S791" s="539"/>
      <c r="T791" s="539"/>
      <c r="U791" s="539"/>
      <c r="V791" s="539"/>
      <c r="W791" s="539"/>
      <c r="X791" s="539"/>
      <c r="Y791" s="539"/>
      <c r="Z791" s="539"/>
      <c r="AA791" s="539"/>
      <c r="AB791" s="539"/>
      <c r="AC791" s="539"/>
      <c r="AD791" s="43"/>
      <c r="AE791" s="43"/>
      <c r="AF791" s="238"/>
      <c r="AG791" s="43"/>
      <c r="AH791" s="43"/>
      <c r="AI791" s="238"/>
      <c r="AJ791" s="238"/>
      <c r="AK791" s="238"/>
      <c r="AL791" s="238"/>
      <c r="AM791" s="197">
        <f>IF(AQ791=1,SUM(H791:I791,L791:O791,R791:U791,X791:AA791,AD791:AG791,AI791:AK791),
IF(AQ791=2,SUM(H791:K791,N791:Q791,T791:W791,Z791:AC791,AF791:AI791),
IF(AQ791=3,SUM(J791:M791,P791:S791,V791:Y791,AB791:AE791,AH791:AK791),SUM(Таблица1[[#This Row],[1]:[31]])-Таблица1[[#This Row],[Столбец1]])))</f>
        <v>0</v>
      </c>
      <c r="AN791" s="269">
        <f t="array" ref="AN791">IF(AQ791=1,SUM(J791:K791,P791:Q791,V791:W791,AB791:AC791,AH791:AI791),
IF(AQ791=2,SUM(L791:M791,R791:S791,X791:Y791,AD791:AE791),
IF(AQ791=3,SUM(H791:I791,N791:O791,T791:U791,Z791:AA791,AF791:AG791),
SUM(IFERROR(WEEKDAY($H$2:$AL$2,2)&gt;5,)*H791:AL791))))</f>
        <v>0</v>
      </c>
      <c r="AO791" s="271" t="b">
        <f>IF(AR791&lt;=3,(IF((G791="5/24"),((база!$M$6*Таблица1[[#This Row],[сумма]]*Таблица1[[#This Row],[коэф]])),
IF((G791="4/24"),((база!$M$5*Таблица1[[#This Row],[сумма]]*Таблица1[[#This Row],[коэф]])),
IF((G791="3/24"),((база!$M$4*Таблица1[[#This Row],[сумма]]*Таблица1[[#This Row],[коэф]])),
IF((G791="5/16"),((база!$L$6*Таблица1[[#This Row],[сумма]]*Таблица1[[#This Row],[коэф]])),
IF((G791="4/16"),((база!$L$5*Таблица1[[#This Row],[сумма]]*Таблица1[[#This Row],[коэф]])),
IF((G791="3/16"),((база!$L$4*Таблица1[[#This Row],[сумма]]*Таблица1[[#This Row],[коэф]])),
IF((G791="4/4"),((база!$I$5*Таблица1[[#This Row],[сумма]]*Таблица1[[#This Row],[коэф]])),
IF(OR(G791="2/4",G791="3/4"),((база!$I$4*Таблица1[[#This Row],[сумма]]*Таблица1[[#This Row],[коэф]])),
IF((G791="5/8"),((база!$J$6*Таблица1[[#This Row],[сумма]]*Таблица1[[#This Row],[коэф]])),
IF((G791="4/8"),((база!$J$5*Таблица1[[#This Row],[сумма]]*Таблица1[[#This Row],[коэф]])),
IF(OR(G791="3/8",G791="2/8"),((база!$J$4*Таблица1[[#This Row],[сумма]]*Таблица1[[#This Row],[коэф]])))))))))))))),
(IF((G791="5/24"),((база!$M$6*Таблица1[[#This Row],[сумма]]*Таблица1[[#This Row],[коэф]])),
IF(OR(G791="4/24",G791="3/24"),((база!$M$5*Таблица1[[#This Row],[сумма]]*Таблица1[[#This Row],[коэф]])),
IF((G791="5/16"),((база!$L$6*Таблица1[[#This Row],[сумма]]*Таблица1[[#This Row],[коэф]])),
IF(OR(G791="4/16",G791="3/16"),((база!$L$5*Таблица1[[#This Row],[сумма]]*Таблица1[[#This Row],[коэф]])),
IF(OR(G791="2/4",G791="3/4",G791="4/4"),((база!$I$5*Таблица1[[#This Row],[сумма]]*Таблица1[[#This Row],[коэф]])),
IF((G791="5/8"),((база!$J$6*Таблица1[[#This Row],[сумма]]*Таблица1[[#This Row],[коэф]])),
IF(OR(G791="4/8",G791="3/8",G791="2/8"),((база!$J$5*Таблица1[[#This Row],[сумма]]*Таблица1[[#This Row],[коэф]])))))))))))</f>
        <v>0</v>
      </c>
      <c r="AP791" s="696" t="b">
        <f>IF(AR791&lt;=3,(IF((G791="5/24"),((база!$M$6*2*Таблица1[[#This Row],[Столбец1]]*Таблица1[[#This Row],[коэф]])),
IF((G791="4/24"),((база!$M$5*2*Таблица1[[#This Row],[Столбец1]]*Таблица1[[#This Row],[коэф]])),
IF((G791="3/24"),((база!$M$4*2*Таблица1[[#This Row],[Столбец1]]*Таблица1[[#This Row],[коэф]])),
IF((G791="5/16"),((база!$L$6*2*Таблица1[[#This Row],[Столбец1]]*Таблица1[[#This Row],[коэф]])),
IF((G791="4/16"),((база!$L$5*2*Таблица1[[#This Row],[Столбец1]]*Таблица1[[#This Row],[коэф]])),
IF((G791="3/16"),((база!$L$4*2*Таблица1[[#This Row],[Столбец1]]*Таблица1[[#This Row],[коэф]])),
IF((G791="4/4"),((база!$I$5*2*Таблица1[[#This Row],[Столбец1]]*Таблица1[[#This Row],[коэф]])),
IF(OR(G791="2/4",G791="3/4"),((база!$I$4*2*Таблица1[[#This Row],[Столбец1]]*Таблица1[[#This Row],[коэф]])),
IF((G791="5/8"),((база!$J$6*2*Таблица1[[#This Row],[Столбец1]]*Таблица1[[#This Row],[коэф]])),
IF((G791="4/8"),((база!$J$5*2*Таблица1[[#This Row],[Столбец1]]*Таблица1[[#This Row],[коэф]])),
IF(OR(G791="3/8",G791="2/8"),((база!$J$4*2*Таблица1[[#This Row],[Столбец1]]*Таблица1[[#This Row],[коэф]])))))))))))))),
(IF((G791="5/24"),((база!$M$6*2*Таблица1[[#This Row],[Столбец1]]*Таблица1[[#This Row],[коэф]])),
IF(OR(G791="4/24",G791="3/24"),((база!$M$5*2*Таблица1[[#This Row],[Столбец1]]*Таблица1[[#This Row],[коэф]])),
IF((G791="5/16"),((база!$L$6*2*Таблица1[[#This Row],[Столбец1]]*Таблица1[[#This Row],[коэф]])),
IF(OR(G791="4/16",G791="3/16"),((база!$L$5*2*Таблица1[[#This Row],[Столбец1]]*Таблица1[[#This Row],[коэф]])),
IF(OR(G791="2/4",G791="3/4",G791="4/4"),((база!$I$5*2*Таблица1[[#This Row],[Столбец1]]*Таблица1[[#This Row],[коэф]])),
IF((G791="5/8"),((база!$J$6*2*Таблица1[[#This Row],[Столбец1]]*Таблица1[[#This Row],[коэф]])),
IF(OR(G791="4/8",G791="3/8",G791="2/8"),((база!$J$5*2*Таблица1[[#This Row],[Столбец1]]*Таблица1[[#This Row],[коэф]])))))))))))</f>
        <v>0</v>
      </c>
      <c r="AQ791" s="678" t="str">
        <f>IFERROR(INDEX(база!T:T, MATCH(F791,база!Q:Q,0)),"")</f>
        <v/>
      </c>
      <c r="AR791" s="193">
        <f>IFERROR(INDEX(база!D:D, MATCH(F791,база!B:B,0)),"")</f>
        <v>0</v>
      </c>
    </row>
    <row r="792" spans="1:44" ht="15">
      <c r="A792" s="59"/>
      <c r="B792" s="215"/>
      <c r="C792" s="277"/>
      <c r="D792" s="55"/>
      <c r="E792" s="196"/>
      <c r="F792" s="651"/>
      <c r="G792" s="42"/>
      <c r="H792" s="539"/>
      <c r="I792" s="539"/>
      <c r="J792" s="539"/>
      <c r="K792" s="539"/>
      <c r="L792" s="539"/>
      <c r="M792" s="539"/>
      <c r="N792" s="539"/>
      <c r="O792" s="539"/>
      <c r="P792" s="278"/>
      <c r="Q792" s="539"/>
      <c r="R792" s="539"/>
      <c r="S792" s="539"/>
      <c r="T792" s="539"/>
      <c r="U792" s="539"/>
      <c r="V792" s="539"/>
      <c r="W792" s="539"/>
      <c r="X792" s="539"/>
      <c r="Y792" s="539"/>
      <c r="Z792" s="539"/>
      <c r="AA792" s="539"/>
      <c r="AB792" s="539"/>
      <c r="AC792" s="539"/>
      <c r="AD792" s="43"/>
      <c r="AE792" s="43"/>
      <c r="AF792" s="238"/>
      <c r="AG792" s="43"/>
      <c r="AH792" s="43"/>
      <c r="AI792" s="43"/>
      <c r="AJ792" s="43"/>
      <c r="AK792" s="43"/>
      <c r="AL792" s="45"/>
      <c r="AM792" s="197">
        <f>IF(AQ792=1,SUM(H792:I792,L792:O792,R792:U792,X792:AA792,AD792:AG792,AI792:AK792),
IF(AQ792=2,SUM(H792:K792,N792:Q792,T792:W792,Z792:AC792,AF792:AI792),
IF(AQ792=3,SUM(J792:M792,P792:S792,V792:Y792,AB792:AE792,AH792:AK792),SUM(Таблица1[[#This Row],[1]:[31]])-Таблица1[[#This Row],[Столбец1]])))</f>
        <v>0</v>
      </c>
      <c r="AN792" s="269">
        <f t="array" ref="AN792">IF(AQ792=1,SUM(J792:K792,P792:Q792,V792:W792,AB792:AC792,AH792:AI792),
IF(AQ792=2,SUM(L792:M792,R792:S792,X792:Y792,AD792:AE792),
IF(AQ792=3,SUM(H792:I792,N792:O792,T792:U792,Z792:AA792,AF792:AG792),
SUM(IFERROR(WEEKDAY($H$2:$AL$2,2)&gt;5,)*H792:AL792))))</f>
        <v>0</v>
      </c>
      <c r="AO792" s="271" t="b">
        <f>IF(AR792&lt;=3,(IF((G792="5/24"),((база!$M$6*Таблица1[[#This Row],[сумма]]*Таблица1[[#This Row],[коэф]])),
IF((G792="4/24"),((база!$M$5*Таблица1[[#This Row],[сумма]]*Таблица1[[#This Row],[коэф]])),
IF((G792="3/24"),((база!$M$4*Таблица1[[#This Row],[сумма]]*Таблица1[[#This Row],[коэф]])),
IF((G792="5/16"),((база!$L$6*Таблица1[[#This Row],[сумма]]*Таблица1[[#This Row],[коэф]])),
IF((G792="4/16"),((база!$L$5*Таблица1[[#This Row],[сумма]]*Таблица1[[#This Row],[коэф]])),
IF((G792="3/16"),((база!$L$4*Таблица1[[#This Row],[сумма]]*Таблица1[[#This Row],[коэф]])),
IF((G792="4/4"),((база!$I$5*Таблица1[[#This Row],[сумма]]*Таблица1[[#This Row],[коэф]])),
IF(OR(G792="2/4",G792="3/4"),((база!$I$4*Таблица1[[#This Row],[сумма]]*Таблица1[[#This Row],[коэф]])),
IF((G792="5/8"),((база!$J$6*Таблица1[[#This Row],[сумма]]*Таблица1[[#This Row],[коэф]])),
IF((G792="4/8"),((база!$J$5*Таблица1[[#This Row],[сумма]]*Таблица1[[#This Row],[коэф]])),
IF(OR(G792="3/8",G792="2/8"),((база!$J$4*Таблица1[[#This Row],[сумма]]*Таблица1[[#This Row],[коэф]])))))))))))))),
(IF((G792="5/24"),((база!$M$6*Таблица1[[#This Row],[сумма]]*Таблица1[[#This Row],[коэф]])),
IF(OR(G792="4/24",G792="3/24"),((база!$M$5*Таблица1[[#This Row],[сумма]]*Таблица1[[#This Row],[коэф]])),
IF((G792="5/16"),((база!$L$6*Таблица1[[#This Row],[сумма]]*Таблица1[[#This Row],[коэф]])),
IF(OR(G792="4/16",G792="3/16"),((база!$L$5*Таблица1[[#This Row],[сумма]]*Таблица1[[#This Row],[коэф]])),
IF(OR(G792="2/4",G792="3/4",G792="4/4"),((база!$I$5*Таблица1[[#This Row],[сумма]]*Таблица1[[#This Row],[коэф]])),
IF((G792="5/8"),((база!$J$6*Таблица1[[#This Row],[сумма]]*Таблица1[[#This Row],[коэф]])),
IF(OR(G792="4/8",G792="3/8",G792="2/8"),((база!$J$5*Таблица1[[#This Row],[сумма]]*Таблица1[[#This Row],[коэф]])))))))))))</f>
        <v>0</v>
      </c>
      <c r="AP792" s="696" t="b">
        <f>IF(AR792&lt;=3,(IF((G792="5/24"),((база!$M$6*2*Таблица1[[#This Row],[Столбец1]]*Таблица1[[#This Row],[коэф]])),
IF((G792="4/24"),((база!$M$5*2*Таблица1[[#This Row],[Столбец1]]*Таблица1[[#This Row],[коэф]])),
IF((G792="3/24"),((база!$M$4*2*Таблица1[[#This Row],[Столбец1]]*Таблица1[[#This Row],[коэф]])),
IF((G792="5/16"),((база!$L$6*2*Таблица1[[#This Row],[Столбец1]]*Таблица1[[#This Row],[коэф]])),
IF((G792="4/16"),((база!$L$5*2*Таблица1[[#This Row],[Столбец1]]*Таблица1[[#This Row],[коэф]])),
IF((G792="3/16"),((база!$L$4*2*Таблица1[[#This Row],[Столбец1]]*Таблица1[[#This Row],[коэф]])),
IF((G792="4/4"),((база!$I$5*2*Таблица1[[#This Row],[Столбец1]]*Таблица1[[#This Row],[коэф]])),
IF(OR(G792="2/4",G792="3/4"),((база!$I$4*2*Таблица1[[#This Row],[Столбец1]]*Таблица1[[#This Row],[коэф]])),
IF((G792="5/8"),((база!$J$6*2*Таблица1[[#This Row],[Столбец1]]*Таблица1[[#This Row],[коэф]])),
IF((G792="4/8"),((база!$J$5*2*Таблица1[[#This Row],[Столбец1]]*Таблица1[[#This Row],[коэф]])),
IF(OR(G792="3/8",G792="2/8"),((база!$J$4*2*Таблица1[[#This Row],[Столбец1]]*Таблица1[[#This Row],[коэф]])))))))))))))),
(IF((G792="5/24"),((база!$M$6*2*Таблица1[[#This Row],[Столбец1]]*Таблица1[[#This Row],[коэф]])),
IF(OR(G792="4/24",G792="3/24"),((база!$M$5*2*Таблица1[[#This Row],[Столбец1]]*Таблица1[[#This Row],[коэф]])),
IF((G792="5/16"),((база!$L$6*2*Таблица1[[#This Row],[Столбец1]]*Таблица1[[#This Row],[коэф]])),
IF(OR(G792="4/16",G792="3/16"),((база!$L$5*2*Таблица1[[#This Row],[Столбец1]]*Таблица1[[#This Row],[коэф]])),
IF(OR(G792="2/4",G792="3/4",G792="4/4"),((база!$I$5*2*Таблица1[[#This Row],[Столбец1]]*Таблица1[[#This Row],[коэф]])),
IF((G792="5/8"),((база!$J$6*2*Таблица1[[#This Row],[Столбец1]]*Таблица1[[#This Row],[коэф]])),
IF(OR(G792="4/8",G792="3/8",G792="2/8"),((база!$J$5*2*Таблица1[[#This Row],[Столбец1]]*Таблица1[[#This Row],[коэф]])))))))))))</f>
        <v>0</v>
      </c>
      <c r="AQ792" s="678" t="str">
        <f>IFERROR(INDEX(база!T:T, MATCH(F792,база!Q:Q,0)),"")</f>
        <v/>
      </c>
      <c r="AR792" s="193">
        <f>IFERROR(INDEX(база!D:D, MATCH(F792,база!B:B,0)),"")</f>
        <v>0</v>
      </c>
    </row>
    <row r="793" spans="1:44" ht="15">
      <c r="A793" s="59"/>
      <c r="B793" s="215"/>
      <c r="C793" s="277"/>
      <c r="D793" s="55"/>
      <c r="E793" s="196"/>
      <c r="F793" s="651"/>
      <c r="G793" s="42"/>
      <c r="H793" s="539"/>
      <c r="I793" s="539"/>
      <c r="J793" s="539"/>
      <c r="K793" s="539"/>
      <c r="L793" s="539"/>
      <c r="M793" s="539"/>
      <c r="N793" s="539"/>
      <c r="O793" s="539"/>
      <c r="P793" s="278"/>
      <c r="Q793" s="539"/>
      <c r="R793" s="539"/>
      <c r="S793" s="539"/>
      <c r="T793" s="539"/>
      <c r="U793" s="539"/>
      <c r="V793" s="539"/>
      <c r="W793" s="539"/>
      <c r="X793" s="539"/>
      <c r="Y793" s="539"/>
      <c r="Z793" s="539"/>
      <c r="AA793" s="539"/>
      <c r="AB793" s="539"/>
      <c r="AC793" s="539"/>
      <c r="AD793" s="43"/>
      <c r="AE793" s="43"/>
      <c r="AF793" s="238"/>
      <c r="AG793" s="43"/>
      <c r="AH793" s="43"/>
      <c r="AI793" s="238"/>
      <c r="AJ793" s="238"/>
      <c r="AK793" s="238"/>
      <c r="AL793" s="238"/>
      <c r="AM793" s="197">
        <f>IF(AQ793=1,SUM(H793:I793,L793:O793,R793:U793,X793:AA793,AD793:AG793,AI793:AK793),
IF(AQ793=2,SUM(H793:K793,N793:Q793,T793:W793,Z793:AC793,AF793:AI793),
IF(AQ793=3,SUM(J793:M793,P793:S793,V793:Y793,AB793:AE793,AH793:AK793),SUM(Таблица1[[#This Row],[1]:[31]])-Таблица1[[#This Row],[Столбец1]])))</f>
        <v>0</v>
      </c>
      <c r="AN793" s="269">
        <f t="array" ref="AN793">IF(AQ793=1,SUM(J793:K793,P793:Q793,V793:W793,AB793:AC793,AH793:AI793),
IF(AQ793=2,SUM(L793:M793,R793:S793,X793:Y793,AD793:AE793),
IF(AQ793=3,SUM(H793:I793,N793:O793,T793:U793,Z793:AA793,AF793:AG793),
SUM(IFERROR(WEEKDAY($H$2:$AL$2,2)&gt;5,)*H793:AL793))))</f>
        <v>0</v>
      </c>
      <c r="AO793" s="271" t="b">
        <f>IF(AR793&lt;=3,(IF((G793="5/24"),((база!$M$6*Таблица1[[#This Row],[сумма]]*Таблица1[[#This Row],[коэф]])),
IF((G793="4/24"),((база!$M$5*Таблица1[[#This Row],[сумма]]*Таблица1[[#This Row],[коэф]])),
IF((G793="3/24"),((база!$M$4*Таблица1[[#This Row],[сумма]]*Таблица1[[#This Row],[коэф]])),
IF((G793="5/16"),((база!$L$6*Таблица1[[#This Row],[сумма]]*Таблица1[[#This Row],[коэф]])),
IF((G793="4/16"),((база!$L$5*Таблица1[[#This Row],[сумма]]*Таблица1[[#This Row],[коэф]])),
IF((G793="3/16"),((база!$L$4*Таблица1[[#This Row],[сумма]]*Таблица1[[#This Row],[коэф]])),
IF((G793="4/4"),((база!$I$5*Таблица1[[#This Row],[сумма]]*Таблица1[[#This Row],[коэф]])),
IF(OR(G793="2/4",G793="3/4"),((база!$I$4*Таблица1[[#This Row],[сумма]]*Таблица1[[#This Row],[коэф]])),
IF((G793="5/8"),((база!$J$6*Таблица1[[#This Row],[сумма]]*Таблица1[[#This Row],[коэф]])),
IF((G793="4/8"),((база!$J$5*Таблица1[[#This Row],[сумма]]*Таблица1[[#This Row],[коэф]])),
IF(OR(G793="3/8",G793="2/8"),((база!$J$4*Таблица1[[#This Row],[сумма]]*Таблица1[[#This Row],[коэф]])))))))))))))),
(IF((G793="5/24"),((база!$M$6*Таблица1[[#This Row],[сумма]]*Таблица1[[#This Row],[коэф]])),
IF(OR(G793="4/24",G793="3/24"),((база!$M$5*Таблица1[[#This Row],[сумма]]*Таблица1[[#This Row],[коэф]])),
IF((G793="5/16"),((база!$L$6*Таблица1[[#This Row],[сумма]]*Таблица1[[#This Row],[коэф]])),
IF(OR(G793="4/16",G793="3/16"),((база!$L$5*Таблица1[[#This Row],[сумма]]*Таблица1[[#This Row],[коэф]])),
IF(OR(G793="2/4",G793="3/4",G793="4/4"),((база!$I$5*Таблица1[[#This Row],[сумма]]*Таблица1[[#This Row],[коэф]])),
IF((G793="5/8"),((база!$J$6*Таблица1[[#This Row],[сумма]]*Таблица1[[#This Row],[коэф]])),
IF(OR(G793="4/8",G793="3/8",G793="2/8"),((база!$J$5*Таблица1[[#This Row],[сумма]]*Таблица1[[#This Row],[коэф]])))))))))))</f>
        <v>0</v>
      </c>
      <c r="AP793" s="696" t="b">
        <f>IF(AR793&lt;=3,(IF((G793="5/24"),((база!$M$6*2*Таблица1[[#This Row],[Столбец1]]*Таблица1[[#This Row],[коэф]])),
IF((G793="4/24"),((база!$M$5*2*Таблица1[[#This Row],[Столбец1]]*Таблица1[[#This Row],[коэф]])),
IF((G793="3/24"),((база!$M$4*2*Таблица1[[#This Row],[Столбец1]]*Таблица1[[#This Row],[коэф]])),
IF((G793="5/16"),((база!$L$6*2*Таблица1[[#This Row],[Столбец1]]*Таблица1[[#This Row],[коэф]])),
IF((G793="4/16"),((база!$L$5*2*Таблица1[[#This Row],[Столбец1]]*Таблица1[[#This Row],[коэф]])),
IF((G793="3/16"),((база!$L$4*2*Таблица1[[#This Row],[Столбец1]]*Таблица1[[#This Row],[коэф]])),
IF((G793="4/4"),((база!$I$5*2*Таблица1[[#This Row],[Столбец1]]*Таблица1[[#This Row],[коэф]])),
IF(OR(G793="2/4",G793="3/4"),((база!$I$4*2*Таблица1[[#This Row],[Столбец1]]*Таблица1[[#This Row],[коэф]])),
IF((G793="5/8"),((база!$J$6*2*Таблица1[[#This Row],[Столбец1]]*Таблица1[[#This Row],[коэф]])),
IF((G793="4/8"),((база!$J$5*2*Таблица1[[#This Row],[Столбец1]]*Таблица1[[#This Row],[коэф]])),
IF(OR(G793="3/8",G793="2/8"),((база!$J$4*2*Таблица1[[#This Row],[Столбец1]]*Таблица1[[#This Row],[коэф]])))))))))))))),
(IF((G793="5/24"),((база!$M$6*2*Таблица1[[#This Row],[Столбец1]]*Таблица1[[#This Row],[коэф]])),
IF(OR(G793="4/24",G793="3/24"),((база!$M$5*2*Таблица1[[#This Row],[Столбец1]]*Таблица1[[#This Row],[коэф]])),
IF((G793="5/16"),((база!$L$6*2*Таблица1[[#This Row],[Столбец1]]*Таблица1[[#This Row],[коэф]])),
IF(OR(G793="4/16",G793="3/16"),((база!$L$5*2*Таблица1[[#This Row],[Столбец1]]*Таблица1[[#This Row],[коэф]])),
IF(OR(G793="2/4",G793="3/4",G793="4/4"),((база!$I$5*2*Таблица1[[#This Row],[Столбец1]]*Таблица1[[#This Row],[коэф]])),
IF((G793="5/8"),((база!$J$6*2*Таблица1[[#This Row],[Столбец1]]*Таблица1[[#This Row],[коэф]])),
IF(OR(G793="4/8",G793="3/8",G793="2/8"),((база!$J$5*2*Таблица1[[#This Row],[Столбец1]]*Таблица1[[#This Row],[коэф]])))))))))))</f>
        <v>0</v>
      </c>
      <c r="AQ793" s="678" t="str">
        <f>IFERROR(INDEX(база!T:T, MATCH(F793,база!Q:Q,0)),"")</f>
        <v/>
      </c>
      <c r="AR793" s="193">
        <f>IFERROR(INDEX(база!D:D, MATCH(F793,база!B:B,0)),"")</f>
        <v>0</v>
      </c>
    </row>
    <row r="794" spans="1:44" ht="15">
      <c r="A794" s="59"/>
      <c r="B794" s="215"/>
      <c r="C794" s="277"/>
      <c r="D794" s="55"/>
      <c r="E794" s="196"/>
      <c r="F794" s="651"/>
      <c r="G794" s="42"/>
      <c r="H794" s="539"/>
      <c r="I794" s="539"/>
      <c r="J794" s="539"/>
      <c r="K794" s="539"/>
      <c r="L794" s="539"/>
      <c r="M794" s="539"/>
      <c r="N794" s="539"/>
      <c r="O794" s="539"/>
      <c r="P794" s="278"/>
      <c r="Q794" s="539"/>
      <c r="R794" s="539"/>
      <c r="S794" s="539"/>
      <c r="T794" s="539"/>
      <c r="U794" s="539"/>
      <c r="V794" s="539"/>
      <c r="W794" s="539"/>
      <c r="X794" s="539"/>
      <c r="Y794" s="539"/>
      <c r="Z794" s="539"/>
      <c r="AA794" s="539"/>
      <c r="AB794" s="539"/>
      <c r="AC794" s="539"/>
      <c r="AD794" s="43"/>
      <c r="AE794" s="43"/>
      <c r="AF794" s="238"/>
      <c r="AG794" s="43"/>
      <c r="AH794" s="43"/>
      <c r="AI794" s="43"/>
      <c r="AJ794" s="43"/>
      <c r="AK794" s="43"/>
      <c r="AL794" s="45"/>
      <c r="AM794" s="197">
        <f>IF(AQ794=1,SUM(H794:I794,L794:O794,R794:U794,X794:AA794,AD794:AG794,AI794:AK794),
IF(AQ794=2,SUM(H794:K794,N794:Q794,T794:W794,Z794:AC794,AF794:AI794),
IF(AQ794=3,SUM(J794:M794,P794:S794,V794:Y794,AB794:AE794,AH794:AK794),SUM(Таблица1[[#This Row],[1]:[31]])-Таблица1[[#This Row],[Столбец1]])))</f>
        <v>0</v>
      </c>
      <c r="AN794" s="269">
        <f t="array" ref="AN794">IF(AQ794=1,SUM(J794:K794,P794:Q794,V794:W794,AB794:AC794,AH794:AI794),
IF(AQ794=2,SUM(L794:M794,R794:S794,X794:Y794,AD794:AE794),
IF(AQ794=3,SUM(H794:I794,N794:O794,T794:U794,Z794:AA794,AF794:AG794),
SUM(IFERROR(WEEKDAY($H$2:$AL$2,2)&gt;5,)*H794:AL794))))</f>
        <v>0</v>
      </c>
      <c r="AO794" s="271" t="b">
        <f>IF(AR794&lt;=3,(IF((G794="5/24"),((база!$M$6*Таблица1[[#This Row],[сумма]]*Таблица1[[#This Row],[коэф]])),
IF((G794="4/24"),((база!$M$5*Таблица1[[#This Row],[сумма]]*Таблица1[[#This Row],[коэф]])),
IF((G794="3/24"),((база!$M$4*Таблица1[[#This Row],[сумма]]*Таблица1[[#This Row],[коэф]])),
IF((G794="5/16"),((база!$L$6*Таблица1[[#This Row],[сумма]]*Таблица1[[#This Row],[коэф]])),
IF((G794="4/16"),((база!$L$5*Таблица1[[#This Row],[сумма]]*Таблица1[[#This Row],[коэф]])),
IF((G794="3/16"),((база!$L$4*Таблица1[[#This Row],[сумма]]*Таблица1[[#This Row],[коэф]])),
IF((G794="4/4"),((база!$I$5*Таблица1[[#This Row],[сумма]]*Таблица1[[#This Row],[коэф]])),
IF(OR(G794="2/4",G794="3/4"),((база!$I$4*Таблица1[[#This Row],[сумма]]*Таблица1[[#This Row],[коэф]])),
IF((G794="5/8"),((база!$J$6*Таблица1[[#This Row],[сумма]]*Таблица1[[#This Row],[коэф]])),
IF((G794="4/8"),((база!$J$5*Таблица1[[#This Row],[сумма]]*Таблица1[[#This Row],[коэф]])),
IF(OR(G794="3/8",G794="2/8"),((база!$J$4*Таблица1[[#This Row],[сумма]]*Таблица1[[#This Row],[коэф]])))))))))))))),
(IF((G794="5/24"),((база!$M$6*Таблица1[[#This Row],[сумма]]*Таблица1[[#This Row],[коэф]])),
IF(OR(G794="4/24",G794="3/24"),((база!$M$5*Таблица1[[#This Row],[сумма]]*Таблица1[[#This Row],[коэф]])),
IF((G794="5/16"),((база!$L$6*Таблица1[[#This Row],[сумма]]*Таблица1[[#This Row],[коэф]])),
IF(OR(G794="4/16",G794="3/16"),((база!$L$5*Таблица1[[#This Row],[сумма]]*Таблица1[[#This Row],[коэф]])),
IF(OR(G794="2/4",G794="3/4",G794="4/4"),((база!$I$5*Таблица1[[#This Row],[сумма]]*Таблица1[[#This Row],[коэф]])),
IF((G794="5/8"),((база!$J$6*Таблица1[[#This Row],[сумма]]*Таблица1[[#This Row],[коэф]])),
IF(OR(G794="4/8",G794="3/8",G794="2/8"),((база!$J$5*Таблица1[[#This Row],[сумма]]*Таблица1[[#This Row],[коэф]])))))))))))</f>
        <v>0</v>
      </c>
      <c r="AP794" s="696" t="b">
        <f>IF(AR794&lt;=3,(IF((G794="5/24"),((база!$M$6*2*Таблица1[[#This Row],[Столбец1]]*Таблица1[[#This Row],[коэф]])),
IF((G794="4/24"),((база!$M$5*2*Таблица1[[#This Row],[Столбец1]]*Таблица1[[#This Row],[коэф]])),
IF((G794="3/24"),((база!$M$4*2*Таблица1[[#This Row],[Столбец1]]*Таблица1[[#This Row],[коэф]])),
IF((G794="5/16"),((база!$L$6*2*Таблица1[[#This Row],[Столбец1]]*Таблица1[[#This Row],[коэф]])),
IF((G794="4/16"),((база!$L$5*2*Таблица1[[#This Row],[Столбец1]]*Таблица1[[#This Row],[коэф]])),
IF((G794="3/16"),((база!$L$4*2*Таблица1[[#This Row],[Столбец1]]*Таблица1[[#This Row],[коэф]])),
IF((G794="4/4"),((база!$I$5*2*Таблица1[[#This Row],[Столбец1]]*Таблица1[[#This Row],[коэф]])),
IF(OR(G794="2/4",G794="3/4"),((база!$I$4*2*Таблица1[[#This Row],[Столбец1]]*Таблица1[[#This Row],[коэф]])),
IF((G794="5/8"),((база!$J$6*2*Таблица1[[#This Row],[Столбец1]]*Таблица1[[#This Row],[коэф]])),
IF((G794="4/8"),((база!$J$5*2*Таблица1[[#This Row],[Столбец1]]*Таблица1[[#This Row],[коэф]])),
IF(OR(G794="3/8",G794="2/8"),((база!$J$4*2*Таблица1[[#This Row],[Столбец1]]*Таблица1[[#This Row],[коэф]])))))))))))))),
(IF((G794="5/24"),((база!$M$6*2*Таблица1[[#This Row],[Столбец1]]*Таблица1[[#This Row],[коэф]])),
IF(OR(G794="4/24",G794="3/24"),((база!$M$5*2*Таблица1[[#This Row],[Столбец1]]*Таблица1[[#This Row],[коэф]])),
IF((G794="5/16"),((база!$L$6*2*Таблица1[[#This Row],[Столбец1]]*Таблица1[[#This Row],[коэф]])),
IF(OR(G794="4/16",G794="3/16"),((база!$L$5*2*Таблица1[[#This Row],[Столбец1]]*Таблица1[[#This Row],[коэф]])),
IF(OR(G794="2/4",G794="3/4",G794="4/4"),((база!$I$5*2*Таблица1[[#This Row],[Столбец1]]*Таблица1[[#This Row],[коэф]])),
IF((G794="5/8"),((база!$J$6*2*Таблица1[[#This Row],[Столбец1]]*Таблица1[[#This Row],[коэф]])),
IF(OR(G794="4/8",G794="3/8",G794="2/8"),((база!$J$5*2*Таблица1[[#This Row],[Столбец1]]*Таблица1[[#This Row],[коэф]])))))))))))</f>
        <v>0</v>
      </c>
      <c r="AQ794" s="678" t="str">
        <f>IFERROR(INDEX(база!T:T, MATCH(F794,база!Q:Q,0)),"")</f>
        <v/>
      </c>
      <c r="AR794" s="193">
        <f>IFERROR(INDEX(база!D:D, MATCH(F794,база!B:B,0)),"")</f>
        <v>0</v>
      </c>
    </row>
    <row r="795" spans="1:44" ht="15">
      <c r="A795" s="59"/>
      <c r="B795" s="215"/>
      <c r="C795" s="277"/>
      <c r="D795" s="55"/>
      <c r="E795" s="196"/>
      <c r="F795" s="651"/>
      <c r="G795" s="42"/>
      <c r="H795" s="539"/>
      <c r="I795" s="539"/>
      <c r="J795" s="539"/>
      <c r="K795" s="539"/>
      <c r="L795" s="539"/>
      <c r="M795" s="539"/>
      <c r="N795" s="539"/>
      <c r="O795" s="539"/>
      <c r="P795" s="278"/>
      <c r="Q795" s="539"/>
      <c r="R795" s="539"/>
      <c r="S795" s="539"/>
      <c r="T795" s="539"/>
      <c r="U795" s="539"/>
      <c r="V795" s="539"/>
      <c r="W795" s="539"/>
      <c r="X795" s="539"/>
      <c r="Y795" s="539"/>
      <c r="Z795" s="539"/>
      <c r="AA795" s="539"/>
      <c r="AB795" s="539"/>
      <c r="AC795" s="539"/>
      <c r="AD795" s="43"/>
      <c r="AE795" s="43"/>
      <c r="AF795" s="238"/>
      <c r="AG795" s="43"/>
      <c r="AH795" s="43"/>
      <c r="AI795" s="238"/>
      <c r="AJ795" s="238"/>
      <c r="AK795" s="238"/>
      <c r="AL795" s="238"/>
      <c r="AM795" s="197">
        <f>IF(AQ795=1,SUM(H795:I795,L795:O795,R795:U795,X795:AA795,AD795:AG795,AI795:AK795),
IF(AQ795=2,SUM(H795:K795,N795:Q795,T795:W795,Z795:AC795,AF795:AI795),
IF(AQ795=3,SUM(J795:M795,P795:S795,V795:Y795,AB795:AE795,AH795:AK795),SUM(Таблица1[[#This Row],[1]:[31]])-Таблица1[[#This Row],[Столбец1]])))</f>
        <v>0</v>
      </c>
      <c r="AN795" s="269">
        <f t="array" ref="AN795">IF(AQ795=1,SUM(J795:K795,P795:Q795,V795:W795,AB795:AC795,AH795:AI795),
IF(AQ795=2,SUM(L795:M795,R795:S795,X795:Y795,AD795:AE795),
IF(AQ795=3,SUM(H795:I795,N795:O795,T795:U795,Z795:AA795,AF795:AG795),
SUM(IFERROR(WEEKDAY($H$2:$AL$2,2)&gt;5,)*H795:AL795))))</f>
        <v>0</v>
      </c>
      <c r="AO795" s="271" t="b">
        <f>IF(AR795&lt;=3,(IF((G795="5/24"),((база!$M$6*Таблица1[[#This Row],[сумма]]*Таблица1[[#This Row],[коэф]])),
IF((G795="4/24"),((база!$M$5*Таблица1[[#This Row],[сумма]]*Таблица1[[#This Row],[коэф]])),
IF((G795="3/24"),((база!$M$4*Таблица1[[#This Row],[сумма]]*Таблица1[[#This Row],[коэф]])),
IF((G795="5/16"),((база!$L$6*Таблица1[[#This Row],[сумма]]*Таблица1[[#This Row],[коэф]])),
IF((G795="4/16"),((база!$L$5*Таблица1[[#This Row],[сумма]]*Таблица1[[#This Row],[коэф]])),
IF((G795="3/16"),((база!$L$4*Таблица1[[#This Row],[сумма]]*Таблица1[[#This Row],[коэф]])),
IF((G795="4/4"),((база!$I$5*Таблица1[[#This Row],[сумма]]*Таблица1[[#This Row],[коэф]])),
IF(OR(G795="2/4",G795="3/4"),((база!$I$4*Таблица1[[#This Row],[сумма]]*Таблица1[[#This Row],[коэф]])),
IF((G795="5/8"),((база!$J$6*Таблица1[[#This Row],[сумма]]*Таблица1[[#This Row],[коэф]])),
IF((G795="4/8"),((база!$J$5*Таблица1[[#This Row],[сумма]]*Таблица1[[#This Row],[коэф]])),
IF(OR(G795="3/8",G795="2/8"),((база!$J$4*Таблица1[[#This Row],[сумма]]*Таблица1[[#This Row],[коэф]])))))))))))))),
(IF((G795="5/24"),((база!$M$6*Таблица1[[#This Row],[сумма]]*Таблица1[[#This Row],[коэф]])),
IF(OR(G795="4/24",G795="3/24"),((база!$M$5*Таблица1[[#This Row],[сумма]]*Таблица1[[#This Row],[коэф]])),
IF((G795="5/16"),((база!$L$6*Таблица1[[#This Row],[сумма]]*Таблица1[[#This Row],[коэф]])),
IF(OR(G795="4/16",G795="3/16"),((база!$L$5*Таблица1[[#This Row],[сумма]]*Таблица1[[#This Row],[коэф]])),
IF(OR(G795="2/4",G795="3/4",G795="4/4"),((база!$I$5*Таблица1[[#This Row],[сумма]]*Таблица1[[#This Row],[коэф]])),
IF((G795="5/8"),((база!$J$6*Таблица1[[#This Row],[сумма]]*Таблица1[[#This Row],[коэф]])),
IF(OR(G795="4/8",G795="3/8",G795="2/8"),((база!$J$5*Таблица1[[#This Row],[сумма]]*Таблица1[[#This Row],[коэф]])))))))))))</f>
        <v>0</v>
      </c>
      <c r="AP795" s="696" t="b">
        <f>IF(AR795&lt;=3,(IF((G795="5/24"),((база!$M$6*2*Таблица1[[#This Row],[Столбец1]]*Таблица1[[#This Row],[коэф]])),
IF((G795="4/24"),((база!$M$5*2*Таблица1[[#This Row],[Столбец1]]*Таблица1[[#This Row],[коэф]])),
IF((G795="3/24"),((база!$M$4*2*Таблица1[[#This Row],[Столбец1]]*Таблица1[[#This Row],[коэф]])),
IF((G795="5/16"),((база!$L$6*2*Таблица1[[#This Row],[Столбец1]]*Таблица1[[#This Row],[коэф]])),
IF((G795="4/16"),((база!$L$5*2*Таблица1[[#This Row],[Столбец1]]*Таблица1[[#This Row],[коэф]])),
IF((G795="3/16"),((база!$L$4*2*Таблица1[[#This Row],[Столбец1]]*Таблица1[[#This Row],[коэф]])),
IF((G795="4/4"),((база!$I$5*2*Таблица1[[#This Row],[Столбец1]]*Таблица1[[#This Row],[коэф]])),
IF(OR(G795="2/4",G795="3/4"),((база!$I$4*2*Таблица1[[#This Row],[Столбец1]]*Таблица1[[#This Row],[коэф]])),
IF((G795="5/8"),((база!$J$6*2*Таблица1[[#This Row],[Столбец1]]*Таблица1[[#This Row],[коэф]])),
IF((G795="4/8"),((база!$J$5*2*Таблица1[[#This Row],[Столбец1]]*Таблица1[[#This Row],[коэф]])),
IF(OR(G795="3/8",G795="2/8"),((база!$J$4*2*Таблица1[[#This Row],[Столбец1]]*Таблица1[[#This Row],[коэф]])))))))))))))),
(IF((G795="5/24"),((база!$M$6*2*Таблица1[[#This Row],[Столбец1]]*Таблица1[[#This Row],[коэф]])),
IF(OR(G795="4/24",G795="3/24"),((база!$M$5*2*Таблица1[[#This Row],[Столбец1]]*Таблица1[[#This Row],[коэф]])),
IF((G795="5/16"),((база!$L$6*2*Таблица1[[#This Row],[Столбец1]]*Таблица1[[#This Row],[коэф]])),
IF(OR(G795="4/16",G795="3/16"),((база!$L$5*2*Таблица1[[#This Row],[Столбец1]]*Таблица1[[#This Row],[коэф]])),
IF(OR(G795="2/4",G795="3/4",G795="4/4"),((база!$I$5*2*Таблица1[[#This Row],[Столбец1]]*Таблица1[[#This Row],[коэф]])),
IF((G795="5/8"),((база!$J$6*2*Таблица1[[#This Row],[Столбец1]]*Таблица1[[#This Row],[коэф]])),
IF(OR(G795="4/8",G795="3/8",G795="2/8"),((база!$J$5*2*Таблица1[[#This Row],[Столбец1]]*Таблица1[[#This Row],[коэф]])))))))))))</f>
        <v>0</v>
      </c>
      <c r="AQ795" s="678" t="str">
        <f>IFERROR(INDEX(база!T:T, MATCH(F795,база!Q:Q,0)),"")</f>
        <v/>
      </c>
      <c r="AR795" s="193">
        <f>IFERROR(INDEX(база!D:D, MATCH(F795,база!B:B,0)),"")</f>
        <v>0</v>
      </c>
    </row>
    <row r="796" spans="1:44" ht="15">
      <c r="A796" s="59"/>
      <c r="B796" s="215"/>
      <c r="C796" s="277"/>
      <c r="D796" s="55"/>
      <c r="E796" s="196"/>
      <c r="F796" s="651"/>
      <c r="G796" s="42"/>
      <c r="H796" s="539"/>
      <c r="I796" s="539"/>
      <c r="J796" s="539"/>
      <c r="K796" s="539"/>
      <c r="L796" s="539"/>
      <c r="M796" s="539"/>
      <c r="N796" s="539"/>
      <c r="O796" s="539"/>
      <c r="P796" s="278"/>
      <c r="Q796" s="539"/>
      <c r="R796" s="539"/>
      <c r="S796" s="539"/>
      <c r="T796" s="539"/>
      <c r="U796" s="539"/>
      <c r="V796" s="539"/>
      <c r="W796" s="539"/>
      <c r="X796" s="539"/>
      <c r="Y796" s="539"/>
      <c r="Z796" s="539"/>
      <c r="AA796" s="539"/>
      <c r="AB796" s="539"/>
      <c r="AC796" s="539"/>
      <c r="AD796" s="43"/>
      <c r="AE796" s="43"/>
      <c r="AF796" s="238"/>
      <c r="AG796" s="43"/>
      <c r="AH796" s="43"/>
      <c r="AI796" s="43"/>
      <c r="AJ796" s="43"/>
      <c r="AK796" s="43"/>
      <c r="AL796" s="45"/>
      <c r="AM796" s="197">
        <f>IF(AQ796=1,SUM(H796:I796,L796:O796,R796:U796,X796:AA796,AD796:AG796,AI796:AK796),
IF(AQ796=2,SUM(H796:K796,N796:Q796,T796:W796,Z796:AC796,AF796:AI796),
IF(AQ796=3,SUM(J796:M796,P796:S796,V796:Y796,AB796:AE796,AH796:AK796),SUM(Таблица1[[#This Row],[1]:[31]])-Таблица1[[#This Row],[Столбец1]])))</f>
        <v>0</v>
      </c>
      <c r="AN796" s="269">
        <f t="array" ref="AN796">IF(AQ796=1,SUM(J796:K796,P796:Q796,V796:W796,AB796:AC796,AH796:AI796),
IF(AQ796=2,SUM(L796:M796,R796:S796,X796:Y796,AD796:AE796),
IF(AQ796=3,SUM(H796:I796,N796:O796,T796:U796,Z796:AA796,AF796:AG796),
SUM(IFERROR(WEEKDAY($H$2:$AL$2,2)&gt;5,)*H796:AL796))))</f>
        <v>0</v>
      </c>
      <c r="AO796" s="271" t="b">
        <f>IF(AR796&lt;=3,(IF((G796="5/24"),((база!$M$6*Таблица1[[#This Row],[сумма]]*Таблица1[[#This Row],[коэф]])),
IF((G796="4/24"),((база!$M$5*Таблица1[[#This Row],[сумма]]*Таблица1[[#This Row],[коэф]])),
IF((G796="3/24"),((база!$M$4*Таблица1[[#This Row],[сумма]]*Таблица1[[#This Row],[коэф]])),
IF((G796="5/16"),((база!$L$6*Таблица1[[#This Row],[сумма]]*Таблица1[[#This Row],[коэф]])),
IF((G796="4/16"),((база!$L$5*Таблица1[[#This Row],[сумма]]*Таблица1[[#This Row],[коэф]])),
IF((G796="3/16"),((база!$L$4*Таблица1[[#This Row],[сумма]]*Таблица1[[#This Row],[коэф]])),
IF((G796="4/4"),((база!$I$5*Таблица1[[#This Row],[сумма]]*Таблица1[[#This Row],[коэф]])),
IF(OR(G796="2/4",G796="3/4"),((база!$I$4*Таблица1[[#This Row],[сумма]]*Таблица1[[#This Row],[коэф]])),
IF((G796="5/8"),((база!$J$6*Таблица1[[#This Row],[сумма]]*Таблица1[[#This Row],[коэф]])),
IF((G796="4/8"),((база!$J$5*Таблица1[[#This Row],[сумма]]*Таблица1[[#This Row],[коэф]])),
IF(OR(G796="3/8",G796="2/8"),((база!$J$4*Таблица1[[#This Row],[сумма]]*Таблица1[[#This Row],[коэф]])))))))))))))),
(IF((G796="5/24"),((база!$M$6*Таблица1[[#This Row],[сумма]]*Таблица1[[#This Row],[коэф]])),
IF(OR(G796="4/24",G796="3/24"),((база!$M$5*Таблица1[[#This Row],[сумма]]*Таблица1[[#This Row],[коэф]])),
IF((G796="5/16"),((база!$L$6*Таблица1[[#This Row],[сумма]]*Таблица1[[#This Row],[коэф]])),
IF(OR(G796="4/16",G796="3/16"),((база!$L$5*Таблица1[[#This Row],[сумма]]*Таблица1[[#This Row],[коэф]])),
IF(OR(G796="2/4",G796="3/4",G796="4/4"),((база!$I$5*Таблица1[[#This Row],[сумма]]*Таблица1[[#This Row],[коэф]])),
IF((G796="5/8"),((база!$J$6*Таблица1[[#This Row],[сумма]]*Таблица1[[#This Row],[коэф]])),
IF(OR(G796="4/8",G796="3/8",G796="2/8"),((база!$J$5*Таблица1[[#This Row],[сумма]]*Таблица1[[#This Row],[коэф]])))))))))))</f>
        <v>0</v>
      </c>
      <c r="AP796" s="696" t="b">
        <f>IF(AR796&lt;=3,(IF((G796="5/24"),((база!$M$6*2*Таблица1[[#This Row],[Столбец1]]*Таблица1[[#This Row],[коэф]])),
IF((G796="4/24"),((база!$M$5*2*Таблица1[[#This Row],[Столбец1]]*Таблица1[[#This Row],[коэф]])),
IF((G796="3/24"),((база!$M$4*2*Таблица1[[#This Row],[Столбец1]]*Таблица1[[#This Row],[коэф]])),
IF((G796="5/16"),((база!$L$6*2*Таблица1[[#This Row],[Столбец1]]*Таблица1[[#This Row],[коэф]])),
IF((G796="4/16"),((база!$L$5*2*Таблица1[[#This Row],[Столбец1]]*Таблица1[[#This Row],[коэф]])),
IF((G796="3/16"),((база!$L$4*2*Таблица1[[#This Row],[Столбец1]]*Таблица1[[#This Row],[коэф]])),
IF((G796="4/4"),((база!$I$5*2*Таблица1[[#This Row],[Столбец1]]*Таблица1[[#This Row],[коэф]])),
IF(OR(G796="2/4",G796="3/4"),((база!$I$4*2*Таблица1[[#This Row],[Столбец1]]*Таблица1[[#This Row],[коэф]])),
IF((G796="5/8"),((база!$J$6*2*Таблица1[[#This Row],[Столбец1]]*Таблица1[[#This Row],[коэф]])),
IF((G796="4/8"),((база!$J$5*2*Таблица1[[#This Row],[Столбец1]]*Таблица1[[#This Row],[коэф]])),
IF(OR(G796="3/8",G796="2/8"),((база!$J$4*2*Таблица1[[#This Row],[Столбец1]]*Таблица1[[#This Row],[коэф]])))))))))))))),
(IF((G796="5/24"),((база!$M$6*2*Таблица1[[#This Row],[Столбец1]]*Таблица1[[#This Row],[коэф]])),
IF(OR(G796="4/24",G796="3/24"),((база!$M$5*2*Таблица1[[#This Row],[Столбец1]]*Таблица1[[#This Row],[коэф]])),
IF((G796="5/16"),((база!$L$6*2*Таблица1[[#This Row],[Столбец1]]*Таблица1[[#This Row],[коэф]])),
IF(OR(G796="4/16",G796="3/16"),((база!$L$5*2*Таблица1[[#This Row],[Столбец1]]*Таблица1[[#This Row],[коэф]])),
IF(OR(G796="2/4",G796="3/4",G796="4/4"),((база!$I$5*2*Таблица1[[#This Row],[Столбец1]]*Таблица1[[#This Row],[коэф]])),
IF((G796="5/8"),((база!$J$6*2*Таблица1[[#This Row],[Столбец1]]*Таблица1[[#This Row],[коэф]])),
IF(OR(G796="4/8",G796="3/8",G796="2/8"),((база!$J$5*2*Таблица1[[#This Row],[Столбец1]]*Таблица1[[#This Row],[коэф]])))))))))))</f>
        <v>0</v>
      </c>
      <c r="AQ796" s="678" t="str">
        <f>IFERROR(INDEX(база!T:T, MATCH(F796,база!Q:Q,0)),"")</f>
        <v/>
      </c>
      <c r="AR796" s="193">
        <f>IFERROR(INDEX(база!D:D, MATCH(F796,база!B:B,0)),"")</f>
        <v>0</v>
      </c>
    </row>
    <row r="797" spans="1:44" ht="15">
      <c r="A797" s="59"/>
      <c r="B797" s="215"/>
      <c r="C797" s="277"/>
      <c r="D797" s="55"/>
      <c r="E797" s="196"/>
      <c r="F797" s="651"/>
      <c r="G797" s="42"/>
      <c r="H797" s="539"/>
      <c r="I797" s="539"/>
      <c r="J797" s="539"/>
      <c r="K797" s="539"/>
      <c r="L797" s="539"/>
      <c r="M797" s="539"/>
      <c r="N797" s="539"/>
      <c r="O797" s="539"/>
      <c r="P797" s="278"/>
      <c r="Q797" s="539"/>
      <c r="R797" s="539"/>
      <c r="S797" s="539"/>
      <c r="T797" s="539"/>
      <c r="U797" s="539"/>
      <c r="V797" s="539"/>
      <c r="W797" s="539"/>
      <c r="X797" s="539"/>
      <c r="Y797" s="539"/>
      <c r="Z797" s="539"/>
      <c r="AA797" s="539"/>
      <c r="AB797" s="539"/>
      <c r="AC797" s="539"/>
      <c r="AD797" s="43"/>
      <c r="AE797" s="43"/>
      <c r="AF797" s="238"/>
      <c r="AG797" s="43"/>
      <c r="AH797" s="43"/>
      <c r="AI797" s="238"/>
      <c r="AJ797" s="238"/>
      <c r="AK797" s="238"/>
      <c r="AL797" s="238"/>
      <c r="AM797" s="197">
        <f>IF(AQ797=1,SUM(H797:I797,L797:O797,R797:U797,X797:AA797,AD797:AG797,AI797:AK797),
IF(AQ797=2,SUM(H797:K797,N797:Q797,T797:W797,Z797:AC797,AF797:AI797),
IF(AQ797=3,SUM(J797:M797,P797:S797,V797:Y797,AB797:AE797,AH797:AK797),SUM(Таблица1[[#This Row],[1]:[31]])-Таблица1[[#This Row],[Столбец1]])))</f>
        <v>0</v>
      </c>
      <c r="AN797" s="269">
        <f t="array" ref="AN797">IF(AQ797=1,SUM(J797:K797,P797:Q797,V797:W797,AB797:AC797,AH797:AI797),
IF(AQ797=2,SUM(L797:M797,R797:S797,X797:Y797,AD797:AE797),
IF(AQ797=3,SUM(H797:I797,N797:O797,T797:U797,Z797:AA797,AF797:AG797),
SUM(IFERROR(WEEKDAY($H$2:$AL$2,2)&gt;5,)*H797:AL797))))</f>
        <v>0</v>
      </c>
      <c r="AO797" s="271" t="b">
        <f>IF(AR797&lt;=3,(IF((G797="5/24"),((база!$M$6*Таблица1[[#This Row],[сумма]]*Таблица1[[#This Row],[коэф]])),
IF((G797="4/24"),((база!$M$5*Таблица1[[#This Row],[сумма]]*Таблица1[[#This Row],[коэф]])),
IF((G797="3/24"),((база!$M$4*Таблица1[[#This Row],[сумма]]*Таблица1[[#This Row],[коэф]])),
IF((G797="5/16"),((база!$L$6*Таблица1[[#This Row],[сумма]]*Таблица1[[#This Row],[коэф]])),
IF((G797="4/16"),((база!$L$5*Таблица1[[#This Row],[сумма]]*Таблица1[[#This Row],[коэф]])),
IF((G797="3/16"),((база!$L$4*Таблица1[[#This Row],[сумма]]*Таблица1[[#This Row],[коэф]])),
IF((G797="4/4"),((база!$I$5*Таблица1[[#This Row],[сумма]]*Таблица1[[#This Row],[коэф]])),
IF(OR(G797="2/4",G797="3/4"),((база!$I$4*Таблица1[[#This Row],[сумма]]*Таблица1[[#This Row],[коэф]])),
IF((G797="5/8"),((база!$J$6*Таблица1[[#This Row],[сумма]]*Таблица1[[#This Row],[коэф]])),
IF((G797="4/8"),((база!$J$5*Таблица1[[#This Row],[сумма]]*Таблица1[[#This Row],[коэф]])),
IF(OR(G797="3/8",G797="2/8"),((база!$J$4*Таблица1[[#This Row],[сумма]]*Таблица1[[#This Row],[коэф]])))))))))))))),
(IF((G797="5/24"),((база!$M$6*Таблица1[[#This Row],[сумма]]*Таблица1[[#This Row],[коэф]])),
IF(OR(G797="4/24",G797="3/24"),((база!$M$5*Таблица1[[#This Row],[сумма]]*Таблица1[[#This Row],[коэф]])),
IF((G797="5/16"),((база!$L$6*Таблица1[[#This Row],[сумма]]*Таблица1[[#This Row],[коэф]])),
IF(OR(G797="4/16",G797="3/16"),((база!$L$5*Таблица1[[#This Row],[сумма]]*Таблица1[[#This Row],[коэф]])),
IF(OR(G797="2/4",G797="3/4",G797="4/4"),((база!$I$5*Таблица1[[#This Row],[сумма]]*Таблица1[[#This Row],[коэф]])),
IF((G797="5/8"),((база!$J$6*Таблица1[[#This Row],[сумма]]*Таблица1[[#This Row],[коэф]])),
IF(OR(G797="4/8",G797="3/8",G797="2/8"),((база!$J$5*Таблица1[[#This Row],[сумма]]*Таблица1[[#This Row],[коэф]])))))))))))</f>
        <v>0</v>
      </c>
      <c r="AP797" s="696" t="b">
        <f>IF(AR797&lt;=3,(IF((G797="5/24"),((база!$M$6*2*Таблица1[[#This Row],[Столбец1]]*Таблица1[[#This Row],[коэф]])),
IF((G797="4/24"),((база!$M$5*2*Таблица1[[#This Row],[Столбец1]]*Таблица1[[#This Row],[коэф]])),
IF((G797="3/24"),((база!$M$4*2*Таблица1[[#This Row],[Столбец1]]*Таблица1[[#This Row],[коэф]])),
IF((G797="5/16"),((база!$L$6*2*Таблица1[[#This Row],[Столбец1]]*Таблица1[[#This Row],[коэф]])),
IF((G797="4/16"),((база!$L$5*2*Таблица1[[#This Row],[Столбец1]]*Таблица1[[#This Row],[коэф]])),
IF((G797="3/16"),((база!$L$4*2*Таблица1[[#This Row],[Столбец1]]*Таблица1[[#This Row],[коэф]])),
IF((G797="4/4"),((база!$I$5*2*Таблица1[[#This Row],[Столбец1]]*Таблица1[[#This Row],[коэф]])),
IF(OR(G797="2/4",G797="3/4"),((база!$I$4*2*Таблица1[[#This Row],[Столбец1]]*Таблица1[[#This Row],[коэф]])),
IF((G797="5/8"),((база!$J$6*2*Таблица1[[#This Row],[Столбец1]]*Таблица1[[#This Row],[коэф]])),
IF((G797="4/8"),((база!$J$5*2*Таблица1[[#This Row],[Столбец1]]*Таблица1[[#This Row],[коэф]])),
IF(OR(G797="3/8",G797="2/8"),((база!$J$4*2*Таблица1[[#This Row],[Столбец1]]*Таблица1[[#This Row],[коэф]])))))))))))))),
(IF((G797="5/24"),((база!$M$6*2*Таблица1[[#This Row],[Столбец1]]*Таблица1[[#This Row],[коэф]])),
IF(OR(G797="4/24",G797="3/24"),((база!$M$5*2*Таблица1[[#This Row],[Столбец1]]*Таблица1[[#This Row],[коэф]])),
IF((G797="5/16"),((база!$L$6*2*Таблица1[[#This Row],[Столбец1]]*Таблица1[[#This Row],[коэф]])),
IF(OR(G797="4/16",G797="3/16"),((база!$L$5*2*Таблица1[[#This Row],[Столбец1]]*Таблица1[[#This Row],[коэф]])),
IF(OR(G797="2/4",G797="3/4",G797="4/4"),((база!$I$5*2*Таблица1[[#This Row],[Столбец1]]*Таблица1[[#This Row],[коэф]])),
IF((G797="5/8"),((база!$J$6*2*Таблица1[[#This Row],[Столбец1]]*Таблица1[[#This Row],[коэф]])),
IF(OR(G797="4/8",G797="3/8",G797="2/8"),((база!$J$5*2*Таблица1[[#This Row],[Столбец1]]*Таблица1[[#This Row],[коэф]])))))))))))</f>
        <v>0</v>
      </c>
      <c r="AQ797" s="678" t="str">
        <f>IFERROR(INDEX(база!T:T, MATCH(F797,база!Q:Q,0)),"")</f>
        <v/>
      </c>
      <c r="AR797" s="193">
        <f>IFERROR(INDEX(база!D:D, MATCH(F797,база!B:B,0)),"")</f>
        <v>0</v>
      </c>
    </row>
    <row r="798" spans="1:44" ht="15">
      <c r="A798" s="59"/>
      <c r="B798" s="215"/>
      <c r="C798" s="277"/>
      <c r="D798" s="55"/>
      <c r="E798" s="196"/>
      <c r="F798" s="651"/>
      <c r="G798" s="42"/>
      <c r="H798" s="539"/>
      <c r="I798" s="539"/>
      <c r="J798" s="539"/>
      <c r="K798" s="539"/>
      <c r="L798" s="539"/>
      <c r="M798" s="539"/>
      <c r="N798" s="539"/>
      <c r="O798" s="539"/>
      <c r="P798" s="278"/>
      <c r="Q798" s="539"/>
      <c r="R798" s="539"/>
      <c r="S798" s="539"/>
      <c r="T798" s="539"/>
      <c r="U798" s="539"/>
      <c r="V798" s="539"/>
      <c r="W798" s="539"/>
      <c r="X798" s="539"/>
      <c r="Y798" s="539"/>
      <c r="Z798" s="539"/>
      <c r="AA798" s="539"/>
      <c r="AB798" s="539"/>
      <c r="AC798" s="539"/>
      <c r="AD798" s="43"/>
      <c r="AE798" s="43"/>
      <c r="AF798" s="238"/>
      <c r="AG798" s="43"/>
      <c r="AH798" s="43"/>
      <c r="AI798" s="43"/>
      <c r="AJ798" s="43"/>
      <c r="AK798" s="43"/>
      <c r="AL798" s="45"/>
      <c r="AM798" s="197">
        <f>IF(AQ798=1,SUM(H798:I798,L798:O798,R798:U798,X798:AA798,AD798:AG798,AI798:AK798),
IF(AQ798=2,SUM(H798:K798,N798:Q798,T798:W798,Z798:AC798,AF798:AI798),
IF(AQ798=3,SUM(J798:M798,P798:S798,V798:Y798,AB798:AE798,AH798:AK798),SUM(Таблица1[[#This Row],[1]:[31]])-Таблица1[[#This Row],[Столбец1]])))</f>
        <v>0</v>
      </c>
      <c r="AN798" s="269">
        <f t="array" ref="AN798">IF(AQ798=1,SUM(J798:K798,P798:Q798,V798:W798,AB798:AC798,AH798:AI798),
IF(AQ798=2,SUM(L798:M798,R798:S798,X798:Y798,AD798:AE798),
IF(AQ798=3,SUM(H798:I798,N798:O798,T798:U798,Z798:AA798,AF798:AG798),
SUM(IFERROR(WEEKDAY($H$2:$AL$2,2)&gt;5,)*H798:AL798))))</f>
        <v>0</v>
      </c>
      <c r="AO798" s="271" t="b">
        <f>IF(AR798&lt;=3,(IF((G798="5/24"),((база!$M$6*Таблица1[[#This Row],[сумма]]*Таблица1[[#This Row],[коэф]])),
IF((G798="4/24"),((база!$M$5*Таблица1[[#This Row],[сумма]]*Таблица1[[#This Row],[коэф]])),
IF((G798="3/24"),((база!$M$4*Таблица1[[#This Row],[сумма]]*Таблица1[[#This Row],[коэф]])),
IF((G798="5/16"),((база!$L$6*Таблица1[[#This Row],[сумма]]*Таблица1[[#This Row],[коэф]])),
IF((G798="4/16"),((база!$L$5*Таблица1[[#This Row],[сумма]]*Таблица1[[#This Row],[коэф]])),
IF((G798="3/16"),((база!$L$4*Таблица1[[#This Row],[сумма]]*Таблица1[[#This Row],[коэф]])),
IF((G798="4/4"),((база!$I$5*Таблица1[[#This Row],[сумма]]*Таблица1[[#This Row],[коэф]])),
IF(OR(G798="2/4",G798="3/4"),((база!$I$4*Таблица1[[#This Row],[сумма]]*Таблица1[[#This Row],[коэф]])),
IF((G798="5/8"),((база!$J$6*Таблица1[[#This Row],[сумма]]*Таблица1[[#This Row],[коэф]])),
IF((G798="4/8"),((база!$J$5*Таблица1[[#This Row],[сумма]]*Таблица1[[#This Row],[коэф]])),
IF(OR(G798="3/8",G798="2/8"),((база!$J$4*Таблица1[[#This Row],[сумма]]*Таблица1[[#This Row],[коэф]])))))))))))))),
(IF((G798="5/24"),((база!$M$6*Таблица1[[#This Row],[сумма]]*Таблица1[[#This Row],[коэф]])),
IF(OR(G798="4/24",G798="3/24"),((база!$M$5*Таблица1[[#This Row],[сумма]]*Таблица1[[#This Row],[коэф]])),
IF((G798="5/16"),((база!$L$6*Таблица1[[#This Row],[сумма]]*Таблица1[[#This Row],[коэф]])),
IF(OR(G798="4/16",G798="3/16"),((база!$L$5*Таблица1[[#This Row],[сумма]]*Таблица1[[#This Row],[коэф]])),
IF(OR(G798="2/4",G798="3/4",G798="4/4"),((база!$I$5*Таблица1[[#This Row],[сумма]]*Таблица1[[#This Row],[коэф]])),
IF((G798="5/8"),((база!$J$6*Таблица1[[#This Row],[сумма]]*Таблица1[[#This Row],[коэф]])),
IF(OR(G798="4/8",G798="3/8",G798="2/8"),((база!$J$5*Таблица1[[#This Row],[сумма]]*Таблица1[[#This Row],[коэф]])))))))))))</f>
        <v>0</v>
      </c>
      <c r="AP798" s="696" t="b">
        <f>IF(AR798&lt;=3,(IF((G798="5/24"),((база!$M$6*2*Таблица1[[#This Row],[Столбец1]]*Таблица1[[#This Row],[коэф]])),
IF((G798="4/24"),((база!$M$5*2*Таблица1[[#This Row],[Столбец1]]*Таблица1[[#This Row],[коэф]])),
IF((G798="3/24"),((база!$M$4*2*Таблица1[[#This Row],[Столбец1]]*Таблица1[[#This Row],[коэф]])),
IF((G798="5/16"),((база!$L$6*2*Таблица1[[#This Row],[Столбец1]]*Таблица1[[#This Row],[коэф]])),
IF((G798="4/16"),((база!$L$5*2*Таблица1[[#This Row],[Столбец1]]*Таблица1[[#This Row],[коэф]])),
IF((G798="3/16"),((база!$L$4*2*Таблица1[[#This Row],[Столбец1]]*Таблица1[[#This Row],[коэф]])),
IF((G798="4/4"),((база!$I$5*2*Таблица1[[#This Row],[Столбец1]]*Таблица1[[#This Row],[коэф]])),
IF(OR(G798="2/4",G798="3/4"),((база!$I$4*2*Таблица1[[#This Row],[Столбец1]]*Таблица1[[#This Row],[коэф]])),
IF((G798="5/8"),((база!$J$6*2*Таблица1[[#This Row],[Столбец1]]*Таблица1[[#This Row],[коэф]])),
IF((G798="4/8"),((база!$J$5*2*Таблица1[[#This Row],[Столбец1]]*Таблица1[[#This Row],[коэф]])),
IF(OR(G798="3/8",G798="2/8"),((база!$J$4*2*Таблица1[[#This Row],[Столбец1]]*Таблица1[[#This Row],[коэф]])))))))))))))),
(IF((G798="5/24"),((база!$M$6*2*Таблица1[[#This Row],[Столбец1]]*Таблица1[[#This Row],[коэф]])),
IF(OR(G798="4/24",G798="3/24"),((база!$M$5*2*Таблица1[[#This Row],[Столбец1]]*Таблица1[[#This Row],[коэф]])),
IF((G798="5/16"),((база!$L$6*2*Таблица1[[#This Row],[Столбец1]]*Таблица1[[#This Row],[коэф]])),
IF(OR(G798="4/16",G798="3/16"),((база!$L$5*2*Таблица1[[#This Row],[Столбец1]]*Таблица1[[#This Row],[коэф]])),
IF(OR(G798="2/4",G798="3/4",G798="4/4"),((база!$I$5*2*Таблица1[[#This Row],[Столбец1]]*Таблица1[[#This Row],[коэф]])),
IF((G798="5/8"),((база!$J$6*2*Таблица1[[#This Row],[Столбец1]]*Таблица1[[#This Row],[коэф]])),
IF(OR(G798="4/8",G798="3/8",G798="2/8"),((база!$J$5*2*Таблица1[[#This Row],[Столбец1]]*Таблица1[[#This Row],[коэф]])))))))))))</f>
        <v>0</v>
      </c>
      <c r="AQ798" s="678" t="str">
        <f>IFERROR(INDEX(база!T:T, MATCH(F798,база!Q:Q,0)),"")</f>
        <v/>
      </c>
      <c r="AR798" s="193">
        <f>IFERROR(INDEX(база!D:D, MATCH(F798,база!B:B,0)),"")</f>
        <v>0</v>
      </c>
    </row>
    <row r="799" spans="1:44" ht="15">
      <c r="A799" s="59"/>
      <c r="B799" s="215"/>
      <c r="C799" s="277"/>
      <c r="D799" s="55"/>
      <c r="E799" s="196"/>
      <c r="F799" s="651"/>
      <c r="G799" s="42"/>
      <c r="H799" s="539"/>
      <c r="I799" s="539"/>
      <c r="J799" s="539"/>
      <c r="K799" s="539"/>
      <c r="L799" s="539"/>
      <c r="M799" s="539"/>
      <c r="N799" s="539"/>
      <c r="O799" s="539"/>
      <c r="P799" s="278"/>
      <c r="Q799" s="539"/>
      <c r="R799" s="539"/>
      <c r="S799" s="539"/>
      <c r="T799" s="539"/>
      <c r="U799" s="539"/>
      <c r="V799" s="539"/>
      <c r="W799" s="539"/>
      <c r="X799" s="539"/>
      <c r="Y799" s="539"/>
      <c r="Z799" s="539"/>
      <c r="AA799" s="539"/>
      <c r="AB799" s="539"/>
      <c r="AC799" s="539"/>
      <c r="AD799" s="43"/>
      <c r="AE799" s="43"/>
      <c r="AF799" s="238"/>
      <c r="AG799" s="43"/>
      <c r="AH799" s="43"/>
      <c r="AI799" s="238"/>
      <c r="AJ799" s="238"/>
      <c r="AK799" s="238"/>
      <c r="AL799" s="238"/>
      <c r="AM799" s="197">
        <f>IF(AQ799=1,SUM(H799:I799,L799:O799,R799:U799,X799:AA799,AD799:AG799,AI799:AK799),
IF(AQ799=2,SUM(H799:K799,N799:Q799,T799:W799,Z799:AC799,AF799:AI799),
IF(AQ799=3,SUM(J799:M799,P799:S799,V799:Y799,AB799:AE799,AH799:AK799),SUM(Таблица1[[#This Row],[1]:[31]])-Таблица1[[#This Row],[Столбец1]])))</f>
        <v>0</v>
      </c>
      <c r="AN799" s="269">
        <f t="array" ref="AN799">IF(AQ799=1,SUM(J799:K799,P799:Q799,V799:W799,AB799:AC799,AH799:AI799),
IF(AQ799=2,SUM(L799:M799,R799:S799,X799:Y799,AD799:AE799),
IF(AQ799=3,SUM(H799:I799,N799:O799,T799:U799,Z799:AA799,AF799:AG799),
SUM(IFERROR(WEEKDAY($H$2:$AL$2,2)&gt;5,)*H799:AL799))))</f>
        <v>0</v>
      </c>
      <c r="AO799" s="271" t="b">
        <f>IF(AR799&lt;=3,(IF((G799="5/24"),((база!$M$6*Таблица1[[#This Row],[сумма]]*Таблица1[[#This Row],[коэф]])),
IF((G799="4/24"),((база!$M$5*Таблица1[[#This Row],[сумма]]*Таблица1[[#This Row],[коэф]])),
IF((G799="3/24"),((база!$M$4*Таблица1[[#This Row],[сумма]]*Таблица1[[#This Row],[коэф]])),
IF((G799="5/16"),((база!$L$6*Таблица1[[#This Row],[сумма]]*Таблица1[[#This Row],[коэф]])),
IF((G799="4/16"),((база!$L$5*Таблица1[[#This Row],[сумма]]*Таблица1[[#This Row],[коэф]])),
IF((G799="3/16"),((база!$L$4*Таблица1[[#This Row],[сумма]]*Таблица1[[#This Row],[коэф]])),
IF((G799="4/4"),((база!$I$5*Таблица1[[#This Row],[сумма]]*Таблица1[[#This Row],[коэф]])),
IF(OR(G799="2/4",G799="3/4"),((база!$I$4*Таблица1[[#This Row],[сумма]]*Таблица1[[#This Row],[коэф]])),
IF((G799="5/8"),((база!$J$6*Таблица1[[#This Row],[сумма]]*Таблица1[[#This Row],[коэф]])),
IF((G799="4/8"),((база!$J$5*Таблица1[[#This Row],[сумма]]*Таблица1[[#This Row],[коэф]])),
IF(OR(G799="3/8",G799="2/8"),((база!$J$4*Таблица1[[#This Row],[сумма]]*Таблица1[[#This Row],[коэф]])))))))))))))),
(IF((G799="5/24"),((база!$M$6*Таблица1[[#This Row],[сумма]]*Таблица1[[#This Row],[коэф]])),
IF(OR(G799="4/24",G799="3/24"),((база!$M$5*Таблица1[[#This Row],[сумма]]*Таблица1[[#This Row],[коэф]])),
IF((G799="5/16"),((база!$L$6*Таблица1[[#This Row],[сумма]]*Таблица1[[#This Row],[коэф]])),
IF(OR(G799="4/16",G799="3/16"),((база!$L$5*Таблица1[[#This Row],[сумма]]*Таблица1[[#This Row],[коэф]])),
IF(OR(G799="2/4",G799="3/4",G799="4/4"),((база!$I$5*Таблица1[[#This Row],[сумма]]*Таблица1[[#This Row],[коэф]])),
IF((G799="5/8"),((база!$J$6*Таблица1[[#This Row],[сумма]]*Таблица1[[#This Row],[коэф]])),
IF(OR(G799="4/8",G799="3/8",G799="2/8"),((база!$J$5*Таблица1[[#This Row],[сумма]]*Таблица1[[#This Row],[коэф]])))))))))))</f>
        <v>0</v>
      </c>
      <c r="AP799" s="696" t="b">
        <f>IF(AR799&lt;=3,(IF((G799="5/24"),((база!$M$6*2*Таблица1[[#This Row],[Столбец1]]*Таблица1[[#This Row],[коэф]])),
IF((G799="4/24"),((база!$M$5*2*Таблица1[[#This Row],[Столбец1]]*Таблица1[[#This Row],[коэф]])),
IF((G799="3/24"),((база!$M$4*2*Таблица1[[#This Row],[Столбец1]]*Таблица1[[#This Row],[коэф]])),
IF((G799="5/16"),((база!$L$6*2*Таблица1[[#This Row],[Столбец1]]*Таблица1[[#This Row],[коэф]])),
IF((G799="4/16"),((база!$L$5*2*Таблица1[[#This Row],[Столбец1]]*Таблица1[[#This Row],[коэф]])),
IF((G799="3/16"),((база!$L$4*2*Таблица1[[#This Row],[Столбец1]]*Таблица1[[#This Row],[коэф]])),
IF((G799="4/4"),((база!$I$5*2*Таблица1[[#This Row],[Столбец1]]*Таблица1[[#This Row],[коэф]])),
IF(OR(G799="2/4",G799="3/4"),((база!$I$4*2*Таблица1[[#This Row],[Столбец1]]*Таблица1[[#This Row],[коэф]])),
IF((G799="5/8"),((база!$J$6*2*Таблица1[[#This Row],[Столбец1]]*Таблица1[[#This Row],[коэф]])),
IF((G799="4/8"),((база!$J$5*2*Таблица1[[#This Row],[Столбец1]]*Таблица1[[#This Row],[коэф]])),
IF(OR(G799="3/8",G799="2/8"),((база!$J$4*2*Таблица1[[#This Row],[Столбец1]]*Таблица1[[#This Row],[коэф]])))))))))))))),
(IF((G799="5/24"),((база!$M$6*2*Таблица1[[#This Row],[Столбец1]]*Таблица1[[#This Row],[коэф]])),
IF(OR(G799="4/24",G799="3/24"),((база!$M$5*2*Таблица1[[#This Row],[Столбец1]]*Таблица1[[#This Row],[коэф]])),
IF((G799="5/16"),((база!$L$6*2*Таблица1[[#This Row],[Столбец1]]*Таблица1[[#This Row],[коэф]])),
IF(OR(G799="4/16",G799="3/16"),((база!$L$5*2*Таблица1[[#This Row],[Столбец1]]*Таблица1[[#This Row],[коэф]])),
IF(OR(G799="2/4",G799="3/4",G799="4/4"),((база!$I$5*2*Таблица1[[#This Row],[Столбец1]]*Таблица1[[#This Row],[коэф]])),
IF((G799="5/8"),((база!$J$6*2*Таблица1[[#This Row],[Столбец1]]*Таблица1[[#This Row],[коэф]])),
IF(OR(G799="4/8",G799="3/8",G799="2/8"),((база!$J$5*2*Таблица1[[#This Row],[Столбец1]]*Таблица1[[#This Row],[коэф]])))))))))))</f>
        <v>0</v>
      </c>
      <c r="AQ799" s="678" t="str">
        <f>IFERROR(INDEX(база!T:T, MATCH(F799,база!Q:Q,0)),"")</f>
        <v/>
      </c>
      <c r="AR799" s="193">
        <f>IFERROR(INDEX(база!D:D, MATCH(F799,база!B:B,0)),"")</f>
        <v>0</v>
      </c>
    </row>
    <row r="800" spans="1:44" ht="15">
      <c r="A800" s="59"/>
      <c r="B800" s="215"/>
      <c r="C800" s="277"/>
      <c r="D800" s="55"/>
      <c r="E800" s="196"/>
      <c r="F800" s="651"/>
      <c r="G800" s="42"/>
      <c r="H800" s="539"/>
      <c r="I800" s="539"/>
      <c r="J800" s="539"/>
      <c r="K800" s="539"/>
      <c r="L800" s="539"/>
      <c r="M800" s="539"/>
      <c r="N800" s="539"/>
      <c r="O800" s="539"/>
      <c r="P800" s="278"/>
      <c r="Q800" s="539"/>
      <c r="R800" s="539"/>
      <c r="S800" s="539"/>
      <c r="T800" s="539"/>
      <c r="U800" s="539"/>
      <c r="V800" s="539"/>
      <c r="W800" s="539"/>
      <c r="X800" s="539"/>
      <c r="Y800" s="539"/>
      <c r="Z800" s="539"/>
      <c r="AA800" s="539"/>
      <c r="AB800" s="539"/>
      <c r="AC800" s="539"/>
      <c r="AD800" s="43"/>
      <c r="AE800" s="43"/>
      <c r="AF800" s="238"/>
      <c r="AG800" s="43"/>
      <c r="AH800" s="43"/>
      <c r="AI800" s="43"/>
      <c r="AJ800" s="43"/>
      <c r="AK800" s="43"/>
      <c r="AL800" s="45"/>
      <c r="AM800" s="197">
        <f>IF(AQ800=1,SUM(H800:I800,L800:O800,R800:U800,X800:AA800,AD800:AG800,AI800:AK800),
IF(AQ800=2,SUM(H800:K800,N800:Q800,T800:W800,Z800:AC800,AF800:AI800),
IF(AQ800=3,SUM(J800:M800,P800:S800,V800:Y800,AB800:AE800,AH800:AK800),SUM(Таблица1[[#This Row],[1]:[31]])-Таблица1[[#This Row],[Столбец1]])))</f>
        <v>0</v>
      </c>
      <c r="AN800" s="269">
        <f t="array" ref="AN800">IF(AQ800=1,SUM(J800:K800,P800:Q800,V800:W800,AB800:AC800,AH800:AI800),
IF(AQ800=2,SUM(L800:M800,R800:S800,X800:Y800,AD800:AE800),
IF(AQ800=3,SUM(H800:I800,N800:O800,T800:U800,Z800:AA800,AF800:AG800),
SUM(IFERROR(WEEKDAY($H$2:$AL$2,2)&gt;5,)*H800:AL800))))</f>
        <v>0</v>
      </c>
      <c r="AO800" s="271" t="b">
        <f>IF(AR800&lt;=3,(IF((G800="5/24"),((база!$M$6*Таблица1[[#This Row],[сумма]]*Таблица1[[#This Row],[коэф]])),
IF((G800="4/24"),((база!$M$5*Таблица1[[#This Row],[сумма]]*Таблица1[[#This Row],[коэф]])),
IF((G800="3/24"),((база!$M$4*Таблица1[[#This Row],[сумма]]*Таблица1[[#This Row],[коэф]])),
IF((G800="5/16"),((база!$L$6*Таблица1[[#This Row],[сумма]]*Таблица1[[#This Row],[коэф]])),
IF((G800="4/16"),((база!$L$5*Таблица1[[#This Row],[сумма]]*Таблица1[[#This Row],[коэф]])),
IF((G800="3/16"),((база!$L$4*Таблица1[[#This Row],[сумма]]*Таблица1[[#This Row],[коэф]])),
IF((G800="4/4"),((база!$I$5*Таблица1[[#This Row],[сумма]]*Таблица1[[#This Row],[коэф]])),
IF(OR(G800="2/4",G800="3/4"),((база!$I$4*Таблица1[[#This Row],[сумма]]*Таблица1[[#This Row],[коэф]])),
IF((G800="5/8"),((база!$J$6*Таблица1[[#This Row],[сумма]]*Таблица1[[#This Row],[коэф]])),
IF((G800="4/8"),((база!$J$5*Таблица1[[#This Row],[сумма]]*Таблица1[[#This Row],[коэф]])),
IF(OR(G800="3/8",G800="2/8"),((база!$J$4*Таблица1[[#This Row],[сумма]]*Таблица1[[#This Row],[коэф]])))))))))))))),
(IF((G800="5/24"),((база!$M$6*Таблица1[[#This Row],[сумма]]*Таблица1[[#This Row],[коэф]])),
IF(OR(G800="4/24",G800="3/24"),((база!$M$5*Таблица1[[#This Row],[сумма]]*Таблица1[[#This Row],[коэф]])),
IF((G800="5/16"),((база!$L$6*Таблица1[[#This Row],[сумма]]*Таблица1[[#This Row],[коэф]])),
IF(OR(G800="4/16",G800="3/16"),((база!$L$5*Таблица1[[#This Row],[сумма]]*Таблица1[[#This Row],[коэф]])),
IF(OR(G800="2/4",G800="3/4",G800="4/4"),((база!$I$5*Таблица1[[#This Row],[сумма]]*Таблица1[[#This Row],[коэф]])),
IF((G800="5/8"),((база!$J$6*Таблица1[[#This Row],[сумма]]*Таблица1[[#This Row],[коэф]])),
IF(OR(G800="4/8",G800="3/8",G800="2/8"),((база!$J$5*Таблица1[[#This Row],[сумма]]*Таблица1[[#This Row],[коэф]])))))))))))</f>
        <v>0</v>
      </c>
      <c r="AP800" s="696" t="b">
        <f>IF(AR800&lt;=3,(IF((G800="5/24"),((база!$M$6*2*Таблица1[[#This Row],[Столбец1]]*Таблица1[[#This Row],[коэф]])),
IF((G800="4/24"),((база!$M$5*2*Таблица1[[#This Row],[Столбец1]]*Таблица1[[#This Row],[коэф]])),
IF((G800="3/24"),((база!$M$4*2*Таблица1[[#This Row],[Столбец1]]*Таблица1[[#This Row],[коэф]])),
IF((G800="5/16"),((база!$L$6*2*Таблица1[[#This Row],[Столбец1]]*Таблица1[[#This Row],[коэф]])),
IF((G800="4/16"),((база!$L$5*2*Таблица1[[#This Row],[Столбец1]]*Таблица1[[#This Row],[коэф]])),
IF((G800="3/16"),((база!$L$4*2*Таблица1[[#This Row],[Столбец1]]*Таблица1[[#This Row],[коэф]])),
IF((G800="4/4"),((база!$I$5*2*Таблица1[[#This Row],[Столбец1]]*Таблица1[[#This Row],[коэф]])),
IF(OR(G800="2/4",G800="3/4"),((база!$I$4*2*Таблица1[[#This Row],[Столбец1]]*Таблица1[[#This Row],[коэф]])),
IF((G800="5/8"),((база!$J$6*2*Таблица1[[#This Row],[Столбец1]]*Таблица1[[#This Row],[коэф]])),
IF((G800="4/8"),((база!$J$5*2*Таблица1[[#This Row],[Столбец1]]*Таблица1[[#This Row],[коэф]])),
IF(OR(G800="3/8",G800="2/8"),((база!$J$4*2*Таблица1[[#This Row],[Столбец1]]*Таблица1[[#This Row],[коэф]])))))))))))))),
(IF((G800="5/24"),((база!$M$6*2*Таблица1[[#This Row],[Столбец1]]*Таблица1[[#This Row],[коэф]])),
IF(OR(G800="4/24",G800="3/24"),((база!$M$5*2*Таблица1[[#This Row],[Столбец1]]*Таблица1[[#This Row],[коэф]])),
IF((G800="5/16"),((база!$L$6*2*Таблица1[[#This Row],[Столбец1]]*Таблица1[[#This Row],[коэф]])),
IF(OR(G800="4/16",G800="3/16"),((база!$L$5*2*Таблица1[[#This Row],[Столбец1]]*Таблица1[[#This Row],[коэф]])),
IF(OR(G800="2/4",G800="3/4",G800="4/4"),((база!$I$5*2*Таблица1[[#This Row],[Столбец1]]*Таблица1[[#This Row],[коэф]])),
IF((G800="5/8"),((база!$J$6*2*Таблица1[[#This Row],[Столбец1]]*Таблица1[[#This Row],[коэф]])),
IF(OR(G800="4/8",G800="3/8",G800="2/8"),((база!$J$5*2*Таблица1[[#This Row],[Столбец1]]*Таблица1[[#This Row],[коэф]])))))))))))</f>
        <v>0</v>
      </c>
      <c r="AQ800" s="678" t="str">
        <f>IFERROR(INDEX(база!T:T, MATCH(F800,база!Q:Q,0)),"")</f>
        <v/>
      </c>
      <c r="AR800" s="193">
        <f>IFERROR(INDEX(база!D:D, MATCH(F800,база!B:B,0)),"")</f>
        <v>0</v>
      </c>
    </row>
    <row r="801" spans="1:44" ht="15">
      <c r="A801" s="59"/>
      <c r="B801" s="215"/>
      <c r="C801" s="277"/>
      <c r="D801" s="55"/>
      <c r="E801" s="196"/>
      <c r="F801" s="651"/>
      <c r="G801" s="42"/>
      <c r="H801" s="539"/>
      <c r="I801" s="539"/>
      <c r="J801" s="539"/>
      <c r="K801" s="539"/>
      <c r="L801" s="539"/>
      <c r="M801" s="539"/>
      <c r="N801" s="539"/>
      <c r="O801" s="539"/>
      <c r="P801" s="278"/>
      <c r="Q801" s="539"/>
      <c r="R801" s="539"/>
      <c r="S801" s="539"/>
      <c r="T801" s="539"/>
      <c r="U801" s="539"/>
      <c r="V801" s="539"/>
      <c r="W801" s="539"/>
      <c r="X801" s="539"/>
      <c r="Y801" s="539"/>
      <c r="Z801" s="539"/>
      <c r="AA801" s="539"/>
      <c r="AB801" s="539"/>
      <c r="AC801" s="539"/>
      <c r="AD801" s="43"/>
      <c r="AE801" s="43"/>
      <c r="AF801" s="238"/>
      <c r="AG801" s="43"/>
      <c r="AH801" s="43"/>
      <c r="AI801" s="238"/>
      <c r="AJ801" s="238"/>
      <c r="AK801" s="238"/>
      <c r="AL801" s="238"/>
      <c r="AM801" s="197">
        <f>IF(AQ801=1,SUM(H801:I801,L801:O801,R801:U801,X801:AA801,AD801:AG801,AI801:AK801),
IF(AQ801=2,SUM(H801:K801,N801:Q801,T801:W801,Z801:AC801,AF801:AI801),
IF(AQ801=3,SUM(J801:M801,P801:S801,V801:Y801,AB801:AE801,AH801:AK801),SUM(Таблица1[[#This Row],[1]:[31]])-Таблица1[[#This Row],[Столбец1]])))</f>
        <v>0</v>
      </c>
      <c r="AN801" s="269">
        <f t="array" ref="AN801">IF(AQ801=1,SUM(J801:K801,P801:Q801,V801:W801,AB801:AC801,AH801:AI801),
IF(AQ801=2,SUM(L801:M801,R801:S801,X801:Y801,AD801:AE801),
IF(AQ801=3,SUM(H801:I801,N801:O801,T801:U801,Z801:AA801,AF801:AG801),
SUM(IFERROR(WEEKDAY($H$2:$AL$2,2)&gt;5,)*H801:AL801))))</f>
        <v>0</v>
      </c>
      <c r="AO801" s="271" t="b">
        <f>IF(AR801&lt;=3,(IF((G801="5/24"),((база!$M$6*Таблица1[[#This Row],[сумма]]*Таблица1[[#This Row],[коэф]])),
IF((G801="4/24"),((база!$M$5*Таблица1[[#This Row],[сумма]]*Таблица1[[#This Row],[коэф]])),
IF((G801="3/24"),((база!$M$4*Таблица1[[#This Row],[сумма]]*Таблица1[[#This Row],[коэф]])),
IF((G801="5/16"),((база!$L$6*Таблица1[[#This Row],[сумма]]*Таблица1[[#This Row],[коэф]])),
IF((G801="4/16"),((база!$L$5*Таблица1[[#This Row],[сумма]]*Таблица1[[#This Row],[коэф]])),
IF((G801="3/16"),((база!$L$4*Таблица1[[#This Row],[сумма]]*Таблица1[[#This Row],[коэф]])),
IF((G801="4/4"),((база!$I$5*Таблица1[[#This Row],[сумма]]*Таблица1[[#This Row],[коэф]])),
IF(OR(G801="2/4",G801="3/4"),((база!$I$4*Таблица1[[#This Row],[сумма]]*Таблица1[[#This Row],[коэф]])),
IF((G801="5/8"),((база!$J$6*Таблица1[[#This Row],[сумма]]*Таблица1[[#This Row],[коэф]])),
IF((G801="4/8"),((база!$J$5*Таблица1[[#This Row],[сумма]]*Таблица1[[#This Row],[коэф]])),
IF(OR(G801="3/8",G801="2/8"),((база!$J$4*Таблица1[[#This Row],[сумма]]*Таблица1[[#This Row],[коэф]])))))))))))))),
(IF((G801="5/24"),((база!$M$6*Таблица1[[#This Row],[сумма]]*Таблица1[[#This Row],[коэф]])),
IF(OR(G801="4/24",G801="3/24"),((база!$M$5*Таблица1[[#This Row],[сумма]]*Таблица1[[#This Row],[коэф]])),
IF((G801="5/16"),((база!$L$6*Таблица1[[#This Row],[сумма]]*Таблица1[[#This Row],[коэф]])),
IF(OR(G801="4/16",G801="3/16"),((база!$L$5*Таблица1[[#This Row],[сумма]]*Таблица1[[#This Row],[коэф]])),
IF(OR(G801="2/4",G801="3/4",G801="4/4"),((база!$I$5*Таблица1[[#This Row],[сумма]]*Таблица1[[#This Row],[коэф]])),
IF((G801="5/8"),((база!$J$6*Таблица1[[#This Row],[сумма]]*Таблица1[[#This Row],[коэф]])),
IF(OR(G801="4/8",G801="3/8",G801="2/8"),((база!$J$5*Таблица1[[#This Row],[сумма]]*Таблица1[[#This Row],[коэф]])))))))))))</f>
        <v>0</v>
      </c>
      <c r="AP801" s="696" t="b">
        <f>IF(AR801&lt;=3,(IF((G801="5/24"),((база!$M$6*2*Таблица1[[#This Row],[Столбец1]]*Таблица1[[#This Row],[коэф]])),
IF((G801="4/24"),((база!$M$5*2*Таблица1[[#This Row],[Столбец1]]*Таблица1[[#This Row],[коэф]])),
IF((G801="3/24"),((база!$M$4*2*Таблица1[[#This Row],[Столбец1]]*Таблица1[[#This Row],[коэф]])),
IF((G801="5/16"),((база!$L$6*2*Таблица1[[#This Row],[Столбец1]]*Таблица1[[#This Row],[коэф]])),
IF((G801="4/16"),((база!$L$5*2*Таблица1[[#This Row],[Столбец1]]*Таблица1[[#This Row],[коэф]])),
IF((G801="3/16"),((база!$L$4*2*Таблица1[[#This Row],[Столбец1]]*Таблица1[[#This Row],[коэф]])),
IF((G801="4/4"),((база!$I$5*2*Таблица1[[#This Row],[Столбец1]]*Таблица1[[#This Row],[коэф]])),
IF(OR(G801="2/4",G801="3/4"),((база!$I$4*2*Таблица1[[#This Row],[Столбец1]]*Таблица1[[#This Row],[коэф]])),
IF((G801="5/8"),((база!$J$6*2*Таблица1[[#This Row],[Столбец1]]*Таблица1[[#This Row],[коэф]])),
IF((G801="4/8"),((база!$J$5*2*Таблица1[[#This Row],[Столбец1]]*Таблица1[[#This Row],[коэф]])),
IF(OR(G801="3/8",G801="2/8"),((база!$J$4*2*Таблица1[[#This Row],[Столбец1]]*Таблица1[[#This Row],[коэф]])))))))))))))),
(IF((G801="5/24"),((база!$M$6*2*Таблица1[[#This Row],[Столбец1]]*Таблица1[[#This Row],[коэф]])),
IF(OR(G801="4/24",G801="3/24"),((база!$M$5*2*Таблица1[[#This Row],[Столбец1]]*Таблица1[[#This Row],[коэф]])),
IF((G801="5/16"),((база!$L$6*2*Таблица1[[#This Row],[Столбец1]]*Таблица1[[#This Row],[коэф]])),
IF(OR(G801="4/16",G801="3/16"),((база!$L$5*2*Таблица1[[#This Row],[Столбец1]]*Таблица1[[#This Row],[коэф]])),
IF(OR(G801="2/4",G801="3/4",G801="4/4"),((база!$I$5*2*Таблица1[[#This Row],[Столбец1]]*Таблица1[[#This Row],[коэф]])),
IF((G801="5/8"),((база!$J$6*2*Таблица1[[#This Row],[Столбец1]]*Таблица1[[#This Row],[коэф]])),
IF(OR(G801="4/8",G801="3/8",G801="2/8"),((база!$J$5*2*Таблица1[[#This Row],[Столбец1]]*Таблица1[[#This Row],[коэф]])))))))))))</f>
        <v>0</v>
      </c>
      <c r="AQ801" s="678" t="str">
        <f>IFERROR(INDEX(база!T:T, MATCH(F801,база!Q:Q,0)),"")</f>
        <v/>
      </c>
      <c r="AR801" s="193">
        <f>IFERROR(INDEX(база!D:D, MATCH(F801,база!B:B,0)),"")</f>
        <v>0</v>
      </c>
    </row>
    <row r="802" spans="1:44" ht="15">
      <c r="A802" s="59"/>
      <c r="B802" s="215"/>
      <c r="C802" s="277"/>
      <c r="D802" s="55"/>
      <c r="E802" s="196"/>
      <c r="F802" s="651"/>
      <c r="G802" s="42"/>
      <c r="H802" s="539"/>
      <c r="I802" s="539"/>
      <c r="J802" s="539"/>
      <c r="K802" s="539"/>
      <c r="L802" s="539"/>
      <c r="M802" s="539"/>
      <c r="N802" s="539"/>
      <c r="O802" s="539"/>
      <c r="P802" s="278"/>
      <c r="Q802" s="539"/>
      <c r="R802" s="539"/>
      <c r="S802" s="539"/>
      <c r="T802" s="539"/>
      <c r="U802" s="539"/>
      <c r="V802" s="539"/>
      <c r="W802" s="539"/>
      <c r="X802" s="539"/>
      <c r="Y802" s="539"/>
      <c r="Z802" s="539"/>
      <c r="AA802" s="539"/>
      <c r="AB802" s="539"/>
      <c r="AC802" s="539"/>
      <c r="AD802" s="43"/>
      <c r="AE802" s="43"/>
      <c r="AF802" s="238"/>
      <c r="AG802" s="43"/>
      <c r="AH802" s="43"/>
      <c r="AI802" s="43"/>
      <c r="AJ802" s="43"/>
      <c r="AK802" s="43"/>
      <c r="AL802" s="45"/>
      <c r="AM802" s="197">
        <f>IF(AQ802=1,SUM(H802:I802,L802:O802,R802:U802,X802:AA802,AD802:AG802,AI802:AK802),
IF(AQ802=2,SUM(H802:K802,N802:Q802,T802:W802,Z802:AC802,AF802:AI802),
IF(AQ802=3,SUM(J802:M802,P802:S802,V802:Y802,AB802:AE802,AH802:AK802),SUM(Таблица1[[#This Row],[1]:[31]])-Таблица1[[#This Row],[Столбец1]])))</f>
        <v>0</v>
      </c>
      <c r="AN802" s="269">
        <f t="array" ref="AN802">IF(AQ802=1,SUM(J802:K802,P802:Q802,V802:W802,AB802:AC802,AH802:AI802),
IF(AQ802=2,SUM(L802:M802,R802:S802,X802:Y802,AD802:AE802),
IF(AQ802=3,SUM(H802:I802,N802:O802,T802:U802,Z802:AA802,AF802:AG802),
SUM(IFERROR(WEEKDAY($H$2:$AL$2,2)&gt;5,)*H802:AL802))))</f>
        <v>0</v>
      </c>
      <c r="AO802" s="271" t="b">
        <f>IF(AR802&lt;=3,(IF((G802="5/24"),((база!$M$6*Таблица1[[#This Row],[сумма]]*Таблица1[[#This Row],[коэф]])),
IF((G802="4/24"),((база!$M$5*Таблица1[[#This Row],[сумма]]*Таблица1[[#This Row],[коэф]])),
IF((G802="3/24"),((база!$M$4*Таблица1[[#This Row],[сумма]]*Таблица1[[#This Row],[коэф]])),
IF((G802="5/16"),((база!$L$6*Таблица1[[#This Row],[сумма]]*Таблица1[[#This Row],[коэф]])),
IF((G802="4/16"),((база!$L$5*Таблица1[[#This Row],[сумма]]*Таблица1[[#This Row],[коэф]])),
IF((G802="3/16"),((база!$L$4*Таблица1[[#This Row],[сумма]]*Таблица1[[#This Row],[коэф]])),
IF((G802="4/4"),((база!$I$5*Таблица1[[#This Row],[сумма]]*Таблица1[[#This Row],[коэф]])),
IF(OR(G802="2/4",G802="3/4"),((база!$I$4*Таблица1[[#This Row],[сумма]]*Таблица1[[#This Row],[коэф]])),
IF((G802="5/8"),((база!$J$6*Таблица1[[#This Row],[сумма]]*Таблица1[[#This Row],[коэф]])),
IF((G802="4/8"),((база!$J$5*Таблица1[[#This Row],[сумма]]*Таблица1[[#This Row],[коэф]])),
IF(OR(G802="3/8",G802="2/8"),((база!$J$4*Таблица1[[#This Row],[сумма]]*Таблица1[[#This Row],[коэф]])))))))))))))),
(IF((G802="5/24"),((база!$M$6*Таблица1[[#This Row],[сумма]]*Таблица1[[#This Row],[коэф]])),
IF(OR(G802="4/24",G802="3/24"),((база!$M$5*Таблица1[[#This Row],[сумма]]*Таблица1[[#This Row],[коэф]])),
IF((G802="5/16"),((база!$L$6*Таблица1[[#This Row],[сумма]]*Таблица1[[#This Row],[коэф]])),
IF(OR(G802="4/16",G802="3/16"),((база!$L$5*Таблица1[[#This Row],[сумма]]*Таблица1[[#This Row],[коэф]])),
IF(OR(G802="2/4",G802="3/4",G802="4/4"),((база!$I$5*Таблица1[[#This Row],[сумма]]*Таблица1[[#This Row],[коэф]])),
IF((G802="5/8"),((база!$J$6*Таблица1[[#This Row],[сумма]]*Таблица1[[#This Row],[коэф]])),
IF(OR(G802="4/8",G802="3/8",G802="2/8"),((база!$J$5*Таблица1[[#This Row],[сумма]]*Таблица1[[#This Row],[коэф]])))))))))))</f>
        <v>0</v>
      </c>
      <c r="AP802" s="696" t="b">
        <f>IF(AR802&lt;=3,(IF((G802="5/24"),((база!$M$6*2*Таблица1[[#This Row],[Столбец1]]*Таблица1[[#This Row],[коэф]])),
IF((G802="4/24"),((база!$M$5*2*Таблица1[[#This Row],[Столбец1]]*Таблица1[[#This Row],[коэф]])),
IF((G802="3/24"),((база!$M$4*2*Таблица1[[#This Row],[Столбец1]]*Таблица1[[#This Row],[коэф]])),
IF((G802="5/16"),((база!$L$6*2*Таблица1[[#This Row],[Столбец1]]*Таблица1[[#This Row],[коэф]])),
IF((G802="4/16"),((база!$L$5*2*Таблица1[[#This Row],[Столбец1]]*Таблица1[[#This Row],[коэф]])),
IF((G802="3/16"),((база!$L$4*2*Таблица1[[#This Row],[Столбец1]]*Таблица1[[#This Row],[коэф]])),
IF((G802="4/4"),((база!$I$5*2*Таблица1[[#This Row],[Столбец1]]*Таблица1[[#This Row],[коэф]])),
IF(OR(G802="2/4",G802="3/4"),((база!$I$4*2*Таблица1[[#This Row],[Столбец1]]*Таблица1[[#This Row],[коэф]])),
IF((G802="5/8"),((база!$J$6*2*Таблица1[[#This Row],[Столбец1]]*Таблица1[[#This Row],[коэф]])),
IF((G802="4/8"),((база!$J$5*2*Таблица1[[#This Row],[Столбец1]]*Таблица1[[#This Row],[коэф]])),
IF(OR(G802="3/8",G802="2/8"),((база!$J$4*2*Таблица1[[#This Row],[Столбец1]]*Таблица1[[#This Row],[коэф]])))))))))))))),
(IF((G802="5/24"),((база!$M$6*2*Таблица1[[#This Row],[Столбец1]]*Таблица1[[#This Row],[коэф]])),
IF(OR(G802="4/24",G802="3/24"),((база!$M$5*2*Таблица1[[#This Row],[Столбец1]]*Таблица1[[#This Row],[коэф]])),
IF((G802="5/16"),((база!$L$6*2*Таблица1[[#This Row],[Столбец1]]*Таблица1[[#This Row],[коэф]])),
IF(OR(G802="4/16",G802="3/16"),((база!$L$5*2*Таблица1[[#This Row],[Столбец1]]*Таблица1[[#This Row],[коэф]])),
IF(OR(G802="2/4",G802="3/4",G802="4/4"),((база!$I$5*2*Таблица1[[#This Row],[Столбец1]]*Таблица1[[#This Row],[коэф]])),
IF((G802="5/8"),((база!$J$6*2*Таблица1[[#This Row],[Столбец1]]*Таблица1[[#This Row],[коэф]])),
IF(OR(G802="4/8",G802="3/8",G802="2/8"),((база!$J$5*2*Таблица1[[#This Row],[Столбец1]]*Таблица1[[#This Row],[коэф]])))))))))))</f>
        <v>0</v>
      </c>
      <c r="AQ802" s="678" t="str">
        <f>IFERROR(INDEX(база!T:T, MATCH(F802,база!Q:Q,0)),"")</f>
        <v/>
      </c>
      <c r="AR802" s="193">
        <f>IFERROR(INDEX(база!D:D, MATCH(F802,база!B:B,0)),"")</f>
        <v>0</v>
      </c>
    </row>
    <row r="803" spans="1:44" ht="15">
      <c r="A803" s="59"/>
      <c r="B803" s="215"/>
      <c r="C803" s="277"/>
      <c r="D803" s="55"/>
      <c r="E803" s="196"/>
      <c r="F803" s="651"/>
      <c r="G803" s="42"/>
      <c r="H803" s="539"/>
      <c r="I803" s="539"/>
      <c r="J803" s="539"/>
      <c r="K803" s="539"/>
      <c r="L803" s="539"/>
      <c r="M803" s="539"/>
      <c r="N803" s="539"/>
      <c r="O803" s="539"/>
      <c r="P803" s="278"/>
      <c r="Q803" s="539"/>
      <c r="R803" s="539"/>
      <c r="S803" s="539"/>
      <c r="T803" s="539"/>
      <c r="U803" s="539"/>
      <c r="V803" s="539"/>
      <c r="W803" s="539"/>
      <c r="X803" s="539"/>
      <c r="Y803" s="539"/>
      <c r="Z803" s="539"/>
      <c r="AA803" s="539"/>
      <c r="AB803" s="539"/>
      <c r="AC803" s="539"/>
      <c r="AD803" s="43"/>
      <c r="AE803" s="43"/>
      <c r="AF803" s="238"/>
      <c r="AG803" s="43"/>
      <c r="AH803" s="43"/>
      <c r="AI803" s="238"/>
      <c r="AJ803" s="238"/>
      <c r="AK803" s="238"/>
      <c r="AL803" s="238"/>
      <c r="AM803" s="197">
        <f>IF(AQ803=1,SUM(H803:I803,L803:O803,R803:U803,X803:AA803,AD803:AG803,AI803:AK803),
IF(AQ803=2,SUM(H803:K803,N803:Q803,T803:W803,Z803:AC803,AF803:AI803),
IF(AQ803=3,SUM(J803:M803,P803:S803,V803:Y803,AB803:AE803,AH803:AK803),SUM(Таблица1[[#This Row],[1]:[31]])-Таблица1[[#This Row],[Столбец1]])))</f>
        <v>0</v>
      </c>
      <c r="AN803" s="269">
        <f t="array" ref="AN803">IF(AQ803=1,SUM(J803:K803,P803:Q803,V803:W803,AB803:AC803,AH803:AI803),
IF(AQ803=2,SUM(L803:M803,R803:S803,X803:Y803,AD803:AE803),
IF(AQ803=3,SUM(H803:I803,N803:O803,T803:U803,Z803:AA803,AF803:AG803),
SUM(IFERROR(WEEKDAY($H$2:$AL$2,2)&gt;5,)*H803:AL803))))</f>
        <v>0</v>
      </c>
      <c r="AO803" s="271" t="b">
        <f>IF(AR803&lt;=3,(IF((G803="5/24"),((база!$M$6*Таблица1[[#This Row],[сумма]]*Таблица1[[#This Row],[коэф]])),
IF((G803="4/24"),((база!$M$5*Таблица1[[#This Row],[сумма]]*Таблица1[[#This Row],[коэф]])),
IF((G803="3/24"),((база!$M$4*Таблица1[[#This Row],[сумма]]*Таблица1[[#This Row],[коэф]])),
IF((G803="5/16"),((база!$L$6*Таблица1[[#This Row],[сумма]]*Таблица1[[#This Row],[коэф]])),
IF((G803="4/16"),((база!$L$5*Таблица1[[#This Row],[сумма]]*Таблица1[[#This Row],[коэф]])),
IF((G803="3/16"),((база!$L$4*Таблица1[[#This Row],[сумма]]*Таблица1[[#This Row],[коэф]])),
IF((G803="4/4"),((база!$I$5*Таблица1[[#This Row],[сумма]]*Таблица1[[#This Row],[коэф]])),
IF(OR(G803="2/4",G803="3/4"),((база!$I$4*Таблица1[[#This Row],[сумма]]*Таблица1[[#This Row],[коэф]])),
IF((G803="5/8"),((база!$J$6*Таблица1[[#This Row],[сумма]]*Таблица1[[#This Row],[коэф]])),
IF((G803="4/8"),((база!$J$5*Таблица1[[#This Row],[сумма]]*Таблица1[[#This Row],[коэф]])),
IF(OR(G803="3/8",G803="2/8"),((база!$J$4*Таблица1[[#This Row],[сумма]]*Таблица1[[#This Row],[коэф]])))))))))))))),
(IF((G803="5/24"),((база!$M$6*Таблица1[[#This Row],[сумма]]*Таблица1[[#This Row],[коэф]])),
IF(OR(G803="4/24",G803="3/24"),((база!$M$5*Таблица1[[#This Row],[сумма]]*Таблица1[[#This Row],[коэф]])),
IF((G803="5/16"),((база!$L$6*Таблица1[[#This Row],[сумма]]*Таблица1[[#This Row],[коэф]])),
IF(OR(G803="4/16",G803="3/16"),((база!$L$5*Таблица1[[#This Row],[сумма]]*Таблица1[[#This Row],[коэф]])),
IF(OR(G803="2/4",G803="3/4",G803="4/4"),((база!$I$5*Таблица1[[#This Row],[сумма]]*Таблица1[[#This Row],[коэф]])),
IF((G803="5/8"),((база!$J$6*Таблица1[[#This Row],[сумма]]*Таблица1[[#This Row],[коэф]])),
IF(OR(G803="4/8",G803="3/8",G803="2/8"),((база!$J$5*Таблица1[[#This Row],[сумма]]*Таблица1[[#This Row],[коэф]])))))))))))</f>
        <v>0</v>
      </c>
      <c r="AP803" s="696" t="b">
        <f>IF(AR803&lt;=3,(IF((G803="5/24"),((база!$M$6*2*Таблица1[[#This Row],[Столбец1]]*Таблица1[[#This Row],[коэф]])),
IF((G803="4/24"),((база!$M$5*2*Таблица1[[#This Row],[Столбец1]]*Таблица1[[#This Row],[коэф]])),
IF((G803="3/24"),((база!$M$4*2*Таблица1[[#This Row],[Столбец1]]*Таблица1[[#This Row],[коэф]])),
IF((G803="5/16"),((база!$L$6*2*Таблица1[[#This Row],[Столбец1]]*Таблица1[[#This Row],[коэф]])),
IF((G803="4/16"),((база!$L$5*2*Таблица1[[#This Row],[Столбец1]]*Таблица1[[#This Row],[коэф]])),
IF((G803="3/16"),((база!$L$4*2*Таблица1[[#This Row],[Столбец1]]*Таблица1[[#This Row],[коэф]])),
IF((G803="4/4"),((база!$I$5*2*Таблица1[[#This Row],[Столбец1]]*Таблица1[[#This Row],[коэф]])),
IF(OR(G803="2/4",G803="3/4"),((база!$I$4*2*Таблица1[[#This Row],[Столбец1]]*Таблица1[[#This Row],[коэф]])),
IF((G803="5/8"),((база!$J$6*2*Таблица1[[#This Row],[Столбец1]]*Таблица1[[#This Row],[коэф]])),
IF((G803="4/8"),((база!$J$5*2*Таблица1[[#This Row],[Столбец1]]*Таблица1[[#This Row],[коэф]])),
IF(OR(G803="3/8",G803="2/8"),((база!$J$4*2*Таблица1[[#This Row],[Столбец1]]*Таблица1[[#This Row],[коэф]])))))))))))))),
(IF((G803="5/24"),((база!$M$6*2*Таблица1[[#This Row],[Столбец1]]*Таблица1[[#This Row],[коэф]])),
IF(OR(G803="4/24",G803="3/24"),((база!$M$5*2*Таблица1[[#This Row],[Столбец1]]*Таблица1[[#This Row],[коэф]])),
IF((G803="5/16"),((база!$L$6*2*Таблица1[[#This Row],[Столбец1]]*Таблица1[[#This Row],[коэф]])),
IF(OR(G803="4/16",G803="3/16"),((база!$L$5*2*Таблица1[[#This Row],[Столбец1]]*Таблица1[[#This Row],[коэф]])),
IF(OR(G803="2/4",G803="3/4",G803="4/4"),((база!$I$5*2*Таблица1[[#This Row],[Столбец1]]*Таблица1[[#This Row],[коэф]])),
IF((G803="5/8"),((база!$J$6*2*Таблица1[[#This Row],[Столбец1]]*Таблица1[[#This Row],[коэф]])),
IF(OR(G803="4/8",G803="3/8",G803="2/8"),((база!$J$5*2*Таблица1[[#This Row],[Столбец1]]*Таблица1[[#This Row],[коэф]])))))))))))</f>
        <v>0</v>
      </c>
      <c r="AQ803" s="678" t="str">
        <f>IFERROR(INDEX(база!T:T, MATCH(F803,база!Q:Q,0)),"")</f>
        <v/>
      </c>
      <c r="AR803" s="193">
        <f>IFERROR(INDEX(база!D:D, MATCH(F803,база!B:B,0)),"")</f>
        <v>0</v>
      </c>
    </row>
    <row r="804" spans="1:44" ht="15">
      <c r="A804" s="59"/>
      <c r="B804" s="215"/>
      <c r="C804" s="277"/>
      <c r="D804" s="55"/>
      <c r="E804" s="196"/>
      <c r="F804" s="651"/>
      <c r="G804" s="42"/>
      <c r="H804" s="539"/>
      <c r="I804" s="539"/>
      <c r="J804" s="539"/>
      <c r="K804" s="539"/>
      <c r="L804" s="539"/>
      <c r="M804" s="539"/>
      <c r="N804" s="539"/>
      <c r="O804" s="539"/>
      <c r="P804" s="278"/>
      <c r="Q804" s="539"/>
      <c r="R804" s="539"/>
      <c r="S804" s="539"/>
      <c r="T804" s="539"/>
      <c r="U804" s="539"/>
      <c r="V804" s="539"/>
      <c r="W804" s="539"/>
      <c r="X804" s="539"/>
      <c r="Y804" s="539"/>
      <c r="Z804" s="539"/>
      <c r="AA804" s="539"/>
      <c r="AB804" s="539"/>
      <c r="AC804" s="539"/>
      <c r="AD804" s="43"/>
      <c r="AE804" s="43"/>
      <c r="AF804" s="238"/>
      <c r="AG804" s="43"/>
      <c r="AH804" s="43"/>
      <c r="AI804" s="43"/>
      <c r="AJ804" s="43"/>
      <c r="AK804" s="43"/>
      <c r="AL804" s="45"/>
      <c r="AM804" s="197">
        <f>IF(AQ804=1,SUM(H804:I804,L804:O804,R804:U804,X804:AA804,AD804:AG804,AI804:AK804),
IF(AQ804=2,SUM(H804:K804,N804:Q804,T804:W804,Z804:AC804,AF804:AI804),
IF(AQ804=3,SUM(J804:M804,P804:S804,V804:Y804,AB804:AE804,AH804:AK804),SUM(Таблица1[[#This Row],[1]:[31]])-Таблица1[[#This Row],[Столбец1]])))</f>
        <v>0</v>
      </c>
      <c r="AN804" s="269">
        <f t="array" ref="AN804">IF(AQ804=1,SUM(J804:K804,P804:Q804,V804:W804,AB804:AC804,AH804:AI804),
IF(AQ804=2,SUM(L804:M804,R804:S804,X804:Y804,AD804:AE804),
IF(AQ804=3,SUM(H804:I804,N804:O804,T804:U804,Z804:AA804,AF804:AG804),
SUM(IFERROR(WEEKDAY($H$2:$AL$2,2)&gt;5,)*H804:AL804))))</f>
        <v>0</v>
      </c>
      <c r="AO804" s="271" t="b">
        <f>IF(AR804&lt;=3,(IF((G804="5/24"),((база!$M$6*Таблица1[[#This Row],[сумма]]*Таблица1[[#This Row],[коэф]])),
IF((G804="4/24"),((база!$M$5*Таблица1[[#This Row],[сумма]]*Таблица1[[#This Row],[коэф]])),
IF((G804="3/24"),((база!$M$4*Таблица1[[#This Row],[сумма]]*Таблица1[[#This Row],[коэф]])),
IF((G804="5/16"),((база!$L$6*Таблица1[[#This Row],[сумма]]*Таблица1[[#This Row],[коэф]])),
IF((G804="4/16"),((база!$L$5*Таблица1[[#This Row],[сумма]]*Таблица1[[#This Row],[коэф]])),
IF((G804="3/16"),((база!$L$4*Таблица1[[#This Row],[сумма]]*Таблица1[[#This Row],[коэф]])),
IF((G804="4/4"),((база!$I$5*Таблица1[[#This Row],[сумма]]*Таблица1[[#This Row],[коэф]])),
IF(OR(G804="2/4",G804="3/4"),((база!$I$4*Таблица1[[#This Row],[сумма]]*Таблица1[[#This Row],[коэф]])),
IF((G804="5/8"),((база!$J$6*Таблица1[[#This Row],[сумма]]*Таблица1[[#This Row],[коэф]])),
IF((G804="4/8"),((база!$J$5*Таблица1[[#This Row],[сумма]]*Таблица1[[#This Row],[коэф]])),
IF(OR(G804="3/8",G804="2/8"),((база!$J$4*Таблица1[[#This Row],[сумма]]*Таблица1[[#This Row],[коэф]])))))))))))))),
(IF((G804="5/24"),((база!$M$6*Таблица1[[#This Row],[сумма]]*Таблица1[[#This Row],[коэф]])),
IF(OR(G804="4/24",G804="3/24"),((база!$M$5*Таблица1[[#This Row],[сумма]]*Таблица1[[#This Row],[коэф]])),
IF((G804="5/16"),((база!$L$6*Таблица1[[#This Row],[сумма]]*Таблица1[[#This Row],[коэф]])),
IF(OR(G804="4/16",G804="3/16"),((база!$L$5*Таблица1[[#This Row],[сумма]]*Таблица1[[#This Row],[коэф]])),
IF(OR(G804="2/4",G804="3/4",G804="4/4"),((база!$I$5*Таблица1[[#This Row],[сумма]]*Таблица1[[#This Row],[коэф]])),
IF((G804="5/8"),((база!$J$6*Таблица1[[#This Row],[сумма]]*Таблица1[[#This Row],[коэф]])),
IF(OR(G804="4/8",G804="3/8",G804="2/8"),((база!$J$5*Таблица1[[#This Row],[сумма]]*Таблица1[[#This Row],[коэф]])))))))))))</f>
        <v>0</v>
      </c>
      <c r="AP804" s="696" t="b">
        <f>IF(AR804&lt;=3,(IF((G804="5/24"),((база!$M$6*2*Таблица1[[#This Row],[Столбец1]]*Таблица1[[#This Row],[коэф]])),
IF((G804="4/24"),((база!$M$5*2*Таблица1[[#This Row],[Столбец1]]*Таблица1[[#This Row],[коэф]])),
IF((G804="3/24"),((база!$M$4*2*Таблица1[[#This Row],[Столбец1]]*Таблица1[[#This Row],[коэф]])),
IF((G804="5/16"),((база!$L$6*2*Таблица1[[#This Row],[Столбец1]]*Таблица1[[#This Row],[коэф]])),
IF((G804="4/16"),((база!$L$5*2*Таблица1[[#This Row],[Столбец1]]*Таблица1[[#This Row],[коэф]])),
IF((G804="3/16"),((база!$L$4*2*Таблица1[[#This Row],[Столбец1]]*Таблица1[[#This Row],[коэф]])),
IF((G804="4/4"),((база!$I$5*2*Таблица1[[#This Row],[Столбец1]]*Таблица1[[#This Row],[коэф]])),
IF(OR(G804="2/4",G804="3/4"),((база!$I$4*2*Таблица1[[#This Row],[Столбец1]]*Таблица1[[#This Row],[коэф]])),
IF((G804="5/8"),((база!$J$6*2*Таблица1[[#This Row],[Столбец1]]*Таблица1[[#This Row],[коэф]])),
IF((G804="4/8"),((база!$J$5*2*Таблица1[[#This Row],[Столбец1]]*Таблица1[[#This Row],[коэф]])),
IF(OR(G804="3/8",G804="2/8"),((база!$J$4*2*Таблица1[[#This Row],[Столбец1]]*Таблица1[[#This Row],[коэф]])))))))))))))),
(IF((G804="5/24"),((база!$M$6*2*Таблица1[[#This Row],[Столбец1]]*Таблица1[[#This Row],[коэф]])),
IF(OR(G804="4/24",G804="3/24"),((база!$M$5*2*Таблица1[[#This Row],[Столбец1]]*Таблица1[[#This Row],[коэф]])),
IF((G804="5/16"),((база!$L$6*2*Таблица1[[#This Row],[Столбец1]]*Таблица1[[#This Row],[коэф]])),
IF(OR(G804="4/16",G804="3/16"),((база!$L$5*2*Таблица1[[#This Row],[Столбец1]]*Таблица1[[#This Row],[коэф]])),
IF(OR(G804="2/4",G804="3/4",G804="4/4"),((база!$I$5*2*Таблица1[[#This Row],[Столбец1]]*Таблица1[[#This Row],[коэф]])),
IF((G804="5/8"),((база!$J$6*2*Таблица1[[#This Row],[Столбец1]]*Таблица1[[#This Row],[коэф]])),
IF(OR(G804="4/8",G804="3/8",G804="2/8"),((база!$J$5*2*Таблица1[[#This Row],[Столбец1]]*Таблица1[[#This Row],[коэф]])))))))))))</f>
        <v>0</v>
      </c>
      <c r="AQ804" s="678" t="str">
        <f>IFERROR(INDEX(база!T:T, MATCH(F804,база!Q:Q,0)),"")</f>
        <v/>
      </c>
      <c r="AR804" s="193">
        <f>IFERROR(INDEX(база!D:D, MATCH(F804,база!B:B,0)),"")</f>
        <v>0</v>
      </c>
    </row>
    <row r="805" spans="1:44" ht="15">
      <c r="A805" s="59"/>
      <c r="B805" s="215"/>
      <c r="C805" s="277"/>
      <c r="D805" s="55"/>
      <c r="E805" s="196"/>
      <c r="F805" s="651"/>
      <c r="G805" s="42"/>
      <c r="H805" s="539"/>
      <c r="I805" s="539"/>
      <c r="J805" s="539"/>
      <c r="K805" s="539"/>
      <c r="L805" s="539"/>
      <c r="M805" s="539"/>
      <c r="N805" s="539"/>
      <c r="O805" s="539"/>
      <c r="P805" s="278"/>
      <c r="Q805" s="539"/>
      <c r="R805" s="539"/>
      <c r="S805" s="539"/>
      <c r="T805" s="539"/>
      <c r="U805" s="539"/>
      <c r="V805" s="539"/>
      <c r="W805" s="539"/>
      <c r="X805" s="539"/>
      <c r="Y805" s="539"/>
      <c r="Z805" s="539"/>
      <c r="AA805" s="539"/>
      <c r="AB805" s="539"/>
      <c r="AC805" s="539"/>
      <c r="AD805" s="43"/>
      <c r="AE805" s="43"/>
      <c r="AF805" s="238"/>
      <c r="AG805" s="43"/>
      <c r="AH805" s="43"/>
      <c r="AI805" s="238"/>
      <c r="AJ805" s="238"/>
      <c r="AK805" s="238"/>
      <c r="AL805" s="238"/>
      <c r="AM805" s="197">
        <f>IF(AQ805=1,SUM(H805:I805,L805:O805,R805:U805,X805:AA805,AD805:AG805,AI805:AK805),
IF(AQ805=2,SUM(H805:K805,N805:Q805,T805:W805,Z805:AC805,AF805:AI805),
IF(AQ805=3,SUM(J805:M805,P805:S805,V805:Y805,AB805:AE805,AH805:AK805),SUM(Таблица1[[#This Row],[1]:[31]])-Таблица1[[#This Row],[Столбец1]])))</f>
        <v>0</v>
      </c>
      <c r="AN805" s="269">
        <f t="array" ref="AN805">IF(AQ805=1,SUM(J805:K805,P805:Q805,V805:W805,AB805:AC805,AH805:AI805),
IF(AQ805=2,SUM(L805:M805,R805:S805,X805:Y805,AD805:AE805),
IF(AQ805=3,SUM(H805:I805,N805:O805,T805:U805,Z805:AA805,AF805:AG805),
SUM(IFERROR(WEEKDAY($H$2:$AL$2,2)&gt;5,)*H805:AL805))))</f>
        <v>0</v>
      </c>
      <c r="AO805" s="271" t="b">
        <f>IF(AR805&lt;=3,(IF((G805="5/24"),((база!$M$6*Таблица1[[#This Row],[сумма]]*Таблица1[[#This Row],[коэф]])),
IF((G805="4/24"),((база!$M$5*Таблица1[[#This Row],[сумма]]*Таблица1[[#This Row],[коэф]])),
IF((G805="3/24"),((база!$M$4*Таблица1[[#This Row],[сумма]]*Таблица1[[#This Row],[коэф]])),
IF((G805="5/16"),((база!$L$6*Таблица1[[#This Row],[сумма]]*Таблица1[[#This Row],[коэф]])),
IF((G805="4/16"),((база!$L$5*Таблица1[[#This Row],[сумма]]*Таблица1[[#This Row],[коэф]])),
IF((G805="3/16"),((база!$L$4*Таблица1[[#This Row],[сумма]]*Таблица1[[#This Row],[коэф]])),
IF((G805="4/4"),((база!$I$5*Таблица1[[#This Row],[сумма]]*Таблица1[[#This Row],[коэф]])),
IF(OR(G805="2/4",G805="3/4"),((база!$I$4*Таблица1[[#This Row],[сумма]]*Таблица1[[#This Row],[коэф]])),
IF((G805="5/8"),((база!$J$6*Таблица1[[#This Row],[сумма]]*Таблица1[[#This Row],[коэф]])),
IF((G805="4/8"),((база!$J$5*Таблица1[[#This Row],[сумма]]*Таблица1[[#This Row],[коэф]])),
IF(OR(G805="3/8",G805="2/8"),((база!$J$4*Таблица1[[#This Row],[сумма]]*Таблица1[[#This Row],[коэф]])))))))))))))),
(IF((G805="5/24"),((база!$M$6*Таблица1[[#This Row],[сумма]]*Таблица1[[#This Row],[коэф]])),
IF(OR(G805="4/24",G805="3/24"),((база!$M$5*Таблица1[[#This Row],[сумма]]*Таблица1[[#This Row],[коэф]])),
IF((G805="5/16"),((база!$L$6*Таблица1[[#This Row],[сумма]]*Таблица1[[#This Row],[коэф]])),
IF(OR(G805="4/16",G805="3/16"),((база!$L$5*Таблица1[[#This Row],[сумма]]*Таблица1[[#This Row],[коэф]])),
IF(OR(G805="2/4",G805="3/4",G805="4/4"),((база!$I$5*Таблица1[[#This Row],[сумма]]*Таблица1[[#This Row],[коэф]])),
IF((G805="5/8"),((база!$J$6*Таблица1[[#This Row],[сумма]]*Таблица1[[#This Row],[коэф]])),
IF(OR(G805="4/8",G805="3/8",G805="2/8"),((база!$J$5*Таблица1[[#This Row],[сумма]]*Таблица1[[#This Row],[коэф]])))))))))))</f>
        <v>0</v>
      </c>
      <c r="AP805" s="696" t="b">
        <f>IF(AR805&lt;=3,(IF((G805="5/24"),((база!$M$6*2*Таблица1[[#This Row],[Столбец1]]*Таблица1[[#This Row],[коэф]])),
IF((G805="4/24"),((база!$M$5*2*Таблица1[[#This Row],[Столбец1]]*Таблица1[[#This Row],[коэф]])),
IF((G805="3/24"),((база!$M$4*2*Таблица1[[#This Row],[Столбец1]]*Таблица1[[#This Row],[коэф]])),
IF((G805="5/16"),((база!$L$6*2*Таблица1[[#This Row],[Столбец1]]*Таблица1[[#This Row],[коэф]])),
IF((G805="4/16"),((база!$L$5*2*Таблица1[[#This Row],[Столбец1]]*Таблица1[[#This Row],[коэф]])),
IF((G805="3/16"),((база!$L$4*2*Таблица1[[#This Row],[Столбец1]]*Таблица1[[#This Row],[коэф]])),
IF((G805="4/4"),((база!$I$5*2*Таблица1[[#This Row],[Столбец1]]*Таблица1[[#This Row],[коэф]])),
IF(OR(G805="2/4",G805="3/4"),((база!$I$4*2*Таблица1[[#This Row],[Столбец1]]*Таблица1[[#This Row],[коэф]])),
IF((G805="5/8"),((база!$J$6*2*Таблица1[[#This Row],[Столбец1]]*Таблица1[[#This Row],[коэф]])),
IF((G805="4/8"),((база!$J$5*2*Таблица1[[#This Row],[Столбец1]]*Таблица1[[#This Row],[коэф]])),
IF(OR(G805="3/8",G805="2/8"),((база!$J$4*2*Таблица1[[#This Row],[Столбец1]]*Таблица1[[#This Row],[коэф]])))))))))))))),
(IF((G805="5/24"),((база!$M$6*2*Таблица1[[#This Row],[Столбец1]]*Таблица1[[#This Row],[коэф]])),
IF(OR(G805="4/24",G805="3/24"),((база!$M$5*2*Таблица1[[#This Row],[Столбец1]]*Таблица1[[#This Row],[коэф]])),
IF((G805="5/16"),((база!$L$6*2*Таблица1[[#This Row],[Столбец1]]*Таблица1[[#This Row],[коэф]])),
IF(OR(G805="4/16",G805="3/16"),((база!$L$5*2*Таблица1[[#This Row],[Столбец1]]*Таблица1[[#This Row],[коэф]])),
IF(OR(G805="2/4",G805="3/4",G805="4/4"),((база!$I$5*2*Таблица1[[#This Row],[Столбец1]]*Таблица1[[#This Row],[коэф]])),
IF((G805="5/8"),((база!$J$6*2*Таблица1[[#This Row],[Столбец1]]*Таблица1[[#This Row],[коэф]])),
IF(OR(G805="4/8",G805="3/8",G805="2/8"),((база!$J$5*2*Таблица1[[#This Row],[Столбец1]]*Таблица1[[#This Row],[коэф]])))))))))))</f>
        <v>0</v>
      </c>
      <c r="AQ805" s="678" t="str">
        <f>IFERROR(INDEX(база!T:T, MATCH(F805,база!Q:Q,0)),"")</f>
        <v/>
      </c>
      <c r="AR805" s="193">
        <f>IFERROR(INDEX(база!D:D, MATCH(F805,база!B:B,0)),"")</f>
        <v>0</v>
      </c>
    </row>
    <row r="806" spans="1:44" ht="15">
      <c r="A806" s="59"/>
      <c r="B806" s="215"/>
      <c r="C806" s="277"/>
      <c r="D806" s="55"/>
      <c r="E806" s="196"/>
      <c r="F806" s="651"/>
      <c r="G806" s="42"/>
      <c r="H806" s="539"/>
      <c r="I806" s="539"/>
      <c r="J806" s="539"/>
      <c r="K806" s="539"/>
      <c r="L806" s="539"/>
      <c r="M806" s="539"/>
      <c r="N806" s="539"/>
      <c r="O806" s="539"/>
      <c r="P806" s="278"/>
      <c r="Q806" s="539"/>
      <c r="R806" s="539"/>
      <c r="S806" s="539"/>
      <c r="T806" s="539"/>
      <c r="U806" s="539"/>
      <c r="V806" s="539"/>
      <c r="W806" s="539"/>
      <c r="X806" s="539"/>
      <c r="Y806" s="539"/>
      <c r="Z806" s="539"/>
      <c r="AA806" s="539"/>
      <c r="AB806" s="539"/>
      <c r="AC806" s="539"/>
      <c r="AD806" s="43"/>
      <c r="AE806" s="43"/>
      <c r="AF806" s="238"/>
      <c r="AG806" s="43"/>
      <c r="AH806" s="43"/>
      <c r="AI806" s="43"/>
      <c r="AJ806" s="43"/>
      <c r="AK806" s="43"/>
      <c r="AL806" s="45"/>
      <c r="AM806" s="197">
        <f>IF(AQ806=1,SUM(H806:I806,L806:O806,R806:U806,X806:AA806,AD806:AG806,AI806:AK806),
IF(AQ806=2,SUM(H806:K806,N806:Q806,T806:W806,Z806:AC806,AF806:AI806),
IF(AQ806=3,SUM(J806:M806,P806:S806,V806:Y806,AB806:AE806,AH806:AK806),SUM(Таблица1[[#This Row],[1]:[31]])-Таблица1[[#This Row],[Столбец1]])))</f>
        <v>0</v>
      </c>
      <c r="AN806" s="269">
        <f t="array" ref="AN806">IF(AQ806=1,SUM(J806:K806,P806:Q806,V806:W806,AB806:AC806,AH806:AI806),
IF(AQ806=2,SUM(L806:M806,R806:S806,X806:Y806,AD806:AE806),
IF(AQ806=3,SUM(H806:I806,N806:O806,T806:U806,Z806:AA806,AF806:AG806),
SUM(IFERROR(WEEKDAY($H$2:$AL$2,2)&gt;5,)*H806:AL806))))</f>
        <v>0</v>
      </c>
      <c r="AO806" s="271" t="b">
        <f>IF(AR806&lt;=3,(IF((G806="5/24"),((база!$M$6*Таблица1[[#This Row],[сумма]]*Таблица1[[#This Row],[коэф]])),
IF((G806="4/24"),((база!$M$5*Таблица1[[#This Row],[сумма]]*Таблица1[[#This Row],[коэф]])),
IF((G806="3/24"),((база!$M$4*Таблица1[[#This Row],[сумма]]*Таблица1[[#This Row],[коэф]])),
IF((G806="5/16"),((база!$L$6*Таблица1[[#This Row],[сумма]]*Таблица1[[#This Row],[коэф]])),
IF((G806="4/16"),((база!$L$5*Таблица1[[#This Row],[сумма]]*Таблица1[[#This Row],[коэф]])),
IF((G806="3/16"),((база!$L$4*Таблица1[[#This Row],[сумма]]*Таблица1[[#This Row],[коэф]])),
IF((G806="4/4"),((база!$I$5*Таблица1[[#This Row],[сумма]]*Таблица1[[#This Row],[коэф]])),
IF(OR(G806="2/4",G806="3/4"),((база!$I$4*Таблица1[[#This Row],[сумма]]*Таблица1[[#This Row],[коэф]])),
IF((G806="5/8"),((база!$J$6*Таблица1[[#This Row],[сумма]]*Таблица1[[#This Row],[коэф]])),
IF((G806="4/8"),((база!$J$5*Таблица1[[#This Row],[сумма]]*Таблица1[[#This Row],[коэф]])),
IF(OR(G806="3/8",G806="2/8"),((база!$J$4*Таблица1[[#This Row],[сумма]]*Таблица1[[#This Row],[коэф]])))))))))))))),
(IF((G806="5/24"),((база!$M$6*Таблица1[[#This Row],[сумма]]*Таблица1[[#This Row],[коэф]])),
IF(OR(G806="4/24",G806="3/24"),((база!$M$5*Таблица1[[#This Row],[сумма]]*Таблица1[[#This Row],[коэф]])),
IF((G806="5/16"),((база!$L$6*Таблица1[[#This Row],[сумма]]*Таблица1[[#This Row],[коэф]])),
IF(OR(G806="4/16",G806="3/16"),((база!$L$5*Таблица1[[#This Row],[сумма]]*Таблица1[[#This Row],[коэф]])),
IF(OR(G806="2/4",G806="3/4",G806="4/4"),((база!$I$5*Таблица1[[#This Row],[сумма]]*Таблица1[[#This Row],[коэф]])),
IF((G806="5/8"),((база!$J$6*Таблица1[[#This Row],[сумма]]*Таблица1[[#This Row],[коэф]])),
IF(OR(G806="4/8",G806="3/8",G806="2/8"),((база!$J$5*Таблица1[[#This Row],[сумма]]*Таблица1[[#This Row],[коэф]])))))))))))</f>
        <v>0</v>
      </c>
      <c r="AP806" s="696" t="b">
        <f>IF(AR806&lt;=3,(IF((G806="5/24"),((база!$M$6*2*Таблица1[[#This Row],[Столбец1]]*Таблица1[[#This Row],[коэф]])),
IF((G806="4/24"),((база!$M$5*2*Таблица1[[#This Row],[Столбец1]]*Таблица1[[#This Row],[коэф]])),
IF((G806="3/24"),((база!$M$4*2*Таблица1[[#This Row],[Столбец1]]*Таблица1[[#This Row],[коэф]])),
IF((G806="5/16"),((база!$L$6*2*Таблица1[[#This Row],[Столбец1]]*Таблица1[[#This Row],[коэф]])),
IF((G806="4/16"),((база!$L$5*2*Таблица1[[#This Row],[Столбец1]]*Таблица1[[#This Row],[коэф]])),
IF((G806="3/16"),((база!$L$4*2*Таблица1[[#This Row],[Столбец1]]*Таблица1[[#This Row],[коэф]])),
IF((G806="4/4"),((база!$I$5*2*Таблица1[[#This Row],[Столбец1]]*Таблица1[[#This Row],[коэф]])),
IF(OR(G806="2/4",G806="3/4"),((база!$I$4*2*Таблица1[[#This Row],[Столбец1]]*Таблица1[[#This Row],[коэф]])),
IF((G806="5/8"),((база!$J$6*2*Таблица1[[#This Row],[Столбец1]]*Таблица1[[#This Row],[коэф]])),
IF((G806="4/8"),((база!$J$5*2*Таблица1[[#This Row],[Столбец1]]*Таблица1[[#This Row],[коэф]])),
IF(OR(G806="3/8",G806="2/8"),((база!$J$4*2*Таблица1[[#This Row],[Столбец1]]*Таблица1[[#This Row],[коэф]])))))))))))))),
(IF((G806="5/24"),((база!$M$6*2*Таблица1[[#This Row],[Столбец1]]*Таблица1[[#This Row],[коэф]])),
IF(OR(G806="4/24",G806="3/24"),((база!$M$5*2*Таблица1[[#This Row],[Столбец1]]*Таблица1[[#This Row],[коэф]])),
IF((G806="5/16"),((база!$L$6*2*Таблица1[[#This Row],[Столбец1]]*Таблица1[[#This Row],[коэф]])),
IF(OR(G806="4/16",G806="3/16"),((база!$L$5*2*Таблица1[[#This Row],[Столбец1]]*Таблица1[[#This Row],[коэф]])),
IF(OR(G806="2/4",G806="3/4",G806="4/4"),((база!$I$5*2*Таблица1[[#This Row],[Столбец1]]*Таблица1[[#This Row],[коэф]])),
IF((G806="5/8"),((база!$J$6*2*Таблица1[[#This Row],[Столбец1]]*Таблица1[[#This Row],[коэф]])),
IF(OR(G806="4/8",G806="3/8",G806="2/8"),((база!$J$5*2*Таблица1[[#This Row],[Столбец1]]*Таблица1[[#This Row],[коэф]])))))))))))</f>
        <v>0</v>
      </c>
      <c r="AQ806" s="678" t="str">
        <f>IFERROR(INDEX(база!T:T, MATCH(F806,база!Q:Q,0)),"")</f>
        <v/>
      </c>
      <c r="AR806" s="193">
        <f>IFERROR(INDEX(база!D:D, MATCH(F806,база!B:B,0)),"")</f>
        <v>0</v>
      </c>
    </row>
    <row r="807" spans="1:44" ht="15">
      <c r="A807" s="59"/>
      <c r="B807" s="215"/>
      <c r="C807" s="277"/>
      <c r="D807" s="55"/>
      <c r="E807" s="196"/>
      <c r="F807" s="651"/>
      <c r="G807" s="42"/>
      <c r="H807" s="539"/>
      <c r="I807" s="539"/>
      <c r="J807" s="539"/>
      <c r="K807" s="539"/>
      <c r="L807" s="539"/>
      <c r="M807" s="539"/>
      <c r="N807" s="539"/>
      <c r="O807" s="539"/>
      <c r="P807" s="278"/>
      <c r="Q807" s="539"/>
      <c r="R807" s="539"/>
      <c r="S807" s="539"/>
      <c r="T807" s="539"/>
      <c r="U807" s="539"/>
      <c r="V807" s="539"/>
      <c r="W807" s="539"/>
      <c r="X807" s="539"/>
      <c r="Y807" s="539"/>
      <c r="Z807" s="539"/>
      <c r="AA807" s="539"/>
      <c r="AB807" s="539"/>
      <c r="AC807" s="539"/>
      <c r="AD807" s="43"/>
      <c r="AE807" s="43"/>
      <c r="AF807" s="238"/>
      <c r="AG807" s="43"/>
      <c r="AH807" s="43"/>
      <c r="AI807" s="238"/>
      <c r="AJ807" s="238"/>
      <c r="AK807" s="238"/>
      <c r="AL807" s="238"/>
      <c r="AM807" s="197">
        <f>IF(AQ807=1,SUM(H807:I807,L807:O807,R807:U807,X807:AA807,AD807:AG807,AI807:AK807),
IF(AQ807=2,SUM(H807:K807,N807:Q807,T807:W807,Z807:AC807,AF807:AI807),
IF(AQ807=3,SUM(J807:M807,P807:S807,V807:Y807,AB807:AE807,AH807:AK807),SUM(Таблица1[[#This Row],[1]:[31]])-Таблица1[[#This Row],[Столбец1]])))</f>
        <v>0</v>
      </c>
      <c r="AN807" s="269">
        <f t="array" ref="AN807">IF(AQ807=1,SUM(J807:K807,P807:Q807,V807:W807,AB807:AC807,AH807:AI807),
IF(AQ807=2,SUM(L807:M807,R807:S807,X807:Y807,AD807:AE807),
IF(AQ807=3,SUM(H807:I807,N807:O807,T807:U807,Z807:AA807,AF807:AG807),
SUM(IFERROR(WEEKDAY($H$2:$AL$2,2)&gt;5,)*H807:AL807))))</f>
        <v>0</v>
      </c>
      <c r="AO807" s="271" t="b">
        <f>IF(AR807&lt;=3,(IF((G807="5/24"),((база!$M$6*Таблица1[[#This Row],[сумма]]*Таблица1[[#This Row],[коэф]])),
IF((G807="4/24"),((база!$M$5*Таблица1[[#This Row],[сумма]]*Таблица1[[#This Row],[коэф]])),
IF((G807="3/24"),((база!$M$4*Таблица1[[#This Row],[сумма]]*Таблица1[[#This Row],[коэф]])),
IF((G807="5/16"),((база!$L$6*Таблица1[[#This Row],[сумма]]*Таблица1[[#This Row],[коэф]])),
IF((G807="4/16"),((база!$L$5*Таблица1[[#This Row],[сумма]]*Таблица1[[#This Row],[коэф]])),
IF((G807="3/16"),((база!$L$4*Таблица1[[#This Row],[сумма]]*Таблица1[[#This Row],[коэф]])),
IF((G807="4/4"),((база!$I$5*Таблица1[[#This Row],[сумма]]*Таблица1[[#This Row],[коэф]])),
IF(OR(G807="2/4",G807="3/4"),((база!$I$4*Таблица1[[#This Row],[сумма]]*Таблица1[[#This Row],[коэф]])),
IF((G807="5/8"),((база!$J$6*Таблица1[[#This Row],[сумма]]*Таблица1[[#This Row],[коэф]])),
IF((G807="4/8"),((база!$J$5*Таблица1[[#This Row],[сумма]]*Таблица1[[#This Row],[коэф]])),
IF(OR(G807="3/8",G807="2/8"),((база!$J$4*Таблица1[[#This Row],[сумма]]*Таблица1[[#This Row],[коэф]])))))))))))))),
(IF((G807="5/24"),((база!$M$6*Таблица1[[#This Row],[сумма]]*Таблица1[[#This Row],[коэф]])),
IF(OR(G807="4/24",G807="3/24"),((база!$M$5*Таблица1[[#This Row],[сумма]]*Таблица1[[#This Row],[коэф]])),
IF((G807="5/16"),((база!$L$6*Таблица1[[#This Row],[сумма]]*Таблица1[[#This Row],[коэф]])),
IF(OR(G807="4/16",G807="3/16"),((база!$L$5*Таблица1[[#This Row],[сумма]]*Таблица1[[#This Row],[коэф]])),
IF(OR(G807="2/4",G807="3/4",G807="4/4"),((база!$I$5*Таблица1[[#This Row],[сумма]]*Таблица1[[#This Row],[коэф]])),
IF((G807="5/8"),((база!$J$6*Таблица1[[#This Row],[сумма]]*Таблица1[[#This Row],[коэф]])),
IF(OR(G807="4/8",G807="3/8",G807="2/8"),((база!$J$5*Таблица1[[#This Row],[сумма]]*Таблица1[[#This Row],[коэф]])))))))))))</f>
        <v>0</v>
      </c>
      <c r="AP807" s="696" t="b">
        <f>IF(AR807&lt;=3,(IF((G807="5/24"),((база!$M$6*2*Таблица1[[#This Row],[Столбец1]]*Таблица1[[#This Row],[коэф]])),
IF((G807="4/24"),((база!$M$5*2*Таблица1[[#This Row],[Столбец1]]*Таблица1[[#This Row],[коэф]])),
IF((G807="3/24"),((база!$M$4*2*Таблица1[[#This Row],[Столбец1]]*Таблица1[[#This Row],[коэф]])),
IF((G807="5/16"),((база!$L$6*2*Таблица1[[#This Row],[Столбец1]]*Таблица1[[#This Row],[коэф]])),
IF((G807="4/16"),((база!$L$5*2*Таблица1[[#This Row],[Столбец1]]*Таблица1[[#This Row],[коэф]])),
IF((G807="3/16"),((база!$L$4*2*Таблица1[[#This Row],[Столбец1]]*Таблица1[[#This Row],[коэф]])),
IF((G807="4/4"),((база!$I$5*2*Таблица1[[#This Row],[Столбец1]]*Таблица1[[#This Row],[коэф]])),
IF(OR(G807="2/4",G807="3/4"),((база!$I$4*2*Таблица1[[#This Row],[Столбец1]]*Таблица1[[#This Row],[коэф]])),
IF((G807="5/8"),((база!$J$6*2*Таблица1[[#This Row],[Столбец1]]*Таблица1[[#This Row],[коэф]])),
IF((G807="4/8"),((база!$J$5*2*Таблица1[[#This Row],[Столбец1]]*Таблица1[[#This Row],[коэф]])),
IF(OR(G807="3/8",G807="2/8"),((база!$J$4*2*Таблица1[[#This Row],[Столбец1]]*Таблица1[[#This Row],[коэф]])))))))))))))),
(IF((G807="5/24"),((база!$M$6*2*Таблица1[[#This Row],[Столбец1]]*Таблица1[[#This Row],[коэф]])),
IF(OR(G807="4/24",G807="3/24"),((база!$M$5*2*Таблица1[[#This Row],[Столбец1]]*Таблица1[[#This Row],[коэф]])),
IF((G807="5/16"),((база!$L$6*2*Таблица1[[#This Row],[Столбец1]]*Таблица1[[#This Row],[коэф]])),
IF(OR(G807="4/16",G807="3/16"),((база!$L$5*2*Таблица1[[#This Row],[Столбец1]]*Таблица1[[#This Row],[коэф]])),
IF(OR(G807="2/4",G807="3/4",G807="4/4"),((база!$I$5*2*Таблица1[[#This Row],[Столбец1]]*Таблица1[[#This Row],[коэф]])),
IF((G807="5/8"),((база!$J$6*2*Таблица1[[#This Row],[Столбец1]]*Таблица1[[#This Row],[коэф]])),
IF(OR(G807="4/8",G807="3/8",G807="2/8"),((база!$J$5*2*Таблица1[[#This Row],[Столбец1]]*Таблица1[[#This Row],[коэф]])))))))))))</f>
        <v>0</v>
      </c>
      <c r="AQ807" s="678" t="str">
        <f>IFERROR(INDEX(база!T:T, MATCH(F807,база!Q:Q,0)),"")</f>
        <v/>
      </c>
      <c r="AR807" s="193">
        <f>IFERROR(INDEX(база!D:D, MATCH(F807,база!B:B,0)),"")</f>
        <v>0</v>
      </c>
    </row>
    <row r="808" spans="1:44" ht="15">
      <c r="A808" s="59"/>
      <c r="B808" s="215"/>
      <c r="C808" s="277"/>
      <c r="D808" s="55"/>
      <c r="E808" s="196"/>
      <c r="F808" s="651"/>
      <c r="G808" s="42"/>
      <c r="H808" s="539"/>
      <c r="I808" s="539"/>
      <c r="J808" s="539"/>
      <c r="K808" s="539"/>
      <c r="L808" s="539"/>
      <c r="M808" s="539"/>
      <c r="N808" s="539"/>
      <c r="O808" s="539"/>
      <c r="P808" s="278"/>
      <c r="Q808" s="539"/>
      <c r="R808" s="539"/>
      <c r="S808" s="539"/>
      <c r="T808" s="539"/>
      <c r="U808" s="539"/>
      <c r="V808" s="539"/>
      <c r="W808" s="539"/>
      <c r="X808" s="539"/>
      <c r="Y808" s="539"/>
      <c r="Z808" s="539"/>
      <c r="AA808" s="539"/>
      <c r="AB808" s="539"/>
      <c r="AC808" s="539"/>
      <c r="AD808" s="43"/>
      <c r="AE808" s="43"/>
      <c r="AF808" s="238"/>
      <c r="AG808" s="43"/>
      <c r="AH808" s="43"/>
      <c r="AI808" s="43"/>
      <c r="AJ808" s="43"/>
      <c r="AK808" s="43"/>
      <c r="AL808" s="45"/>
      <c r="AM808" s="197">
        <f>IF(AQ808=1,SUM(H808:I808,L808:O808,R808:U808,X808:AA808,AD808:AG808,AI808:AK808),
IF(AQ808=2,SUM(H808:K808,N808:Q808,T808:W808,Z808:AC808,AF808:AI808),
IF(AQ808=3,SUM(J808:M808,P808:S808,V808:Y808,AB808:AE808,AH808:AK808),SUM(Таблица1[[#This Row],[1]:[31]])-Таблица1[[#This Row],[Столбец1]])))</f>
        <v>0</v>
      </c>
      <c r="AN808" s="269">
        <f t="array" ref="AN808">IF(AQ808=1,SUM(J808:K808,P808:Q808,V808:W808,AB808:AC808,AH808:AI808),
IF(AQ808=2,SUM(L808:M808,R808:S808,X808:Y808,AD808:AE808),
IF(AQ808=3,SUM(H808:I808,N808:O808,T808:U808,Z808:AA808,AF808:AG808),
SUM(IFERROR(WEEKDAY($H$2:$AL$2,2)&gt;5,)*H808:AL808))))</f>
        <v>0</v>
      </c>
      <c r="AO808" s="271" t="b">
        <f>IF(AR808&lt;=3,(IF((G808="5/24"),((база!$M$6*Таблица1[[#This Row],[сумма]]*Таблица1[[#This Row],[коэф]])),
IF((G808="4/24"),((база!$M$5*Таблица1[[#This Row],[сумма]]*Таблица1[[#This Row],[коэф]])),
IF((G808="3/24"),((база!$M$4*Таблица1[[#This Row],[сумма]]*Таблица1[[#This Row],[коэф]])),
IF((G808="5/16"),((база!$L$6*Таблица1[[#This Row],[сумма]]*Таблица1[[#This Row],[коэф]])),
IF((G808="4/16"),((база!$L$5*Таблица1[[#This Row],[сумма]]*Таблица1[[#This Row],[коэф]])),
IF((G808="3/16"),((база!$L$4*Таблица1[[#This Row],[сумма]]*Таблица1[[#This Row],[коэф]])),
IF((G808="4/4"),((база!$I$5*Таблица1[[#This Row],[сумма]]*Таблица1[[#This Row],[коэф]])),
IF(OR(G808="2/4",G808="3/4"),((база!$I$4*Таблица1[[#This Row],[сумма]]*Таблица1[[#This Row],[коэф]])),
IF((G808="5/8"),((база!$J$6*Таблица1[[#This Row],[сумма]]*Таблица1[[#This Row],[коэф]])),
IF((G808="4/8"),((база!$J$5*Таблица1[[#This Row],[сумма]]*Таблица1[[#This Row],[коэф]])),
IF(OR(G808="3/8",G808="2/8"),((база!$J$4*Таблица1[[#This Row],[сумма]]*Таблица1[[#This Row],[коэф]])))))))))))))),
(IF((G808="5/24"),((база!$M$6*Таблица1[[#This Row],[сумма]]*Таблица1[[#This Row],[коэф]])),
IF(OR(G808="4/24",G808="3/24"),((база!$M$5*Таблица1[[#This Row],[сумма]]*Таблица1[[#This Row],[коэф]])),
IF((G808="5/16"),((база!$L$6*Таблица1[[#This Row],[сумма]]*Таблица1[[#This Row],[коэф]])),
IF(OR(G808="4/16",G808="3/16"),((база!$L$5*Таблица1[[#This Row],[сумма]]*Таблица1[[#This Row],[коэф]])),
IF(OR(G808="2/4",G808="3/4",G808="4/4"),((база!$I$5*Таблица1[[#This Row],[сумма]]*Таблица1[[#This Row],[коэф]])),
IF((G808="5/8"),((база!$J$6*Таблица1[[#This Row],[сумма]]*Таблица1[[#This Row],[коэф]])),
IF(OR(G808="4/8",G808="3/8",G808="2/8"),((база!$J$5*Таблица1[[#This Row],[сумма]]*Таблица1[[#This Row],[коэф]])))))))))))</f>
        <v>0</v>
      </c>
      <c r="AP808" s="696" t="b">
        <f>IF(AR808&lt;=3,(IF((G808="5/24"),((база!$M$6*2*Таблица1[[#This Row],[Столбец1]]*Таблица1[[#This Row],[коэф]])),
IF((G808="4/24"),((база!$M$5*2*Таблица1[[#This Row],[Столбец1]]*Таблица1[[#This Row],[коэф]])),
IF((G808="3/24"),((база!$M$4*2*Таблица1[[#This Row],[Столбец1]]*Таблица1[[#This Row],[коэф]])),
IF((G808="5/16"),((база!$L$6*2*Таблица1[[#This Row],[Столбец1]]*Таблица1[[#This Row],[коэф]])),
IF((G808="4/16"),((база!$L$5*2*Таблица1[[#This Row],[Столбец1]]*Таблица1[[#This Row],[коэф]])),
IF((G808="3/16"),((база!$L$4*2*Таблица1[[#This Row],[Столбец1]]*Таблица1[[#This Row],[коэф]])),
IF((G808="4/4"),((база!$I$5*2*Таблица1[[#This Row],[Столбец1]]*Таблица1[[#This Row],[коэф]])),
IF(OR(G808="2/4",G808="3/4"),((база!$I$4*2*Таблица1[[#This Row],[Столбец1]]*Таблица1[[#This Row],[коэф]])),
IF((G808="5/8"),((база!$J$6*2*Таблица1[[#This Row],[Столбец1]]*Таблица1[[#This Row],[коэф]])),
IF((G808="4/8"),((база!$J$5*2*Таблица1[[#This Row],[Столбец1]]*Таблица1[[#This Row],[коэф]])),
IF(OR(G808="3/8",G808="2/8"),((база!$J$4*2*Таблица1[[#This Row],[Столбец1]]*Таблица1[[#This Row],[коэф]])))))))))))))),
(IF((G808="5/24"),((база!$M$6*2*Таблица1[[#This Row],[Столбец1]]*Таблица1[[#This Row],[коэф]])),
IF(OR(G808="4/24",G808="3/24"),((база!$M$5*2*Таблица1[[#This Row],[Столбец1]]*Таблица1[[#This Row],[коэф]])),
IF((G808="5/16"),((база!$L$6*2*Таблица1[[#This Row],[Столбец1]]*Таблица1[[#This Row],[коэф]])),
IF(OR(G808="4/16",G808="3/16"),((база!$L$5*2*Таблица1[[#This Row],[Столбец1]]*Таблица1[[#This Row],[коэф]])),
IF(OR(G808="2/4",G808="3/4",G808="4/4"),((база!$I$5*2*Таблица1[[#This Row],[Столбец1]]*Таблица1[[#This Row],[коэф]])),
IF((G808="5/8"),((база!$J$6*2*Таблица1[[#This Row],[Столбец1]]*Таблица1[[#This Row],[коэф]])),
IF(OR(G808="4/8",G808="3/8",G808="2/8"),((база!$J$5*2*Таблица1[[#This Row],[Столбец1]]*Таблица1[[#This Row],[коэф]])))))))))))</f>
        <v>0</v>
      </c>
      <c r="AQ808" s="678" t="str">
        <f>IFERROR(INDEX(база!T:T, MATCH(F808,база!Q:Q,0)),"")</f>
        <v/>
      </c>
      <c r="AR808" s="193">
        <f>IFERROR(INDEX(база!D:D, MATCH(F808,база!B:B,0)),"")</f>
        <v>0</v>
      </c>
    </row>
    <row r="809" spans="1:44" ht="15">
      <c r="A809" s="59"/>
      <c r="B809" s="215"/>
      <c r="C809" s="277"/>
      <c r="D809" s="55"/>
      <c r="E809" s="196"/>
      <c r="F809" s="651"/>
      <c r="G809" s="42"/>
      <c r="H809" s="539"/>
      <c r="I809" s="539"/>
      <c r="J809" s="539"/>
      <c r="K809" s="539"/>
      <c r="L809" s="539"/>
      <c r="M809" s="539"/>
      <c r="N809" s="539"/>
      <c r="O809" s="539"/>
      <c r="P809" s="278"/>
      <c r="Q809" s="539"/>
      <c r="R809" s="539"/>
      <c r="S809" s="539"/>
      <c r="T809" s="539"/>
      <c r="U809" s="539"/>
      <c r="V809" s="539"/>
      <c r="W809" s="539"/>
      <c r="X809" s="539"/>
      <c r="Y809" s="539"/>
      <c r="Z809" s="539"/>
      <c r="AA809" s="539"/>
      <c r="AB809" s="539"/>
      <c r="AC809" s="539"/>
      <c r="AD809" s="43"/>
      <c r="AE809" s="43"/>
      <c r="AF809" s="238"/>
      <c r="AG809" s="43"/>
      <c r="AH809" s="43"/>
      <c r="AI809" s="238"/>
      <c r="AJ809" s="238"/>
      <c r="AK809" s="238"/>
      <c r="AL809" s="238"/>
      <c r="AM809" s="197">
        <f>IF(AQ809=1,SUM(H809:I809,L809:O809,R809:U809,X809:AA809,AD809:AG809,AI809:AK809),
IF(AQ809=2,SUM(H809:K809,N809:Q809,T809:W809,Z809:AC809,AF809:AI809),
IF(AQ809=3,SUM(J809:M809,P809:S809,V809:Y809,AB809:AE809,AH809:AK809),SUM(Таблица1[[#This Row],[1]:[31]])-Таблица1[[#This Row],[Столбец1]])))</f>
        <v>0</v>
      </c>
      <c r="AN809" s="269">
        <f t="array" ref="AN809">IF(AQ809=1,SUM(J809:K809,P809:Q809,V809:W809,AB809:AC809,AH809:AI809),
IF(AQ809=2,SUM(L809:M809,R809:S809,X809:Y809,AD809:AE809),
IF(AQ809=3,SUM(H809:I809,N809:O809,T809:U809,Z809:AA809,AF809:AG809),
SUM(IFERROR(WEEKDAY($H$2:$AL$2,2)&gt;5,)*H809:AL809))))</f>
        <v>0</v>
      </c>
      <c r="AO809" s="271" t="b">
        <f>IF(AR809&lt;=3,(IF((G809="5/24"),((база!$M$6*Таблица1[[#This Row],[сумма]]*Таблица1[[#This Row],[коэф]])),
IF((G809="4/24"),((база!$M$5*Таблица1[[#This Row],[сумма]]*Таблица1[[#This Row],[коэф]])),
IF((G809="3/24"),((база!$M$4*Таблица1[[#This Row],[сумма]]*Таблица1[[#This Row],[коэф]])),
IF((G809="5/16"),((база!$L$6*Таблица1[[#This Row],[сумма]]*Таблица1[[#This Row],[коэф]])),
IF((G809="4/16"),((база!$L$5*Таблица1[[#This Row],[сумма]]*Таблица1[[#This Row],[коэф]])),
IF((G809="3/16"),((база!$L$4*Таблица1[[#This Row],[сумма]]*Таблица1[[#This Row],[коэф]])),
IF((G809="4/4"),((база!$I$5*Таблица1[[#This Row],[сумма]]*Таблица1[[#This Row],[коэф]])),
IF(OR(G809="2/4",G809="3/4"),((база!$I$4*Таблица1[[#This Row],[сумма]]*Таблица1[[#This Row],[коэф]])),
IF((G809="5/8"),((база!$J$6*Таблица1[[#This Row],[сумма]]*Таблица1[[#This Row],[коэф]])),
IF((G809="4/8"),((база!$J$5*Таблица1[[#This Row],[сумма]]*Таблица1[[#This Row],[коэф]])),
IF(OR(G809="3/8",G809="2/8"),((база!$J$4*Таблица1[[#This Row],[сумма]]*Таблица1[[#This Row],[коэф]])))))))))))))),
(IF((G809="5/24"),((база!$M$6*Таблица1[[#This Row],[сумма]]*Таблица1[[#This Row],[коэф]])),
IF(OR(G809="4/24",G809="3/24"),((база!$M$5*Таблица1[[#This Row],[сумма]]*Таблица1[[#This Row],[коэф]])),
IF((G809="5/16"),((база!$L$6*Таблица1[[#This Row],[сумма]]*Таблица1[[#This Row],[коэф]])),
IF(OR(G809="4/16",G809="3/16"),((база!$L$5*Таблица1[[#This Row],[сумма]]*Таблица1[[#This Row],[коэф]])),
IF(OR(G809="2/4",G809="3/4",G809="4/4"),((база!$I$5*Таблица1[[#This Row],[сумма]]*Таблица1[[#This Row],[коэф]])),
IF((G809="5/8"),((база!$J$6*Таблица1[[#This Row],[сумма]]*Таблица1[[#This Row],[коэф]])),
IF(OR(G809="4/8",G809="3/8",G809="2/8"),((база!$J$5*Таблица1[[#This Row],[сумма]]*Таблица1[[#This Row],[коэф]])))))))))))</f>
        <v>0</v>
      </c>
      <c r="AP809" s="696" t="b">
        <f>IF(AR809&lt;=3,(IF((G809="5/24"),((база!$M$6*2*Таблица1[[#This Row],[Столбец1]]*Таблица1[[#This Row],[коэф]])),
IF((G809="4/24"),((база!$M$5*2*Таблица1[[#This Row],[Столбец1]]*Таблица1[[#This Row],[коэф]])),
IF((G809="3/24"),((база!$M$4*2*Таблица1[[#This Row],[Столбец1]]*Таблица1[[#This Row],[коэф]])),
IF((G809="5/16"),((база!$L$6*2*Таблица1[[#This Row],[Столбец1]]*Таблица1[[#This Row],[коэф]])),
IF((G809="4/16"),((база!$L$5*2*Таблица1[[#This Row],[Столбец1]]*Таблица1[[#This Row],[коэф]])),
IF((G809="3/16"),((база!$L$4*2*Таблица1[[#This Row],[Столбец1]]*Таблица1[[#This Row],[коэф]])),
IF((G809="4/4"),((база!$I$5*2*Таблица1[[#This Row],[Столбец1]]*Таблица1[[#This Row],[коэф]])),
IF(OR(G809="2/4",G809="3/4"),((база!$I$4*2*Таблица1[[#This Row],[Столбец1]]*Таблица1[[#This Row],[коэф]])),
IF((G809="5/8"),((база!$J$6*2*Таблица1[[#This Row],[Столбец1]]*Таблица1[[#This Row],[коэф]])),
IF((G809="4/8"),((база!$J$5*2*Таблица1[[#This Row],[Столбец1]]*Таблица1[[#This Row],[коэф]])),
IF(OR(G809="3/8",G809="2/8"),((база!$J$4*2*Таблица1[[#This Row],[Столбец1]]*Таблица1[[#This Row],[коэф]])))))))))))))),
(IF((G809="5/24"),((база!$M$6*2*Таблица1[[#This Row],[Столбец1]]*Таблица1[[#This Row],[коэф]])),
IF(OR(G809="4/24",G809="3/24"),((база!$M$5*2*Таблица1[[#This Row],[Столбец1]]*Таблица1[[#This Row],[коэф]])),
IF((G809="5/16"),((база!$L$6*2*Таблица1[[#This Row],[Столбец1]]*Таблица1[[#This Row],[коэф]])),
IF(OR(G809="4/16",G809="3/16"),((база!$L$5*2*Таблица1[[#This Row],[Столбец1]]*Таблица1[[#This Row],[коэф]])),
IF(OR(G809="2/4",G809="3/4",G809="4/4"),((база!$I$5*2*Таблица1[[#This Row],[Столбец1]]*Таблица1[[#This Row],[коэф]])),
IF((G809="5/8"),((база!$J$6*2*Таблица1[[#This Row],[Столбец1]]*Таблица1[[#This Row],[коэф]])),
IF(OR(G809="4/8",G809="3/8",G809="2/8"),((база!$J$5*2*Таблица1[[#This Row],[Столбец1]]*Таблица1[[#This Row],[коэф]])))))))))))</f>
        <v>0</v>
      </c>
      <c r="AQ809" s="678" t="str">
        <f>IFERROR(INDEX(база!T:T, MATCH(F809,база!Q:Q,0)),"")</f>
        <v/>
      </c>
      <c r="AR809" s="193">
        <f>IFERROR(INDEX(база!D:D, MATCH(F809,база!B:B,0)),"")</f>
        <v>0</v>
      </c>
    </row>
    <row r="810" spans="1:44" ht="15">
      <c r="A810" s="59"/>
      <c r="B810" s="215"/>
      <c r="C810" s="277"/>
      <c r="D810" s="55"/>
      <c r="E810" s="196"/>
      <c r="F810" s="651"/>
      <c r="G810" s="42"/>
      <c r="H810" s="539"/>
      <c r="I810" s="539"/>
      <c r="J810" s="539"/>
      <c r="K810" s="539"/>
      <c r="L810" s="539"/>
      <c r="M810" s="539"/>
      <c r="N810" s="539"/>
      <c r="O810" s="539"/>
      <c r="P810" s="278"/>
      <c r="Q810" s="539"/>
      <c r="R810" s="539"/>
      <c r="S810" s="539"/>
      <c r="T810" s="539"/>
      <c r="U810" s="539"/>
      <c r="V810" s="539"/>
      <c r="W810" s="539"/>
      <c r="X810" s="539"/>
      <c r="Y810" s="539"/>
      <c r="Z810" s="539"/>
      <c r="AA810" s="539"/>
      <c r="AB810" s="539"/>
      <c r="AC810" s="539"/>
      <c r="AD810" s="43"/>
      <c r="AE810" s="43"/>
      <c r="AF810" s="238"/>
      <c r="AG810" s="43"/>
      <c r="AH810" s="43"/>
      <c r="AI810" s="43"/>
      <c r="AJ810" s="43"/>
      <c r="AK810" s="43"/>
      <c r="AL810" s="45"/>
      <c r="AM810" s="197">
        <f>IF(AQ810=1,SUM(H810:I810,L810:O810,R810:U810,X810:AA810,AD810:AG810,AI810:AK810),
IF(AQ810=2,SUM(H810:K810,N810:Q810,T810:W810,Z810:AC810,AF810:AI810),
IF(AQ810=3,SUM(J810:M810,P810:S810,V810:Y810,AB810:AE810,AH810:AK810),SUM(Таблица1[[#This Row],[1]:[31]])-Таблица1[[#This Row],[Столбец1]])))</f>
        <v>0</v>
      </c>
      <c r="AN810" s="269">
        <f t="array" ref="AN810">IF(AQ810=1,SUM(J810:K810,P810:Q810,V810:W810,AB810:AC810,AH810:AI810),
IF(AQ810=2,SUM(L810:M810,R810:S810,X810:Y810,AD810:AE810),
IF(AQ810=3,SUM(H810:I810,N810:O810,T810:U810,Z810:AA810,AF810:AG810),
SUM(IFERROR(WEEKDAY($H$2:$AL$2,2)&gt;5,)*H810:AL810))))</f>
        <v>0</v>
      </c>
      <c r="AO810" s="271" t="b">
        <f>IF(AR810&lt;=3,(IF((G810="5/24"),((база!$M$6*Таблица1[[#This Row],[сумма]]*Таблица1[[#This Row],[коэф]])),
IF((G810="4/24"),((база!$M$5*Таблица1[[#This Row],[сумма]]*Таблица1[[#This Row],[коэф]])),
IF((G810="3/24"),((база!$M$4*Таблица1[[#This Row],[сумма]]*Таблица1[[#This Row],[коэф]])),
IF((G810="5/16"),((база!$L$6*Таблица1[[#This Row],[сумма]]*Таблица1[[#This Row],[коэф]])),
IF((G810="4/16"),((база!$L$5*Таблица1[[#This Row],[сумма]]*Таблица1[[#This Row],[коэф]])),
IF((G810="3/16"),((база!$L$4*Таблица1[[#This Row],[сумма]]*Таблица1[[#This Row],[коэф]])),
IF((G810="4/4"),((база!$I$5*Таблица1[[#This Row],[сумма]]*Таблица1[[#This Row],[коэф]])),
IF(OR(G810="2/4",G810="3/4"),((база!$I$4*Таблица1[[#This Row],[сумма]]*Таблица1[[#This Row],[коэф]])),
IF((G810="5/8"),((база!$J$6*Таблица1[[#This Row],[сумма]]*Таблица1[[#This Row],[коэф]])),
IF((G810="4/8"),((база!$J$5*Таблица1[[#This Row],[сумма]]*Таблица1[[#This Row],[коэф]])),
IF(OR(G810="3/8",G810="2/8"),((база!$J$4*Таблица1[[#This Row],[сумма]]*Таблица1[[#This Row],[коэф]])))))))))))))),
(IF((G810="5/24"),((база!$M$6*Таблица1[[#This Row],[сумма]]*Таблица1[[#This Row],[коэф]])),
IF(OR(G810="4/24",G810="3/24"),((база!$M$5*Таблица1[[#This Row],[сумма]]*Таблица1[[#This Row],[коэф]])),
IF((G810="5/16"),((база!$L$6*Таблица1[[#This Row],[сумма]]*Таблица1[[#This Row],[коэф]])),
IF(OR(G810="4/16",G810="3/16"),((база!$L$5*Таблица1[[#This Row],[сумма]]*Таблица1[[#This Row],[коэф]])),
IF(OR(G810="2/4",G810="3/4",G810="4/4"),((база!$I$5*Таблица1[[#This Row],[сумма]]*Таблица1[[#This Row],[коэф]])),
IF((G810="5/8"),((база!$J$6*Таблица1[[#This Row],[сумма]]*Таблица1[[#This Row],[коэф]])),
IF(OR(G810="4/8",G810="3/8",G810="2/8"),((база!$J$5*Таблица1[[#This Row],[сумма]]*Таблица1[[#This Row],[коэф]])))))))))))</f>
        <v>0</v>
      </c>
      <c r="AP810" s="696" t="b">
        <f>IF(AR810&lt;=3,(IF((G810="5/24"),((база!$M$6*2*Таблица1[[#This Row],[Столбец1]]*Таблица1[[#This Row],[коэф]])),
IF((G810="4/24"),((база!$M$5*2*Таблица1[[#This Row],[Столбец1]]*Таблица1[[#This Row],[коэф]])),
IF((G810="3/24"),((база!$M$4*2*Таблица1[[#This Row],[Столбец1]]*Таблица1[[#This Row],[коэф]])),
IF((G810="5/16"),((база!$L$6*2*Таблица1[[#This Row],[Столбец1]]*Таблица1[[#This Row],[коэф]])),
IF((G810="4/16"),((база!$L$5*2*Таблица1[[#This Row],[Столбец1]]*Таблица1[[#This Row],[коэф]])),
IF((G810="3/16"),((база!$L$4*2*Таблица1[[#This Row],[Столбец1]]*Таблица1[[#This Row],[коэф]])),
IF((G810="4/4"),((база!$I$5*2*Таблица1[[#This Row],[Столбец1]]*Таблица1[[#This Row],[коэф]])),
IF(OR(G810="2/4",G810="3/4"),((база!$I$4*2*Таблица1[[#This Row],[Столбец1]]*Таблица1[[#This Row],[коэф]])),
IF((G810="5/8"),((база!$J$6*2*Таблица1[[#This Row],[Столбец1]]*Таблица1[[#This Row],[коэф]])),
IF((G810="4/8"),((база!$J$5*2*Таблица1[[#This Row],[Столбец1]]*Таблица1[[#This Row],[коэф]])),
IF(OR(G810="3/8",G810="2/8"),((база!$J$4*2*Таблица1[[#This Row],[Столбец1]]*Таблица1[[#This Row],[коэф]])))))))))))))),
(IF((G810="5/24"),((база!$M$6*2*Таблица1[[#This Row],[Столбец1]]*Таблица1[[#This Row],[коэф]])),
IF(OR(G810="4/24",G810="3/24"),((база!$M$5*2*Таблица1[[#This Row],[Столбец1]]*Таблица1[[#This Row],[коэф]])),
IF((G810="5/16"),((база!$L$6*2*Таблица1[[#This Row],[Столбец1]]*Таблица1[[#This Row],[коэф]])),
IF(OR(G810="4/16",G810="3/16"),((база!$L$5*2*Таблица1[[#This Row],[Столбец1]]*Таблица1[[#This Row],[коэф]])),
IF(OR(G810="2/4",G810="3/4",G810="4/4"),((база!$I$5*2*Таблица1[[#This Row],[Столбец1]]*Таблица1[[#This Row],[коэф]])),
IF((G810="5/8"),((база!$J$6*2*Таблица1[[#This Row],[Столбец1]]*Таблица1[[#This Row],[коэф]])),
IF(OR(G810="4/8",G810="3/8",G810="2/8"),((база!$J$5*2*Таблица1[[#This Row],[Столбец1]]*Таблица1[[#This Row],[коэф]])))))))))))</f>
        <v>0</v>
      </c>
      <c r="AQ810" s="678" t="str">
        <f>IFERROR(INDEX(база!T:T, MATCH(F810,база!Q:Q,0)),"")</f>
        <v/>
      </c>
      <c r="AR810" s="193">
        <f>IFERROR(INDEX(база!D:D, MATCH(F810,база!B:B,0)),"")</f>
        <v>0</v>
      </c>
    </row>
    <row r="811" spans="1:44" ht="15">
      <c r="A811" s="59"/>
      <c r="B811" s="215"/>
      <c r="C811" s="277"/>
      <c r="D811" s="55"/>
      <c r="E811" s="196"/>
      <c r="F811" s="651"/>
      <c r="G811" s="42"/>
      <c r="H811" s="539"/>
      <c r="I811" s="539"/>
      <c r="J811" s="539"/>
      <c r="K811" s="539"/>
      <c r="L811" s="539"/>
      <c r="M811" s="539"/>
      <c r="N811" s="539"/>
      <c r="O811" s="539"/>
      <c r="P811" s="278"/>
      <c r="Q811" s="539"/>
      <c r="R811" s="539"/>
      <c r="S811" s="539"/>
      <c r="T811" s="539"/>
      <c r="U811" s="539"/>
      <c r="V811" s="539"/>
      <c r="W811" s="539"/>
      <c r="X811" s="539"/>
      <c r="Y811" s="539"/>
      <c r="Z811" s="539"/>
      <c r="AA811" s="539"/>
      <c r="AB811" s="539"/>
      <c r="AC811" s="539"/>
      <c r="AD811" s="43"/>
      <c r="AE811" s="43"/>
      <c r="AF811" s="238"/>
      <c r="AG811" s="43"/>
      <c r="AH811" s="43"/>
      <c r="AI811" s="238"/>
      <c r="AJ811" s="238"/>
      <c r="AK811" s="238"/>
      <c r="AL811" s="238"/>
      <c r="AM811" s="197">
        <f>IF(AQ811=1,SUM(H811:I811,L811:O811,R811:U811,X811:AA811,AD811:AG811,AI811:AK811),
IF(AQ811=2,SUM(H811:K811,N811:Q811,T811:W811,Z811:AC811,AF811:AI811),
IF(AQ811=3,SUM(J811:M811,P811:S811,V811:Y811,AB811:AE811,AH811:AK811),SUM(Таблица1[[#This Row],[1]:[31]])-Таблица1[[#This Row],[Столбец1]])))</f>
        <v>0</v>
      </c>
      <c r="AN811" s="269">
        <f t="array" ref="AN811">IF(AQ811=1,SUM(J811:K811,P811:Q811,V811:W811,AB811:AC811,AH811:AI811),
IF(AQ811=2,SUM(L811:M811,R811:S811,X811:Y811,AD811:AE811),
IF(AQ811=3,SUM(H811:I811,N811:O811,T811:U811,Z811:AA811,AF811:AG811),
SUM(IFERROR(WEEKDAY($H$2:$AL$2,2)&gt;5,)*H811:AL811))))</f>
        <v>0</v>
      </c>
      <c r="AO811" s="271" t="b">
        <f>IF(AR811&lt;=3,(IF((G811="5/24"),((база!$M$6*Таблица1[[#This Row],[сумма]]*Таблица1[[#This Row],[коэф]])),
IF((G811="4/24"),((база!$M$5*Таблица1[[#This Row],[сумма]]*Таблица1[[#This Row],[коэф]])),
IF((G811="3/24"),((база!$M$4*Таблица1[[#This Row],[сумма]]*Таблица1[[#This Row],[коэф]])),
IF((G811="5/16"),((база!$L$6*Таблица1[[#This Row],[сумма]]*Таблица1[[#This Row],[коэф]])),
IF((G811="4/16"),((база!$L$5*Таблица1[[#This Row],[сумма]]*Таблица1[[#This Row],[коэф]])),
IF((G811="3/16"),((база!$L$4*Таблица1[[#This Row],[сумма]]*Таблица1[[#This Row],[коэф]])),
IF((G811="4/4"),((база!$I$5*Таблица1[[#This Row],[сумма]]*Таблица1[[#This Row],[коэф]])),
IF(OR(G811="2/4",G811="3/4"),((база!$I$4*Таблица1[[#This Row],[сумма]]*Таблица1[[#This Row],[коэф]])),
IF((G811="5/8"),((база!$J$6*Таблица1[[#This Row],[сумма]]*Таблица1[[#This Row],[коэф]])),
IF((G811="4/8"),((база!$J$5*Таблица1[[#This Row],[сумма]]*Таблица1[[#This Row],[коэф]])),
IF(OR(G811="3/8",G811="2/8"),((база!$J$4*Таблица1[[#This Row],[сумма]]*Таблица1[[#This Row],[коэф]])))))))))))))),
(IF((G811="5/24"),((база!$M$6*Таблица1[[#This Row],[сумма]]*Таблица1[[#This Row],[коэф]])),
IF(OR(G811="4/24",G811="3/24"),((база!$M$5*Таблица1[[#This Row],[сумма]]*Таблица1[[#This Row],[коэф]])),
IF((G811="5/16"),((база!$L$6*Таблица1[[#This Row],[сумма]]*Таблица1[[#This Row],[коэф]])),
IF(OR(G811="4/16",G811="3/16"),((база!$L$5*Таблица1[[#This Row],[сумма]]*Таблица1[[#This Row],[коэф]])),
IF(OR(G811="2/4",G811="3/4",G811="4/4"),((база!$I$5*Таблица1[[#This Row],[сумма]]*Таблица1[[#This Row],[коэф]])),
IF((G811="5/8"),((база!$J$6*Таблица1[[#This Row],[сумма]]*Таблица1[[#This Row],[коэф]])),
IF(OR(G811="4/8",G811="3/8",G811="2/8"),((база!$J$5*Таблица1[[#This Row],[сумма]]*Таблица1[[#This Row],[коэф]])))))))))))</f>
        <v>0</v>
      </c>
      <c r="AP811" s="696" t="b">
        <f>IF(AR811&lt;=3,(IF((G811="5/24"),((база!$M$6*2*Таблица1[[#This Row],[Столбец1]]*Таблица1[[#This Row],[коэф]])),
IF((G811="4/24"),((база!$M$5*2*Таблица1[[#This Row],[Столбец1]]*Таблица1[[#This Row],[коэф]])),
IF((G811="3/24"),((база!$M$4*2*Таблица1[[#This Row],[Столбец1]]*Таблица1[[#This Row],[коэф]])),
IF((G811="5/16"),((база!$L$6*2*Таблица1[[#This Row],[Столбец1]]*Таблица1[[#This Row],[коэф]])),
IF((G811="4/16"),((база!$L$5*2*Таблица1[[#This Row],[Столбец1]]*Таблица1[[#This Row],[коэф]])),
IF((G811="3/16"),((база!$L$4*2*Таблица1[[#This Row],[Столбец1]]*Таблица1[[#This Row],[коэф]])),
IF((G811="4/4"),((база!$I$5*2*Таблица1[[#This Row],[Столбец1]]*Таблица1[[#This Row],[коэф]])),
IF(OR(G811="2/4",G811="3/4"),((база!$I$4*2*Таблица1[[#This Row],[Столбец1]]*Таблица1[[#This Row],[коэф]])),
IF((G811="5/8"),((база!$J$6*2*Таблица1[[#This Row],[Столбец1]]*Таблица1[[#This Row],[коэф]])),
IF((G811="4/8"),((база!$J$5*2*Таблица1[[#This Row],[Столбец1]]*Таблица1[[#This Row],[коэф]])),
IF(OR(G811="3/8",G811="2/8"),((база!$J$4*2*Таблица1[[#This Row],[Столбец1]]*Таблица1[[#This Row],[коэф]])))))))))))))),
(IF((G811="5/24"),((база!$M$6*2*Таблица1[[#This Row],[Столбец1]]*Таблица1[[#This Row],[коэф]])),
IF(OR(G811="4/24",G811="3/24"),((база!$M$5*2*Таблица1[[#This Row],[Столбец1]]*Таблица1[[#This Row],[коэф]])),
IF((G811="5/16"),((база!$L$6*2*Таблица1[[#This Row],[Столбец1]]*Таблица1[[#This Row],[коэф]])),
IF(OR(G811="4/16",G811="3/16"),((база!$L$5*2*Таблица1[[#This Row],[Столбец1]]*Таблица1[[#This Row],[коэф]])),
IF(OR(G811="2/4",G811="3/4",G811="4/4"),((база!$I$5*2*Таблица1[[#This Row],[Столбец1]]*Таблица1[[#This Row],[коэф]])),
IF((G811="5/8"),((база!$J$6*2*Таблица1[[#This Row],[Столбец1]]*Таблица1[[#This Row],[коэф]])),
IF(OR(G811="4/8",G811="3/8",G811="2/8"),((база!$J$5*2*Таблица1[[#This Row],[Столбец1]]*Таблица1[[#This Row],[коэф]])))))))))))</f>
        <v>0</v>
      </c>
      <c r="AQ811" s="678" t="str">
        <f>IFERROR(INDEX(база!T:T, MATCH(F811,база!Q:Q,0)),"")</f>
        <v/>
      </c>
      <c r="AR811" s="193">
        <f>IFERROR(INDEX(база!D:D, MATCH(F811,база!B:B,0)),"")</f>
        <v>0</v>
      </c>
    </row>
    <row r="812" spans="1:44" ht="15">
      <c r="A812" s="59"/>
      <c r="B812" s="215"/>
      <c r="C812" s="277"/>
      <c r="D812" s="55"/>
      <c r="E812" s="196"/>
      <c r="F812" s="651"/>
      <c r="G812" s="42"/>
      <c r="H812" s="539"/>
      <c r="I812" s="539"/>
      <c r="J812" s="539"/>
      <c r="K812" s="539"/>
      <c r="L812" s="539"/>
      <c r="M812" s="539"/>
      <c r="N812" s="539"/>
      <c r="O812" s="539"/>
      <c r="P812" s="278"/>
      <c r="Q812" s="539"/>
      <c r="R812" s="539"/>
      <c r="S812" s="539"/>
      <c r="T812" s="539"/>
      <c r="U812" s="539"/>
      <c r="V812" s="539"/>
      <c r="W812" s="539"/>
      <c r="X812" s="539"/>
      <c r="Y812" s="539"/>
      <c r="Z812" s="539"/>
      <c r="AA812" s="539"/>
      <c r="AB812" s="539"/>
      <c r="AC812" s="539"/>
      <c r="AD812" s="43"/>
      <c r="AE812" s="43"/>
      <c r="AF812" s="238"/>
      <c r="AG812" s="43"/>
      <c r="AH812" s="43"/>
      <c r="AI812" s="43"/>
      <c r="AJ812" s="43"/>
      <c r="AK812" s="43"/>
      <c r="AL812" s="45"/>
      <c r="AM812" s="197">
        <f>IF(AQ812=1,SUM(H812:I812,L812:O812,R812:U812,X812:AA812,AD812:AG812,AI812:AK812),
IF(AQ812=2,SUM(H812:K812,N812:Q812,T812:W812,Z812:AC812,AF812:AI812),
IF(AQ812=3,SUM(J812:M812,P812:S812,V812:Y812,AB812:AE812,AH812:AK812),SUM(Таблица1[[#This Row],[1]:[31]])-Таблица1[[#This Row],[Столбец1]])))</f>
        <v>0</v>
      </c>
      <c r="AN812" s="269">
        <f t="array" ref="AN812">IF(AQ812=1,SUM(J812:K812,P812:Q812,V812:W812,AB812:AC812,AH812:AI812),
IF(AQ812=2,SUM(L812:M812,R812:S812,X812:Y812,AD812:AE812),
IF(AQ812=3,SUM(H812:I812,N812:O812,T812:U812,Z812:AA812,AF812:AG812),
SUM(IFERROR(WEEKDAY($H$2:$AL$2,2)&gt;5,)*H812:AL812))))</f>
        <v>0</v>
      </c>
      <c r="AO812" s="271" t="b">
        <f>IF(AR812&lt;=3,(IF((G812="5/24"),((база!$M$6*Таблица1[[#This Row],[сумма]]*Таблица1[[#This Row],[коэф]])),
IF((G812="4/24"),((база!$M$5*Таблица1[[#This Row],[сумма]]*Таблица1[[#This Row],[коэф]])),
IF((G812="3/24"),((база!$M$4*Таблица1[[#This Row],[сумма]]*Таблица1[[#This Row],[коэф]])),
IF((G812="5/16"),((база!$L$6*Таблица1[[#This Row],[сумма]]*Таблица1[[#This Row],[коэф]])),
IF((G812="4/16"),((база!$L$5*Таблица1[[#This Row],[сумма]]*Таблица1[[#This Row],[коэф]])),
IF((G812="3/16"),((база!$L$4*Таблица1[[#This Row],[сумма]]*Таблица1[[#This Row],[коэф]])),
IF((G812="4/4"),((база!$I$5*Таблица1[[#This Row],[сумма]]*Таблица1[[#This Row],[коэф]])),
IF(OR(G812="2/4",G812="3/4"),((база!$I$4*Таблица1[[#This Row],[сумма]]*Таблица1[[#This Row],[коэф]])),
IF((G812="5/8"),((база!$J$6*Таблица1[[#This Row],[сумма]]*Таблица1[[#This Row],[коэф]])),
IF((G812="4/8"),((база!$J$5*Таблица1[[#This Row],[сумма]]*Таблица1[[#This Row],[коэф]])),
IF(OR(G812="3/8",G812="2/8"),((база!$J$4*Таблица1[[#This Row],[сумма]]*Таблица1[[#This Row],[коэф]])))))))))))))),
(IF((G812="5/24"),((база!$M$6*Таблица1[[#This Row],[сумма]]*Таблица1[[#This Row],[коэф]])),
IF(OR(G812="4/24",G812="3/24"),((база!$M$5*Таблица1[[#This Row],[сумма]]*Таблица1[[#This Row],[коэф]])),
IF((G812="5/16"),((база!$L$6*Таблица1[[#This Row],[сумма]]*Таблица1[[#This Row],[коэф]])),
IF(OR(G812="4/16",G812="3/16"),((база!$L$5*Таблица1[[#This Row],[сумма]]*Таблица1[[#This Row],[коэф]])),
IF(OR(G812="2/4",G812="3/4",G812="4/4"),((база!$I$5*Таблица1[[#This Row],[сумма]]*Таблица1[[#This Row],[коэф]])),
IF((G812="5/8"),((база!$J$6*Таблица1[[#This Row],[сумма]]*Таблица1[[#This Row],[коэф]])),
IF(OR(G812="4/8",G812="3/8",G812="2/8"),((база!$J$5*Таблица1[[#This Row],[сумма]]*Таблица1[[#This Row],[коэф]])))))))))))</f>
        <v>0</v>
      </c>
      <c r="AP812" s="696" t="b">
        <f>IF(AR812&lt;=3,(IF((G812="5/24"),((база!$M$6*2*Таблица1[[#This Row],[Столбец1]]*Таблица1[[#This Row],[коэф]])),
IF((G812="4/24"),((база!$M$5*2*Таблица1[[#This Row],[Столбец1]]*Таблица1[[#This Row],[коэф]])),
IF((G812="3/24"),((база!$M$4*2*Таблица1[[#This Row],[Столбец1]]*Таблица1[[#This Row],[коэф]])),
IF((G812="5/16"),((база!$L$6*2*Таблица1[[#This Row],[Столбец1]]*Таблица1[[#This Row],[коэф]])),
IF((G812="4/16"),((база!$L$5*2*Таблица1[[#This Row],[Столбец1]]*Таблица1[[#This Row],[коэф]])),
IF((G812="3/16"),((база!$L$4*2*Таблица1[[#This Row],[Столбец1]]*Таблица1[[#This Row],[коэф]])),
IF((G812="4/4"),((база!$I$5*2*Таблица1[[#This Row],[Столбец1]]*Таблица1[[#This Row],[коэф]])),
IF(OR(G812="2/4",G812="3/4"),((база!$I$4*2*Таблица1[[#This Row],[Столбец1]]*Таблица1[[#This Row],[коэф]])),
IF((G812="5/8"),((база!$J$6*2*Таблица1[[#This Row],[Столбец1]]*Таблица1[[#This Row],[коэф]])),
IF((G812="4/8"),((база!$J$5*2*Таблица1[[#This Row],[Столбец1]]*Таблица1[[#This Row],[коэф]])),
IF(OR(G812="3/8",G812="2/8"),((база!$J$4*2*Таблица1[[#This Row],[Столбец1]]*Таблица1[[#This Row],[коэф]])))))))))))))),
(IF((G812="5/24"),((база!$M$6*2*Таблица1[[#This Row],[Столбец1]]*Таблица1[[#This Row],[коэф]])),
IF(OR(G812="4/24",G812="3/24"),((база!$M$5*2*Таблица1[[#This Row],[Столбец1]]*Таблица1[[#This Row],[коэф]])),
IF((G812="5/16"),((база!$L$6*2*Таблица1[[#This Row],[Столбец1]]*Таблица1[[#This Row],[коэф]])),
IF(OR(G812="4/16",G812="3/16"),((база!$L$5*2*Таблица1[[#This Row],[Столбец1]]*Таблица1[[#This Row],[коэф]])),
IF(OR(G812="2/4",G812="3/4",G812="4/4"),((база!$I$5*2*Таблица1[[#This Row],[Столбец1]]*Таблица1[[#This Row],[коэф]])),
IF((G812="5/8"),((база!$J$6*2*Таблица1[[#This Row],[Столбец1]]*Таблица1[[#This Row],[коэф]])),
IF(OR(G812="4/8",G812="3/8",G812="2/8"),((база!$J$5*2*Таблица1[[#This Row],[Столбец1]]*Таблица1[[#This Row],[коэф]])))))))))))</f>
        <v>0</v>
      </c>
      <c r="AQ812" s="678" t="str">
        <f>IFERROR(INDEX(база!T:T, MATCH(F812,база!Q:Q,0)),"")</f>
        <v/>
      </c>
      <c r="AR812" s="193">
        <f>IFERROR(INDEX(база!D:D, MATCH(F812,база!B:B,0)),"")</f>
        <v>0</v>
      </c>
    </row>
    <row r="813" spans="1:44" ht="15">
      <c r="A813" s="59"/>
      <c r="B813" s="215"/>
      <c r="C813" s="277"/>
      <c r="D813" s="55"/>
      <c r="E813" s="196"/>
      <c r="F813" s="651"/>
      <c r="G813" s="42"/>
      <c r="H813" s="539"/>
      <c r="I813" s="539"/>
      <c r="J813" s="539"/>
      <c r="K813" s="539"/>
      <c r="L813" s="539"/>
      <c r="M813" s="539"/>
      <c r="N813" s="539"/>
      <c r="O813" s="539"/>
      <c r="P813" s="278"/>
      <c r="Q813" s="539"/>
      <c r="R813" s="539"/>
      <c r="S813" s="539"/>
      <c r="T813" s="539"/>
      <c r="U813" s="539"/>
      <c r="V813" s="539"/>
      <c r="W813" s="539"/>
      <c r="X813" s="539"/>
      <c r="Y813" s="539"/>
      <c r="Z813" s="539"/>
      <c r="AA813" s="539"/>
      <c r="AB813" s="539"/>
      <c r="AC813" s="539"/>
      <c r="AD813" s="43"/>
      <c r="AE813" s="43"/>
      <c r="AF813" s="238"/>
      <c r="AG813" s="43"/>
      <c r="AH813" s="43"/>
      <c r="AI813" s="238"/>
      <c r="AJ813" s="238"/>
      <c r="AK813" s="238"/>
      <c r="AL813" s="238"/>
      <c r="AM813" s="197">
        <f>IF(AQ813=1,SUM(H813:I813,L813:O813,R813:U813,X813:AA813,AD813:AG813,AI813:AK813),
IF(AQ813=2,SUM(H813:K813,N813:Q813,T813:W813,Z813:AC813,AF813:AI813),
IF(AQ813=3,SUM(J813:M813,P813:S813,V813:Y813,AB813:AE813,AH813:AK813),SUM(Таблица1[[#This Row],[1]:[31]])-Таблица1[[#This Row],[Столбец1]])))</f>
        <v>0</v>
      </c>
      <c r="AN813" s="269">
        <f t="array" ref="AN813">IF(AQ813=1,SUM(J813:K813,P813:Q813,V813:W813,AB813:AC813,AH813:AI813),
IF(AQ813=2,SUM(L813:M813,R813:S813,X813:Y813,AD813:AE813),
IF(AQ813=3,SUM(H813:I813,N813:O813,T813:U813,Z813:AA813,AF813:AG813),
SUM(IFERROR(WEEKDAY($H$2:$AL$2,2)&gt;5,)*H813:AL813))))</f>
        <v>0</v>
      </c>
      <c r="AO813" s="271" t="b">
        <f>IF(AR813&lt;=3,(IF((G813="5/24"),((база!$M$6*Таблица1[[#This Row],[сумма]]*Таблица1[[#This Row],[коэф]])),
IF((G813="4/24"),((база!$M$5*Таблица1[[#This Row],[сумма]]*Таблица1[[#This Row],[коэф]])),
IF((G813="3/24"),((база!$M$4*Таблица1[[#This Row],[сумма]]*Таблица1[[#This Row],[коэф]])),
IF((G813="5/16"),((база!$L$6*Таблица1[[#This Row],[сумма]]*Таблица1[[#This Row],[коэф]])),
IF((G813="4/16"),((база!$L$5*Таблица1[[#This Row],[сумма]]*Таблица1[[#This Row],[коэф]])),
IF((G813="3/16"),((база!$L$4*Таблица1[[#This Row],[сумма]]*Таблица1[[#This Row],[коэф]])),
IF((G813="4/4"),((база!$I$5*Таблица1[[#This Row],[сумма]]*Таблица1[[#This Row],[коэф]])),
IF(OR(G813="2/4",G813="3/4"),((база!$I$4*Таблица1[[#This Row],[сумма]]*Таблица1[[#This Row],[коэф]])),
IF((G813="5/8"),((база!$J$6*Таблица1[[#This Row],[сумма]]*Таблица1[[#This Row],[коэф]])),
IF((G813="4/8"),((база!$J$5*Таблица1[[#This Row],[сумма]]*Таблица1[[#This Row],[коэф]])),
IF(OR(G813="3/8",G813="2/8"),((база!$J$4*Таблица1[[#This Row],[сумма]]*Таблица1[[#This Row],[коэф]])))))))))))))),
(IF((G813="5/24"),((база!$M$6*Таблица1[[#This Row],[сумма]]*Таблица1[[#This Row],[коэф]])),
IF(OR(G813="4/24",G813="3/24"),((база!$M$5*Таблица1[[#This Row],[сумма]]*Таблица1[[#This Row],[коэф]])),
IF((G813="5/16"),((база!$L$6*Таблица1[[#This Row],[сумма]]*Таблица1[[#This Row],[коэф]])),
IF(OR(G813="4/16",G813="3/16"),((база!$L$5*Таблица1[[#This Row],[сумма]]*Таблица1[[#This Row],[коэф]])),
IF(OR(G813="2/4",G813="3/4",G813="4/4"),((база!$I$5*Таблица1[[#This Row],[сумма]]*Таблица1[[#This Row],[коэф]])),
IF((G813="5/8"),((база!$J$6*Таблица1[[#This Row],[сумма]]*Таблица1[[#This Row],[коэф]])),
IF(OR(G813="4/8",G813="3/8",G813="2/8"),((база!$J$5*Таблица1[[#This Row],[сумма]]*Таблица1[[#This Row],[коэф]])))))))))))</f>
        <v>0</v>
      </c>
      <c r="AP813" s="696" t="b">
        <f>IF(AR813&lt;=3,(IF((G813="5/24"),((база!$M$6*2*Таблица1[[#This Row],[Столбец1]]*Таблица1[[#This Row],[коэф]])),
IF((G813="4/24"),((база!$M$5*2*Таблица1[[#This Row],[Столбец1]]*Таблица1[[#This Row],[коэф]])),
IF((G813="3/24"),((база!$M$4*2*Таблица1[[#This Row],[Столбец1]]*Таблица1[[#This Row],[коэф]])),
IF((G813="5/16"),((база!$L$6*2*Таблица1[[#This Row],[Столбец1]]*Таблица1[[#This Row],[коэф]])),
IF((G813="4/16"),((база!$L$5*2*Таблица1[[#This Row],[Столбец1]]*Таблица1[[#This Row],[коэф]])),
IF((G813="3/16"),((база!$L$4*2*Таблица1[[#This Row],[Столбец1]]*Таблица1[[#This Row],[коэф]])),
IF((G813="4/4"),((база!$I$5*2*Таблица1[[#This Row],[Столбец1]]*Таблица1[[#This Row],[коэф]])),
IF(OR(G813="2/4",G813="3/4"),((база!$I$4*2*Таблица1[[#This Row],[Столбец1]]*Таблица1[[#This Row],[коэф]])),
IF((G813="5/8"),((база!$J$6*2*Таблица1[[#This Row],[Столбец1]]*Таблица1[[#This Row],[коэф]])),
IF((G813="4/8"),((база!$J$5*2*Таблица1[[#This Row],[Столбец1]]*Таблица1[[#This Row],[коэф]])),
IF(OR(G813="3/8",G813="2/8"),((база!$J$4*2*Таблица1[[#This Row],[Столбец1]]*Таблица1[[#This Row],[коэф]])))))))))))))),
(IF((G813="5/24"),((база!$M$6*2*Таблица1[[#This Row],[Столбец1]]*Таблица1[[#This Row],[коэф]])),
IF(OR(G813="4/24",G813="3/24"),((база!$M$5*2*Таблица1[[#This Row],[Столбец1]]*Таблица1[[#This Row],[коэф]])),
IF((G813="5/16"),((база!$L$6*2*Таблица1[[#This Row],[Столбец1]]*Таблица1[[#This Row],[коэф]])),
IF(OR(G813="4/16",G813="3/16"),((база!$L$5*2*Таблица1[[#This Row],[Столбец1]]*Таблица1[[#This Row],[коэф]])),
IF(OR(G813="2/4",G813="3/4",G813="4/4"),((база!$I$5*2*Таблица1[[#This Row],[Столбец1]]*Таблица1[[#This Row],[коэф]])),
IF((G813="5/8"),((база!$J$6*2*Таблица1[[#This Row],[Столбец1]]*Таблица1[[#This Row],[коэф]])),
IF(OR(G813="4/8",G813="3/8",G813="2/8"),((база!$J$5*2*Таблица1[[#This Row],[Столбец1]]*Таблица1[[#This Row],[коэф]])))))))))))</f>
        <v>0</v>
      </c>
      <c r="AQ813" s="678" t="str">
        <f>IFERROR(INDEX(база!T:T, MATCH(F813,база!Q:Q,0)),"")</f>
        <v/>
      </c>
      <c r="AR813" s="193">
        <f>IFERROR(INDEX(база!D:D, MATCH(F813,база!B:B,0)),"")</f>
        <v>0</v>
      </c>
    </row>
    <row r="814" spans="1:44" ht="15">
      <c r="A814" s="59"/>
      <c r="B814" s="215"/>
      <c r="C814" s="277"/>
      <c r="D814" s="55"/>
      <c r="E814" s="196"/>
      <c r="F814" s="651"/>
      <c r="G814" s="42"/>
      <c r="H814" s="539"/>
      <c r="I814" s="539"/>
      <c r="J814" s="539"/>
      <c r="K814" s="539"/>
      <c r="L814" s="539"/>
      <c r="M814" s="539"/>
      <c r="N814" s="539"/>
      <c r="O814" s="539"/>
      <c r="P814" s="278"/>
      <c r="Q814" s="539"/>
      <c r="R814" s="539"/>
      <c r="S814" s="539"/>
      <c r="T814" s="539"/>
      <c r="U814" s="539"/>
      <c r="V814" s="539"/>
      <c r="W814" s="539"/>
      <c r="X814" s="539"/>
      <c r="Y814" s="539"/>
      <c r="Z814" s="539"/>
      <c r="AA814" s="539"/>
      <c r="AB814" s="539"/>
      <c r="AC814" s="539"/>
      <c r="AD814" s="43"/>
      <c r="AE814" s="43"/>
      <c r="AF814" s="238"/>
      <c r="AG814" s="43"/>
      <c r="AH814" s="43"/>
      <c r="AI814" s="43"/>
      <c r="AJ814" s="43"/>
      <c r="AK814" s="43"/>
      <c r="AL814" s="45"/>
      <c r="AM814" s="197">
        <f>IF(AQ814=1,SUM(H814:I814,L814:O814,R814:U814,X814:AA814,AD814:AG814,AI814:AK814),
IF(AQ814=2,SUM(H814:K814,N814:Q814,T814:W814,Z814:AC814,AF814:AI814),
IF(AQ814=3,SUM(J814:M814,P814:S814,V814:Y814,AB814:AE814,AH814:AK814),SUM(Таблица1[[#This Row],[1]:[31]])-Таблица1[[#This Row],[Столбец1]])))</f>
        <v>0</v>
      </c>
      <c r="AN814" s="269">
        <f t="array" ref="AN814">IF(AQ814=1,SUM(J814:K814,P814:Q814,V814:W814,AB814:AC814,AH814:AI814),
IF(AQ814=2,SUM(L814:M814,R814:S814,X814:Y814,AD814:AE814),
IF(AQ814=3,SUM(H814:I814,N814:O814,T814:U814,Z814:AA814,AF814:AG814),
SUM(IFERROR(WEEKDAY($H$2:$AL$2,2)&gt;5,)*H814:AL814))))</f>
        <v>0</v>
      </c>
      <c r="AO814" s="271" t="b">
        <f>IF(AR814&lt;=3,(IF((G814="5/24"),((база!$M$6*Таблица1[[#This Row],[сумма]]*Таблица1[[#This Row],[коэф]])),
IF((G814="4/24"),((база!$M$5*Таблица1[[#This Row],[сумма]]*Таблица1[[#This Row],[коэф]])),
IF((G814="3/24"),((база!$M$4*Таблица1[[#This Row],[сумма]]*Таблица1[[#This Row],[коэф]])),
IF((G814="5/16"),((база!$L$6*Таблица1[[#This Row],[сумма]]*Таблица1[[#This Row],[коэф]])),
IF((G814="4/16"),((база!$L$5*Таблица1[[#This Row],[сумма]]*Таблица1[[#This Row],[коэф]])),
IF((G814="3/16"),((база!$L$4*Таблица1[[#This Row],[сумма]]*Таблица1[[#This Row],[коэф]])),
IF((G814="4/4"),((база!$I$5*Таблица1[[#This Row],[сумма]]*Таблица1[[#This Row],[коэф]])),
IF(OR(G814="2/4",G814="3/4"),((база!$I$4*Таблица1[[#This Row],[сумма]]*Таблица1[[#This Row],[коэф]])),
IF((G814="5/8"),((база!$J$6*Таблица1[[#This Row],[сумма]]*Таблица1[[#This Row],[коэф]])),
IF((G814="4/8"),((база!$J$5*Таблица1[[#This Row],[сумма]]*Таблица1[[#This Row],[коэф]])),
IF(OR(G814="3/8",G814="2/8"),((база!$J$4*Таблица1[[#This Row],[сумма]]*Таблица1[[#This Row],[коэф]])))))))))))))),
(IF((G814="5/24"),((база!$M$6*Таблица1[[#This Row],[сумма]]*Таблица1[[#This Row],[коэф]])),
IF(OR(G814="4/24",G814="3/24"),((база!$M$5*Таблица1[[#This Row],[сумма]]*Таблица1[[#This Row],[коэф]])),
IF((G814="5/16"),((база!$L$6*Таблица1[[#This Row],[сумма]]*Таблица1[[#This Row],[коэф]])),
IF(OR(G814="4/16",G814="3/16"),((база!$L$5*Таблица1[[#This Row],[сумма]]*Таблица1[[#This Row],[коэф]])),
IF(OR(G814="2/4",G814="3/4",G814="4/4"),((база!$I$5*Таблица1[[#This Row],[сумма]]*Таблица1[[#This Row],[коэф]])),
IF((G814="5/8"),((база!$J$6*Таблица1[[#This Row],[сумма]]*Таблица1[[#This Row],[коэф]])),
IF(OR(G814="4/8",G814="3/8",G814="2/8"),((база!$J$5*Таблица1[[#This Row],[сумма]]*Таблица1[[#This Row],[коэф]])))))))))))</f>
        <v>0</v>
      </c>
      <c r="AP814" s="696" t="b">
        <f>IF(AR814&lt;=3,(IF((G814="5/24"),((база!$M$6*2*Таблица1[[#This Row],[Столбец1]]*Таблица1[[#This Row],[коэф]])),
IF((G814="4/24"),((база!$M$5*2*Таблица1[[#This Row],[Столбец1]]*Таблица1[[#This Row],[коэф]])),
IF((G814="3/24"),((база!$M$4*2*Таблица1[[#This Row],[Столбец1]]*Таблица1[[#This Row],[коэф]])),
IF((G814="5/16"),((база!$L$6*2*Таблица1[[#This Row],[Столбец1]]*Таблица1[[#This Row],[коэф]])),
IF((G814="4/16"),((база!$L$5*2*Таблица1[[#This Row],[Столбец1]]*Таблица1[[#This Row],[коэф]])),
IF((G814="3/16"),((база!$L$4*2*Таблица1[[#This Row],[Столбец1]]*Таблица1[[#This Row],[коэф]])),
IF((G814="4/4"),((база!$I$5*2*Таблица1[[#This Row],[Столбец1]]*Таблица1[[#This Row],[коэф]])),
IF(OR(G814="2/4",G814="3/4"),((база!$I$4*2*Таблица1[[#This Row],[Столбец1]]*Таблица1[[#This Row],[коэф]])),
IF((G814="5/8"),((база!$J$6*2*Таблица1[[#This Row],[Столбец1]]*Таблица1[[#This Row],[коэф]])),
IF((G814="4/8"),((база!$J$5*2*Таблица1[[#This Row],[Столбец1]]*Таблица1[[#This Row],[коэф]])),
IF(OR(G814="3/8",G814="2/8"),((база!$J$4*2*Таблица1[[#This Row],[Столбец1]]*Таблица1[[#This Row],[коэф]])))))))))))))),
(IF((G814="5/24"),((база!$M$6*2*Таблица1[[#This Row],[Столбец1]]*Таблица1[[#This Row],[коэф]])),
IF(OR(G814="4/24",G814="3/24"),((база!$M$5*2*Таблица1[[#This Row],[Столбец1]]*Таблица1[[#This Row],[коэф]])),
IF((G814="5/16"),((база!$L$6*2*Таблица1[[#This Row],[Столбец1]]*Таблица1[[#This Row],[коэф]])),
IF(OR(G814="4/16",G814="3/16"),((база!$L$5*2*Таблица1[[#This Row],[Столбец1]]*Таблица1[[#This Row],[коэф]])),
IF(OR(G814="2/4",G814="3/4",G814="4/4"),((база!$I$5*2*Таблица1[[#This Row],[Столбец1]]*Таблица1[[#This Row],[коэф]])),
IF((G814="5/8"),((база!$J$6*2*Таблица1[[#This Row],[Столбец1]]*Таблица1[[#This Row],[коэф]])),
IF(OR(G814="4/8",G814="3/8",G814="2/8"),((база!$J$5*2*Таблица1[[#This Row],[Столбец1]]*Таблица1[[#This Row],[коэф]])))))))))))</f>
        <v>0</v>
      </c>
      <c r="AQ814" s="678" t="str">
        <f>IFERROR(INDEX(база!T:T, MATCH(F814,база!Q:Q,0)),"")</f>
        <v/>
      </c>
      <c r="AR814" s="193">
        <f>IFERROR(INDEX(база!D:D, MATCH(F814,база!B:B,0)),"")</f>
        <v>0</v>
      </c>
    </row>
    <row r="815" spans="1:44" ht="15">
      <c r="A815" s="59"/>
      <c r="B815" s="215"/>
      <c r="C815" s="277"/>
      <c r="D815" s="55"/>
      <c r="E815" s="196"/>
      <c r="F815" s="651"/>
      <c r="G815" s="42"/>
      <c r="H815" s="539"/>
      <c r="I815" s="539"/>
      <c r="J815" s="539"/>
      <c r="K815" s="539"/>
      <c r="L815" s="539"/>
      <c r="M815" s="539"/>
      <c r="N815" s="539"/>
      <c r="O815" s="539"/>
      <c r="P815" s="278"/>
      <c r="Q815" s="539"/>
      <c r="R815" s="539"/>
      <c r="S815" s="539"/>
      <c r="T815" s="539"/>
      <c r="U815" s="539"/>
      <c r="V815" s="539"/>
      <c r="W815" s="539"/>
      <c r="X815" s="539"/>
      <c r="Y815" s="539"/>
      <c r="Z815" s="539"/>
      <c r="AA815" s="539"/>
      <c r="AB815" s="539"/>
      <c r="AC815" s="539"/>
      <c r="AD815" s="43"/>
      <c r="AE815" s="43"/>
      <c r="AF815" s="238"/>
      <c r="AG815" s="43"/>
      <c r="AH815" s="43"/>
      <c r="AI815" s="238"/>
      <c r="AJ815" s="238"/>
      <c r="AK815" s="238"/>
      <c r="AL815" s="238"/>
      <c r="AM815" s="197">
        <f>IF(AQ815=1,SUM(H815:I815,L815:O815,R815:U815,X815:AA815,AD815:AG815,AI815:AK815),
IF(AQ815=2,SUM(H815:K815,N815:Q815,T815:W815,Z815:AC815,AF815:AI815),
IF(AQ815=3,SUM(J815:M815,P815:S815,V815:Y815,AB815:AE815,AH815:AK815),SUM(Таблица1[[#This Row],[1]:[31]])-Таблица1[[#This Row],[Столбец1]])))</f>
        <v>0</v>
      </c>
      <c r="AN815" s="269">
        <f t="array" ref="AN815">IF(AQ815=1,SUM(J815:K815,P815:Q815,V815:W815,AB815:AC815,AH815:AI815),
IF(AQ815=2,SUM(L815:M815,R815:S815,X815:Y815,AD815:AE815),
IF(AQ815=3,SUM(H815:I815,N815:O815,T815:U815,Z815:AA815,AF815:AG815),
SUM(IFERROR(WEEKDAY($H$2:$AL$2,2)&gt;5,)*H815:AL815))))</f>
        <v>0</v>
      </c>
      <c r="AO815" s="271" t="b">
        <f>IF(AR815&lt;=3,(IF((G815="5/24"),((база!$M$6*Таблица1[[#This Row],[сумма]]*Таблица1[[#This Row],[коэф]])),
IF((G815="4/24"),((база!$M$5*Таблица1[[#This Row],[сумма]]*Таблица1[[#This Row],[коэф]])),
IF((G815="3/24"),((база!$M$4*Таблица1[[#This Row],[сумма]]*Таблица1[[#This Row],[коэф]])),
IF((G815="5/16"),((база!$L$6*Таблица1[[#This Row],[сумма]]*Таблица1[[#This Row],[коэф]])),
IF((G815="4/16"),((база!$L$5*Таблица1[[#This Row],[сумма]]*Таблица1[[#This Row],[коэф]])),
IF((G815="3/16"),((база!$L$4*Таблица1[[#This Row],[сумма]]*Таблица1[[#This Row],[коэф]])),
IF((G815="4/4"),((база!$I$5*Таблица1[[#This Row],[сумма]]*Таблица1[[#This Row],[коэф]])),
IF(OR(G815="2/4",G815="3/4"),((база!$I$4*Таблица1[[#This Row],[сумма]]*Таблица1[[#This Row],[коэф]])),
IF((G815="5/8"),((база!$J$6*Таблица1[[#This Row],[сумма]]*Таблица1[[#This Row],[коэф]])),
IF((G815="4/8"),((база!$J$5*Таблица1[[#This Row],[сумма]]*Таблица1[[#This Row],[коэф]])),
IF(OR(G815="3/8",G815="2/8"),((база!$J$4*Таблица1[[#This Row],[сумма]]*Таблица1[[#This Row],[коэф]])))))))))))))),
(IF((G815="5/24"),((база!$M$6*Таблица1[[#This Row],[сумма]]*Таблица1[[#This Row],[коэф]])),
IF(OR(G815="4/24",G815="3/24"),((база!$M$5*Таблица1[[#This Row],[сумма]]*Таблица1[[#This Row],[коэф]])),
IF((G815="5/16"),((база!$L$6*Таблица1[[#This Row],[сумма]]*Таблица1[[#This Row],[коэф]])),
IF(OR(G815="4/16",G815="3/16"),((база!$L$5*Таблица1[[#This Row],[сумма]]*Таблица1[[#This Row],[коэф]])),
IF(OR(G815="2/4",G815="3/4",G815="4/4"),((база!$I$5*Таблица1[[#This Row],[сумма]]*Таблица1[[#This Row],[коэф]])),
IF((G815="5/8"),((база!$J$6*Таблица1[[#This Row],[сумма]]*Таблица1[[#This Row],[коэф]])),
IF(OR(G815="4/8",G815="3/8",G815="2/8"),((база!$J$5*Таблица1[[#This Row],[сумма]]*Таблица1[[#This Row],[коэф]])))))))))))</f>
        <v>0</v>
      </c>
      <c r="AP815" s="696" t="b">
        <f>IF(AR815&lt;=3,(IF((G815="5/24"),((база!$M$6*2*Таблица1[[#This Row],[Столбец1]]*Таблица1[[#This Row],[коэф]])),
IF((G815="4/24"),((база!$M$5*2*Таблица1[[#This Row],[Столбец1]]*Таблица1[[#This Row],[коэф]])),
IF((G815="3/24"),((база!$M$4*2*Таблица1[[#This Row],[Столбец1]]*Таблица1[[#This Row],[коэф]])),
IF((G815="5/16"),((база!$L$6*2*Таблица1[[#This Row],[Столбец1]]*Таблица1[[#This Row],[коэф]])),
IF((G815="4/16"),((база!$L$5*2*Таблица1[[#This Row],[Столбец1]]*Таблица1[[#This Row],[коэф]])),
IF((G815="3/16"),((база!$L$4*2*Таблица1[[#This Row],[Столбец1]]*Таблица1[[#This Row],[коэф]])),
IF((G815="4/4"),((база!$I$5*2*Таблица1[[#This Row],[Столбец1]]*Таблица1[[#This Row],[коэф]])),
IF(OR(G815="2/4",G815="3/4"),((база!$I$4*2*Таблица1[[#This Row],[Столбец1]]*Таблица1[[#This Row],[коэф]])),
IF((G815="5/8"),((база!$J$6*2*Таблица1[[#This Row],[Столбец1]]*Таблица1[[#This Row],[коэф]])),
IF((G815="4/8"),((база!$J$5*2*Таблица1[[#This Row],[Столбец1]]*Таблица1[[#This Row],[коэф]])),
IF(OR(G815="3/8",G815="2/8"),((база!$J$4*2*Таблица1[[#This Row],[Столбец1]]*Таблица1[[#This Row],[коэф]])))))))))))))),
(IF((G815="5/24"),((база!$M$6*2*Таблица1[[#This Row],[Столбец1]]*Таблица1[[#This Row],[коэф]])),
IF(OR(G815="4/24",G815="3/24"),((база!$M$5*2*Таблица1[[#This Row],[Столбец1]]*Таблица1[[#This Row],[коэф]])),
IF((G815="5/16"),((база!$L$6*2*Таблица1[[#This Row],[Столбец1]]*Таблица1[[#This Row],[коэф]])),
IF(OR(G815="4/16",G815="3/16"),((база!$L$5*2*Таблица1[[#This Row],[Столбец1]]*Таблица1[[#This Row],[коэф]])),
IF(OR(G815="2/4",G815="3/4",G815="4/4"),((база!$I$5*2*Таблица1[[#This Row],[Столбец1]]*Таблица1[[#This Row],[коэф]])),
IF((G815="5/8"),((база!$J$6*2*Таблица1[[#This Row],[Столбец1]]*Таблица1[[#This Row],[коэф]])),
IF(OR(G815="4/8",G815="3/8",G815="2/8"),((база!$J$5*2*Таблица1[[#This Row],[Столбец1]]*Таблица1[[#This Row],[коэф]])))))))))))</f>
        <v>0</v>
      </c>
      <c r="AQ815" s="678" t="str">
        <f>IFERROR(INDEX(база!T:T, MATCH(F815,база!Q:Q,0)),"")</f>
        <v/>
      </c>
      <c r="AR815" s="193">
        <f>IFERROR(INDEX(база!D:D, MATCH(F815,база!B:B,0)),"")</f>
        <v>0</v>
      </c>
    </row>
    <row r="816" spans="1:44" ht="15">
      <c r="A816" s="59"/>
      <c r="B816" s="215"/>
      <c r="C816" s="277"/>
      <c r="D816" s="55"/>
      <c r="E816" s="196"/>
      <c r="F816" s="651"/>
      <c r="G816" s="42"/>
      <c r="H816" s="539"/>
      <c r="I816" s="539"/>
      <c r="J816" s="539"/>
      <c r="K816" s="539"/>
      <c r="L816" s="539"/>
      <c r="M816" s="539"/>
      <c r="N816" s="539"/>
      <c r="O816" s="539"/>
      <c r="P816" s="278"/>
      <c r="Q816" s="539"/>
      <c r="R816" s="539"/>
      <c r="S816" s="539"/>
      <c r="T816" s="539"/>
      <c r="U816" s="539"/>
      <c r="V816" s="539"/>
      <c r="W816" s="539"/>
      <c r="X816" s="539"/>
      <c r="Y816" s="539"/>
      <c r="Z816" s="539"/>
      <c r="AA816" s="539"/>
      <c r="AB816" s="539"/>
      <c r="AC816" s="539"/>
      <c r="AD816" s="43"/>
      <c r="AE816" s="43"/>
      <c r="AF816" s="238"/>
      <c r="AG816" s="43"/>
      <c r="AH816" s="43"/>
      <c r="AI816" s="43"/>
      <c r="AJ816" s="43"/>
      <c r="AK816" s="43"/>
      <c r="AL816" s="45"/>
      <c r="AM816" s="197">
        <f>IF(AQ816=1,SUM(H816:I816,L816:O816,R816:U816,X816:AA816,AD816:AG816,AI816:AK816),
IF(AQ816=2,SUM(H816:K816,N816:Q816,T816:W816,Z816:AC816,AF816:AI816),
IF(AQ816=3,SUM(J816:M816,P816:S816,V816:Y816,AB816:AE816,AH816:AK816),SUM(Таблица1[[#This Row],[1]:[31]])-Таблица1[[#This Row],[Столбец1]])))</f>
        <v>0</v>
      </c>
      <c r="AN816" s="269">
        <f t="array" ref="AN816">IF(AQ816=1,SUM(J816:K816,P816:Q816,V816:W816,AB816:AC816,AH816:AI816),
IF(AQ816=2,SUM(L816:M816,R816:S816,X816:Y816,AD816:AE816),
IF(AQ816=3,SUM(H816:I816,N816:O816,T816:U816,Z816:AA816,AF816:AG816),
SUM(IFERROR(WEEKDAY($H$2:$AL$2,2)&gt;5,)*H816:AL816))))</f>
        <v>0</v>
      </c>
      <c r="AO816" s="271" t="b">
        <f>IF(AR816&lt;=3,(IF((G816="5/24"),((база!$M$6*Таблица1[[#This Row],[сумма]]*Таблица1[[#This Row],[коэф]])),
IF((G816="4/24"),((база!$M$5*Таблица1[[#This Row],[сумма]]*Таблица1[[#This Row],[коэф]])),
IF((G816="3/24"),((база!$M$4*Таблица1[[#This Row],[сумма]]*Таблица1[[#This Row],[коэф]])),
IF((G816="5/16"),((база!$L$6*Таблица1[[#This Row],[сумма]]*Таблица1[[#This Row],[коэф]])),
IF((G816="4/16"),((база!$L$5*Таблица1[[#This Row],[сумма]]*Таблица1[[#This Row],[коэф]])),
IF((G816="3/16"),((база!$L$4*Таблица1[[#This Row],[сумма]]*Таблица1[[#This Row],[коэф]])),
IF((G816="4/4"),((база!$I$5*Таблица1[[#This Row],[сумма]]*Таблица1[[#This Row],[коэф]])),
IF(OR(G816="2/4",G816="3/4"),((база!$I$4*Таблица1[[#This Row],[сумма]]*Таблица1[[#This Row],[коэф]])),
IF((G816="5/8"),((база!$J$6*Таблица1[[#This Row],[сумма]]*Таблица1[[#This Row],[коэф]])),
IF((G816="4/8"),((база!$J$5*Таблица1[[#This Row],[сумма]]*Таблица1[[#This Row],[коэф]])),
IF(OR(G816="3/8",G816="2/8"),((база!$J$4*Таблица1[[#This Row],[сумма]]*Таблица1[[#This Row],[коэф]])))))))))))))),
(IF((G816="5/24"),((база!$M$6*Таблица1[[#This Row],[сумма]]*Таблица1[[#This Row],[коэф]])),
IF(OR(G816="4/24",G816="3/24"),((база!$M$5*Таблица1[[#This Row],[сумма]]*Таблица1[[#This Row],[коэф]])),
IF((G816="5/16"),((база!$L$6*Таблица1[[#This Row],[сумма]]*Таблица1[[#This Row],[коэф]])),
IF(OR(G816="4/16",G816="3/16"),((база!$L$5*Таблица1[[#This Row],[сумма]]*Таблица1[[#This Row],[коэф]])),
IF(OR(G816="2/4",G816="3/4",G816="4/4"),((база!$I$5*Таблица1[[#This Row],[сумма]]*Таблица1[[#This Row],[коэф]])),
IF((G816="5/8"),((база!$J$6*Таблица1[[#This Row],[сумма]]*Таблица1[[#This Row],[коэф]])),
IF(OR(G816="4/8",G816="3/8",G816="2/8"),((база!$J$5*Таблица1[[#This Row],[сумма]]*Таблица1[[#This Row],[коэф]])))))))))))</f>
        <v>0</v>
      </c>
      <c r="AP816" s="696" t="b">
        <f>IF(AR816&lt;=3,(IF((G816="5/24"),((база!$M$6*2*Таблица1[[#This Row],[Столбец1]]*Таблица1[[#This Row],[коэф]])),
IF((G816="4/24"),((база!$M$5*2*Таблица1[[#This Row],[Столбец1]]*Таблица1[[#This Row],[коэф]])),
IF((G816="3/24"),((база!$M$4*2*Таблица1[[#This Row],[Столбец1]]*Таблица1[[#This Row],[коэф]])),
IF((G816="5/16"),((база!$L$6*2*Таблица1[[#This Row],[Столбец1]]*Таблица1[[#This Row],[коэф]])),
IF((G816="4/16"),((база!$L$5*2*Таблица1[[#This Row],[Столбец1]]*Таблица1[[#This Row],[коэф]])),
IF((G816="3/16"),((база!$L$4*2*Таблица1[[#This Row],[Столбец1]]*Таблица1[[#This Row],[коэф]])),
IF((G816="4/4"),((база!$I$5*2*Таблица1[[#This Row],[Столбец1]]*Таблица1[[#This Row],[коэф]])),
IF(OR(G816="2/4",G816="3/4"),((база!$I$4*2*Таблица1[[#This Row],[Столбец1]]*Таблица1[[#This Row],[коэф]])),
IF((G816="5/8"),((база!$J$6*2*Таблица1[[#This Row],[Столбец1]]*Таблица1[[#This Row],[коэф]])),
IF((G816="4/8"),((база!$J$5*2*Таблица1[[#This Row],[Столбец1]]*Таблица1[[#This Row],[коэф]])),
IF(OR(G816="3/8",G816="2/8"),((база!$J$4*2*Таблица1[[#This Row],[Столбец1]]*Таблица1[[#This Row],[коэф]])))))))))))))),
(IF((G816="5/24"),((база!$M$6*2*Таблица1[[#This Row],[Столбец1]]*Таблица1[[#This Row],[коэф]])),
IF(OR(G816="4/24",G816="3/24"),((база!$M$5*2*Таблица1[[#This Row],[Столбец1]]*Таблица1[[#This Row],[коэф]])),
IF((G816="5/16"),((база!$L$6*2*Таблица1[[#This Row],[Столбец1]]*Таблица1[[#This Row],[коэф]])),
IF(OR(G816="4/16",G816="3/16"),((база!$L$5*2*Таблица1[[#This Row],[Столбец1]]*Таблица1[[#This Row],[коэф]])),
IF(OR(G816="2/4",G816="3/4",G816="4/4"),((база!$I$5*2*Таблица1[[#This Row],[Столбец1]]*Таблица1[[#This Row],[коэф]])),
IF((G816="5/8"),((база!$J$6*2*Таблица1[[#This Row],[Столбец1]]*Таблица1[[#This Row],[коэф]])),
IF(OR(G816="4/8",G816="3/8",G816="2/8"),((база!$J$5*2*Таблица1[[#This Row],[Столбец1]]*Таблица1[[#This Row],[коэф]])))))))))))</f>
        <v>0</v>
      </c>
      <c r="AQ816" s="678" t="str">
        <f>IFERROR(INDEX(база!T:T, MATCH(F816,база!Q:Q,0)),"")</f>
        <v/>
      </c>
      <c r="AR816" s="193">
        <f>IFERROR(INDEX(база!D:D, MATCH(F816,база!B:B,0)),"")</f>
        <v>0</v>
      </c>
    </row>
    <row r="817" spans="1:44" ht="15">
      <c r="A817" s="59"/>
      <c r="B817" s="215"/>
      <c r="C817" s="277"/>
      <c r="D817" s="55"/>
      <c r="E817" s="196"/>
      <c r="F817" s="651"/>
      <c r="G817" s="42"/>
      <c r="H817" s="539"/>
      <c r="I817" s="539"/>
      <c r="J817" s="539"/>
      <c r="K817" s="539"/>
      <c r="L817" s="539"/>
      <c r="M817" s="539"/>
      <c r="N817" s="539"/>
      <c r="O817" s="539"/>
      <c r="P817" s="278"/>
      <c r="Q817" s="539"/>
      <c r="R817" s="539"/>
      <c r="S817" s="539"/>
      <c r="T817" s="539"/>
      <c r="U817" s="539"/>
      <c r="V817" s="539"/>
      <c r="W817" s="539"/>
      <c r="X817" s="539"/>
      <c r="Y817" s="539"/>
      <c r="Z817" s="539"/>
      <c r="AA817" s="539"/>
      <c r="AB817" s="539"/>
      <c r="AC817" s="539"/>
      <c r="AD817" s="43"/>
      <c r="AE817" s="43"/>
      <c r="AF817" s="238"/>
      <c r="AG817" s="43"/>
      <c r="AH817" s="43"/>
      <c r="AI817" s="238"/>
      <c r="AJ817" s="238"/>
      <c r="AK817" s="238"/>
      <c r="AL817" s="238"/>
      <c r="AM817" s="197">
        <f>IF(AQ817=1,SUM(H817:I817,L817:O817,R817:U817,X817:AA817,AD817:AG817,AI817:AK817),
IF(AQ817=2,SUM(H817:K817,N817:Q817,T817:W817,Z817:AC817,AF817:AI817),
IF(AQ817=3,SUM(J817:M817,P817:S817,V817:Y817,AB817:AE817,AH817:AK817),SUM(Таблица1[[#This Row],[1]:[31]])-Таблица1[[#This Row],[Столбец1]])))</f>
        <v>0</v>
      </c>
      <c r="AN817" s="269">
        <f t="array" ref="AN817">IF(AQ817=1,SUM(J817:K817,P817:Q817,V817:W817,AB817:AC817,AH817:AI817),
IF(AQ817=2,SUM(L817:M817,R817:S817,X817:Y817,AD817:AE817),
IF(AQ817=3,SUM(H817:I817,N817:O817,T817:U817,Z817:AA817,AF817:AG817),
SUM(IFERROR(WEEKDAY($H$2:$AL$2,2)&gt;5,)*H817:AL817))))</f>
        <v>0</v>
      </c>
      <c r="AO817" s="271" t="b">
        <f>IF(AR817&lt;=3,(IF((G817="5/24"),((база!$M$6*Таблица1[[#This Row],[сумма]]*Таблица1[[#This Row],[коэф]])),
IF((G817="4/24"),((база!$M$5*Таблица1[[#This Row],[сумма]]*Таблица1[[#This Row],[коэф]])),
IF((G817="3/24"),((база!$M$4*Таблица1[[#This Row],[сумма]]*Таблица1[[#This Row],[коэф]])),
IF((G817="5/16"),((база!$L$6*Таблица1[[#This Row],[сумма]]*Таблица1[[#This Row],[коэф]])),
IF((G817="4/16"),((база!$L$5*Таблица1[[#This Row],[сумма]]*Таблица1[[#This Row],[коэф]])),
IF((G817="3/16"),((база!$L$4*Таблица1[[#This Row],[сумма]]*Таблица1[[#This Row],[коэф]])),
IF((G817="4/4"),((база!$I$5*Таблица1[[#This Row],[сумма]]*Таблица1[[#This Row],[коэф]])),
IF(OR(G817="2/4",G817="3/4"),((база!$I$4*Таблица1[[#This Row],[сумма]]*Таблица1[[#This Row],[коэф]])),
IF((G817="5/8"),((база!$J$6*Таблица1[[#This Row],[сумма]]*Таблица1[[#This Row],[коэф]])),
IF((G817="4/8"),((база!$J$5*Таблица1[[#This Row],[сумма]]*Таблица1[[#This Row],[коэф]])),
IF(OR(G817="3/8",G817="2/8"),((база!$J$4*Таблица1[[#This Row],[сумма]]*Таблица1[[#This Row],[коэф]])))))))))))))),
(IF((G817="5/24"),((база!$M$6*Таблица1[[#This Row],[сумма]]*Таблица1[[#This Row],[коэф]])),
IF(OR(G817="4/24",G817="3/24"),((база!$M$5*Таблица1[[#This Row],[сумма]]*Таблица1[[#This Row],[коэф]])),
IF((G817="5/16"),((база!$L$6*Таблица1[[#This Row],[сумма]]*Таблица1[[#This Row],[коэф]])),
IF(OR(G817="4/16",G817="3/16"),((база!$L$5*Таблица1[[#This Row],[сумма]]*Таблица1[[#This Row],[коэф]])),
IF(OR(G817="2/4",G817="3/4",G817="4/4"),((база!$I$5*Таблица1[[#This Row],[сумма]]*Таблица1[[#This Row],[коэф]])),
IF((G817="5/8"),((база!$J$6*Таблица1[[#This Row],[сумма]]*Таблица1[[#This Row],[коэф]])),
IF(OR(G817="4/8",G817="3/8",G817="2/8"),((база!$J$5*Таблица1[[#This Row],[сумма]]*Таблица1[[#This Row],[коэф]])))))))))))</f>
        <v>0</v>
      </c>
      <c r="AP817" s="696" t="b">
        <f>IF(AR817&lt;=3,(IF((G817="5/24"),((база!$M$6*2*Таблица1[[#This Row],[Столбец1]]*Таблица1[[#This Row],[коэф]])),
IF((G817="4/24"),((база!$M$5*2*Таблица1[[#This Row],[Столбец1]]*Таблица1[[#This Row],[коэф]])),
IF((G817="3/24"),((база!$M$4*2*Таблица1[[#This Row],[Столбец1]]*Таблица1[[#This Row],[коэф]])),
IF((G817="5/16"),((база!$L$6*2*Таблица1[[#This Row],[Столбец1]]*Таблица1[[#This Row],[коэф]])),
IF((G817="4/16"),((база!$L$5*2*Таблица1[[#This Row],[Столбец1]]*Таблица1[[#This Row],[коэф]])),
IF((G817="3/16"),((база!$L$4*2*Таблица1[[#This Row],[Столбец1]]*Таблица1[[#This Row],[коэф]])),
IF((G817="4/4"),((база!$I$5*2*Таблица1[[#This Row],[Столбец1]]*Таблица1[[#This Row],[коэф]])),
IF(OR(G817="2/4",G817="3/4"),((база!$I$4*2*Таблица1[[#This Row],[Столбец1]]*Таблица1[[#This Row],[коэф]])),
IF((G817="5/8"),((база!$J$6*2*Таблица1[[#This Row],[Столбец1]]*Таблица1[[#This Row],[коэф]])),
IF((G817="4/8"),((база!$J$5*2*Таблица1[[#This Row],[Столбец1]]*Таблица1[[#This Row],[коэф]])),
IF(OR(G817="3/8",G817="2/8"),((база!$J$4*2*Таблица1[[#This Row],[Столбец1]]*Таблица1[[#This Row],[коэф]])))))))))))))),
(IF((G817="5/24"),((база!$M$6*2*Таблица1[[#This Row],[Столбец1]]*Таблица1[[#This Row],[коэф]])),
IF(OR(G817="4/24",G817="3/24"),((база!$M$5*2*Таблица1[[#This Row],[Столбец1]]*Таблица1[[#This Row],[коэф]])),
IF((G817="5/16"),((база!$L$6*2*Таблица1[[#This Row],[Столбец1]]*Таблица1[[#This Row],[коэф]])),
IF(OR(G817="4/16",G817="3/16"),((база!$L$5*2*Таблица1[[#This Row],[Столбец1]]*Таблица1[[#This Row],[коэф]])),
IF(OR(G817="2/4",G817="3/4",G817="4/4"),((база!$I$5*2*Таблица1[[#This Row],[Столбец1]]*Таблица1[[#This Row],[коэф]])),
IF((G817="5/8"),((база!$J$6*2*Таблица1[[#This Row],[Столбец1]]*Таблица1[[#This Row],[коэф]])),
IF(OR(G817="4/8",G817="3/8",G817="2/8"),((база!$J$5*2*Таблица1[[#This Row],[Столбец1]]*Таблица1[[#This Row],[коэф]])))))))))))</f>
        <v>0</v>
      </c>
      <c r="AQ817" s="678" t="str">
        <f>IFERROR(INDEX(база!T:T, MATCH(F817,база!Q:Q,0)),"")</f>
        <v/>
      </c>
      <c r="AR817" s="193">
        <f>IFERROR(INDEX(база!D:D, MATCH(F817,база!B:B,0)),"")</f>
        <v>0</v>
      </c>
    </row>
    <row r="818" spans="1:44" ht="15">
      <c r="A818" s="59"/>
      <c r="B818" s="215"/>
      <c r="C818" s="277"/>
      <c r="D818" s="55"/>
      <c r="E818" s="196"/>
      <c r="F818" s="651"/>
      <c r="G818" s="42"/>
      <c r="H818" s="539"/>
      <c r="I818" s="539"/>
      <c r="J818" s="539"/>
      <c r="K818" s="539"/>
      <c r="L818" s="539"/>
      <c r="M818" s="539"/>
      <c r="N818" s="539"/>
      <c r="O818" s="539"/>
      <c r="P818" s="278"/>
      <c r="Q818" s="539"/>
      <c r="R818" s="539"/>
      <c r="S818" s="539"/>
      <c r="T818" s="539"/>
      <c r="U818" s="539"/>
      <c r="V818" s="539"/>
      <c r="W818" s="539"/>
      <c r="X818" s="539"/>
      <c r="Y818" s="539"/>
      <c r="Z818" s="539"/>
      <c r="AA818" s="539"/>
      <c r="AB818" s="539"/>
      <c r="AC818" s="539"/>
      <c r="AD818" s="43"/>
      <c r="AE818" s="43"/>
      <c r="AF818" s="238"/>
      <c r="AG818" s="43"/>
      <c r="AH818" s="43"/>
      <c r="AI818" s="43"/>
      <c r="AJ818" s="43"/>
      <c r="AK818" s="43"/>
      <c r="AL818" s="45"/>
      <c r="AM818" s="197">
        <f>IF(AQ818=1,SUM(H818:I818,L818:O818,R818:U818,X818:AA818,AD818:AG818,AI818:AK818),
IF(AQ818=2,SUM(H818:K818,N818:Q818,T818:W818,Z818:AC818,AF818:AI818),
IF(AQ818=3,SUM(J818:M818,P818:S818,V818:Y818,AB818:AE818,AH818:AK818),SUM(Таблица1[[#This Row],[1]:[31]])-Таблица1[[#This Row],[Столбец1]])))</f>
        <v>0</v>
      </c>
      <c r="AN818" s="269">
        <f t="array" ref="AN818">IF(AQ818=1,SUM(J818:K818,P818:Q818,V818:W818,AB818:AC818,AH818:AI818),
IF(AQ818=2,SUM(L818:M818,R818:S818,X818:Y818,AD818:AE818),
IF(AQ818=3,SUM(H818:I818,N818:O818,T818:U818,Z818:AA818,AF818:AG818),
SUM(IFERROR(WEEKDAY($H$2:$AL$2,2)&gt;5,)*H818:AL818))))</f>
        <v>0</v>
      </c>
      <c r="AO818" s="271" t="b">
        <f>IF(AR818&lt;=3,(IF((G818="5/24"),((база!$M$6*Таблица1[[#This Row],[сумма]]*Таблица1[[#This Row],[коэф]])),
IF((G818="4/24"),((база!$M$5*Таблица1[[#This Row],[сумма]]*Таблица1[[#This Row],[коэф]])),
IF((G818="3/24"),((база!$M$4*Таблица1[[#This Row],[сумма]]*Таблица1[[#This Row],[коэф]])),
IF((G818="5/16"),((база!$L$6*Таблица1[[#This Row],[сумма]]*Таблица1[[#This Row],[коэф]])),
IF((G818="4/16"),((база!$L$5*Таблица1[[#This Row],[сумма]]*Таблица1[[#This Row],[коэф]])),
IF((G818="3/16"),((база!$L$4*Таблица1[[#This Row],[сумма]]*Таблица1[[#This Row],[коэф]])),
IF((G818="4/4"),((база!$I$5*Таблица1[[#This Row],[сумма]]*Таблица1[[#This Row],[коэф]])),
IF(OR(G818="2/4",G818="3/4"),((база!$I$4*Таблица1[[#This Row],[сумма]]*Таблица1[[#This Row],[коэф]])),
IF((G818="5/8"),((база!$J$6*Таблица1[[#This Row],[сумма]]*Таблица1[[#This Row],[коэф]])),
IF((G818="4/8"),((база!$J$5*Таблица1[[#This Row],[сумма]]*Таблица1[[#This Row],[коэф]])),
IF(OR(G818="3/8",G818="2/8"),((база!$J$4*Таблица1[[#This Row],[сумма]]*Таблица1[[#This Row],[коэф]])))))))))))))),
(IF((G818="5/24"),((база!$M$6*Таблица1[[#This Row],[сумма]]*Таблица1[[#This Row],[коэф]])),
IF(OR(G818="4/24",G818="3/24"),((база!$M$5*Таблица1[[#This Row],[сумма]]*Таблица1[[#This Row],[коэф]])),
IF((G818="5/16"),((база!$L$6*Таблица1[[#This Row],[сумма]]*Таблица1[[#This Row],[коэф]])),
IF(OR(G818="4/16",G818="3/16"),((база!$L$5*Таблица1[[#This Row],[сумма]]*Таблица1[[#This Row],[коэф]])),
IF(OR(G818="2/4",G818="3/4",G818="4/4"),((база!$I$5*Таблица1[[#This Row],[сумма]]*Таблица1[[#This Row],[коэф]])),
IF((G818="5/8"),((база!$J$6*Таблица1[[#This Row],[сумма]]*Таблица1[[#This Row],[коэф]])),
IF(OR(G818="4/8",G818="3/8",G818="2/8"),((база!$J$5*Таблица1[[#This Row],[сумма]]*Таблица1[[#This Row],[коэф]])))))))))))</f>
        <v>0</v>
      </c>
      <c r="AP818" s="696" t="b">
        <f>IF(AR818&lt;=3,(IF((G818="5/24"),((база!$M$6*2*Таблица1[[#This Row],[Столбец1]]*Таблица1[[#This Row],[коэф]])),
IF((G818="4/24"),((база!$M$5*2*Таблица1[[#This Row],[Столбец1]]*Таблица1[[#This Row],[коэф]])),
IF((G818="3/24"),((база!$M$4*2*Таблица1[[#This Row],[Столбец1]]*Таблица1[[#This Row],[коэф]])),
IF((G818="5/16"),((база!$L$6*2*Таблица1[[#This Row],[Столбец1]]*Таблица1[[#This Row],[коэф]])),
IF((G818="4/16"),((база!$L$5*2*Таблица1[[#This Row],[Столбец1]]*Таблица1[[#This Row],[коэф]])),
IF((G818="3/16"),((база!$L$4*2*Таблица1[[#This Row],[Столбец1]]*Таблица1[[#This Row],[коэф]])),
IF((G818="4/4"),((база!$I$5*2*Таблица1[[#This Row],[Столбец1]]*Таблица1[[#This Row],[коэф]])),
IF(OR(G818="2/4",G818="3/4"),((база!$I$4*2*Таблица1[[#This Row],[Столбец1]]*Таблица1[[#This Row],[коэф]])),
IF((G818="5/8"),((база!$J$6*2*Таблица1[[#This Row],[Столбец1]]*Таблица1[[#This Row],[коэф]])),
IF((G818="4/8"),((база!$J$5*2*Таблица1[[#This Row],[Столбец1]]*Таблица1[[#This Row],[коэф]])),
IF(OR(G818="3/8",G818="2/8"),((база!$J$4*2*Таблица1[[#This Row],[Столбец1]]*Таблица1[[#This Row],[коэф]])))))))))))))),
(IF((G818="5/24"),((база!$M$6*2*Таблица1[[#This Row],[Столбец1]]*Таблица1[[#This Row],[коэф]])),
IF(OR(G818="4/24",G818="3/24"),((база!$M$5*2*Таблица1[[#This Row],[Столбец1]]*Таблица1[[#This Row],[коэф]])),
IF((G818="5/16"),((база!$L$6*2*Таблица1[[#This Row],[Столбец1]]*Таблица1[[#This Row],[коэф]])),
IF(OR(G818="4/16",G818="3/16"),((база!$L$5*2*Таблица1[[#This Row],[Столбец1]]*Таблица1[[#This Row],[коэф]])),
IF(OR(G818="2/4",G818="3/4",G818="4/4"),((база!$I$5*2*Таблица1[[#This Row],[Столбец1]]*Таблица1[[#This Row],[коэф]])),
IF((G818="5/8"),((база!$J$6*2*Таблица1[[#This Row],[Столбец1]]*Таблица1[[#This Row],[коэф]])),
IF(OR(G818="4/8",G818="3/8",G818="2/8"),((база!$J$5*2*Таблица1[[#This Row],[Столбец1]]*Таблица1[[#This Row],[коэф]])))))))))))</f>
        <v>0</v>
      </c>
      <c r="AQ818" s="678" t="str">
        <f>IFERROR(INDEX(база!T:T, MATCH(F818,база!Q:Q,0)),"")</f>
        <v/>
      </c>
      <c r="AR818" s="193">
        <f>IFERROR(INDEX(база!D:D, MATCH(F818,база!B:B,0)),"")</f>
        <v>0</v>
      </c>
    </row>
    <row r="819" spans="1:44" ht="15">
      <c r="A819" s="59"/>
      <c r="B819" s="215"/>
      <c r="C819" s="277"/>
      <c r="D819" s="55"/>
      <c r="E819" s="196"/>
      <c r="F819" s="651"/>
      <c r="G819" s="42"/>
      <c r="H819" s="539"/>
      <c r="I819" s="539"/>
      <c r="J819" s="539"/>
      <c r="K819" s="539"/>
      <c r="L819" s="539"/>
      <c r="M819" s="539"/>
      <c r="N819" s="539"/>
      <c r="O819" s="539"/>
      <c r="P819" s="278"/>
      <c r="Q819" s="539"/>
      <c r="R819" s="539"/>
      <c r="S819" s="539"/>
      <c r="T819" s="539"/>
      <c r="U819" s="539"/>
      <c r="V819" s="539"/>
      <c r="W819" s="539"/>
      <c r="X819" s="539"/>
      <c r="Y819" s="539"/>
      <c r="Z819" s="539"/>
      <c r="AA819" s="539"/>
      <c r="AB819" s="539"/>
      <c r="AC819" s="539"/>
      <c r="AD819" s="43"/>
      <c r="AE819" s="43"/>
      <c r="AF819" s="238"/>
      <c r="AG819" s="43"/>
      <c r="AH819" s="43"/>
      <c r="AI819" s="238"/>
      <c r="AJ819" s="238"/>
      <c r="AK819" s="238"/>
      <c r="AL819" s="238"/>
      <c r="AM819" s="197">
        <f>IF(AQ819=1,SUM(H819:I819,L819:O819,R819:U819,X819:AA819,AD819:AG819,AI819:AK819),
IF(AQ819=2,SUM(H819:K819,N819:Q819,T819:W819,Z819:AC819,AF819:AI819),
IF(AQ819=3,SUM(J819:M819,P819:S819,V819:Y819,AB819:AE819,AH819:AK819),SUM(Таблица1[[#This Row],[1]:[31]])-Таблица1[[#This Row],[Столбец1]])))</f>
        <v>0</v>
      </c>
      <c r="AN819" s="269">
        <f t="array" ref="AN819">IF(AQ819=1,SUM(J819:K819,P819:Q819,V819:W819,AB819:AC819,AH819:AI819),
IF(AQ819=2,SUM(L819:M819,R819:S819,X819:Y819,AD819:AE819),
IF(AQ819=3,SUM(H819:I819,N819:O819,T819:U819,Z819:AA819,AF819:AG819),
SUM(IFERROR(WEEKDAY($H$2:$AL$2,2)&gt;5,)*H819:AL819))))</f>
        <v>0</v>
      </c>
      <c r="AO819" s="271" t="b">
        <f>IF(AR819&lt;=3,(IF((G819="5/24"),((база!$M$6*Таблица1[[#This Row],[сумма]]*Таблица1[[#This Row],[коэф]])),
IF((G819="4/24"),((база!$M$5*Таблица1[[#This Row],[сумма]]*Таблица1[[#This Row],[коэф]])),
IF((G819="3/24"),((база!$M$4*Таблица1[[#This Row],[сумма]]*Таблица1[[#This Row],[коэф]])),
IF((G819="5/16"),((база!$L$6*Таблица1[[#This Row],[сумма]]*Таблица1[[#This Row],[коэф]])),
IF((G819="4/16"),((база!$L$5*Таблица1[[#This Row],[сумма]]*Таблица1[[#This Row],[коэф]])),
IF((G819="3/16"),((база!$L$4*Таблица1[[#This Row],[сумма]]*Таблица1[[#This Row],[коэф]])),
IF((G819="4/4"),((база!$I$5*Таблица1[[#This Row],[сумма]]*Таблица1[[#This Row],[коэф]])),
IF(OR(G819="2/4",G819="3/4"),((база!$I$4*Таблица1[[#This Row],[сумма]]*Таблица1[[#This Row],[коэф]])),
IF((G819="5/8"),((база!$J$6*Таблица1[[#This Row],[сумма]]*Таблица1[[#This Row],[коэф]])),
IF((G819="4/8"),((база!$J$5*Таблица1[[#This Row],[сумма]]*Таблица1[[#This Row],[коэф]])),
IF(OR(G819="3/8",G819="2/8"),((база!$J$4*Таблица1[[#This Row],[сумма]]*Таблица1[[#This Row],[коэф]])))))))))))))),
(IF((G819="5/24"),((база!$M$6*Таблица1[[#This Row],[сумма]]*Таблица1[[#This Row],[коэф]])),
IF(OR(G819="4/24",G819="3/24"),((база!$M$5*Таблица1[[#This Row],[сумма]]*Таблица1[[#This Row],[коэф]])),
IF((G819="5/16"),((база!$L$6*Таблица1[[#This Row],[сумма]]*Таблица1[[#This Row],[коэф]])),
IF(OR(G819="4/16",G819="3/16"),((база!$L$5*Таблица1[[#This Row],[сумма]]*Таблица1[[#This Row],[коэф]])),
IF(OR(G819="2/4",G819="3/4",G819="4/4"),((база!$I$5*Таблица1[[#This Row],[сумма]]*Таблица1[[#This Row],[коэф]])),
IF((G819="5/8"),((база!$J$6*Таблица1[[#This Row],[сумма]]*Таблица1[[#This Row],[коэф]])),
IF(OR(G819="4/8",G819="3/8",G819="2/8"),((база!$J$5*Таблица1[[#This Row],[сумма]]*Таблица1[[#This Row],[коэф]])))))))))))</f>
        <v>0</v>
      </c>
      <c r="AP819" s="696" t="b">
        <f>IF(AR819&lt;=3,(IF((G819="5/24"),((база!$M$6*2*Таблица1[[#This Row],[Столбец1]]*Таблица1[[#This Row],[коэф]])),
IF((G819="4/24"),((база!$M$5*2*Таблица1[[#This Row],[Столбец1]]*Таблица1[[#This Row],[коэф]])),
IF((G819="3/24"),((база!$M$4*2*Таблица1[[#This Row],[Столбец1]]*Таблица1[[#This Row],[коэф]])),
IF((G819="5/16"),((база!$L$6*2*Таблица1[[#This Row],[Столбец1]]*Таблица1[[#This Row],[коэф]])),
IF((G819="4/16"),((база!$L$5*2*Таблица1[[#This Row],[Столбец1]]*Таблица1[[#This Row],[коэф]])),
IF((G819="3/16"),((база!$L$4*2*Таблица1[[#This Row],[Столбец1]]*Таблица1[[#This Row],[коэф]])),
IF((G819="4/4"),((база!$I$5*2*Таблица1[[#This Row],[Столбец1]]*Таблица1[[#This Row],[коэф]])),
IF(OR(G819="2/4",G819="3/4"),((база!$I$4*2*Таблица1[[#This Row],[Столбец1]]*Таблица1[[#This Row],[коэф]])),
IF((G819="5/8"),((база!$J$6*2*Таблица1[[#This Row],[Столбец1]]*Таблица1[[#This Row],[коэф]])),
IF((G819="4/8"),((база!$J$5*2*Таблица1[[#This Row],[Столбец1]]*Таблица1[[#This Row],[коэф]])),
IF(OR(G819="3/8",G819="2/8"),((база!$J$4*2*Таблица1[[#This Row],[Столбец1]]*Таблица1[[#This Row],[коэф]])))))))))))))),
(IF((G819="5/24"),((база!$M$6*2*Таблица1[[#This Row],[Столбец1]]*Таблица1[[#This Row],[коэф]])),
IF(OR(G819="4/24",G819="3/24"),((база!$M$5*2*Таблица1[[#This Row],[Столбец1]]*Таблица1[[#This Row],[коэф]])),
IF((G819="5/16"),((база!$L$6*2*Таблица1[[#This Row],[Столбец1]]*Таблица1[[#This Row],[коэф]])),
IF(OR(G819="4/16",G819="3/16"),((база!$L$5*2*Таблица1[[#This Row],[Столбец1]]*Таблица1[[#This Row],[коэф]])),
IF(OR(G819="2/4",G819="3/4",G819="4/4"),((база!$I$5*2*Таблица1[[#This Row],[Столбец1]]*Таблица1[[#This Row],[коэф]])),
IF((G819="5/8"),((база!$J$6*2*Таблица1[[#This Row],[Столбец1]]*Таблица1[[#This Row],[коэф]])),
IF(OR(G819="4/8",G819="3/8",G819="2/8"),((база!$J$5*2*Таблица1[[#This Row],[Столбец1]]*Таблица1[[#This Row],[коэф]])))))))))))</f>
        <v>0</v>
      </c>
      <c r="AQ819" s="678" t="str">
        <f>IFERROR(INDEX(база!T:T, MATCH(F819,база!Q:Q,0)),"")</f>
        <v/>
      </c>
      <c r="AR819" s="193">
        <f>IFERROR(INDEX(база!D:D, MATCH(F819,база!B:B,0)),"")</f>
        <v>0</v>
      </c>
    </row>
    <row r="820" spans="1:44" ht="15">
      <c r="A820" s="59"/>
      <c r="B820" s="215"/>
      <c r="C820" s="277"/>
      <c r="D820" s="55"/>
      <c r="E820" s="196"/>
      <c r="F820" s="651"/>
      <c r="G820" s="42"/>
      <c r="H820" s="539"/>
      <c r="I820" s="539"/>
      <c r="J820" s="539"/>
      <c r="K820" s="539"/>
      <c r="L820" s="539"/>
      <c r="M820" s="539"/>
      <c r="N820" s="539"/>
      <c r="O820" s="539"/>
      <c r="P820" s="278"/>
      <c r="Q820" s="539"/>
      <c r="R820" s="539"/>
      <c r="S820" s="539"/>
      <c r="T820" s="539"/>
      <c r="U820" s="539"/>
      <c r="V820" s="539"/>
      <c r="W820" s="539"/>
      <c r="X820" s="539"/>
      <c r="Y820" s="539"/>
      <c r="Z820" s="539"/>
      <c r="AA820" s="539"/>
      <c r="AB820" s="539"/>
      <c r="AC820" s="539"/>
      <c r="AD820" s="43"/>
      <c r="AE820" s="43"/>
      <c r="AF820" s="238"/>
      <c r="AG820" s="43"/>
      <c r="AH820" s="43"/>
      <c r="AI820" s="43"/>
      <c r="AJ820" s="43"/>
      <c r="AK820" s="43"/>
      <c r="AL820" s="45"/>
      <c r="AM820" s="197">
        <f>IF(AQ820=1,SUM(H820:I820,L820:O820,R820:U820,X820:AA820,AD820:AG820,AI820:AK820),
IF(AQ820=2,SUM(H820:K820,N820:Q820,T820:W820,Z820:AC820,AF820:AI820),
IF(AQ820=3,SUM(J820:M820,P820:S820,V820:Y820,AB820:AE820,AH820:AK820),SUM(Таблица1[[#This Row],[1]:[31]])-Таблица1[[#This Row],[Столбец1]])))</f>
        <v>0</v>
      </c>
      <c r="AN820" s="269">
        <f t="array" ref="AN820">IF(AQ820=1,SUM(J820:K820,P820:Q820,V820:W820,AB820:AC820,AH820:AI820),
IF(AQ820=2,SUM(L820:M820,R820:S820,X820:Y820,AD820:AE820),
IF(AQ820=3,SUM(H820:I820,N820:O820,T820:U820,Z820:AA820,AF820:AG820),
SUM(IFERROR(WEEKDAY($H$2:$AL$2,2)&gt;5,)*H820:AL820))))</f>
        <v>0</v>
      </c>
      <c r="AO820" s="271" t="b">
        <f>IF(AR820&lt;=3,(IF((G820="5/24"),((база!$M$6*Таблица1[[#This Row],[сумма]]*Таблица1[[#This Row],[коэф]])),
IF((G820="4/24"),((база!$M$5*Таблица1[[#This Row],[сумма]]*Таблица1[[#This Row],[коэф]])),
IF((G820="3/24"),((база!$M$4*Таблица1[[#This Row],[сумма]]*Таблица1[[#This Row],[коэф]])),
IF((G820="5/16"),((база!$L$6*Таблица1[[#This Row],[сумма]]*Таблица1[[#This Row],[коэф]])),
IF((G820="4/16"),((база!$L$5*Таблица1[[#This Row],[сумма]]*Таблица1[[#This Row],[коэф]])),
IF((G820="3/16"),((база!$L$4*Таблица1[[#This Row],[сумма]]*Таблица1[[#This Row],[коэф]])),
IF((G820="4/4"),((база!$I$5*Таблица1[[#This Row],[сумма]]*Таблица1[[#This Row],[коэф]])),
IF(OR(G820="2/4",G820="3/4"),((база!$I$4*Таблица1[[#This Row],[сумма]]*Таблица1[[#This Row],[коэф]])),
IF((G820="5/8"),((база!$J$6*Таблица1[[#This Row],[сумма]]*Таблица1[[#This Row],[коэф]])),
IF((G820="4/8"),((база!$J$5*Таблица1[[#This Row],[сумма]]*Таблица1[[#This Row],[коэф]])),
IF(OR(G820="3/8",G820="2/8"),((база!$J$4*Таблица1[[#This Row],[сумма]]*Таблица1[[#This Row],[коэф]])))))))))))))),
(IF((G820="5/24"),((база!$M$6*Таблица1[[#This Row],[сумма]]*Таблица1[[#This Row],[коэф]])),
IF(OR(G820="4/24",G820="3/24"),((база!$M$5*Таблица1[[#This Row],[сумма]]*Таблица1[[#This Row],[коэф]])),
IF((G820="5/16"),((база!$L$6*Таблица1[[#This Row],[сумма]]*Таблица1[[#This Row],[коэф]])),
IF(OR(G820="4/16",G820="3/16"),((база!$L$5*Таблица1[[#This Row],[сумма]]*Таблица1[[#This Row],[коэф]])),
IF(OR(G820="2/4",G820="3/4",G820="4/4"),((база!$I$5*Таблица1[[#This Row],[сумма]]*Таблица1[[#This Row],[коэф]])),
IF((G820="5/8"),((база!$J$6*Таблица1[[#This Row],[сумма]]*Таблица1[[#This Row],[коэф]])),
IF(OR(G820="4/8",G820="3/8",G820="2/8"),((база!$J$5*Таблица1[[#This Row],[сумма]]*Таблица1[[#This Row],[коэф]])))))))))))</f>
        <v>0</v>
      </c>
      <c r="AP820" s="696" t="b">
        <f>IF(AR820&lt;=3,(IF((G820="5/24"),((база!$M$6*2*Таблица1[[#This Row],[Столбец1]]*Таблица1[[#This Row],[коэф]])),
IF((G820="4/24"),((база!$M$5*2*Таблица1[[#This Row],[Столбец1]]*Таблица1[[#This Row],[коэф]])),
IF((G820="3/24"),((база!$M$4*2*Таблица1[[#This Row],[Столбец1]]*Таблица1[[#This Row],[коэф]])),
IF((G820="5/16"),((база!$L$6*2*Таблица1[[#This Row],[Столбец1]]*Таблица1[[#This Row],[коэф]])),
IF((G820="4/16"),((база!$L$5*2*Таблица1[[#This Row],[Столбец1]]*Таблица1[[#This Row],[коэф]])),
IF((G820="3/16"),((база!$L$4*2*Таблица1[[#This Row],[Столбец1]]*Таблица1[[#This Row],[коэф]])),
IF((G820="4/4"),((база!$I$5*2*Таблица1[[#This Row],[Столбец1]]*Таблица1[[#This Row],[коэф]])),
IF(OR(G820="2/4",G820="3/4"),((база!$I$4*2*Таблица1[[#This Row],[Столбец1]]*Таблица1[[#This Row],[коэф]])),
IF((G820="5/8"),((база!$J$6*2*Таблица1[[#This Row],[Столбец1]]*Таблица1[[#This Row],[коэф]])),
IF((G820="4/8"),((база!$J$5*2*Таблица1[[#This Row],[Столбец1]]*Таблица1[[#This Row],[коэф]])),
IF(OR(G820="3/8",G820="2/8"),((база!$J$4*2*Таблица1[[#This Row],[Столбец1]]*Таблица1[[#This Row],[коэф]])))))))))))))),
(IF((G820="5/24"),((база!$M$6*2*Таблица1[[#This Row],[Столбец1]]*Таблица1[[#This Row],[коэф]])),
IF(OR(G820="4/24",G820="3/24"),((база!$M$5*2*Таблица1[[#This Row],[Столбец1]]*Таблица1[[#This Row],[коэф]])),
IF((G820="5/16"),((база!$L$6*2*Таблица1[[#This Row],[Столбец1]]*Таблица1[[#This Row],[коэф]])),
IF(OR(G820="4/16",G820="3/16"),((база!$L$5*2*Таблица1[[#This Row],[Столбец1]]*Таблица1[[#This Row],[коэф]])),
IF(OR(G820="2/4",G820="3/4",G820="4/4"),((база!$I$5*2*Таблица1[[#This Row],[Столбец1]]*Таблица1[[#This Row],[коэф]])),
IF((G820="5/8"),((база!$J$6*2*Таблица1[[#This Row],[Столбец1]]*Таблица1[[#This Row],[коэф]])),
IF(OR(G820="4/8",G820="3/8",G820="2/8"),((база!$J$5*2*Таблица1[[#This Row],[Столбец1]]*Таблица1[[#This Row],[коэф]])))))))))))</f>
        <v>0</v>
      </c>
      <c r="AQ820" s="678" t="str">
        <f>IFERROR(INDEX(база!T:T, MATCH(F820,база!Q:Q,0)),"")</f>
        <v/>
      </c>
      <c r="AR820" s="193">
        <f>IFERROR(INDEX(база!D:D, MATCH(F820,база!B:B,0)),"")</f>
        <v>0</v>
      </c>
    </row>
    <row r="821" spans="1:44" ht="15">
      <c r="A821" s="59"/>
      <c r="B821" s="215"/>
      <c r="C821" s="277"/>
      <c r="D821" s="55"/>
      <c r="E821" s="196"/>
      <c r="F821" s="651"/>
      <c r="G821" s="42"/>
      <c r="H821" s="539"/>
      <c r="I821" s="539"/>
      <c r="J821" s="539"/>
      <c r="K821" s="539"/>
      <c r="L821" s="539"/>
      <c r="M821" s="539"/>
      <c r="N821" s="539"/>
      <c r="O821" s="539"/>
      <c r="P821" s="278"/>
      <c r="Q821" s="539"/>
      <c r="R821" s="539"/>
      <c r="S821" s="539"/>
      <c r="T821" s="539"/>
      <c r="U821" s="539"/>
      <c r="V821" s="539"/>
      <c r="W821" s="539"/>
      <c r="X821" s="539"/>
      <c r="Y821" s="539"/>
      <c r="Z821" s="539"/>
      <c r="AA821" s="539"/>
      <c r="AB821" s="539"/>
      <c r="AC821" s="539"/>
      <c r="AD821" s="43"/>
      <c r="AE821" s="43"/>
      <c r="AF821" s="238"/>
      <c r="AG821" s="43"/>
      <c r="AH821" s="43"/>
      <c r="AI821" s="238"/>
      <c r="AJ821" s="238"/>
      <c r="AK821" s="238"/>
      <c r="AL821" s="238"/>
      <c r="AM821" s="197">
        <f>IF(AQ821=1,SUM(H821:I821,L821:O821,R821:U821,X821:AA821,AD821:AG821,AI821:AK821),
IF(AQ821=2,SUM(H821:K821,N821:Q821,T821:W821,Z821:AC821,AF821:AI821),
IF(AQ821=3,SUM(J821:M821,P821:S821,V821:Y821,AB821:AE821,AH821:AK821),SUM(Таблица1[[#This Row],[1]:[31]])-Таблица1[[#This Row],[Столбец1]])))</f>
        <v>0</v>
      </c>
      <c r="AN821" s="269">
        <f t="array" ref="AN821">IF(AQ821=1,SUM(J821:K821,P821:Q821,V821:W821,AB821:AC821,AH821:AI821),
IF(AQ821=2,SUM(L821:M821,R821:S821,X821:Y821,AD821:AE821),
IF(AQ821=3,SUM(H821:I821,N821:O821,T821:U821,Z821:AA821,AF821:AG821),
SUM(IFERROR(WEEKDAY($H$2:$AL$2,2)&gt;5,)*H821:AL821))))</f>
        <v>0</v>
      </c>
      <c r="AO821" s="271" t="b">
        <f>IF(AR821&lt;=3,(IF((G821="5/24"),((база!$M$6*Таблица1[[#This Row],[сумма]]*Таблица1[[#This Row],[коэф]])),
IF((G821="4/24"),((база!$M$5*Таблица1[[#This Row],[сумма]]*Таблица1[[#This Row],[коэф]])),
IF((G821="3/24"),((база!$M$4*Таблица1[[#This Row],[сумма]]*Таблица1[[#This Row],[коэф]])),
IF((G821="5/16"),((база!$L$6*Таблица1[[#This Row],[сумма]]*Таблица1[[#This Row],[коэф]])),
IF((G821="4/16"),((база!$L$5*Таблица1[[#This Row],[сумма]]*Таблица1[[#This Row],[коэф]])),
IF((G821="3/16"),((база!$L$4*Таблица1[[#This Row],[сумма]]*Таблица1[[#This Row],[коэф]])),
IF((G821="4/4"),((база!$I$5*Таблица1[[#This Row],[сумма]]*Таблица1[[#This Row],[коэф]])),
IF(OR(G821="2/4",G821="3/4"),((база!$I$4*Таблица1[[#This Row],[сумма]]*Таблица1[[#This Row],[коэф]])),
IF((G821="5/8"),((база!$J$6*Таблица1[[#This Row],[сумма]]*Таблица1[[#This Row],[коэф]])),
IF((G821="4/8"),((база!$J$5*Таблица1[[#This Row],[сумма]]*Таблица1[[#This Row],[коэф]])),
IF(OR(G821="3/8",G821="2/8"),((база!$J$4*Таблица1[[#This Row],[сумма]]*Таблица1[[#This Row],[коэф]])))))))))))))),
(IF((G821="5/24"),((база!$M$6*Таблица1[[#This Row],[сумма]]*Таблица1[[#This Row],[коэф]])),
IF(OR(G821="4/24",G821="3/24"),((база!$M$5*Таблица1[[#This Row],[сумма]]*Таблица1[[#This Row],[коэф]])),
IF((G821="5/16"),((база!$L$6*Таблица1[[#This Row],[сумма]]*Таблица1[[#This Row],[коэф]])),
IF(OR(G821="4/16",G821="3/16"),((база!$L$5*Таблица1[[#This Row],[сумма]]*Таблица1[[#This Row],[коэф]])),
IF(OR(G821="2/4",G821="3/4",G821="4/4"),((база!$I$5*Таблица1[[#This Row],[сумма]]*Таблица1[[#This Row],[коэф]])),
IF((G821="5/8"),((база!$J$6*Таблица1[[#This Row],[сумма]]*Таблица1[[#This Row],[коэф]])),
IF(OR(G821="4/8",G821="3/8",G821="2/8"),((база!$J$5*Таблица1[[#This Row],[сумма]]*Таблица1[[#This Row],[коэф]])))))))))))</f>
        <v>0</v>
      </c>
      <c r="AP821" s="696" t="b">
        <f>IF(AR821&lt;=3,(IF((G821="5/24"),((база!$M$6*2*Таблица1[[#This Row],[Столбец1]]*Таблица1[[#This Row],[коэф]])),
IF((G821="4/24"),((база!$M$5*2*Таблица1[[#This Row],[Столбец1]]*Таблица1[[#This Row],[коэф]])),
IF((G821="3/24"),((база!$M$4*2*Таблица1[[#This Row],[Столбец1]]*Таблица1[[#This Row],[коэф]])),
IF((G821="5/16"),((база!$L$6*2*Таблица1[[#This Row],[Столбец1]]*Таблица1[[#This Row],[коэф]])),
IF((G821="4/16"),((база!$L$5*2*Таблица1[[#This Row],[Столбец1]]*Таблица1[[#This Row],[коэф]])),
IF((G821="3/16"),((база!$L$4*2*Таблица1[[#This Row],[Столбец1]]*Таблица1[[#This Row],[коэф]])),
IF((G821="4/4"),((база!$I$5*2*Таблица1[[#This Row],[Столбец1]]*Таблица1[[#This Row],[коэф]])),
IF(OR(G821="2/4",G821="3/4"),((база!$I$4*2*Таблица1[[#This Row],[Столбец1]]*Таблица1[[#This Row],[коэф]])),
IF((G821="5/8"),((база!$J$6*2*Таблица1[[#This Row],[Столбец1]]*Таблица1[[#This Row],[коэф]])),
IF((G821="4/8"),((база!$J$5*2*Таблица1[[#This Row],[Столбец1]]*Таблица1[[#This Row],[коэф]])),
IF(OR(G821="3/8",G821="2/8"),((база!$J$4*2*Таблица1[[#This Row],[Столбец1]]*Таблица1[[#This Row],[коэф]])))))))))))))),
(IF((G821="5/24"),((база!$M$6*2*Таблица1[[#This Row],[Столбец1]]*Таблица1[[#This Row],[коэф]])),
IF(OR(G821="4/24",G821="3/24"),((база!$M$5*2*Таблица1[[#This Row],[Столбец1]]*Таблица1[[#This Row],[коэф]])),
IF((G821="5/16"),((база!$L$6*2*Таблица1[[#This Row],[Столбец1]]*Таблица1[[#This Row],[коэф]])),
IF(OR(G821="4/16",G821="3/16"),((база!$L$5*2*Таблица1[[#This Row],[Столбец1]]*Таблица1[[#This Row],[коэф]])),
IF(OR(G821="2/4",G821="3/4",G821="4/4"),((база!$I$5*2*Таблица1[[#This Row],[Столбец1]]*Таблица1[[#This Row],[коэф]])),
IF((G821="5/8"),((база!$J$6*2*Таблица1[[#This Row],[Столбец1]]*Таблица1[[#This Row],[коэф]])),
IF(OR(G821="4/8",G821="3/8",G821="2/8"),((база!$J$5*2*Таблица1[[#This Row],[Столбец1]]*Таблица1[[#This Row],[коэф]])))))))))))</f>
        <v>0</v>
      </c>
      <c r="AQ821" s="678" t="str">
        <f>IFERROR(INDEX(база!T:T, MATCH(F821,база!Q:Q,0)),"")</f>
        <v/>
      </c>
      <c r="AR821" s="193">
        <f>IFERROR(INDEX(база!D:D, MATCH(F821,база!B:B,0)),"")</f>
        <v>0</v>
      </c>
    </row>
    <row r="822" spans="1:44" ht="15">
      <c r="A822" s="59"/>
      <c r="B822" s="215"/>
      <c r="C822" s="277"/>
      <c r="D822" s="55"/>
      <c r="E822" s="196"/>
      <c r="F822" s="651"/>
      <c r="G822" s="42"/>
      <c r="H822" s="539"/>
      <c r="I822" s="539"/>
      <c r="J822" s="539"/>
      <c r="K822" s="539"/>
      <c r="L822" s="539"/>
      <c r="M822" s="539"/>
      <c r="N822" s="539"/>
      <c r="O822" s="539"/>
      <c r="P822" s="278"/>
      <c r="Q822" s="539"/>
      <c r="R822" s="539"/>
      <c r="S822" s="539"/>
      <c r="T822" s="539"/>
      <c r="U822" s="539"/>
      <c r="V822" s="539"/>
      <c r="W822" s="539"/>
      <c r="X822" s="539"/>
      <c r="Y822" s="539"/>
      <c r="Z822" s="539"/>
      <c r="AA822" s="539"/>
      <c r="AB822" s="539"/>
      <c r="AC822" s="539"/>
      <c r="AD822" s="43"/>
      <c r="AE822" s="43"/>
      <c r="AF822" s="238"/>
      <c r="AG822" s="43"/>
      <c r="AH822" s="43"/>
      <c r="AI822" s="43"/>
      <c r="AJ822" s="43"/>
      <c r="AK822" s="43"/>
      <c r="AL822" s="45"/>
      <c r="AM822" s="197">
        <f>IF(AQ822=1,SUM(H822:I822,L822:O822,R822:U822,X822:AA822,AD822:AG822,AI822:AK822),
IF(AQ822=2,SUM(H822:K822,N822:Q822,T822:W822,Z822:AC822,AF822:AI822),
IF(AQ822=3,SUM(J822:M822,P822:S822,V822:Y822,AB822:AE822,AH822:AK822),SUM(Таблица1[[#This Row],[1]:[31]])-Таблица1[[#This Row],[Столбец1]])))</f>
        <v>0</v>
      </c>
      <c r="AN822" s="269">
        <f t="array" ref="AN822">IF(AQ822=1,SUM(J822:K822,P822:Q822,V822:W822,AB822:AC822,AH822:AI822),
IF(AQ822=2,SUM(L822:M822,R822:S822,X822:Y822,AD822:AE822),
IF(AQ822=3,SUM(H822:I822,N822:O822,T822:U822,Z822:AA822,AF822:AG822),
SUM(IFERROR(WEEKDAY($H$2:$AL$2,2)&gt;5,)*H822:AL822))))</f>
        <v>0</v>
      </c>
      <c r="AO822" s="271" t="b">
        <f>IF(AR822&lt;=3,(IF((G822="5/24"),((база!$M$6*Таблица1[[#This Row],[сумма]]*Таблица1[[#This Row],[коэф]])),
IF((G822="4/24"),((база!$M$5*Таблица1[[#This Row],[сумма]]*Таблица1[[#This Row],[коэф]])),
IF((G822="3/24"),((база!$M$4*Таблица1[[#This Row],[сумма]]*Таблица1[[#This Row],[коэф]])),
IF((G822="5/16"),((база!$L$6*Таблица1[[#This Row],[сумма]]*Таблица1[[#This Row],[коэф]])),
IF((G822="4/16"),((база!$L$5*Таблица1[[#This Row],[сумма]]*Таблица1[[#This Row],[коэф]])),
IF((G822="3/16"),((база!$L$4*Таблица1[[#This Row],[сумма]]*Таблица1[[#This Row],[коэф]])),
IF((G822="4/4"),((база!$I$5*Таблица1[[#This Row],[сумма]]*Таблица1[[#This Row],[коэф]])),
IF(OR(G822="2/4",G822="3/4"),((база!$I$4*Таблица1[[#This Row],[сумма]]*Таблица1[[#This Row],[коэф]])),
IF((G822="5/8"),((база!$J$6*Таблица1[[#This Row],[сумма]]*Таблица1[[#This Row],[коэф]])),
IF((G822="4/8"),((база!$J$5*Таблица1[[#This Row],[сумма]]*Таблица1[[#This Row],[коэф]])),
IF(OR(G822="3/8",G822="2/8"),((база!$J$4*Таблица1[[#This Row],[сумма]]*Таблица1[[#This Row],[коэф]])))))))))))))),
(IF((G822="5/24"),((база!$M$6*Таблица1[[#This Row],[сумма]]*Таблица1[[#This Row],[коэф]])),
IF(OR(G822="4/24",G822="3/24"),((база!$M$5*Таблица1[[#This Row],[сумма]]*Таблица1[[#This Row],[коэф]])),
IF((G822="5/16"),((база!$L$6*Таблица1[[#This Row],[сумма]]*Таблица1[[#This Row],[коэф]])),
IF(OR(G822="4/16",G822="3/16"),((база!$L$5*Таблица1[[#This Row],[сумма]]*Таблица1[[#This Row],[коэф]])),
IF(OR(G822="2/4",G822="3/4",G822="4/4"),((база!$I$5*Таблица1[[#This Row],[сумма]]*Таблица1[[#This Row],[коэф]])),
IF((G822="5/8"),((база!$J$6*Таблица1[[#This Row],[сумма]]*Таблица1[[#This Row],[коэф]])),
IF(OR(G822="4/8",G822="3/8",G822="2/8"),((база!$J$5*Таблица1[[#This Row],[сумма]]*Таблица1[[#This Row],[коэф]])))))))))))</f>
        <v>0</v>
      </c>
      <c r="AP822" s="696" t="b">
        <f>IF(AR822&lt;=3,(IF((G822="5/24"),((база!$M$6*2*Таблица1[[#This Row],[Столбец1]]*Таблица1[[#This Row],[коэф]])),
IF((G822="4/24"),((база!$M$5*2*Таблица1[[#This Row],[Столбец1]]*Таблица1[[#This Row],[коэф]])),
IF((G822="3/24"),((база!$M$4*2*Таблица1[[#This Row],[Столбец1]]*Таблица1[[#This Row],[коэф]])),
IF((G822="5/16"),((база!$L$6*2*Таблица1[[#This Row],[Столбец1]]*Таблица1[[#This Row],[коэф]])),
IF((G822="4/16"),((база!$L$5*2*Таблица1[[#This Row],[Столбец1]]*Таблица1[[#This Row],[коэф]])),
IF((G822="3/16"),((база!$L$4*2*Таблица1[[#This Row],[Столбец1]]*Таблица1[[#This Row],[коэф]])),
IF((G822="4/4"),((база!$I$5*2*Таблица1[[#This Row],[Столбец1]]*Таблица1[[#This Row],[коэф]])),
IF(OR(G822="2/4",G822="3/4"),((база!$I$4*2*Таблица1[[#This Row],[Столбец1]]*Таблица1[[#This Row],[коэф]])),
IF((G822="5/8"),((база!$J$6*2*Таблица1[[#This Row],[Столбец1]]*Таблица1[[#This Row],[коэф]])),
IF((G822="4/8"),((база!$J$5*2*Таблица1[[#This Row],[Столбец1]]*Таблица1[[#This Row],[коэф]])),
IF(OR(G822="3/8",G822="2/8"),((база!$J$4*2*Таблица1[[#This Row],[Столбец1]]*Таблица1[[#This Row],[коэф]])))))))))))))),
(IF((G822="5/24"),((база!$M$6*2*Таблица1[[#This Row],[Столбец1]]*Таблица1[[#This Row],[коэф]])),
IF(OR(G822="4/24",G822="3/24"),((база!$M$5*2*Таблица1[[#This Row],[Столбец1]]*Таблица1[[#This Row],[коэф]])),
IF((G822="5/16"),((база!$L$6*2*Таблица1[[#This Row],[Столбец1]]*Таблица1[[#This Row],[коэф]])),
IF(OR(G822="4/16",G822="3/16"),((база!$L$5*2*Таблица1[[#This Row],[Столбец1]]*Таблица1[[#This Row],[коэф]])),
IF(OR(G822="2/4",G822="3/4",G822="4/4"),((база!$I$5*2*Таблица1[[#This Row],[Столбец1]]*Таблица1[[#This Row],[коэф]])),
IF((G822="5/8"),((база!$J$6*2*Таблица1[[#This Row],[Столбец1]]*Таблица1[[#This Row],[коэф]])),
IF(OR(G822="4/8",G822="3/8",G822="2/8"),((база!$J$5*2*Таблица1[[#This Row],[Столбец1]]*Таблица1[[#This Row],[коэф]])))))))))))</f>
        <v>0</v>
      </c>
      <c r="AQ822" s="678" t="str">
        <f>IFERROR(INDEX(база!T:T, MATCH(F822,база!Q:Q,0)),"")</f>
        <v/>
      </c>
      <c r="AR822" s="193">
        <f>IFERROR(INDEX(база!D:D, MATCH(F822,база!B:B,0)),"")</f>
        <v>0</v>
      </c>
    </row>
    <row r="823" spans="1:44" ht="15">
      <c r="A823" s="59"/>
      <c r="B823" s="215"/>
      <c r="C823" s="277"/>
      <c r="D823" s="55"/>
      <c r="E823" s="196"/>
      <c r="F823" s="651"/>
      <c r="G823" s="42"/>
      <c r="H823" s="539"/>
      <c r="I823" s="539"/>
      <c r="J823" s="539"/>
      <c r="K823" s="539"/>
      <c r="L823" s="539"/>
      <c r="M823" s="539"/>
      <c r="N823" s="539"/>
      <c r="O823" s="539"/>
      <c r="P823" s="278"/>
      <c r="Q823" s="539"/>
      <c r="R823" s="539"/>
      <c r="S823" s="539"/>
      <c r="T823" s="539"/>
      <c r="U823" s="539"/>
      <c r="V823" s="539"/>
      <c r="W823" s="539"/>
      <c r="X823" s="539"/>
      <c r="Y823" s="539"/>
      <c r="Z823" s="539"/>
      <c r="AA823" s="539"/>
      <c r="AB823" s="539"/>
      <c r="AC823" s="539"/>
      <c r="AD823" s="43"/>
      <c r="AE823" s="43"/>
      <c r="AF823" s="238"/>
      <c r="AG823" s="43"/>
      <c r="AH823" s="43"/>
      <c r="AI823" s="238"/>
      <c r="AJ823" s="238"/>
      <c r="AK823" s="238"/>
      <c r="AL823" s="238"/>
      <c r="AM823" s="197">
        <f>IF(AQ823=1,SUM(H823:I823,L823:O823,R823:U823,X823:AA823,AD823:AG823,AI823:AK823),
IF(AQ823=2,SUM(H823:K823,N823:Q823,T823:W823,Z823:AC823,AF823:AI823),
IF(AQ823=3,SUM(J823:M823,P823:S823,V823:Y823,AB823:AE823,AH823:AK823),SUM(Таблица1[[#This Row],[1]:[31]])-Таблица1[[#This Row],[Столбец1]])))</f>
        <v>0</v>
      </c>
      <c r="AN823" s="269">
        <f t="array" ref="AN823">IF(AQ823=1,SUM(J823:K823,P823:Q823,V823:W823,AB823:AC823,AH823:AI823),
IF(AQ823=2,SUM(L823:M823,R823:S823,X823:Y823,AD823:AE823),
IF(AQ823=3,SUM(H823:I823,N823:O823,T823:U823,Z823:AA823,AF823:AG823),
SUM(IFERROR(WEEKDAY($H$2:$AL$2,2)&gt;5,)*H823:AL823))))</f>
        <v>0</v>
      </c>
      <c r="AO823" s="271" t="b">
        <f>IF(AR823&lt;=3,(IF((G823="5/24"),((база!$M$6*Таблица1[[#This Row],[сумма]]*Таблица1[[#This Row],[коэф]])),
IF((G823="4/24"),((база!$M$5*Таблица1[[#This Row],[сумма]]*Таблица1[[#This Row],[коэф]])),
IF((G823="3/24"),((база!$M$4*Таблица1[[#This Row],[сумма]]*Таблица1[[#This Row],[коэф]])),
IF((G823="5/16"),((база!$L$6*Таблица1[[#This Row],[сумма]]*Таблица1[[#This Row],[коэф]])),
IF((G823="4/16"),((база!$L$5*Таблица1[[#This Row],[сумма]]*Таблица1[[#This Row],[коэф]])),
IF((G823="3/16"),((база!$L$4*Таблица1[[#This Row],[сумма]]*Таблица1[[#This Row],[коэф]])),
IF((G823="4/4"),((база!$I$5*Таблица1[[#This Row],[сумма]]*Таблица1[[#This Row],[коэф]])),
IF(OR(G823="2/4",G823="3/4"),((база!$I$4*Таблица1[[#This Row],[сумма]]*Таблица1[[#This Row],[коэф]])),
IF((G823="5/8"),((база!$J$6*Таблица1[[#This Row],[сумма]]*Таблица1[[#This Row],[коэф]])),
IF((G823="4/8"),((база!$J$5*Таблица1[[#This Row],[сумма]]*Таблица1[[#This Row],[коэф]])),
IF(OR(G823="3/8",G823="2/8"),((база!$J$4*Таблица1[[#This Row],[сумма]]*Таблица1[[#This Row],[коэф]])))))))))))))),
(IF((G823="5/24"),((база!$M$6*Таблица1[[#This Row],[сумма]]*Таблица1[[#This Row],[коэф]])),
IF(OR(G823="4/24",G823="3/24"),((база!$M$5*Таблица1[[#This Row],[сумма]]*Таблица1[[#This Row],[коэф]])),
IF((G823="5/16"),((база!$L$6*Таблица1[[#This Row],[сумма]]*Таблица1[[#This Row],[коэф]])),
IF(OR(G823="4/16",G823="3/16"),((база!$L$5*Таблица1[[#This Row],[сумма]]*Таблица1[[#This Row],[коэф]])),
IF(OR(G823="2/4",G823="3/4",G823="4/4"),((база!$I$5*Таблица1[[#This Row],[сумма]]*Таблица1[[#This Row],[коэф]])),
IF((G823="5/8"),((база!$J$6*Таблица1[[#This Row],[сумма]]*Таблица1[[#This Row],[коэф]])),
IF(OR(G823="4/8",G823="3/8",G823="2/8"),((база!$J$5*Таблица1[[#This Row],[сумма]]*Таблица1[[#This Row],[коэф]])))))))))))</f>
        <v>0</v>
      </c>
      <c r="AP823" s="696" t="b">
        <f>IF(AR823&lt;=3,(IF((G823="5/24"),((база!$M$6*2*Таблица1[[#This Row],[Столбец1]]*Таблица1[[#This Row],[коэф]])),
IF((G823="4/24"),((база!$M$5*2*Таблица1[[#This Row],[Столбец1]]*Таблица1[[#This Row],[коэф]])),
IF((G823="3/24"),((база!$M$4*2*Таблица1[[#This Row],[Столбец1]]*Таблица1[[#This Row],[коэф]])),
IF((G823="5/16"),((база!$L$6*2*Таблица1[[#This Row],[Столбец1]]*Таблица1[[#This Row],[коэф]])),
IF((G823="4/16"),((база!$L$5*2*Таблица1[[#This Row],[Столбец1]]*Таблица1[[#This Row],[коэф]])),
IF((G823="3/16"),((база!$L$4*2*Таблица1[[#This Row],[Столбец1]]*Таблица1[[#This Row],[коэф]])),
IF((G823="4/4"),((база!$I$5*2*Таблица1[[#This Row],[Столбец1]]*Таблица1[[#This Row],[коэф]])),
IF(OR(G823="2/4",G823="3/4"),((база!$I$4*2*Таблица1[[#This Row],[Столбец1]]*Таблица1[[#This Row],[коэф]])),
IF((G823="5/8"),((база!$J$6*2*Таблица1[[#This Row],[Столбец1]]*Таблица1[[#This Row],[коэф]])),
IF((G823="4/8"),((база!$J$5*2*Таблица1[[#This Row],[Столбец1]]*Таблица1[[#This Row],[коэф]])),
IF(OR(G823="3/8",G823="2/8"),((база!$J$4*2*Таблица1[[#This Row],[Столбец1]]*Таблица1[[#This Row],[коэф]])))))))))))))),
(IF((G823="5/24"),((база!$M$6*2*Таблица1[[#This Row],[Столбец1]]*Таблица1[[#This Row],[коэф]])),
IF(OR(G823="4/24",G823="3/24"),((база!$M$5*2*Таблица1[[#This Row],[Столбец1]]*Таблица1[[#This Row],[коэф]])),
IF((G823="5/16"),((база!$L$6*2*Таблица1[[#This Row],[Столбец1]]*Таблица1[[#This Row],[коэф]])),
IF(OR(G823="4/16",G823="3/16"),((база!$L$5*2*Таблица1[[#This Row],[Столбец1]]*Таблица1[[#This Row],[коэф]])),
IF(OR(G823="2/4",G823="3/4",G823="4/4"),((база!$I$5*2*Таблица1[[#This Row],[Столбец1]]*Таблица1[[#This Row],[коэф]])),
IF((G823="5/8"),((база!$J$6*2*Таблица1[[#This Row],[Столбец1]]*Таблица1[[#This Row],[коэф]])),
IF(OR(G823="4/8",G823="3/8",G823="2/8"),((база!$J$5*2*Таблица1[[#This Row],[Столбец1]]*Таблица1[[#This Row],[коэф]])))))))))))</f>
        <v>0</v>
      </c>
      <c r="AQ823" s="678" t="str">
        <f>IFERROR(INDEX(база!T:T, MATCH(F823,база!Q:Q,0)),"")</f>
        <v/>
      </c>
      <c r="AR823" s="193">
        <f>IFERROR(INDEX(база!D:D, MATCH(F823,база!B:B,0)),"")</f>
        <v>0</v>
      </c>
    </row>
    <row r="824" spans="1:44" ht="15">
      <c r="A824" s="59"/>
      <c r="B824" s="215"/>
      <c r="C824" s="277"/>
      <c r="D824" s="55"/>
      <c r="E824" s="196"/>
      <c r="F824" s="651"/>
      <c r="G824" s="42"/>
      <c r="H824" s="539"/>
      <c r="I824" s="539"/>
      <c r="J824" s="539"/>
      <c r="K824" s="539"/>
      <c r="L824" s="539"/>
      <c r="M824" s="539"/>
      <c r="N824" s="539"/>
      <c r="O824" s="539"/>
      <c r="P824" s="278"/>
      <c r="Q824" s="539"/>
      <c r="R824" s="539"/>
      <c r="S824" s="539"/>
      <c r="T824" s="539"/>
      <c r="U824" s="539"/>
      <c r="V824" s="539"/>
      <c r="W824" s="539"/>
      <c r="X824" s="539"/>
      <c r="Y824" s="539"/>
      <c r="Z824" s="539"/>
      <c r="AA824" s="539"/>
      <c r="AB824" s="539"/>
      <c r="AC824" s="539"/>
      <c r="AD824" s="43"/>
      <c r="AE824" s="43"/>
      <c r="AF824" s="238"/>
      <c r="AG824" s="43"/>
      <c r="AH824" s="43"/>
      <c r="AI824" s="43"/>
      <c r="AJ824" s="43"/>
      <c r="AK824" s="43"/>
      <c r="AL824" s="45"/>
      <c r="AM824" s="197">
        <f>IF(AQ824=1,SUM(H824:I824,L824:O824,R824:U824,X824:AA824,AD824:AG824,AI824:AK824),
IF(AQ824=2,SUM(H824:K824,N824:Q824,T824:W824,Z824:AC824,AF824:AI824),
IF(AQ824=3,SUM(J824:M824,P824:S824,V824:Y824,AB824:AE824,AH824:AK824),SUM(Таблица1[[#This Row],[1]:[31]])-Таблица1[[#This Row],[Столбец1]])))</f>
        <v>0</v>
      </c>
      <c r="AN824" s="269">
        <f t="array" ref="AN824">IF(AQ824=1,SUM(J824:K824,P824:Q824,V824:W824,AB824:AC824,AH824:AI824),
IF(AQ824=2,SUM(L824:M824,R824:S824,X824:Y824,AD824:AE824),
IF(AQ824=3,SUM(H824:I824,N824:O824,T824:U824,Z824:AA824,AF824:AG824),
SUM(IFERROR(WEEKDAY($H$2:$AL$2,2)&gt;5,)*H824:AL824))))</f>
        <v>0</v>
      </c>
      <c r="AO824" s="271" t="b">
        <f>IF(AR824&lt;=3,(IF((G824="5/24"),((база!$M$6*Таблица1[[#This Row],[сумма]]*Таблица1[[#This Row],[коэф]])),
IF((G824="4/24"),((база!$M$5*Таблица1[[#This Row],[сумма]]*Таблица1[[#This Row],[коэф]])),
IF((G824="3/24"),((база!$M$4*Таблица1[[#This Row],[сумма]]*Таблица1[[#This Row],[коэф]])),
IF((G824="5/16"),((база!$L$6*Таблица1[[#This Row],[сумма]]*Таблица1[[#This Row],[коэф]])),
IF((G824="4/16"),((база!$L$5*Таблица1[[#This Row],[сумма]]*Таблица1[[#This Row],[коэф]])),
IF((G824="3/16"),((база!$L$4*Таблица1[[#This Row],[сумма]]*Таблица1[[#This Row],[коэф]])),
IF((G824="4/4"),((база!$I$5*Таблица1[[#This Row],[сумма]]*Таблица1[[#This Row],[коэф]])),
IF(OR(G824="2/4",G824="3/4"),((база!$I$4*Таблица1[[#This Row],[сумма]]*Таблица1[[#This Row],[коэф]])),
IF((G824="5/8"),((база!$J$6*Таблица1[[#This Row],[сумма]]*Таблица1[[#This Row],[коэф]])),
IF((G824="4/8"),((база!$J$5*Таблица1[[#This Row],[сумма]]*Таблица1[[#This Row],[коэф]])),
IF(OR(G824="3/8",G824="2/8"),((база!$J$4*Таблица1[[#This Row],[сумма]]*Таблица1[[#This Row],[коэф]])))))))))))))),
(IF((G824="5/24"),((база!$M$6*Таблица1[[#This Row],[сумма]]*Таблица1[[#This Row],[коэф]])),
IF(OR(G824="4/24",G824="3/24"),((база!$M$5*Таблица1[[#This Row],[сумма]]*Таблица1[[#This Row],[коэф]])),
IF((G824="5/16"),((база!$L$6*Таблица1[[#This Row],[сумма]]*Таблица1[[#This Row],[коэф]])),
IF(OR(G824="4/16",G824="3/16"),((база!$L$5*Таблица1[[#This Row],[сумма]]*Таблица1[[#This Row],[коэф]])),
IF(OR(G824="2/4",G824="3/4",G824="4/4"),((база!$I$5*Таблица1[[#This Row],[сумма]]*Таблица1[[#This Row],[коэф]])),
IF((G824="5/8"),((база!$J$6*Таблица1[[#This Row],[сумма]]*Таблица1[[#This Row],[коэф]])),
IF(OR(G824="4/8",G824="3/8",G824="2/8"),((база!$J$5*Таблица1[[#This Row],[сумма]]*Таблица1[[#This Row],[коэф]])))))))))))</f>
        <v>0</v>
      </c>
      <c r="AP824" s="696" t="b">
        <f>IF(AR824&lt;=3,(IF((G824="5/24"),((база!$M$6*2*Таблица1[[#This Row],[Столбец1]]*Таблица1[[#This Row],[коэф]])),
IF((G824="4/24"),((база!$M$5*2*Таблица1[[#This Row],[Столбец1]]*Таблица1[[#This Row],[коэф]])),
IF((G824="3/24"),((база!$M$4*2*Таблица1[[#This Row],[Столбец1]]*Таблица1[[#This Row],[коэф]])),
IF((G824="5/16"),((база!$L$6*2*Таблица1[[#This Row],[Столбец1]]*Таблица1[[#This Row],[коэф]])),
IF((G824="4/16"),((база!$L$5*2*Таблица1[[#This Row],[Столбец1]]*Таблица1[[#This Row],[коэф]])),
IF((G824="3/16"),((база!$L$4*2*Таблица1[[#This Row],[Столбец1]]*Таблица1[[#This Row],[коэф]])),
IF((G824="4/4"),((база!$I$5*2*Таблица1[[#This Row],[Столбец1]]*Таблица1[[#This Row],[коэф]])),
IF(OR(G824="2/4",G824="3/4"),((база!$I$4*2*Таблица1[[#This Row],[Столбец1]]*Таблица1[[#This Row],[коэф]])),
IF((G824="5/8"),((база!$J$6*2*Таблица1[[#This Row],[Столбец1]]*Таблица1[[#This Row],[коэф]])),
IF((G824="4/8"),((база!$J$5*2*Таблица1[[#This Row],[Столбец1]]*Таблица1[[#This Row],[коэф]])),
IF(OR(G824="3/8",G824="2/8"),((база!$J$4*2*Таблица1[[#This Row],[Столбец1]]*Таблица1[[#This Row],[коэф]])))))))))))))),
(IF((G824="5/24"),((база!$M$6*2*Таблица1[[#This Row],[Столбец1]]*Таблица1[[#This Row],[коэф]])),
IF(OR(G824="4/24",G824="3/24"),((база!$M$5*2*Таблица1[[#This Row],[Столбец1]]*Таблица1[[#This Row],[коэф]])),
IF((G824="5/16"),((база!$L$6*2*Таблица1[[#This Row],[Столбец1]]*Таблица1[[#This Row],[коэф]])),
IF(OR(G824="4/16",G824="3/16"),((база!$L$5*2*Таблица1[[#This Row],[Столбец1]]*Таблица1[[#This Row],[коэф]])),
IF(OR(G824="2/4",G824="3/4",G824="4/4"),((база!$I$5*2*Таблица1[[#This Row],[Столбец1]]*Таблица1[[#This Row],[коэф]])),
IF((G824="5/8"),((база!$J$6*2*Таблица1[[#This Row],[Столбец1]]*Таблица1[[#This Row],[коэф]])),
IF(OR(G824="4/8",G824="3/8",G824="2/8"),((база!$J$5*2*Таблица1[[#This Row],[Столбец1]]*Таблица1[[#This Row],[коэф]])))))))))))</f>
        <v>0</v>
      </c>
      <c r="AQ824" s="678" t="str">
        <f>IFERROR(INDEX(база!T:T, MATCH(F824,база!Q:Q,0)),"")</f>
        <v/>
      </c>
      <c r="AR824" s="193">
        <f>IFERROR(INDEX(база!D:D, MATCH(F824,база!B:B,0)),"")</f>
        <v>0</v>
      </c>
    </row>
    <row r="825" spans="1:44" ht="15">
      <c r="A825" s="59"/>
      <c r="B825" s="215"/>
      <c r="C825" s="277"/>
      <c r="D825" s="55"/>
      <c r="E825" s="196"/>
      <c r="F825" s="651"/>
      <c r="G825" s="42"/>
      <c r="H825" s="539"/>
      <c r="I825" s="539"/>
      <c r="J825" s="539"/>
      <c r="K825" s="539"/>
      <c r="L825" s="539"/>
      <c r="M825" s="539"/>
      <c r="N825" s="539"/>
      <c r="O825" s="539"/>
      <c r="P825" s="278"/>
      <c r="Q825" s="539"/>
      <c r="R825" s="539"/>
      <c r="S825" s="539"/>
      <c r="T825" s="539"/>
      <c r="U825" s="539"/>
      <c r="V825" s="539"/>
      <c r="W825" s="539"/>
      <c r="X825" s="539"/>
      <c r="Y825" s="539"/>
      <c r="Z825" s="539"/>
      <c r="AA825" s="539"/>
      <c r="AB825" s="539"/>
      <c r="AC825" s="539"/>
      <c r="AD825" s="43"/>
      <c r="AE825" s="43"/>
      <c r="AF825" s="238"/>
      <c r="AG825" s="43"/>
      <c r="AH825" s="43"/>
      <c r="AI825" s="238"/>
      <c r="AJ825" s="238"/>
      <c r="AK825" s="238"/>
      <c r="AL825" s="238"/>
      <c r="AM825" s="197">
        <f>IF(AQ825=1,SUM(H825:I825,L825:O825,R825:U825,X825:AA825,AD825:AG825,AI825:AK825),
IF(AQ825=2,SUM(H825:K825,N825:Q825,T825:W825,Z825:AC825,AF825:AI825),
IF(AQ825=3,SUM(J825:M825,P825:S825,V825:Y825,AB825:AE825,AH825:AK825),SUM(Таблица1[[#This Row],[1]:[31]])-Таблица1[[#This Row],[Столбец1]])))</f>
        <v>0</v>
      </c>
      <c r="AN825" s="269">
        <f t="array" ref="AN825">IF(AQ825=1,SUM(J825:K825,P825:Q825,V825:W825,AB825:AC825,AH825:AI825),
IF(AQ825=2,SUM(L825:M825,R825:S825,X825:Y825,AD825:AE825),
IF(AQ825=3,SUM(H825:I825,N825:O825,T825:U825,Z825:AA825,AF825:AG825),
SUM(IFERROR(WEEKDAY($H$2:$AL$2,2)&gt;5,)*H825:AL825))))</f>
        <v>0</v>
      </c>
      <c r="AO825" s="271" t="b">
        <f>IF(AR825&lt;=3,(IF((G825="5/24"),((база!$M$6*Таблица1[[#This Row],[сумма]]*Таблица1[[#This Row],[коэф]])),
IF((G825="4/24"),((база!$M$5*Таблица1[[#This Row],[сумма]]*Таблица1[[#This Row],[коэф]])),
IF((G825="3/24"),((база!$M$4*Таблица1[[#This Row],[сумма]]*Таблица1[[#This Row],[коэф]])),
IF((G825="5/16"),((база!$L$6*Таблица1[[#This Row],[сумма]]*Таблица1[[#This Row],[коэф]])),
IF((G825="4/16"),((база!$L$5*Таблица1[[#This Row],[сумма]]*Таблица1[[#This Row],[коэф]])),
IF((G825="3/16"),((база!$L$4*Таблица1[[#This Row],[сумма]]*Таблица1[[#This Row],[коэф]])),
IF((G825="4/4"),((база!$I$5*Таблица1[[#This Row],[сумма]]*Таблица1[[#This Row],[коэф]])),
IF(OR(G825="2/4",G825="3/4"),((база!$I$4*Таблица1[[#This Row],[сумма]]*Таблица1[[#This Row],[коэф]])),
IF((G825="5/8"),((база!$J$6*Таблица1[[#This Row],[сумма]]*Таблица1[[#This Row],[коэф]])),
IF((G825="4/8"),((база!$J$5*Таблица1[[#This Row],[сумма]]*Таблица1[[#This Row],[коэф]])),
IF(OR(G825="3/8",G825="2/8"),((база!$J$4*Таблица1[[#This Row],[сумма]]*Таблица1[[#This Row],[коэф]])))))))))))))),
(IF((G825="5/24"),((база!$M$6*Таблица1[[#This Row],[сумма]]*Таблица1[[#This Row],[коэф]])),
IF(OR(G825="4/24",G825="3/24"),((база!$M$5*Таблица1[[#This Row],[сумма]]*Таблица1[[#This Row],[коэф]])),
IF((G825="5/16"),((база!$L$6*Таблица1[[#This Row],[сумма]]*Таблица1[[#This Row],[коэф]])),
IF(OR(G825="4/16",G825="3/16"),((база!$L$5*Таблица1[[#This Row],[сумма]]*Таблица1[[#This Row],[коэф]])),
IF(OR(G825="2/4",G825="3/4",G825="4/4"),((база!$I$5*Таблица1[[#This Row],[сумма]]*Таблица1[[#This Row],[коэф]])),
IF((G825="5/8"),((база!$J$6*Таблица1[[#This Row],[сумма]]*Таблица1[[#This Row],[коэф]])),
IF(OR(G825="4/8",G825="3/8",G825="2/8"),((база!$J$5*Таблица1[[#This Row],[сумма]]*Таблица1[[#This Row],[коэф]])))))))))))</f>
        <v>0</v>
      </c>
      <c r="AP825" s="696" t="b">
        <f>IF(AR825&lt;=3,(IF((G825="5/24"),((база!$M$6*2*Таблица1[[#This Row],[Столбец1]]*Таблица1[[#This Row],[коэф]])),
IF((G825="4/24"),((база!$M$5*2*Таблица1[[#This Row],[Столбец1]]*Таблица1[[#This Row],[коэф]])),
IF((G825="3/24"),((база!$M$4*2*Таблица1[[#This Row],[Столбец1]]*Таблица1[[#This Row],[коэф]])),
IF((G825="5/16"),((база!$L$6*2*Таблица1[[#This Row],[Столбец1]]*Таблица1[[#This Row],[коэф]])),
IF((G825="4/16"),((база!$L$5*2*Таблица1[[#This Row],[Столбец1]]*Таблица1[[#This Row],[коэф]])),
IF((G825="3/16"),((база!$L$4*2*Таблица1[[#This Row],[Столбец1]]*Таблица1[[#This Row],[коэф]])),
IF((G825="4/4"),((база!$I$5*2*Таблица1[[#This Row],[Столбец1]]*Таблица1[[#This Row],[коэф]])),
IF(OR(G825="2/4",G825="3/4"),((база!$I$4*2*Таблица1[[#This Row],[Столбец1]]*Таблица1[[#This Row],[коэф]])),
IF((G825="5/8"),((база!$J$6*2*Таблица1[[#This Row],[Столбец1]]*Таблица1[[#This Row],[коэф]])),
IF((G825="4/8"),((база!$J$5*2*Таблица1[[#This Row],[Столбец1]]*Таблица1[[#This Row],[коэф]])),
IF(OR(G825="3/8",G825="2/8"),((база!$J$4*2*Таблица1[[#This Row],[Столбец1]]*Таблица1[[#This Row],[коэф]])))))))))))))),
(IF((G825="5/24"),((база!$M$6*2*Таблица1[[#This Row],[Столбец1]]*Таблица1[[#This Row],[коэф]])),
IF(OR(G825="4/24",G825="3/24"),((база!$M$5*2*Таблица1[[#This Row],[Столбец1]]*Таблица1[[#This Row],[коэф]])),
IF((G825="5/16"),((база!$L$6*2*Таблица1[[#This Row],[Столбец1]]*Таблица1[[#This Row],[коэф]])),
IF(OR(G825="4/16",G825="3/16"),((база!$L$5*2*Таблица1[[#This Row],[Столбец1]]*Таблица1[[#This Row],[коэф]])),
IF(OR(G825="2/4",G825="3/4",G825="4/4"),((база!$I$5*2*Таблица1[[#This Row],[Столбец1]]*Таблица1[[#This Row],[коэф]])),
IF((G825="5/8"),((база!$J$6*2*Таблица1[[#This Row],[Столбец1]]*Таблица1[[#This Row],[коэф]])),
IF(OR(G825="4/8",G825="3/8",G825="2/8"),((база!$J$5*2*Таблица1[[#This Row],[Столбец1]]*Таблица1[[#This Row],[коэф]])))))))))))</f>
        <v>0</v>
      </c>
      <c r="AQ825" s="678" t="str">
        <f>IFERROR(INDEX(база!T:T, MATCH(F825,база!Q:Q,0)),"")</f>
        <v/>
      </c>
      <c r="AR825" s="193">
        <f>IFERROR(INDEX(база!D:D, MATCH(F825,база!B:B,0)),"")</f>
        <v>0</v>
      </c>
    </row>
    <row r="826" spans="1:44" ht="15">
      <c r="A826" s="59"/>
      <c r="B826" s="215"/>
      <c r="C826" s="277"/>
      <c r="D826" s="55"/>
      <c r="E826" s="196"/>
      <c r="F826" s="651"/>
      <c r="G826" s="42"/>
      <c r="H826" s="539"/>
      <c r="I826" s="539"/>
      <c r="J826" s="539"/>
      <c r="K826" s="539"/>
      <c r="L826" s="539"/>
      <c r="M826" s="539"/>
      <c r="N826" s="539"/>
      <c r="O826" s="539"/>
      <c r="P826" s="278"/>
      <c r="Q826" s="539"/>
      <c r="R826" s="539"/>
      <c r="S826" s="539"/>
      <c r="T826" s="539"/>
      <c r="U826" s="539"/>
      <c r="V826" s="539"/>
      <c r="W826" s="539"/>
      <c r="X826" s="539"/>
      <c r="Y826" s="539"/>
      <c r="Z826" s="539"/>
      <c r="AA826" s="539"/>
      <c r="AB826" s="539"/>
      <c r="AC826" s="539"/>
      <c r="AD826" s="43"/>
      <c r="AE826" s="43"/>
      <c r="AF826" s="238"/>
      <c r="AG826" s="43"/>
      <c r="AH826" s="43"/>
      <c r="AI826" s="43"/>
      <c r="AJ826" s="43"/>
      <c r="AK826" s="43"/>
      <c r="AL826" s="45"/>
      <c r="AM826" s="197">
        <f>IF(AQ826=1,SUM(H826:I826,L826:O826,R826:U826,X826:AA826,AD826:AG826,AI826:AK826),
IF(AQ826=2,SUM(H826:K826,N826:Q826,T826:W826,Z826:AC826,AF826:AI826),
IF(AQ826=3,SUM(J826:M826,P826:S826,V826:Y826,AB826:AE826,AH826:AK826),SUM(Таблица1[[#This Row],[1]:[31]])-Таблица1[[#This Row],[Столбец1]])))</f>
        <v>0</v>
      </c>
      <c r="AN826" s="269">
        <f t="array" ref="AN826">IF(AQ826=1,SUM(J826:K826,P826:Q826,V826:W826,AB826:AC826,AH826:AI826),
IF(AQ826=2,SUM(L826:M826,R826:S826,X826:Y826,AD826:AE826),
IF(AQ826=3,SUM(H826:I826,N826:O826,T826:U826,Z826:AA826,AF826:AG826),
SUM(IFERROR(WEEKDAY($H$2:$AL$2,2)&gt;5,)*H826:AL826))))</f>
        <v>0</v>
      </c>
      <c r="AO826" s="271" t="b">
        <f>IF(AR826&lt;=3,(IF((G826="5/24"),((база!$M$6*Таблица1[[#This Row],[сумма]]*Таблица1[[#This Row],[коэф]])),
IF((G826="4/24"),((база!$M$5*Таблица1[[#This Row],[сумма]]*Таблица1[[#This Row],[коэф]])),
IF((G826="3/24"),((база!$M$4*Таблица1[[#This Row],[сумма]]*Таблица1[[#This Row],[коэф]])),
IF((G826="5/16"),((база!$L$6*Таблица1[[#This Row],[сумма]]*Таблица1[[#This Row],[коэф]])),
IF((G826="4/16"),((база!$L$5*Таблица1[[#This Row],[сумма]]*Таблица1[[#This Row],[коэф]])),
IF((G826="3/16"),((база!$L$4*Таблица1[[#This Row],[сумма]]*Таблица1[[#This Row],[коэф]])),
IF((G826="4/4"),((база!$I$5*Таблица1[[#This Row],[сумма]]*Таблица1[[#This Row],[коэф]])),
IF(OR(G826="2/4",G826="3/4"),((база!$I$4*Таблица1[[#This Row],[сумма]]*Таблица1[[#This Row],[коэф]])),
IF((G826="5/8"),((база!$J$6*Таблица1[[#This Row],[сумма]]*Таблица1[[#This Row],[коэф]])),
IF((G826="4/8"),((база!$J$5*Таблица1[[#This Row],[сумма]]*Таблица1[[#This Row],[коэф]])),
IF(OR(G826="3/8",G826="2/8"),((база!$J$4*Таблица1[[#This Row],[сумма]]*Таблица1[[#This Row],[коэф]])))))))))))))),
(IF((G826="5/24"),((база!$M$6*Таблица1[[#This Row],[сумма]]*Таблица1[[#This Row],[коэф]])),
IF(OR(G826="4/24",G826="3/24"),((база!$M$5*Таблица1[[#This Row],[сумма]]*Таблица1[[#This Row],[коэф]])),
IF((G826="5/16"),((база!$L$6*Таблица1[[#This Row],[сумма]]*Таблица1[[#This Row],[коэф]])),
IF(OR(G826="4/16",G826="3/16"),((база!$L$5*Таблица1[[#This Row],[сумма]]*Таблица1[[#This Row],[коэф]])),
IF(OR(G826="2/4",G826="3/4",G826="4/4"),((база!$I$5*Таблица1[[#This Row],[сумма]]*Таблица1[[#This Row],[коэф]])),
IF((G826="5/8"),((база!$J$6*Таблица1[[#This Row],[сумма]]*Таблица1[[#This Row],[коэф]])),
IF(OR(G826="4/8",G826="3/8",G826="2/8"),((база!$J$5*Таблица1[[#This Row],[сумма]]*Таблица1[[#This Row],[коэф]])))))))))))</f>
        <v>0</v>
      </c>
      <c r="AP826" s="696" t="b">
        <f>IF(AR826&lt;=3,(IF((G826="5/24"),((база!$M$6*2*Таблица1[[#This Row],[Столбец1]]*Таблица1[[#This Row],[коэф]])),
IF((G826="4/24"),((база!$M$5*2*Таблица1[[#This Row],[Столбец1]]*Таблица1[[#This Row],[коэф]])),
IF((G826="3/24"),((база!$M$4*2*Таблица1[[#This Row],[Столбец1]]*Таблица1[[#This Row],[коэф]])),
IF((G826="5/16"),((база!$L$6*2*Таблица1[[#This Row],[Столбец1]]*Таблица1[[#This Row],[коэф]])),
IF((G826="4/16"),((база!$L$5*2*Таблица1[[#This Row],[Столбец1]]*Таблица1[[#This Row],[коэф]])),
IF((G826="3/16"),((база!$L$4*2*Таблица1[[#This Row],[Столбец1]]*Таблица1[[#This Row],[коэф]])),
IF((G826="4/4"),((база!$I$5*2*Таблица1[[#This Row],[Столбец1]]*Таблица1[[#This Row],[коэф]])),
IF(OR(G826="2/4",G826="3/4"),((база!$I$4*2*Таблица1[[#This Row],[Столбец1]]*Таблица1[[#This Row],[коэф]])),
IF((G826="5/8"),((база!$J$6*2*Таблица1[[#This Row],[Столбец1]]*Таблица1[[#This Row],[коэф]])),
IF((G826="4/8"),((база!$J$5*2*Таблица1[[#This Row],[Столбец1]]*Таблица1[[#This Row],[коэф]])),
IF(OR(G826="3/8",G826="2/8"),((база!$J$4*2*Таблица1[[#This Row],[Столбец1]]*Таблица1[[#This Row],[коэф]])))))))))))))),
(IF((G826="5/24"),((база!$M$6*2*Таблица1[[#This Row],[Столбец1]]*Таблица1[[#This Row],[коэф]])),
IF(OR(G826="4/24",G826="3/24"),((база!$M$5*2*Таблица1[[#This Row],[Столбец1]]*Таблица1[[#This Row],[коэф]])),
IF((G826="5/16"),((база!$L$6*2*Таблица1[[#This Row],[Столбец1]]*Таблица1[[#This Row],[коэф]])),
IF(OR(G826="4/16",G826="3/16"),((база!$L$5*2*Таблица1[[#This Row],[Столбец1]]*Таблица1[[#This Row],[коэф]])),
IF(OR(G826="2/4",G826="3/4",G826="4/4"),((база!$I$5*2*Таблица1[[#This Row],[Столбец1]]*Таблица1[[#This Row],[коэф]])),
IF((G826="5/8"),((база!$J$6*2*Таблица1[[#This Row],[Столбец1]]*Таблица1[[#This Row],[коэф]])),
IF(OR(G826="4/8",G826="3/8",G826="2/8"),((база!$J$5*2*Таблица1[[#This Row],[Столбец1]]*Таблица1[[#This Row],[коэф]])))))))))))</f>
        <v>0</v>
      </c>
      <c r="AQ826" s="678" t="str">
        <f>IFERROR(INDEX(база!T:T, MATCH(F826,база!Q:Q,0)),"")</f>
        <v/>
      </c>
      <c r="AR826" s="193">
        <f>IFERROR(INDEX(база!D:D, MATCH(F826,база!B:B,0)),"")</f>
        <v>0</v>
      </c>
    </row>
    <row r="827" spans="1:44" ht="15">
      <c r="A827" s="59"/>
      <c r="B827" s="215"/>
      <c r="C827" s="277"/>
      <c r="D827" s="55"/>
      <c r="E827" s="196"/>
      <c r="F827" s="651"/>
      <c r="G827" s="42"/>
      <c r="H827" s="539"/>
      <c r="I827" s="539"/>
      <c r="J827" s="539"/>
      <c r="K827" s="539"/>
      <c r="L827" s="539"/>
      <c r="M827" s="539"/>
      <c r="N827" s="539"/>
      <c r="O827" s="539"/>
      <c r="P827" s="278"/>
      <c r="Q827" s="539"/>
      <c r="R827" s="539"/>
      <c r="S827" s="539"/>
      <c r="T827" s="539"/>
      <c r="U827" s="539"/>
      <c r="V827" s="539"/>
      <c r="W827" s="539"/>
      <c r="X827" s="539"/>
      <c r="Y827" s="539"/>
      <c r="Z827" s="539"/>
      <c r="AA827" s="539"/>
      <c r="AB827" s="539"/>
      <c r="AC827" s="539"/>
      <c r="AD827" s="43"/>
      <c r="AE827" s="43"/>
      <c r="AF827" s="238"/>
      <c r="AG827" s="43"/>
      <c r="AH827" s="43"/>
      <c r="AI827" s="238"/>
      <c r="AJ827" s="238"/>
      <c r="AK827" s="238"/>
      <c r="AL827" s="238"/>
      <c r="AM827" s="197">
        <f>IF(AQ827=1,SUM(H827:I827,L827:O827,R827:U827,X827:AA827,AD827:AG827,AI827:AK827),
IF(AQ827=2,SUM(H827:K827,N827:Q827,T827:W827,Z827:AC827,AF827:AI827),
IF(AQ827=3,SUM(J827:M827,P827:S827,V827:Y827,AB827:AE827,AH827:AK827),SUM(Таблица1[[#This Row],[1]:[31]])-Таблица1[[#This Row],[Столбец1]])))</f>
        <v>0</v>
      </c>
      <c r="AN827" s="269">
        <f t="array" ref="AN827">IF(AQ827=1,SUM(J827:K827,P827:Q827,V827:W827,AB827:AC827,AH827:AI827),
IF(AQ827=2,SUM(L827:M827,R827:S827,X827:Y827,AD827:AE827),
IF(AQ827=3,SUM(H827:I827,N827:O827,T827:U827,Z827:AA827,AF827:AG827),
SUM(IFERROR(WEEKDAY($H$2:$AL$2,2)&gt;5,)*H827:AL827))))</f>
        <v>0</v>
      </c>
      <c r="AO827" s="271" t="b">
        <f>IF(AR827&lt;=3,(IF((G827="5/24"),((база!$M$6*Таблица1[[#This Row],[сумма]]*Таблица1[[#This Row],[коэф]])),
IF((G827="4/24"),((база!$M$5*Таблица1[[#This Row],[сумма]]*Таблица1[[#This Row],[коэф]])),
IF((G827="3/24"),((база!$M$4*Таблица1[[#This Row],[сумма]]*Таблица1[[#This Row],[коэф]])),
IF((G827="5/16"),((база!$L$6*Таблица1[[#This Row],[сумма]]*Таблица1[[#This Row],[коэф]])),
IF((G827="4/16"),((база!$L$5*Таблица1[[#This Row],[сумма]]*Таблица1[[#This Row],[коэф]])),
IF((G827="3/16"),((база!$L$4*Таблица1[[#This Row],[сумма]]*Таблица1[[#This Row],[коэф]])),
IF((G827="4/4"),((база!$I$5*Таблица1[[#This Row],[сумма]]*Таблица1[[#This Row],[коэф]])),
IF(OR(G827="2/4",G827="3/4"),((база!$I$4*Таблица1[[#This Row],[сумма]]*Таблица1[[#This Row],[коэф]])),
IF((G827="5/8"),((база!$J$6*Таблица1[[#This Row],[сумма]]*Таблица1[[#This Row],[коэф]])),
IF((G827="4/8"),((база!$J$5*Таблица1[[#This Row],[сумма]]*Таблица1[[#This Row],[коэф]])),
IF(OR(G827="3/8",G827="2/8"),((база!$J$4*Таблица1[[#This Row],[сумма]]*Таблица1[[#This Row],[коэф]])))))))))))))),
(IF((G827="5/24"),((база!$M$6*Таблица1[[#This Row],[сумма]]*Таблица1[[#This Row],[коэф]])),
IF(OR(G827="4/24",G827="3/24"),((база!$M$5*Таблица1[[#This Row],[сумма]]*Таблица1[[#This Row],[коэф]])),
IF((G827="5/16"),((база!$L$6*Таблица1[[#This Row],[сумма]]*Таблица1[[#This Row],[коэф]])),
IF(OR(G827="4/16",G827="3/16"),((база!$L$5*Таблица1[[#This Row],[сумма]]*Таблица1[[#This Row],[коэф]])),
IF(OR(G827="2/4",G827="3/4",G827="4/4"),((база!$I$5*Таблица1[[#This Row],[сумма]]*Таблица1[[#This Row],[коэф]])),
IF((G827="5/8"),((база!$J$6*Таблица1[[#This Row],[сумма]]*Таблица1[[#This Row],[коэф]])),
IF(OR(G827="4/8",G827="3/8",G827="2/8"),((база!$J$5*Таблица1[[#This Row],[сумма]]*Таблица1[[#This Row],[коэф]])))))))))))</f>
        <v>0</v>
      </c>
      <c r="AP827" s="696" t="b">
        <f>IF(AR827&lt;=3,(IF((G827="5/24"),((база!$M$6*2*Таблица1[[#This Row],[Столбец1]]*Таблица1[[#This Row],[коэф]])),
IF((G827="4/24"),((база!$M$5*2*Таблица1[[#This Row],[Столбец1]]*Таблица1[[#This Row],[коэф]])),
IF((G827="3/24"),((база!$M$4*2*Таблица1[[#This Row],[Столбец1]]*Таблица1[[#This Row],[коэф]])),
IF((G827="5/16"),((база!$L$6*2*Таблица1[[#This Row],[Столбец1]]*Таблица1[[#This Row],[коэф]])),
IF((G827="4/16"),((база!$L$5*2*Таблица1[[#This Row],[Столбец1]]*Таблица1[[#This Row],[коэф]])),
IF((G827="3/16"),((база!$L$4*2*Таблица1[[#This Row],[Столбец1]]*Таблица1[[#This Row],[коэф]])),
IF((G827="4/4"),((база!$I$5*2*Таблица1[[#This Row],[Столбец1]]*Таблица1[[#This Row],[коэф]])),
IF(OR(G827="2/4",G827="3/4"),((база!$I$4*2*Таблица1[[#This Row],[Столбец1]]*Таблица1[[#This Row],[коэф]])),
IF((G827="5/8"),((база!$J$6*2*Таблица1[[#This Row],[Столбец1]]*Таблица1[[#This Row],[коэф]])),
IF((G827="4/8"),((база!$J$5*2*Таблица1[[#This Row],[Столбец1]]*Таблица1[[#This Row],[коэф]])),
IF(OR(G827="3/8",G827="2/8"),((база!$J$4*2*Таблица1[[#This Row],[Столбец1]]*Таблица1[[#This Row],[коэф]])))))))))))))),
(IF((G827="5/24"),((база!$M$6*2*Таблица1[[#This Row],[Столбец1]]*Таблица1[[#This Row],[коэф]])),
IF(OR(G827="4/24",G827="3/24"),((база!$M$5*2*Таблица1[[#This Row],[Столбец1]]*Таблица1[[#This Row],[коэф]])),
IF((G827="5/16"),((база!$L$6*2*Таблица1[[#This Row],[Столбец1]]*Таблица1[[#This Row],[коэф]])),
IF(OR(G827="4/16",G827="3/16"),((база!$L$5*2*Таблица1[[#This Row],[Столбец1]]*Таблица1[[#This Row],[коэф]])),
IF(OR(G827="2/4",G827="3/4",G827="4/4"),((база!$I$5*2*Таблица1[[#This Row],[Столбец1]]*Таблица1[[#This Row],[коэф]])),
IF((G827="5/8"),((база!$J$6*2*Таблица1[[#This Row],[Столбец1]]*Таблица1[[#This Row],[коэф]])),
IF(OR(G827="4/8",G827="3/8",G827="2/8"),((база!$J$5*2*Таблица1[[#This Row],[Столбец1]]*Таблица1[[#This Row],[коэф]])))))))))))</f>
        <v>0</v>
      </c>
      <c r="AQ827" s="678" t="str">
        <f>IFERROR(INDEX(база!T:T, MATCH(F827,база!Q:Q,0)),"")</f>
        <v/>
      </c>
      <c r="AR827" s="193">
        <f>IFERROR(INDEX(база!D:D, MATCH(F827,база!B:B,0)),"")</f>
        <v>0</v>
      </c>
    </row>
    <row r="828" spans="1:44" ht="15">
      <c r="A828" s="59"/>
      <c r="B828" s="215"/>
      <c r="C828" s="277"/>
      <c r="D828" s="55"/>
      <c r="E828" s="196"/>
      <c r="F828" s="651"/>
      <c r="G828" s="42"/>
      <c r="H828" s="539"/>
      <c r="I828" s="539"/>
      <c r="J828" s="539"/>
      <c r="K828" s="539"/>
      <c r="L828" s="539"/>
      <c r="M828" s="539"/>
      <c r="N828" s="539"/>
      <c r="O828" s="539"/>
      <c r="P828" s="278"/>
      <c r="Q828" s="539"/>
      <c r="R828" s="539"/>
      <c r="S828" s="539"/>
      <c r="T828" s="539"/>
      <c r="U828" s="539"/>
      <c r="V828" s="539"/>
      <c r="W828" s="539"/>
      <c r="X828" s="539"/>
      <c r="Y828" s="539"/>
      <c r="Z828" s="539"/>
      <c r="AA828" s="539"/>
      <c r="AB828" s="539"/>
      <c r="AC828" s="539"/>
      <c r="AD828" s="43"/>
      <c r="AE828" s="43"/>
      <c r="AF828" s="238"/>
      <c r="AG828" s="43"/>
      <c r="AH828" s="43"/>
      <c r="AI828" s="43"/>
      <c r="AJ828" s="43"/>
      <c r="AK828" s="43"/>
      <c r="AL828" s="45"/>
      <c r="AM828" s="197">
        <f>IF(AQ828=1,SUM(H828:I828,L828:O828,R828:U828,X828:AA828,AD828:AG828,AI828:AK828),
IF(AQ828=2,SUM(H828:K828,N828:Q828,T828:W828,Z828:AC828,AF828:AI828),
IF(AQ828=3,SUM(J828:M828,P828:S828,V828:Y828,AB828:AE828,AH828:AK828),SUM(Таблица1[[#This Row],[1]:[31]])-Таблица1[[#This Row],[Столбец1]])))</f>
        <v>0</v>
      </c>
      <c r="AN828" s="269">
        <f t="array" ref="AN828">IF(AQ828=1,SUM(J828:K828,P828:Q828,V828:W828,AB828:AC828,AH828:AI828),
IF(AQ828=2,SUM(L828:M828,R828:S828,X828:Y828,AD828:AE828),
IF(AQ828=3,SUM(H828:I828,N828:O828,T828:U828,Z828:AA828,AF828:AG828),
SUM(IFERROR(WEEKDAY($H$2:$AL$2,2)&gt;5,)*H828:AL828))))</f>
        <v>0</v>
      </c>
      <c r="AO828" s="271" t="b">
        <f>IF(AR828&lt;=3,(IF((G828="5/24"),((база!$M$6*Таблица1[[#This Row],[сумма]]*Таблица1[[#This Row],[коэф]])),
IF((G828="4/24"),((база!$M$5*Таблица1[[#This Row],[сумма]]*Таблица1[[#This Row],[коэф]])),
IF((G828="3/24"),((база!$M$4*Таблица1[[#This Row],[сумма]]*Таблица1[[#This Row],[коэф]])),
IF((G828="5/16"),((база!$L$6*Таблица1[[#This Row],[сумма]]*Таблица1[[#This Row],[коэф]])),
IF((G828="4/16"),((база!$L$5*Таблица1[[#This Row],[сумма]]*Таблица1[[#This Row],[коэф]])),
IF((G828="3/16"),((база!$L$4*Таблица1[[#This Row],[сумма]]*Таблица1[[#This Row],[коэф]])),
IF((G828="4/4"),((база!$I$5*Таблица1[[#This Row],[сумма]]*Таблица1[[#This Row],[коэф]])),
IF(OR(G828="2/4",G828="3/4"),((база!$I$4*Таблица1[[#This Row],[сумма]]*Таблица1[[#This Row],[коэф]])),
IF((G828="5/8"),((база!$J$6*Таблица1[[#This Row],[сумма]]*Таблица1[[#This Row],[коэф]])),
IF((G828="4/8"),((база!$J$5*Таблица1[[#This Row],[сумма]]*Таблица1[[#This Row],[коэф]])),
IF(OR(G828="3/8",G828="2/8"),((база!$J$4*Таблица1[[#This Row],[сумма]]*Таблица1[[#This Row],[коэф]])))))))))))))),
(IF((G828="5/24"),((база!$M$6*Таблица1[[#This Row],[сумма]]*Таблица1[[#This Row],[коэф]])),
IF(OR(G828="4/24",G828="3/24"),((база!$M$5*Таблица1[[#This Row],[сумма]]*Таблица1[[#This Row],[коэф]])),
IF((G828="5/16"),((база!$L$6*Таблица1[[#This Row],[сумма]]*Таблица1[[#This Row],[коэф]])),
IF(OR(G828="4/16",G828="3/16"),((база!$L$5*Таблица1[[#This Row],[сумма]]*Таблица1[[#This Row],[коэф]])),
IF(OR(G828="2/4",G828="3/4",G828="4/4"),((база!$I$5*Таблица1[[#This Row],[сумма]]*Таблица1[[#This Row],[коэф]])),
IF((G828="5/8"),((база!$J$6*Таблица1[[#This Row],[сумма]]*Таблица1[[#This Row],[коэф]])),
IF(OR(G828="4/8",G828="3/8",G828="2/8"),((база!$J$5*Таблица1[[#This Row],[сумма]]*Таблица1[[#This Row],[коэф]])))))))))))</f>
        <v>0</v>
      </c>
      <c r="AP828" s="696" t="b">
        <f>IF(AR828&lt;=3,(IF((G828="5/24"),((база!$M$6*2*Таблица1[[#This Row],[Столбец1]]*Таблица1[[#This Row],[коэф]])),
IF((G828="4/24"),((база!$M$5*2*Таблица1[[#This Row],[Столбец1]]*Таблица1[[#This Row],[коэф]])),
IF((G828="3/24"),((база!$M$4*2*Таблица1[[#This Row],[Столбец1]]*Таблица1[[#This Row],[коэф]])),
IF((G828="5/16"),((база!$L$6*2*Таблица1[[#This Row],[Столбец1]]*Таблица1[[#This Row],[коэф]])),
IF((G828="4/16"),((база!$L$5*2*Таблица1[[#This Row],[Столбец1]]*Таблица1[[#This Row],[коэф]])),
IF((G828="3/16"),((база!$L$4*2*Таблица1[[#This Row],[Столбец1]]*Таблица1[[#This Row],[коэф]])),
IF((G828="4/4"),((база!$I$5*2*Таблица1[[#This Row],[Столбец1]]*Таблица1[[#This Row],[коэф]])),
IF(OR(G828="2/4",G828="3/4"),((база!$I$4*2*Таблица1[[#This Row],[Столбец1]]*Таблица1[[#This Row],[коэф]])),
IF((G828="5/8"),((база!$J$6*2*Таблица1[[#This Row],[Столбец1]]*Таблица1[[#This Row],[коэф]])),
IF((G828="4/8"),((база!$J$5*2*Таблица1[[#This Row],[Столбец1]]*Таблица1[[#This Row],[коэф]])),
IF(OR(G828="3/8",G828="2/8"),((база!$J$4*2*Таблица1[[#This Row],[Столбец1]]*Таблица1[[#This Row],[коэф]])))))))))))))),
(IF((G828="5/24"),((база!$M$6*2*Таблица1[[#This Row],[Столбец1]]*Таблица1[[#This Row],[коэф]])),
IF(OR(G828="4/24",G828="3/24"),((база!$M$5*2*Таблица1[[#This Row],[Столбец1]]*Таблица1[[#This Row],[коэф]])),
IF((G828="5/16"),((база!$L$6*2*Таблица1[[#This Row],[Столбец1]]*Таблица1[[#This Row],[коэф]])),
IF(OR(G828="4/16",G828="3/16"),((база!$L$5*2*Таблица1[[#This Row],[Столбец1]]*Таблица1[[#This Row],[коэф]])),
IF(OR(G828="2/4",G828="3/4",G828="4/4"),((база!$I$5*2*Таблица1[[#This Row],[Столбец1]]*Таблица1[[#This Row],[коэф]])),
IF((G828="5/8"),((база!$J$6*2*Таблица1[[#This Row],[Столбец1]]*Таблица1[[#This Row],[коэф]])),
IF(OR(G828="4/8",G828="3/8",G828="2/8"),((база!$J$5*2*Таблица1[[#This Row],[Столбец1]]*Таблица1[[#This Row],[коэф]])))))))))))</f>
        <v>0</v>
      </c>
      <c r="AQ828" s="678" t="str">
        <f>IFERROR(INDEX(база!T:T, MATCH(F828,база!Q:Q,0)),"")</f>
        <v/>
      </c>
      <c r="AR828" s="193">
        <f>IFERROR(INDEX(база!D:D, MATCH(F828,база!B:B,0)),"")</f>
        <v>0</v>
      </c>
    </row>
    <row r="829" spans="1:44" ht="15">
      <c r="A829" s="59"/>
      <c r="B829" s="215"/>
      <c r="C829" s="277"/>
      <c r="D829" s="55"/>
      <c r="E829" s="196"/>
      <c r="F829" s="651"/>
      <c r="G829" s="42"/>
      <c r="H829" s="539"/>
      <c r="I829" s="539"/>
      <c r="J829" s="539"/>
      <c r="K829" s="539"/>
      <c r="L829" s="539"/>
      <c r="M829" s="539"/>
      <c r="N829" s="539"/>
      <c r="O829" s="539"/>
      <c r="P829" s="278"/>
      <c r="Q829" s="539"/>
      <c r="R829" s="539"/>
      <c r="S829" s="539"/>
      <c r="T829" s="539"/>
      <c r="U829" s="539"/>
      <c r="V829" s="539"/>
      <c r="W829" s="539"/>
      <c r="X829" s="539"/>
      <c r="Y829" s="539"/>
      <c r="Z829" s="539"/>
      <c r="AA829" s="539"/>
      <c r="AB829" s="539"/>
      <c r="AC829" s="539"/>
      <c r="AD829" s="43"/>
      <c r="AE829" s="43"/>
      <c r="AF829" s="238"/>
      <c r="AG829" s="43"/>
      <c r="AH829" s="43"/>
      <c r="AI829" s="238"/>
      <c r="AJ829" s="238"/>
      <c r="AK829" s="238"/>
      <c r="AL829" s="238"/>
      <c r="AM829" s="197">
        <f>IF(AQ829=1,SUM(H829:I829,L829:O829,R829:U829,X829:AA829,AD829:AG829,AI829:AK829),
IF(AQ829=2,SUM(H829:K829,N829:Q829,T829:W829,Z829:AC829,AF829:AI829),
IF(AQ829=3,SUM(J829:M829,P829:S829,V829:Y829,AB829:AE829,AH829:AK829),SUM(Таблица1[[#This Row],[1]:[31]])-Таблица1[[#This Row],[Столбец1]])))</f>
        <v>0</v>
      </c>
      <c r="AN829" s="269">
        <f t="array" ref="AN829">IF(AQ829=1,SUM(J829:K829,P829:Q829,V829:W829,AB829:AC829,AH829:AI829),
IF(AQ829=2,SUM(L829:M829,R829:S829,X829:Y829,AD829:AE829),
IF(AQ829=3,SUM(H829:I829,N829:O829,T829:U829,Z829:AA829,AF829:AG829),
SUM(IFERROR(WEEKDAY($H$2:$AL$2,2)&gt;5,)*H829:AL829))))</f>
        <v>0</v>
      </c>
      <c r="AO829" s="271" t="b">
        <f>IF(AR829&lt;=3,(IF((G829="5/24"),((база!$M$6*Таблица1[[#This Row],[сумма]]*Таблица1[[#This Row],[коэф]])),
IF((G829="4/24"),((база!$M$5*Таблица1[[#This Row],[сумма]]*Таблица1[[#This Row],[коэф]])),
IF((G829="3/24"),((база!$M$4*Таблица1[[#This Row],[сумма]]*Таблица1[[#This Row],[коэф]])),
IF((G829="5/16"),((база!$L$6*Таблица1[[#This Row],[сумма]]*Таблица1[[#This Row],[коэф]])),
IF((G829="4/16"),((база!$L$5*Таблица1[[#This Row],[сумма]]*Таблица1[[#This Row],[коэф]])),
IF((G829="3/16"),((база!$L$4*Таблица1[[#This Row],[сумма]]*Таблица1[[#This Row],[коэф]])),
IF((G829="4/4"),((база!$I$5*Таблица1[[#This Row],[сумма]]*Таблица1[[#This Row],[коэф]])),
IF(OR(G829="2/4",G829="3/4"),((база!$I$4*Таблица1[[#This Row],[сумма]]*Таблица1[[#This Row],[коэф]])),
IF((G829="5/8"),((база!$J$6*Таблица1[[#This Row],[сумма]]*Таблица1[[#This Row],[коэф]])),
IF((G829="4/8"),((база!$J$5*Таблица1[[#This Row],[сумма]]*Таблица1[[#This Row],[коэф]])),
IF(OR(G829="3/8",G829="2/8"),((база!$J$4*Таблица1[[#This Row],[сумма]]*Таблица1[[#This Row],[коэф]])))))))))))))),
(IF((G829="5/24"),((база!$M$6*Таблица1[[#This Row],[сумма]]*Таблица1[[#This Row],[коэф]])),
IF(OR(G829="4/24",G829="3/24"),((база!$M$5*Таблица1[[#This Row],[сумма]]*Таблица1[[#This Row],[коэф]])),
IF((G829="5/16"),((база!$L$6*Таблица1[[#This Row],[сумма]]*Таблица1[[#This Row],[коэф]])),
IF(OR(G829="4/16",G829="3/16"),((база!$L$5*Таблица1[[#This Row],[сумма]]*Таблица1[[#This Row],[коэф]])),
IF(OR(G829="2/4",G829="3/4",G829="4/4"),((база!$I$5*Таблица1[[#This Row],[сумма]]*Таблица1[[#This Row],[коэф]])),
IF((G829="5/8"),((база!$J$6*Таблица1[[#This Row],[сумма]]*Таблица1[[#This Row],[коэф]])),
IF(OR(G829="4/8",G829="3/8",G829="2/8"),((база!$J$5*Таблица1[[#This Row],[сумма]]*Таблица1[[#This Row],[коэф]])))))))))))</f>
        <v>0</v>
      </c>
      <c r="AP829" s="696" t="b">
        <f>IF(AR829&lt;=3,(IF((G829="5/24"),((база!$M$6*2*Таблица1[[#This Row],[Столбец1]]*Таблица1[[#This Row],[коэф]])),
IF((G829="4/24"),((база!$M$5*2*Таблица1[[#This Row],[Столбец1]]*Таблица1[[#This Row],[коэф]])),
IF((G829="3/24"),((база!$M$4*2*Таблица1[[#This Row],[Столбец1]]*Таблица1[[#This Row],[коэф]])),
IF((G829="5/16"),((база!$L$6*2*Таблица1[[#This Row],[Столбец1]]*Таблица1[[#This Row],[коэф]])),
IF((G829="4/16"),((база!$L$5*2*Таблица1[[#This Row],[Столбец1]]*Таблица1[[#This Row],[коэф]])),
IF((G829="3/16"),((база!$L$4*2*Таблица1[[#This Row],[Столбец1]]*Таблица1[[#This Row],[коэф]])),
IF((G829="4/4"),((база!$I$5*2*Таблица1[[#This Row],[Столбец1]]*Таблица1[[#This Row],[коэф]])),
IF(OR(G829="2/4",G829="3/4"),((база!$I$4*2*Таблица1[[#This Row],[Столбец1]]*Таблица1[[#This Row],[коэф]])),
IF((G829="5/8"),((база!$J$6*2*Таблица1[[#This Row],[Столбец1]]*Таблица1[[#This Row],[коэф]])),
IF((G829="4/8"),((база!$J$5*2*Таблица1[[#This Row],[Столбец1]]*Таблица1[[#This Row],[коэф]])),
IF(OR(G829="3/8",G829="2/8"),((база!$J$4*2*Таблица1[[#This Row],[Столбец1]]*Таблица1[[#This Row],[коэф]])))))))))))))),
(IF((G829="5/24"),((база!$M$6*2*Таблица1[[#This Row],[Столбец1]]*Таблица1[[#This Row],[коэф]])),
IF(OR(G829="4/24",G829="3/24"),((база!$M$5*2*Таблица1[[#This Row],[Столбец1]]*Таблица1[[#This Row],[коэф]])),
IF((G829="5/16"),((база!$L$6*2*Таблица1[[#This Row],[Столбец1]]*Таблица1[[#This Row],[коэф]])),
IF(OR(G829="4/16",G829="3/16"),((база!$L$5*2*Таблица1[[#This Row],[Столбец1]]*Таблица1[[#This Row],[коэф]])),
IF(OR(G829="2/4",G829="3/4",G829="4/4"),((база!$I$5*2*Таблица1[[#This Row],[Столбец1]]*Таблица1[[#This Row],[коэф]])),
IF((G829="5/8"),((база!$J$6*2*Таблица1[[#This Row],[Столбец1]]*Таблица1[[#This Row],[коэф]])),
IF(OR(G829="4/8",G829="3/8",G829="2/8"),((база!$J$5*2*Таблица1[[#This Row],[Столбец1]]*Таблица1[[#This Row],[коэф]])))))))))))</f>
        <v>0</v>
      </c>
      <c r="AQ829" s="678" t="str">
        <f>IFERROR(INDEX(база!T:T, MATCH(F829,база!Q:Q,0)),"")</f>
        <v/>
      </c>
      <c r="AR829" s="193">
        <f>IFERROR(INDEX(база!D:D, MATCH(F829,база!B:B,0)),"")</f>
        <v>0</v>
      </c>
    </row>
    <row r="830" spans="1:44" ht="15">
      <c r="A830" s="59"/>
      <c r="B830" s="215"/>
      <c r="C830" s="277"/>
      <c r="D830" s="55"/>
      <c r="E830" s="196"/>
      <c r="F830" s="651"/>
      <c r="G830" s="42"/>
      <c r="H830" s="539"/>
      <c r="I830" s="539"/>
      <c r="J830" s="539"/>
      <c r="K830" s="539"/>
      <c r="L830" s="539"/>
      <c r="M830" s="539"/>
      <c r="N830" s="539"/>
      <c r="O830" s="539"/>
      <c r="P830" s="278"/>
      <c r="Q830" s="539"/>
      <c r="R830" s="539"/>
      <c r="S830" s="539"/>
      <c r="T830" s="539"/>
      <c r="U830" s="539"/>
      <c r="V830" s="539"/>
      <c r="W830" s="539"/>
      <c r="X830" s="539"/>
      <c r="Y830" s="539"/>
      <c r="Z830" s="539"/>
      <c r="AA830" s="539"/>
      <c r="AB830" s="539"/>
      <c r="AC830" s="539"/>
      <c r="AD830" s="43"/>
      <c r="AE830" s="43"/>
      <c r="AF830" s="238"/>
      <c r="AG830" s="43"/>
      <c r="AH830" s="43"/>
      <c r="AI830" s="43"/>
      <c r="AJ830" s="43"/>
      <c r="AK830" s="43"/>
      <c r="AL830" s="45"/>
      <c r="AM830" s="197">
        <f>IF(AQ830=1,SUM(H830:I830,L830:O830,R830:U830,X830:AA830,AD830:AG830,AI830:AK830),
IF(AQ830=2,SUM(H830:K830,N830:Q830,T830:W830,Z830:AC830,AF830:AI830),
IF(AQ830=3,SUM(J830:M830,P830:S830,V830:Y830,AB830:AE830,AH830:AK830),SUM(Таблица1[[#This Row],[1]:[31]])-Таблица1[[#This Row],[Столбец1]])))</f>
        <v>0</v>
      </c>
      <c r="AN830" s="269">
        <f t="array" ref="AN830">IF(AQ830=1,SUM(J830:K830,P830:Q830,V830:W830,AB830:AC830,AH830:AI830),
IF(AQ830=2,SUM(L830:M830,R830:S830,X830:Y830,AD830:AE830),
IF(AQ830=3,SUM(H830:I830,N830:O830,T830:U830,Z830:AA830,AF830:AG830),
SUM(IFERROR(WEEKDAY($H$2:$AL$2,2)&gt;5,)*H830:AL830))))</f>
        <v>0</v>
      </c>
      <c r="AO830" s="271" t="b">
        <f>IF(AR830&lt;=3,(IF((G830="5/24"),((база!$M$6*Таблица1[[#This Row],[сумма]]*Таблица1[[#This Row],[коэф]])),
IF((G830="4/24"),((база!$M$5*Таблица1[[#This Row],[сумма]]*Таблица1[[#This Row],[коэф]])),
IF((G830="3/24"),((база!$M$4*Таблица1[[#This Row],[сумма]]*Таблица1[[#This Row],[коэф]])),
IF((G830="5/16"),((база!$L$6*Таблица1[[#This Row],[сумма]]*Таблица1[[#This Row],[коэф]])),
IF((G830="4/16"),((база!$L$5*Таблица1[[#This Row],[сумма]]*Таблица1[[#This Row],[коэф]])),
IF((G830="3/16"),((база!$L$4*Таблица1[[#This Row],[сумма]]*Таблица1[[#This Row],[коэф]])),
IF((G830="4/4"),((база!$I$5*Таблица1[[#This Row],[сумма]]*Таблица1[[#This Row],[коэф]])),
IF(OR(G830="2/4",G830="3/4"),((база!$I$4*Таблица1[[#This Row],[сумма]]*Таблица1[[#This Row],[коэф]])),
IF((G830="5/8"),((база!$J$6*Таблица1[[#This Row],[сумма]]*Таблица1[[#This Row],[коэф]])),
IF((G830="4/8"),((база!$J$5*Таблица1[[#This Row],[сумма]]*Таблица1[[#This Row],[коэф]])),
IF(OR(G830="3/8",G830="2/8"),((база!$J$4*Таблица1[[#This Row],[сумма]]*Таблица1[[#This Row],[коэф]])))))))))))))),
(IF((G830="5/24"),((база!$M$6*Таблица1[[#This Row],[сумма]]*Таблица1[[#This Row],[коэф]])),
IF(OR(G830="4/24",G830="3/24"),((база!$M$5*Таблица1[[#This Row],[сумма]]*Таблица1[[#This Row],[коэф]])),
IF((G830="5/16"),((база!$L$6*Таблица1[[#This Row],[сумма]]*Таблица1[[#This Row],[коэф]])),
IF(OR(G830="4/16",G830="3/16"),((база!$L$5*Таблица1[[#This Row],[сумма]]*Таблица1[[#This Row],[коэф]])),
IF(OR(G830="2/4",G830="3/4",G830="4/4"),((база!$I$5*Таблица1[[#This Row],[сумма]]*Таблица1[[#This Row],[коэф]])),
IF((G830="5/8"),((база!$J$6*Таблица1[[#This Row],[сумма]]*Таблица1[[#This Row],[коэф]])),
IF(OR(G830="4/8",G830="3/8",G830="2/8"),((база!$J$5*Таблица1[[#This Row],[сумма]]*Таблица1[[#This Row],[коэф]])))))))))))</f>
        <v>0</v>
      </c>
      <c r="AP830" s="696" t="b">
        <f>IF(AR830&lt;=3,(IF((G830="5/24"),((база!$M$6*2*Таблица1[[#This Row],[Столбец1]]*Таблица1[[#This Row],[коэф]])),
IF((G830="4/24"),((база!$M$5*2*Таблица1[[#This Row],[Столбец1]]*Таблица1[[#This Row],[коэф]])),
IF((G830="3/24"),((база!$M$4*2*Таблица1[[#This Row],[Столбец1]]*Таблица1[[#This Row],[коэф]])),
IF((G830="5/16"),((база!$L$6*2*Таблица1[[#This Row],[Столбец1]]*Таблица1[[#This Row],[коэф]])),
IF((G830="4/16"),((база!$L$5*2*Таблица1[[#This Row],[Столбец1]]*Таблица1[[#This Row],[коэф]])),
IF((G830="3/16"),((база!$L$4*2*Таблица1[[#This Row],[Столбец1]]*Таблица1[[#This Row],[коэф]])),
IF((G830="4/4"),((база!$I$5*2*Таблица1[[#This Row],[Столбец1]]*Таблица1[[#This Row],[коэф]])),
IF(OR(G830="2/4",G830="3/4"),((база!$I$4*2*Таблица1[[#This Row],[Столбец1]]*Таблица1[[#This Row],[коэф]])),
IF((G830="5/8"),((база!$J$6*2*Таблица1[[#This Row],[Столбец1]]*Таблица1[[#This Row],[коэф]])),
IF((G830="4/8"),((база!$J$5*2*Таблица1[[#This Row],[Столбец1]]*Таблица1[[#This Row],[коэф]])),
IF(OR(G830="3/8",G830="2/8"),((база!$J$4*2*Таблица1[[#This Row],[Столбец1]]*Таблица1[[#This Row],[коэф]])))))))))))))),
(IF((G830="5/24"),((база!$M$6*2*Таблица1[[#This Row],[Столбец1]]*Таблица1[[#This Row],[коэф]])),
IF(OR(G830="4/24",G830="3/24"),((база!$M$5*2*Таблица1[[#This Row],[Столбец1]]*Таблица1[[#This Row],[коэф]])),
IF((G830="5/16"),((база!$L$6*2*Таблица1[[#This Row],[Столбец1]]*Таблица1[[#This Row],[коэф]])),
IF(OR(G830="4/16",G830="3/16"),((база!$L$5*2*Таблица1[[#This Row],[Столбец1]]*Таблица1[[#This Row],[коэф]])),
IF(OR(G830="2/4",G830="3/4",G830="4/4"),((база!$I$5*2*Таблица1[[#This Row],[Столбец1]]*Таблица1[[#This Row],[коэф]])),
IF((G830="5/8"),((база!$J$6*2*Таблица1[[#This Row],[Столбец1]]*Таблица1[[#This Row],[коэф]])),
IF(OR(G830="4/8",G830="3/8",G830="2/8"),((база!$J$5*2*Таблица1[[#This Row],[Столбец1]]*Таблица1[[#This Row],[коэф]])))))))))))</f>
        <v>0</v>
      </c>
      <c r="AQ830" s="678" t="str">
        <f>IFERROR(INDEX(база!T:T, MATCH(F830,база!Q:Q,0)),"")</f>
        <v/>
      </c>
      <c r="AR830" s="193">
        <f>IFERROR(INDEX(база!D:D, MATCH(F830,база!B:B,0)),"")</f>
        <v>0</v>
      </c>
    </row>
    <row r="831" spans="1:44" ht="15">
      <c r="A831" s="59"/>
      <c r="B831" s="215"/>
      <c r="C831" s="277"/>
      <c r="D831" s="55"/>
      <c r="E831" s="196"/>
      <c r="F831" s="651"/>
      <c r="G831" s="42"/>
      <c r="H831" s="539"/>
      <c r="I831" s="539"/>
      <c r="J831" s="539"/>
      <c r="K831" s="539"/>
      <c r="L831" s="539"/>
      <c r="M831" s="539"/>
      <c r="N831" s="539"/>
      <c r="O831" s="539"/>
      <c r="P831" s="278"/>
      <c r="Q831" s="539"/>
      <c r="R831" s="539"/>
      <c r="S831" s="539"/>
      <c r="T831" s="539"/>
      <c r="U831" s="539"/>
      <c r="V831" s="539"/>
      <c r="W831" s="539"/>
      <c r="X831" s="539"/>
      <c r="Y831" s="539"/>
      <c r="Z831" s="539"/>
      <c r="AA831" s="539"/>
      <c r="AB831" s="539"/>
      <c r="AC831" s="539"/>
      <c r="AD831" s="43"/>
      <c r="AE831" s="43"/>
      <c r="AF831" s="238"/>
      <c r="AG831" s="43"/>
      <c r="AH831" s="43"/>
      <c r="AI831" s="238"/>
      <c r="AJ831" s="238"/>
      <c r="AK831" s="238"/>
      <c r="AL831" s="238"/>
      <c r="AM831" s="197">
        <f>IF(AQ831=1,SUM(H831:I831,L831:O831,R831:U831,X831:AA831,AD831:AG831,AI831:AK831),
IF(AQ831=2,SUM(H831:K831,N831:Q831,T831:W831,Z831:AC831,AF831:AI831),
IF(AQ831=3,SUM(J831:M831,P831:S831,V831:Y831,AB831:AE831,AH831:AK831),SUM(Таблица1[[#This Row],[1]:[31]])-Таблица1[[#This Row],[Столбец1]])))</f>
        <v>0</v>
      </c>
      <c r="AN831" s="269">
        <f t="array" ref="AN831">IF(AQ831=1,SUM(J831:K831,P831:Q831,V831:W831,AB831:AC831,AH831:AI831),
IF(AQ831=2,SUM(L831:M831,R831:S831,X831:Y831,AD831:AE831),
IF(AQ831=3,SUM(H831:I831,N831:O831,T831:U831,Z831:AA831,AF831:AG831),
SUM(IFERROR(WEEKDAY($H$2:$AL$2,2)&gt;5,)*H831:AL831))))</f>
        <v>0</v>
      </c>
      <c r="AO831" s="271" t="b">
        <f>IF(AR831&lt;=3,(IF((G831="5/24"),((база!$M$6*Таблица1[[#This Row],[сумма]]*Таблица1[[#This Row],[коэф]])),
IF((G831="4/24"),((база!$M$5*Таблица1[[#This Row],[сумма]]*Таблица1[[#This Row],[коэф]])),
IF((G831="3/24"),((база!$M$4*Таблица1[[#This Row],[сумма]]*Таблица1[[#This Row],[коэф]])),
IF((G831="5/16"),((база!$L$6*Таблица1[[#This Row],[сумма]]*Таблица1[[#This Row],[коэф]])),
IF((G831="4/16"),((база!$L$5*Таблица1[[#This Row],[сумма]]*Таблица1[[#This Row],[коэф]])),
IF((G831="3/16"),((база!$L$4*Таблица1[[#This Row],[сумма]]*Таблица1[[#This Row],[коэф]])),
IF((G831="4/4"),((база!$I$5*Таблица1[[#This Row],[сумма]]*Таблица1[[#This Row],[коэф]])),
IF(OR(G831="2/4",G831="3/4"),((база!$I$4*Таблица1[[#This Row],[сумма]]*Таблица1[[#This Row],[коэф]])),
IF((G831="5/8"),((база!$J$6*Таблица1[[#This Row],[сумма]]*Таблица1[[#This Row],[коэф]])),
IF((G831="4/8"),((база!$J$5*Таблица1[[#This Row],[сумма]]*Таблица1[[#This Row],[коэф]])),
IF(OR(G831="3/8",G831="2/8"),((база!$J$4*Таблица1[[#This Row],[сумма]]*Таблица1[[#This Row],[коэф]])))))))))))))),
(IF((G831="5/24"),((база!$M$6*Таблица1[[#This Row],[сумма]]*Таблица1[[#This Row],[коэф]])),
IF(OR(G831="4/24",G831="3/24"),((база!$M$5*Таблица1[[#This Row],[сумма]]*Таблица1[[#This Row],[коэф]])),
IF((G831="5/16"),((база!$L$6*Таблица1[[#This Row],[сумма]]*Таблица1[[#This Row],[коэф]])),
IF(OR(G831="4/16",G831="3/16"),((база!$L$5*Таблица1[[#This Row],[сумма]]*Таблица1[[#This Row],[коэф]])),
IF(OR(G831="2/4",G831="3/4",G831="4/4"),((база!$I$5*Таблица1[[#This Row],[сумма]]*Таблица1[[#This Row],[коэф]])),
IF((G831="5/8"),((база!$J$6*Таблица1[[#This Row],[сумма]]*Таблица1[[#This Row],[коэф]])),
IF(OR(G831="4/8",G831="3/8",G831="2/8"),((база!$J$5*Таблица1[[#This Row],[сумма]]*Таблица1[[#This Row],[коэф]])))))))))))</f>
        <v>0</v>
      </c>
      <c r="AP831" s="696" t="b">
        <f>IF(AR831&lt;=3,(IF((G831="5/24"),((база!$M$6*2*Таблица1[[#This Row],[Столбец1]]*Таблица1[[#This Row],[коэф]])),
IF((G831="4/24"),((база!$M$5*2*Таблица1[[#This Row],[Столбец1]]*Таблица1[[#This Row],[коэф]])),
IF((G831="3/24"),((база!$M$4*2*Таблица1[[#This Row],[Столбец1]]*Таблица1[[#This Row],[коэф]])),
IF((G831="5/16"),((база!$L$6*2*Таблица1[[#This Row],[Столбец1]]*Таблица1[[#This Row],[коэф]])),
IF((G831="4/16"),((база!$L$5*2*Таблица1[[#This Row],[Столбец1]]*Таблица1[[#This Row],[коэф]])),
IF((G831="3/16"),((база!$L$4*2*Таблица1[[#This Row],[Столбец1]]*Таблица1[[#This Row],[коэф]])),
IF((G831="4/4"),((база!$I$5*2*Таблица1[[#This Row],[Столбец1]]*Таблица1[[#This Row],[коэф]])),
IF(OR(G831="2/4",G831="3/4"),((база!$I$4*2*Таблица1[[#This Row],[Столбец1]]*Таблица1[[#This Row],[коэф]])),
IF((G831="5/8"),((база!$J$6*2*Таблица1[[#This Row],[Столбец1]]*Таблица1[[#This Row],[коэф]])),
IF((G831="4/8"),((база!$J$5*2*Таблица1[[#This Row],[Столбец1]]*Таблица1[[#This Row],[коэф]])),
IF(OR(G831="3/8",G831="2/8"),((база!$J$4*2*Таблица1[[#This Row],[Столбец1]]*Таблица1[[#This Row],[коэф]])))))))))))))),
(IF((G831="5/24"),((база!$M$6*2*Таблица1[[#This Row],[Столбец1]]*Таблица1[[#This Row],[коэф]])),
IF(OR(G831="4/24",G831="3/24"),((база!$M$5*2*Таблица1[[#This Row],[Столбец1]]*Таблица1[[#This Row],[коэф]])),
IF((G831="5/16"),((база!$L$6*2*Таблица1[[#This Row],[Столбец1]]*Таблица1[[#This Row],[коэф]])),
IF(OR(G831="4/16",G831="3/16"),((база!$L$5*2*Таблица1[[#This Row],[Столбец1]]*Таблица1[[#This Row],[коэф]])),
IF(OR(G831="2/4",G831="3/4",G831="4/4"),((база!$I$5*2*Таблица1[[#This Row],[Столбец1]]*Таблица1[[#This Row],[коэф]])),
IF((G831="5/8"),((база!$J$6*2*Таблица1[[#This Row],[Столбец1]]*Таблица1[[#This Row],[коэф]])),
IF(OR(G831="4/8",G831="3/8",G831="2/8"),((база!$J$5*2*Таблица1[[#This Row],[Столбец1]]*Таблица1[[#This Row],[коэф]])))))))))))</f>
        <v>0</v>
      </c>
      <c r="AQ831" s="678" t="str">
        <f>IFERROR(INDEX(база!T:T, MATCH(F831,база!Q:Q,0)),"")</f>
        <v/>
      </c>
      <c r="AR831" s="193">
        <f>IFERROR(INDEX(база!D:D, MATCH(F831,база!B:B,0)),"")</f>
        <v>0</v>
      </c>
    </row>
    <row r="832" spans="1:44" ht="15">
      <c r="A832" s="59"/>
      <c r="B832" s="215"/>
      <c r="C832" s="277"/>
      <c r="D832" s="55"/>
      <c r="E832" s="196"/>
      <c r="F832" s="651"/>
      <c r="G832" s="42"/>
      <c r="H832" s="539"/>
      <c r="I832" s="539"/>
      <c r="J832" s="539"/>
      <c r="K832" s="539"/>
      <c r="L832" s="539"/>
      <c r="M832" s="539"/>
      <c r="N832" s="539"/>
      <c r="O832" s="539"/>
      <c r="P832" s="278"/>
      <c r="Q832" s="539"/>
      <c r="R832" s="539"/>
      <c r="S832" s="539"/>
      <c r="T832" s="539"/>
      <c r="U832" s="539"/>
      <c r="V832" s="539"/>
      <c r="W832" s="539"/>
      <c r="X832" s="539"/>
      <c r="Y832" s="539"/>
      <c r="Z832" s="539"/>
      <c r="AA832" s="539"/>
      <c r="AB832" s="539"/>
      <c r="AC832" s="539"/>
      <c r="AD832" s="43"/>
      <c r="AE832" s="43"/>
      <c r="AF832" s="238"/>
      <c r="AG832" s="43"/>
      <c r="AH832" s="43"/>
      <c r="AI832" s="43"/>
      <c r="AJ832" s="43"/>
      <c r="AK832" s="43"/>
      <c r="AL832" s="45"/>
      <c r="AM832" s="197">
        <f>IF(AQ832=1,SUM(H832:I832,L832:O832,R832:U832,X832:AA832,AD832:AG832,AI832:AK832),
IF(AQ832=2,SUM(H832:K832,N832:Q832,T832:W832,Z832:AC832,AF832:AI832),
IF(AQ832=3,SUM(J832:M832,P832:S832,V832:Y832,AB832:AE832,AH832:AK832),SUM(Таблица1[[#This Row],[1]:[31]])-Таблица1[[#This Row],[Столбец1]])))</f>
        <v>0</v>
      </c>
      <c r="AN832" s="269">
        <f t="array" ref="AN832">IF(AQ832=1,SUM(J832:K832,P832:Q832,V832:W832,AB832:AC832,AH832:AI832),
IF(AQ832=2,SUM(L832:M832,R832:S832,X832:Y832,AD832:AE832),
IF(AQ832=3,SUM(H832:I832,N832:O832,T832:U832,Z832:AA832,AF832:AG832),
SUM(IFERROR(WEEKDAY($H$2:$AL$2,2)&gt;5,)*H832:AL832))))</f>
        <v>0</v>
      </c>
      <c r="AO832" s="271" t="b">
        <f>IF(AR832&lt;=3,(IF((G832="5/24"),((база!$M$6*Таблица1[[#This Row],[сумма]]*Таблица1[[#This Row],[коэф]])),
IF((G832="4/24"),((база!$M$5*Таблица1[[#This Row],[сумма]]*Таблица1[[#This Row],[коэф]])),
IF((G832="3/24"),((база!$M$4*Таблица1[[#This Row],[сумма]]*Таблица1[[#This Row],[коэф]])),
IF((G832="5/16"),((база!$L$6*Таблица1[[#This Row],[сумма]]*Таблица1[[#This Row],[коэф]])),
IF((G832="4/16"),((база!$L$5*Таблица1[[#This Row],[сумма]]*Таблица1[[#This Row],[коэф]])),
IF((G832="3/16"),((база!$L$4*Таблица1[[#This Row],[сумма]]*Таблица1[[#This Row],[коэф]])),
IF((G832="4/4"),((база!$I$5*Таблица1[[#This Row],[сумма]]*Таблица1[[#This Row],[коэф]])),
IF(OR(G832="2/4",G832="3/4"),((база!$I$4*Таблица1[[#This Row],[сумма]]*Таблица1[[#This Row],[коэф]])),
IF((G832="5/8"),((база!$J$6*Таблица1[[#This Row],[сумма]]*Таблица1[[#This Row],[коэф]])),
IF((G832="4/8"),((база!$J$5*Таблица1[[#This Row],[сумма]]*Таблица1[[#This Row],[коэф]])),
IF(OR(G832="3/8",G832="2/8"),((база!$J$4*Таблица1[[#This Row],[сумма]]*Таблица1[[#This Row],[коэф]])))))))))))))),
(IF((G832="5/24"),((база!$M$6*Таблица1[[#This Row],[сумма]]*Таблица1[[#This Row],[коэф]])),
IF(OR(G832="4/24",G832="3/24"),((база!$M$5*Таблица1[[#This Row],[сумма]]*Таблица1[[#This Row],[коэф]])),
IF((G832="5/16"),((база!$L$6*Таблица1[[#This Row],[сумма]]*Таблица1[[#This Row],[коэф]])),
IF(OR(G832="4/16",G832="3/16"),((база!$L$5*Таблица1[[#This Row],[сумма]]*Таблица1[[#This Row],[коэф]])),
IF(OR(G832="2/4",G832="3/4",G832="4/4"),((база!$I$5*Таблица1[[#This Row],[сумма]]*Таблица1[[#This Row],[коэф]])),
IF((G832="5/8"),((база!$J$6*Таблица1[[#This Row],[сумма]]*Таблица1[[#This Row],[коэф]])),
IF(OR(G832="4/8",G832="3/8",G832="2/8"),((база!$J$5*Таблица1[[#This Row],[сумма]]*Таблица1[[#This Row],[коэф]])))))))))))</f>
        <v>0</v>
      </c>
      <c r="AP832" s="696" t="b">
        <f>IF(AR832&lt;=3,(IF((G832="5/24"),((база!$M$6*2*Таблица1[[#This Row],[Столбец1]]*Таблица1[[#This Row],[коэф]])),
IF((G832="4/24"),((база!$M$5*2*Таблица1[[#This Row],[Столбец1]]*Таблица1[[#This Row],[коэф]])),
IF((G832="3/24"),((база!$M$4*2*Таблица1[[#This Row],[Столбец1]]*Таблица1[[#This Row],[коэф]])),
IF((G832="5/16"),((база!$L$6*2*Таблица1[[#This Row],[Столбец1]]*Таблица1[[#This Row],[коэф]])),
IF((G832="4/16"),((база!$L$5*2*Таблица1[[#This Row],[Столбец1]]*Таблица1[[#This Row],[коэф]])),
IF((G832="3/16"),((база!$L$4*2*Таблица1[[#This Row],[Столбец1]]*Таблица1[[#This Row],[коэф]])),
IF((G832="4/4"),((база!$I$5*2*Таблица1[[#This Row],[Столбец1]]*Таблица1[[#This Row],[коэф]])),
IF(OR(G832="2/4",G832="3/4"),((база!$I$4*2*Таблица1[[#This Row],[Столбец1]]*Таблица1[[#This Row],[коэф]])),
IF((G832="5/8"),((база!$J$6*2*Таблица1[[#This Row],[Столбец1]]*Таблица1[[#This Row],[коэф]])),
IF((G832="4/8"),((база!$J$5*2*Таблица1[[#This Row],[Столбец1]]*Таблица1[[#This Row],[коэф]])),
IF(OR(G832="3/8",G832="2/8"),((база!$J$4*2*Таблица1[[#This Row],[Столбец1]]*Таблица1[[#This Row],[коэф]])))))))))))))),
(IF((G832="5/24"),((база!$M$6*2*Таблица1[[#This Row],[Столбец1]]*Таблица1[[#This Row],[коэф]])),
IF(OR(G832="4/24",G832="3/24"),((база!$M$5*2*Таблица1[[#This Row],[Столбец1]]*Таблица1[[#This Row],[коэф]])),
IF((G832="5/16"),((база!$L$6*2*Таблица1[[#This Row],[Столбец1]]*Таблица1[[#This Row],[коэф]])),
IF(OR(G832="4/16",G832="3/16"),((база!$L$5*2*Таблица1[[#This Row],[Столбец1]]*Таблица1[[#This Row],[коэф]])),
IF(OR(G832="2/4",G832="3/4",G832="4/4"),((база!$I$5*2*Таблица1[[#This Row],[Столбец1]]*Таблица1[[#This Row],[коэф]])),
IF((G832="5/8"),((база!$J$6*2*Таблица1[[#This Row],[Столбец1]]*Таблица1[[#This Row],[коэф]])),
IF(OR(G832="4/8",G832="3/8",G832="2/8"),((база!$J$5*2*Таблица1[[#This Row],[Столбец1]]*Таблица1[[#This Row],[коэф]])))))))))))</f>
        <v>0</v>
      </c>
      <c r="AQ832" s="678" t="str">
        <f>IFERROR(INDEX(база!T:T, MATCH(F832,база!Q:Q,0)),"")</f>
        <v/>
      </c>
      <c r="AR832" s="193">
        <f>IFERROR(INDEX(база!D:D, MATCH(F832,база!B:B,0)),"")</f>
        <v>0</v>
      </c>
    </row>
    <row r="833" spans="1:44" ht="15">
      <c r="A833" s="59"/>
      <c r="B833" s="215"/>
      <c r="C833" s="277"/>
      <c r="D833" s="55"/>
      <c r="E833" s="196"/>
      <c r="F833" s="651"/>
      <c r="G833" s="42"/>
      <c r="H833" s="539"/>
      <c r="I833" s="539"/>
      <c r="J833" s="539"/>
      <c r="K833" s="539"/>
      <c r="L833" s="539"/>
      <c r="M833" s="539"/>
      <c r="N833" s="539"/>
      <c r="O833" s="539"/>
      <c r="P833" s="278"/>
      <c r="Q833" s="539"/>
      <c r="R833" s="539"/>
      <c r="S833" s="539"/>
      <c r="T833" s="539"/>
      <c r="U833" s="539"/>
      <c r="V833" s="539"/>
      <c r="W833" s="539"/>
      <c r="X833" s="539"/>
      <c r="Y833" s="539"/>
      <c r="Z833" s="539"/>
      <c r="AA833" s="539"/>
      <c r="AB833" s="539"/>
      <c r="AC833" s="539"/>
      <c r="AD833" s="43"/>
      <c r="AE833" s="43"/>
      <c r="AF833" s="238"/>
      <c r="AG833" s="43"/>
      <c r="AH833" s="43"/>
      <c r="AI833" s="238"/>
      <c r="AJ833" s="238"/>
      <c r="AK833" s="238"/>
      <c r="AL833" s="238"/>
      <c r="AM833" s="197">
        <f>IF(AQ833=1,SUM(H833:I833,L833:O833,R833:U833,X833:AA833,AD833:AG833,AI833:AK833),
IF(AQ833=2,SUM(H833:K833,N833:Q833,T833:W833,Z833:AC833,AF833:AI833),
IF(AQ833=3,SUM(J833:M833,P833:S833,V833:Y833,AB833:AE833,AH833:AK833),SUM(Таблица1[[#This Row],[1]:[31]])-Таблица1[[#This Row],[Столбец1]])))</f>
        <v>0</v>
      </c>
      <c r="AN833" s="269">
        <f t="array" ref="AN833">IF(AQ833=1,SUM(J833:K833,P833:Q833,V833:W833,AB833:AC833,AH833:AI833),
IF(AQ833=2,SUM(L833:M833,R833:S833,X833:Y833,AD833:AE833),
IF(AQ833=3,SUM(H833:I833,N833:O833,T833:U833,Z833:AA833,AF833:AG833),
SUM(IFERROR(WEEKDAY($H$2:$AL$2,2)&gt;5,)*H833:AL833))))</f>
        <v>0</v>
      </c>
      <c r="AO833" s="271" t="b">
        <f>IF(AR833&lt;=3,(IF((G833="5/24"),((база!$M$6*Таблица1[[#This Row],[сумма]]*Таблица1[[#This Row],[коэф]])),
IF((G833="4/24"),((база!$M$5*Таблица1[[#This Row],[сумма]]*Таблица1[[#This Row],[коэф]])),
IF((G833="3/24"),((база!$M$4*Таблица1[[#This Row],[сумма]]*Таблица1[[#This Row],[коэф]])),
IF((G833="5/16"),((база!$L$6*Таблица1[[#This Row],[сумма]]*Таблица1[[#This Row],[коэф]])),
IF((G833="4/16"),((база!$L$5*Таблица1[[#This Row],[сумма]]*Таблица1[[#This Row],[коэф]])),
IF((G833="3/16"),((база!$L$4*Таблица1[[#This Row],[сумма]]*Таблица1[[#This Row],[коэф]])),
IF((G833="4/4"),((база!$I$5*Таблица1[[#This Row],[сумма]]*Таблица1[[#This Row],[коэф]])),
IF(OR(G833="2/4",G833="3/4"),((база!$I$4*Таблица1[[#This Row],[сумма]]*Таблица1[[#This Row],[коэф]])),
IF((G833="5/8"),((база!$J$6*Таблица1[[#This Row],[сумма]]*Таблица1[[#This Row],[коэф]])),
IF((G833="4/8"),((база!$J$5*Таблица1[[#This Row],[сумма]]*Таблица1[[#This Row],[коэф]])),
IF(OR(G833="3/8",G833="2/8"),((база!$J$4*Таблица1[[#This Row],[сумма]]*Таблица1[[#This Row],[коэф]])))))))))))))),
(IF((G833="5/24"),((база!$M$6*Таблица1[[#This Row],[сумма]]*Таблица1[[#This Row],[коэф]])),
IF(OR(G833="4/24",G833="3/24"),((база!$M$5*Таблица1[[#This Row],[сумма]]*Таблица1[[#This Row],[коэф]])),
IF((G833="5/16"),((база!$L$6*Таблица1[[#This Row],[сумма]]*Таблица1[[#This Row],[коэф]])),
IF(OR(G833="4/16",G833="3/16"),((база!$L$5*Таблица1[[#This Row],[сумма]]*Таблица1[[#This Row],[коэф]])),
IF(OR(G833="2/4",G833="3/4",G833="4/4"),((база!$I$5*Таблица1[[#This Row],[сумма]]*Таблица1[[#This Row],[коэф]])),
IF((G833="5/8"),((база!$J$6*Таблица1[[#This Row],[сумма]]*Таблица1[[#This Row],[коэф]])),
IF(OR(G833="4/8",G833="3/8",G833="2/8"),((база!$J$5*Таблица1[[#This Row],[сумма]]*Таблица1[[#This Row],[коэф]])))))))))))</f>
        <v>0</v>
      </c>
      <c r="AP833" s="696" t="b">
        <f>IF(AR833&lt;=3,(IF((G833="5/24"),((база!$M$6*2*Таблица1[[#This Row],[Столбец1]]*Таблица1[[#This Row],[коэф]])),
IF((G833="4/24"),((база!$M$5*2*Таблица1[[#This Row],[Столбец1]]*Таблица1[[#This Row],[коэф]])),
IF((G833="3/24"),((база!$M$4*2*Таблица1[[#This Row],[Столбец1]]*Таблица1[[#This Row],[коэф]])),
IF((G833="5/16"),((база!$L$6*2*Таблица1[[#This Row],[Столбец1]]*Таблица1[[#This Row],[коэф]])),
IF((G833="4/16"),((база!$L$5*2*Таблица1[[#This Row],[Столбец1]]*Таблица1[[#This Row],[коэф]])),
IF((G833="3/16"),((база!$L$4*2*Таблица1[[#This Row],[Столбец1]]*Таблица1[[#This Row],[коэф]])),
IF((G833="4/4"),((база!$I$5*2*Таблица1[[#This Row],[Столбец1]]*Таблица1[[#This Row],[коэф]])),
IF(OR(G833="2/4",G833="3/4"),((база!$I$4*2*Таблица1[[#This Row],[Столбец1]]*Таблица1[[#This Row],[коэф]])),
IF((G833="5/8"),((база!$J$6*2*Таблица1[[#This Row],[Столбец1]]*Таблица1[[#This Row],[коэф]])),
IF((G833="4/8"),((база!$J$5*2*Таблица1[[#This Row],[Столбец1]]*Таблица1[[#This Row],[коэф]])),
IF(OR(G833="3/8",G833="2/8"),((база!$J$4*2*Таблица1[[#This Row],[Столбец1]]*Таблица1[[#This Row],[коэф]])))))))))))))),
(IF((G833="5/24"),((база!$M$6*2*Таблица1[[#This Row],[Столбец1]]*Таблица1[[#This Row],[коэф]])),
IF(OR(G833="4/24",G833="3/24"),((база!$M$5*2*Таблица1[[#This Row],[Столбец1]]*Таблица1[[#This Row],[коэф]])),
IF((G833="5/16"),((база!$L$6*2*Таблица1[[#This Row],[Столбец1]]*Таблица1[[#This Row],[коэф]])),
IF(OR(G833="4/16",G833="3/16"),((база!$L$5*2*Таблица1[[#This Row],[Столбец1]]*Таблица1[[#This Row],[коэф]])),
IF(OR(G833="2/4",G833="3/4",G833="4/4"),((база!$I$5*2*Таблица1[[#This Row],[Столбец1]]*Таблица1[[#This Row],[коэф]])),
IF((G833="5/8"),((база!$J$6*2*Таблица1[[#This Row],[Столбец1]]*Таблица1[[#This Row],[коэф]])),
IF(OR(G833="4/8",G833="3/8",G833="2/8"),((база!$J$5*2*Таблица1[[#This Row],[Столбец1]]*Таблица1[[#This Row],[коэф]])))))))))))</f>
        <v>0</v>
      </c>
      <c r="AQ833" s="678" t="str">
        <f>IFERROR(INDEX(база!T:T, MATCH(F833,база!Q:Q,0)),"")</f>
        <v/>
      </c>
      <c r="AR833" s="193">
        <f>IFERROR(INDEX(база!D:D, MATCH(F833,база!B:B,0)),"")</f>
        <v>0</v>
      </c>
    </row>
    <row r="834" spans="1:44" ht="15">
      <c r="A834" s="59"/>
      <c r="B834" s="215"/>
      <c r="C834" s="277"/>
      <c r="D834" s="55"/>
      <c r="E834" s="196"/>
      <c r="F834" s="651"/>
      <c r="G834" s="42"/>
      <c r="H834" s="539"/>
      <c r="I834" s="539"/>
      <c r="J834" s="539"/>
      <c r="K834" s="539"/>
      <c r="L834" s="539"/>
      <c r="M834" s="539"/>
      <c r="N834" s="539"/>
      <c r="O834" s="539"/>
      <c r="P834" s="278"/>
      <c r="Q834" s="539"/>
      <c r="R834" s="539"/>
      <c r="S834" s="539"/>
      <c r="T834" s="539"/>
      <c r="U834" s="539"/>
      <c r="V834" s="539"/>
      <c r="W834" s="539"/>
      <c r="X834" s="539"/>
      <c r="Y834" s="539"/>
      <c r="Z834" s="539"/>
      <c r="AA834" s="539"/>
      <c r="AB834" s="539"/>
      <c r="AC834" s="539"/>
      <c r="AD834" s="43"/>
      <c r="AE834" s="43"/>
      <c r="AF834" s="238"/>
      <c r="AG834" s="43"/>
      <c r="AH834" s="43"/>
      <c r="AI834" s="43"/>
      <c r="AJ834" s="43"/>
      <c r="AK834" s="43"/>
      <c r="AL834" s="45"/>
      <c r="AM834" s="197">
        <f>IF(AQ834=1,SUM(H834:I834,L834:O834,R834:U834,X834:AA834,AD834:AG834,AI834:AK834),
IF(AQ834=2,SUM(H834:K834,N834:Q834,T834:W834,Z834:AC834,AF834:AI834),
IF(AQ834=3,SUM(J834:M834,P834:S834,V834:Y834,AB834:AE834,AH834:AK834),SUM(Таблица1[[#This Row],[1]:[31]])-Таблица1[[#This Row],[Столбец1]])))</f>
        <v>0</v>
      </c>
      <c r="AN834" s="269">
        <f t="array" ref="AN834">IF(AQ834=1,SUM(J834:K834,P834:Q834,V834:W834,AB834:AC834,AH834:AI834),
IF(AQ834=2,SUM(L834:M834,R834:S834,X834:Y834,AD834:AE834),
IF(AQ834=3,SUM(H834:I834,N834:O834,T834:U834,Z834:AA834,AF834:AG834),
SUM(IFERROR(WEEKDAY($H$2:$AL$2,2)&gt;5,)*H834:AL834))))</f>
        <v>0</v>
      </c>
      <c r="AO834" s="271" t="b">
        <f>IF(AR834&lt;=3,(IF((G834="5/24"),((база!$M$6*Таблица1[[#This Row],[сумма]]*Таблица1[[#This Row],[коэф]])),
IF((G834="4/24"),((база!$M$5*Таблица1[[#This Row],[сумма]]*Таблица1[[#This Row],[коэф]])),
IF((G834="3/24"),((база!$M$4*Таблица1[[#This Row],[сумма]]*Таблица1[[#This Row],[коэф]])),
IF((G834="5/16"),((база!$L$6*Таблица1[[#This Row],[сумма]]*Таблица1[[#This Row],[коэф]])),
IF((G834="4/16"),((база!$L$5*Таблица1[[#This Row],[сумма]]*Таблица1[[#This Row],[коэф]])),
IF((G834="3/16"),((база!$L$4*Таблица1[[#This Row],[сумма]]*Таблица1[[#This Row],[коэф]])),
IF((G834="4/4"),((база!$I$5*Таблица1[[#This Row],[сумма]]*Таблица1[[#This Row],[коэф]])),
IF(OR(G834="2/4",G834="3/4"),((база!$I$4*Таблица1[[#This Row],[сумма]]*Таблица1[[#This Row],[коэф]])),
IF((G834="5/8"),((база!$J$6*Таблица1[[#This Row],[сумма]]*Таблица1[[#This Row],[коэф]])),
IF((G834="4/8"),((база!$J$5*Таблица1[[#This Row],[сумма]]*Таблица1[[#This Row],[коэф]])),
IF(OR(G834="3/8",G834="2/8"),((база!$J$4*Таблица1[[#This Row],[сумма]]*Таблица1[[#This Row],[коэф]])))))))))))))),
(IF((G834="5/24"),((база!$M$6*Таблица1[[#This Row],[сумма]]*Таблица1[[#This Row],[коэф]])),
IF(OR(G834="4/24",G834="3/24"),((база!$M$5*Таблица1[[#This Row],[сумма]]*Таблица1[[#This Row],[коэф]])),
IF((G834="5/16"),((база!$L$6*Таблица1[[#This Row],[сумма]]*Таблица1[[#This Row],[коэф]])),
IF(OR(G834="4/16",G834="3/16"),((база!$L$5*Таблица1[[#This Row],[сумма]]*Таблица1[[#This Row],[коэф]])),
IF(OR(G834="2/4",G834="3/4",G834="4/4"),((база!$I$5*Таблица1[[#This Row],[сумма]]*Таблица1[[#This Row],[коэф]])),
IF((G834="5/8"),((база!$J$6*Таблица1[[#This Row],[сумма]]*Таблица1[[#This Row],[коэф]])),
IF(OR(G834="4/8",G834="3/8",G834="2/8"),((база!$J$5*Таблица1[[#This Row],[сумма]]*Таблица1[[#This Row],[коэф]])))))))))))</f>
        <v>0</v>
      </c>
      <c r="AP834" s="696" t="b">
        <f>IF(AR834&lt;=3,(IF((G834="5/24"),((база!$M$6*2*Таблица1[[#This Row],[Столбец1]]*Таблица1[[#This Row],[коэф]])),
IF((G834="4/24"),((база!$M$5*2*Таблица1[[#This Row],[Столбец1]]*Таблица1[[#This Row],[коэф]])),
IF((G834="3/24"),((база!$M$4*2*Таблица1[[#This Row],[Столбец1]]*Таблица1[[#This Row],[коэф]])),
IF((G834="5/16"),((база!$L$6*2*Таблица1[[#This Row],[Столбец1]]*Таблица1[[#This Row],[коэф]])),
IF((G834="4/16"),((база!$L$5*2*Таблица1[[#This Row],[Столбец1]]*Таблица1[[#This Row],[коэф]])),
IF((G834="3/16"),((база!$L$4*2*Таблица1[[#This Row],[Столбец1]]*Таблица1[[#This Row],[коэф]])),
IF((G834="4/4"),((база!$I$5*2*Таблица1[[#This Row],[Столбец1]]*Таблица1[[#This Row],[коэф]])),
IF(OR(G834="2/4",G834="3/4"),((база!$I$4*2*Таблица1[[#This Row],[Столбец1]]*Таблица1[[#This Row],[коэф]])),
IF((G834="5/8"),((база!$J$6*2*Таблица1[[#This Row],[Столбец1]]*Таблица1[[#This Row],[коэф]])),
IF((G834="4/8"),((база!$J$5*2*Таблица1[[#This Row],[Столбец1]]*Таблица1[[#This Row],[коэф]])),
IF(OR(G834="3/8",G834="2/8"),((база!$J$4*2*Таблица1[[#This Row],[Столбец1]]*Таблица1[[#This Row],[коэф]])))))))))))))),
(IF((G834="5/24"),((база!$M$6*2*Таблица1[[#This Row],[Столбец1]]*Таблица1[[#This Row],[коэф]])),
IF(OR(G834="4/24",G834="3/24"),((база!$M$5*2*Таблица1[[#This Row],[Столбец1]]*Таблица1[[#This Row],[коэф]])),
IF((G834="5/16"),((база!$L$6*2*Таблица1[[#This Row],[Столбец1]]*Таблица1[[#This Row],[коэф]])),
IF(OR(G834="4/16",G834="3/16"),((база!$L$5*2*Таблица1[[#This Row],[Столбец1]]*Таблица1[[#This Row],[коэф]])),
IF(OR(G834="2/4",G834="3/4",G834="4/4"),((база!$I$5*2*Таблица1[[#This Row],[Столбец1]]*Таблица1[[#This Row],[коэф]])),
IF((G834="5/8"),((база!$J$6*2*Таблица1[[#This Row],[Столбец1]]*Таблица1[[#This Row],[коэф]])),
IF(OR(G834="4/8",G834="3/8",G834="2/8"),((база!$J$5*2*Таблица1[[#This Row],[Столбец1]]*Таблица1[[#This Row],[коэф]])))))))))))</f>
        <v>0</v>
      </c>
      <c r="AQ834" s="678" t="str">
        <f>IFERROR(INDEX(база!T:T, MATCH(F834,база!Q:Q,0)),"")</f>
        <v/>
      </c>
      <c r="AR834" s="193">
        <f>IFERROR(INDEX(база!D:D, MATCH(F834,база!B:B,0)),"")</f>
        <v>0</v>
      </c>
    </row>
    <row r="835" spans="1:44" ht="15">
      <c r="A835" s="59"/>
      <c r="B835" s="215"/>
      <c r="C835" s="277"/>
      <c r="D835" s="55"/>
      <c r="E835" s="196"/>
      <c r="F835" s="651"/>
      <c r="G835" s="42"/>
      <c r="H835" s="539"/>
      <c r="I835" s="539"/>
      <c r="J835" s="539"/>
      <c r="K835" s="539"/>
      <c r="L835" s="539"/>
      <c r="M835" s="539"/>
      <c r="N835" s="539"/>
      <c r="O835" s="539"/>
      <c r="P835" s="278"/>
      <c r="Q835" s="539"/>
      <c r="R835" s="539"/>
      <c r="S835" s="539"/>
      <c r="T835" s="539"/>
      <c r="U835" s="539"/>
      <c r="V835" s="539"/>
      <c r="W835" s="539"/>
      <c r="X835" s="539"/>
      <c r="Y835" s="539"/>
      <c r="Z835" s="539"/>
      <c r="AA835" s="539"/>
      <c r="AB835" s="539"/>
      <c r="AC835" s="539"/>
      <c r="AD835" s="43"/>
      <c r="AE835" s="43"/>
      <c r="AF835" s="238"/>
      <c r="AG835" s="43"/>
      <c r="AH835" s="43"/>
      <c r="AI835" s="238"/>
      <c r="AJ835" s="238"/>
      <c r="AK835" s="238"/>
      <c r="AL835" s="238"/>
      <c r="AM835" s="197">
        <f>IF(AQ835=1,SUM(H835:I835,L835:O835,R835:U835,X835:AA835,AD835:AG835,AI835:AK835),
IF(AQ835=2,SUM(H835:K835,N835:Q835,T835:W835,Z835:AC835,AF835:AI835),
IF(AQ835=3,SUM(J835:M835,P835:S835,V835:Y835,AB835:AE835,AH835:AK835),SUM(Таблица1[[#This Row],[1]:[31]])-Таблица1[[#This Row],[Столбец1]])))</f>
        <v>0</v>
      </c>
      <c r="AN835" s="269">
        <f t="array" ref="AN835">IF(AQ835=1,SUM(J835:K835,P835:Q835,V835:W835,AB835:AC835,AH835:AI835),
IF(AQ835=2,SUM(L835:M835,R835:S835,X835:Y835,AD835:AE835),
IF(AQ835=3,SUM(H835:I835,N835:O835,T835:U835,Z835:AA835,AF835:AG835),
SUM(IFERROR(WEEKDAY($H$2:$AL$2,2)&gt;5,)*H835:AL835))))</f>
        <v>0</v>
      </c>
      <c r="AO835" s="271" t="b">
        <f>IF(AR835&lt;=3,(IF((G835="5/24"),((база!$M$6*Таблица1[[#This Row],[сумма]]*Таблица1[[#This Row],[коэф]])),
IF((G835="4/24"),((база!$M$5*Таблица1[[#This Row],[сумма]]*Таблица1[[#This Row],[коэф]])),
IF((G835="3/24"),((база!$M$4*Таблица1[[#This Row],[сумма]]*Таблица1[[#This Row],[коэф]])),
IF((G835="5/16"),((база!$L$6*Таблица1[[#This Row],[сумма]]*Таблица1[[#This Row],[коэф]])),
IF((G835="4/16"),((база!$L$5*Таблица1[[#This Row],[сумма]]*Таблица1[[#This Row],[коэф]])),
IF((G835="3/16"),((база!$L$4*Таблица1[[#This Row],[сумма]]*Таблица1[[#This Row],[коэф]])),
IF((G835="4/4"),((база!$I$5*Таблица1[[#This Row],[сумма]]*Таблица1[[#This Row],[коэф]])),
IF(OR(G835="2/4",G835="3/4"),((база!$I$4*Таблица1[[#This Row],[сумма]]*Таблица1[[#This Row],[коэф]])),
IF((G835="5/8"),((база!$J$6*Таблица1[[#This Row],[сумма]]*Таблица1[[#This Row],[коэф]])),
IF((G835="4/8"),((база!$J$5*Таблица1[[#This Row],[сумма]]*Таблица1[[#This Row],[коэф]])),
IF(OR(G835="3/8",G835="2/8"),((база!$J$4*Таблица1[[#This Row],[сумма]]*Таблица1[[#This Row],[коэф]])))))))))))))),
(IF((G835="5/24"),((база!$M$6*Таблица1[[#This Row],[сумма]]*Таблица1[[#This Row],[коэф]])),
IF(OR(G835="4/24",G835="3/24"),((база!$M$5*Таблица1[[#This Row],[сумма]]*Таблица1[[#This Row],[коэф]])),
IF((G835="5/16"),((база!$L$6*Таблица1[[#This Row],[сумма]]*Таблица1[[#This Row],[коэф]])),
IF(OR(G835="4/16",G835="3/16"),((база!$L$5*Таблица1[[#This Row],[сумма]]*Таблица1[[#This Row],[коэф]])),
IF(OR(G835="2/4",G835="3/4",G835="4/4"),((база!$I$5*Таблица1[[#This Row],[сумма]]*Таблица1[[#This Row],[коэф]])),
IF((G835="5/8"),((база!$J$6*Таблица1[[#This Row],[сумма]]*Таблица1[[#This Row],[коэф]])),
IF(OR(G835="4/8",G835="3/8",G835="2/8"),((база!$J$5*Таблица1[[#This Row],[сумма]]*Таблица1[[#This Row],[коэф]])))))))))))</f>
        <v>0</v>
      </c>
      <c r="AP835" s="696" t="b">
        <f>IF(AR835&lt;=3,(IF((G835="5/24"),((база!$M$6*2*Таблица1[[#This Row],[Столбец1]]*Таблица1[[#This Row],[коэф]])),
IF((G835="4/24"),((база!$M$5*2*Таблица1[[#This Row],[Столбец1]]*Таблица1[[#This Row],[коэф]])),
IF((G835="3/24"),((база!$M$4*2*Таблица1[[#This Row],[Столбец1]]*Таблица1[[#This Row],[коэф]])),
IF((G835="5/16"),((база!$L$6*2*Таблица1[[#This Row],[Столбец1]]*Таблица1[[#This Row],[коэф]])),
IF((G835="4/16"),((база!$L$5*2*Таблица1[[#This Row],[Столбец1]]*Таблица1[[#This Row],[коэф]])),
IF((G835="3/16"),((база!$L$4*2*Таблица1[[#This Row],[Столбец1]]*Таблица1[[#This Row],[коэф]])),
IF((G835="4/4"),((база!$I$5*2*Таблица1[[#This Row],[Столбец1]]*Таблица1[[#This Row],[коэф]])),
IF(OR(G835="2/4",G835="3/4"),((база!$I$4*2*Таблица1[[#This Row],[Столбец1]]*Таблица1[[#This Row],[коэф]])),
IF((G835="5/8"),((база!$J$6*2*Таблица1[[#This Row],[Столбец1]]*Таблица1[[#This Row],[коэф]])),
IF((G835="4/8"),((база!$J$5*2*Таблица1[[#This Row],[Столбец1]]*Таблица1[[#This Row],[коэф]])),
IF(OR(G835="3/8",G835="2/8"),((база!$J$4*2*Таблица1[[#This Row],[Столбец1]]*Таблица1[[#This Row],[коэф]])))))))))))))),
(IF((G835="5/24"),((база!$M$6*2*Таблица1[[#This Row],[Столбец1]]*Таблица1[[#This Row],[коэф]])),
IF(OR(G835="4/24",G835="3/24"),((база!$M$5*2*Таблица1[[#This Row],[Столбец1]]*Таблица1[[#This Row],[коэф]])),
IF((G835="5/16"),((база!$L$6*2*Таблица1[[#This Row],[Столбец1]]*Таблица1[[#This Row],[коэф]])),
IF(OR(G835="4/16",G835="3/16"),((база!$L$5*2*Таблица1[[#This Row],[Столбец1]]*Таблица1[[#This Row],[коэф]])),
IF(OR(G835="2/4",G835="3/4",G835="4/4"),((база!$I$5*2*Таблица1[[#This Row],[Столбец1]]*Таблица1[[#This Row],[коэф]])),
IF((G835="5/8"),((база!$J$6*2*Таблица1[[#This Row],[Столбец1]]*Таблица1[[#This Row],[коэф]])),
IF(OR(G835="4/8",G835="3/8",G835="2/8"),((база!$J$5*2*Таблица1[[#This Row],[Столбец1]]*Таблица1[[#This Row],[коэф]])))))))))))</f>
        <v>0</v>
      </c>
      <c r="AQ835" s="678" t="str">
        <f>IFERROR(INDEX(база!T:T, MATCH(F835,база!Q:Q,0)),"")</f>
        <v/>
      </c>
      <c r="AR835" s="193">
        <f>IFERROR(INDEX(база!D:D, MATCH(F835,база!B:B,0)),"")</f>
        <v>0</v>
      </c>
    </row>
    <row r="836" spans="1:44">
      <c r="A836" s="59"/>
      <c r="B836" s="701"/>
      <c r="C836" s="277"/>
      <c r="D836" s="55"/>
      <c r="E836" s="196"/>
      <c r="F836" s="651"/>
      <c r="G836" s="42"/>
      <c r="H836" s="539"/>
      <c r="I836" s="539"/>
      <c r="J836" s="539"/>
      <c r="K836" s="539"/>
      <c r="L836" s="539"/>
      <c r="M836" s="539"/>
      <c r="N836" s="539"/>
      <c r="O836" s="539"/>
      <c r="P836" s="278"/>
      <c r="Q836" s="539"/>
      <c r="R836" s="539"/>
      <c r="S836" s="539"/>
      <c r="T836" s="539"/>
      <c r="U836" s="539"/>
      <c r="V836" s="539"/>
      <c r="W836" s="539"/>
      <c r="X836" s="539"/>
      <c r="Y836" s="539"/>
      <c r="Z836" s="539"/>
      <c r="AA836" s="539"/>
      <c r="AB836" s="539"/>
      <c r="AC836" s="539"/>
      <c r="AD836" s="43"/>
      <c r="AE836" s="43"/>
      <c r="AF836" s="238"/>
      <c r="AG836" s="43"/>
      <c r="AH836" s="43"/>
      <c r="AI836" s="43"/>
      <c r="AJ836" s="43"/>
      <c r="AK836" s="43"/>
      <c r="AL836" s="45"/>
      <c r="AM836" s="197">
        <f>IF(AQ836=1,SUM(H836:I836,L836:O836,R836:U836,X836:AA836,AD836:AG836,AI836:AK836),
IF(AQ836=2,SUM(H836:K836,N836:Q836,T836:W836,Z836:AC836,AF836:AI836),
IF(AQ836=3,SUM(J836:M836,P836:S836,V836:Y836,AB836:AE836,AH836:AK836),SUM(Таблица1[[#This Row],[1]:[31]])-Таблица1[[#This Row],[Столбец1]])))</f>
        <v>0</v>
      </c>
      <c r="AN836" s="269">
        <f t="array" ref="AN836">IF(AQ836=1,SUM(J836:K836,P836:Q836,V836:W836,AB836:AC836,AH836:AI836),
IF(AQ836=2,SUM(L836:M836,R836:S836,X836:Y836,AD836:AE836),
IF(AQ836=3,SUM(H836:I836,N836:O836,T836:U836,Z836:AA836,AF836:AG836),
SUM(IFERROR(WEEKDAY($H$2:$AL$2,2)&gt;5,)*H836:AL836))))</f>
        <v>0</v>
      </c>
      <c r="AO836" s="271" t="b">
        <f>IF(AR836&lt;=3,(IF((G836="5/24"),((база!$M$6*Таблица1[[#This Row],[сумма]]*Таблица1[[#This Row],[коэф]])),
IF((G836="4/24"),((база!$M$5*Таблица1[[#This Row],[сумма]]*Таблица1[[#This Row],[коэф]])),
IF((G836="3/24"),((база!$M$4*Таблица1[[#This Row],[сумма]]*Таблица1[[#This Row],[коэф]])),
IF((G836="5/16"),((база!$L$6*Таблица1[[#This Row],[сумма]]*Таблица1[[#This Row],[коэф]])),
IF((G836="4/16"),((база!$L$5*Таблица1[[#This Row],[сумма]]*Таблица1[[#This Row],[коэф]])),
IF((G836="3/16"),((база!$L$4*Таблица1[[#This Row],[сумма]]*Таблица1[[#This Row],[коэф]])),
IF((G836="4/4"),((база!$I$5*Таблица1[[#This Row],[сумма]]*Таблица1[[#This Row],[коэф]])),
IF(OR(G836="2/4",G836="3/4"),((база!$I$4*Таблица1[[#This Row],[сумма]]*Таблица1[[#This Row],[коэф]])),
IF((G836="5/8"),((база!$J$6*Таблица1[[#This Row],[сумма]]*Таблица1[[#This Row],[коэф]])),
IF((G836="4/8"),((база!$J$5*Таблица1[[#This Row],[сумма]]*Таблица1[[#This Row],[коэф]])),
IF(OR(G836="3/8",G836="2/8"),((база!$J$4*Таблица1[[#This Row],[сумма]]*Таблица1[[#This Row],[коэф]])))))))))))))),
(IF((G836="5/24"),((база!$M$6*Таблица1[[#This Row],[сумма]]*Таблица1[[#This Row],[коэф]])),
IF(OR(G836="4/24",G836="3/24"),((база!$M$5*Таблица1[[#This Row],[сумма]]*Таблица1[[#This Row],[коэф]])),
IF((G836="5/16"),((база!$L$6*Таблица1[[#This Row],[сумма]]*Таблица1[[#This Row],[коэф]])),
IF(OR(G836="4/16",G836="3/16"),((база!$L$5*Таблица1[[#This Row],[сумма]]*Таблица1[[#This Row],[коэф]])),
IF(OR(G836="2/4",G836="3/4",G836="4/4"),((база!$I$5*Таблица1[[#This Row],[сумма]]*Таблица1[[#This Row],[коэф]])),
IF((G836="5/8"),((база!$J$6*Таблица1[[#This Row],[сумма]]*Таблица1[[#This Row],[коэф]])),
IF(OR(G836="4/8",G836="3/8",G836="2/8"),((база!$J$5*Таблица1[[#This Row],[сумма]]*Таблица1[[#This Row],[коэф]])))))))))))</f>
        <v>0</v>
      </c>
      <c r="AP836" s="696" t="b">
        <f>IF(AR836&lt;=3,(IF((G836="5/24"),((база!$M$6*2*Таблица1[[#This Row],[Столбец1]]*Таблица1[[#This Row],[коэф]])),
IF((G836="4/24"),((база!$M$5*2*Таблица1[[#This Row],[Столбец1]]*Таблица1[[#This Row],[коэф]])),
IF((G836="3/24"),((база!$M$4*2*Таблица1[[#This Row],[Столбец1]]*Таблица1[[#This Row],[коэф]])),
IF((G836="5/16"),((база!$L$6*2*Таблица1[[#This Row],[Столбец1]]*Таблица1[[#This Row],[коэф]])),
IF((G836="4/16"),((база!$L$5*2*Таблица1[[#This Row],[Столбец1]]*Таблица1[[#This Row],[коэф]])),
IF((G836="3/16"),((база!$L$4*2*Таблица1[[#This Row],[Столбец1]]*Таблица1[[#This Row],[коэф]])),
IF((G836="4/4"),((база!$I$5*2*Таблица1[[#This Row],[Столбец1]]*Таблица1[[#This Row],[коэф]])),
IF(OR(G836="2/4",G836="3/4"),((база!$I$4*2*Таблица1[[#This Row],[Столбец1]]*Таблица1[[#This Row],[коэф]])),
IF((G836="5/8"),((база!$J$6*2*Таблица1[[#This Row],[Столбец1]]*Таблица1[[#This Row],[коэф]])),
IF((G836="4/8"),((база!$J$5*2*Таблица1[[#This Row],[Столбец1]]*Таблица1[[#This Row],[коэф]])),
IF(OR(G836="3/8",G836="2/8"),((база!$J$4*2*Таблица1[[#This Row],[Столбец1]]*Таблица1[[#This Row],[коэф]])))))))))))))),
(IF((G836="5/24"),((база!$M$6*2*Таблица1[[#This Row],[Столбец1]]*Таблица1[[#This Row],[коэф]])),
IF(OR(G836="4/24",G836="3/24"),((база!$M$5*2*Таблица1[[#This Row],[Столбец1]]*Таблица1[[#This Row],[коэф]])),
IF((G836="5/16"),((база!$L$6*2*Таблица1[[#This Row],[Столбец1]]*Таблица1[[#This Row],[коэф]])),
IF(OR(G836="4/16",G836="3/16"),((база!$L$5*2*Таблица1[[#This Row],[Столбец1]]*Таблица1[[#This Row],[коэф]])),
IF(OR(G836="2/4",G836="3/4",G836="4/4"),((база!$I$5*2*Таблица1[[#This Row],[Столбец1]]*Таблица1[[#This Row],[коэф]])),
IF((G836="5/8"),((база!$J$6*2*Таблица1[[#This Row],[Столбец1]]*Таблица1[[#This Row],[коэф]])),
IF(OR(G836="4/8",G836="3/8",G836="2/8"),((база!$J$5*2*Таблица1[[#This Row],[Столбец1]]*Таблица1[[#This Row],[коэф]])))))))))))</f>
        <v>0</v>
      </c>
      <c r="AR836" s="193">
        <f>IFERROR(INDEX(база!D:D, MATCH(F836,база!B:B,0)),"")</f>
        <v>0</v>
      </c>
    </row>
    <row r="837" spans="1:44">
      <c r="A837" s="59"/>
      <c r="B837" s="701"/>
      <c r="C837" s="277"/>
      <c r="D837" s="55"/>
      <c r="E837" s="196"/>
      <c r="F837" s="651"/>
      <c r="G837" s="42"/>
      <c r="H837" s="539"/>
      <c r="I837" s="539"/>
      <c r="J837" s="539"/>
      <c r="K837" s="539"/>
      <c r="L837" s="539"/>
      <c r="M837" s="539"/>
      <c r="N837" s="539"/>
      <c r="O837" s="539"/>
      <c r="P837" s="278"/>
      <c r="Q837" s="539"/>
      <c r="R837" s="539"/>
      <c r="S837" s="539"/>
      <c r="T837" s="539"/>
      <c r="U837" s="539"/>
      <c r="V837" s="539"/>
      <c r="W837" s="539"/>
      <c r="X837" s="539"/>
      <c r="Y837" s="539"/>
      <c r="Z837" s="539"/>
      <c r="AA837" s="539"/>
      <c r="AB837" s="539"/>
      <c r="AC837" s="539"/>
      <c r="AD837" s="43"/>
      <c r="AE837" s="43"/>
      <c r="AF837" s="238"/>
      <c r="AG837" s="43"/>
      <c r="AH837" s="43"/>
      <c r="AI837" s="238"/>
      <c r="AJ837" s="238"/>
      <c r="AK837" s="238"/>
      <c r="AL837" s="238"/>
      <c r="AM837" s="197">
        <f>IF(AQ837=1,SUM(H837:I837,L837:O837,R837:U837,X837:AA837,AD837:AG837,AI837:AK837),
IF(AQ837=2,SUM(H837:K837,N837:Q837,T837:W837,Z837:AC837,AF837:AI837),
IF(AQ837=3,SUM(J837:M837,P837:S837,V837:Y837,AB837:AE837,AH837:AK837),SUM(Таблица1[[#This Row],[1]:[31]])-Таблица1[[#This Row],[Столбец1]])))</f>
        <v>0</v>
      </c>
      <c r="AN837" s="269">
        <f t="array" ref="AN837">IF(AQ837=1,SUM(J837:K837,P837:Q837,V837:W837,AB837:AC837,AH837:AI837),
IF(AQ837=2,SUM(L837:M837,R837:S837,X837:Y837,AD837:AE837),
IF(AQ837=3,SUM(H837:I837,N837:O837,T837:U837,Z837:AA837,AF837:AG837),
SUM(IFERROR(WEEKDAY($H$2:$AL$2,2)&gt;5,)*H837:AL837))))</f>
        <v>0</v>
      </c>
      <c r="AO837" s="271" t="b">
        <f>IF(AR837&lt;=3,(IF((G837="5/24"),((база!$M$6*Таблица1[[#This Row],[сумма]]*Таблица1[[#This Row],[коэф]])),
IF((G837="4/24"),((база!$M$5*Таблица1[[#This Row],[сумма]]*Таблица1[[#This Row],[коэф]])),
IF((G837="3/24"),((база!$M$4*Таблица1[[#This Row],[сумма]]*Таблица1[[#This Row],[коэф]])),
IF((G837="5/16"),((база!$L$6*Таблица1[[#This Row],[сумма]]*Таблица1[[#This Row],[коэф]])),
IF((G837="4/16"),((база!$L$5*Таблица1[[#This Row],[сумма]]*Таблица1[[#This Row],[коэф]])),
IF((G837="3/16"),((база!$L$4*Таблица1[[#This Row],[сумма]]*Таблица1[[#This Row],[коэф]])),
IF((G837="4/4"),((база!$I$5*Таблица1[[#This Row],[сумма]]*Таблица1[[#This Row],[коэф]])),
IF(OR(G837="2/4",G837="3/4"),((база!$I$4*Таблица1[[#This Row],[сумма]]*Таблица1[[#This Row],[коэф]])),
IF((G837="5/8"),((база!$J$6*Таблица1[[#This Row],[сумма]]*Таблица1[[#This Row],[коэф]])),
IF((G837="4/8"),((база!$J$5*Таблица1[[#This Row],[сумма]]*Таблица1[[#This Row],[коэф]])),
IF(OR(G837="3/8",G837="2/8"),((база!$J$4*Таблица1[[#This Row],[сумма]]*Таблица1[[#This Row],[коэф]])))))))))))))),
(IF((G837="5/24"),((база!$M$6*Таблица1[[#This Row],[сумма]]*Таблица1[[#This Row],[коэф]])),
IF(OR(G837="4/24",G837="3/24"),((база!$M$5*Таблица1[[#This Row],[сумма]]*Таблица1[[#This Row],[коэф]])),
IF((G837="5/16"),((база!$L$6*Таблица1[[#This Row],[сумма]]*Таблица1[[#This Row],[коэф]])),
IF(OR(G837="4/16",G837="3/16"),((база!$L$5*Таблица1[[#This Row],[сумма]]*Таблица1[[#This Row],[коэф]])),
IF(OR(G837="2/4",G837="3/4",G837="4/4"),((база!$I$5*Таблица1[[#This Row],[сумма]]*Таблица1[[#This Row],[коэф]])),
IF((G837="5/8"),((база!$J$6*Таблица1[[#This Row],[сумма]]*Таблица1[[#This Row],[коэф]])),
IF(OR(G837="4/8",G837="3/8",G837="2/8"),((база!$J$5*Таблица1[[#This Row],[сумма]]*Таблица1[[#This Row],[коэф]])))))))))))</f>
        <v>0</v>
      </c>
      <c r="AP837" s="696" t="b">
        <f>IF(AR837&lt;=3,(IF((G837="5/24"),((база!$M$6*2*Таблица1[[#This Row],[Столбец1]]*Таблица1[[#This Row],[коэф]])),
IF((G837="4/24"),((база!$M$5*2*Таблица1[[#This Row],[Столбец1]]*Таблица1[[#This Row],[коэф]])),
IF((G837="3/24"),((база!$M$4*2*Таблица1[[#This Row],[Столбец1]]*Таблица1[[#This Row],[коэф]])),
IF((G837="5/16"),((база!$L$6*2*Таблица1[[#This Row],[Столбец1]]*Таблица1[[#This Row],[коэф]])),
IF((G837="4/16"),((база!$L$5*2*Таблица1[[#This Row],[Столбец1]]*Таблица1[[#This Row],[коэф]])),
IF((G837="3/16"),((база!$L$4*2*Таблица1[[#This Row],[Столбец1]]*Таблица1[[#This Row],[коэф]])),
IF((G837="4/4"),((база!$I$5*2*Таблица1[[#This Row],[Столбец1]]*Таблица1[[#This Row],[коэф]])),
IF(OR(G837="2/4",G837="3/4"),((база!$I$4*2*Таблица1[[#This Row],[Столбец1]]*Таблица1[[#This Row],[коэф]])),
IF((G837="5/8"),((база!$J$6*2*Таблица1[[#This Row],[Столбец1]]*Таблица1[[#This Row],[коэф]])),
IF((G837="4/8"),((база!$J$5*2*Таблица1[[#This Row],[Столбец1]]*Таблица1[[#This Row],[коэф]])),
IF(OR(G837="3/8",G837="2/8"),((база!$J$4*2*Таблица1[[#This Row],[Столбец1]]*Таблица1[[#This Row],[коэф]])))))))))))))),
(IF((G837="5/24"),((база!$M$6*2*Таблица1[[#This Row],[Столбец1]]*Таблица1[[#This Row],[коэф]])),
IF(OR(G837="4/24",G837="3/24"),((база!$M$5*2*Таблица1[[#This Row],[Столбец1]]*Таблица1[[#This Row],[коэф]])),
IF((G837="5/16"),((база!$L$6*2*Таблица1[[#This Row],[Столбец1]]*Таблица1[[#This Row],[коэф]])),
IF(OR(G837="4/16",G837="3/16"),((база!$L$5*2*Таблица1[[#This Row],[Столбец1]]*Таблица1[[#This Row],[коэф]])),
IF(OR(G837="2/4",G837="3/4",G837="4/4"),((база!$I$5*2*Таблица1[[#This Row],[Столбец1]]*Таблица1[[#This Row],[коэф]])),
IF((G837="5/8"),((база!$J$6*2*Таблица1[[#This Row],[Столбец1]]*Таблица1[[#This Row],[коэф]])),
IF(OR(G837="4/8",G837="3/8",G837="2/8"),((база!$J$5*2*Таблица1[[#This Row],[Столбец1]]*Таблица1[[#This Row],[коэф]])))))))))))</f>
        <v>0</v>
      </c>
      <c r="AR837" s="193">
        <f>IFERROR(INDEX(база!D:D, MATCH(F837,база!B:B,0)),"")</f>
        <v>0</v>
      </c>
    </row>
    <row r="838" spans="1:44" ht="15">
      <c r="A838" s="736"/>
      <c r="B838" s="736"/>
      <c r="C838" s="736"/>
      <c r="D838" s="736"/>
      <c r="E838" s="736"/>
      <c r="F838" s="736"/>
      <c r="G838" s="736"/>
      <c r="P838" s="736"/>
      <c r="AB838" s="736"/>
    </row>
    <row r="839" spans="1:44" ht="15">
      <c r="A839" s="736"/>
      <c r="B839" s="736"/>
      <c r="C839" s="736"/>
      <c r="D839" s="736"/>
      <c r="E839" s="736"/>
      <c r="F839" s="736"/>
      <c r="G839" s="736"/>
      <c r="P839" s="736"/>
      <c r="AB839" s="736"/>
    </row>
    <row r="840" spans="1:44">
      <c r="P840" s="1"/>
    </row>
    <row r="841" spans="1:44">
      <c r="P841" s="1"/>
    </row>
    <row r="842" spans="1:44">
      <c r="P842" s="1"/>
    </row>
    <row r="843" spans="1:44">
      <c r="P843" s="1"/>
    </row>
    <row r="844" spans="1:44">
      <c r="P844" s="1"/>
    </row>
    <row r="845" spans="1:44">
      <c r="P845" s="1"/>
    </row>
    <row r="846" spans="1:44">
      <c r="P846" s="1"/>
    </row>
    <row r="847" spans="1:44">
      <c r="P847" s="1"/>
    </row>
    <row r="848" spans="1:44">
      <c r="P848" s="1"/>
      <c r="S848" s="1" t="s">
        <v>350</v>
      </c>
      <c r="Z848" s="1" t="s">
        <v>350</v>
      </c>
    </row>
    <row r="849" spans="16:16">
      <c r="P849" s="1"/>
    </row>
  </sheetData>
  <phoneticPr fontId="3" type="noConversion"/>
  <conditionalFormatting sqref="H106:M106 V127:X127 AK133:AL133 AK143:AL143 AG313:AH313 H30:AD30 H55:AC55 H162:AE162 H163:AC171 H213:AE213 H226:AE226 H227:AC227 H228:AE228 H254:AD254 AK130:AL130 AF137:AL137 AI175:AL175 AG178:AL178 AG187:AL187 AG200:AL200 AI214:AL214 AI222:AL222 AG227:AL227 AG233:AL233 AI240:AL240 AI254:AL254 AG258:AL258 AI276:AL276 AE42:AL42 AF43:AL54 AJ55:AL55 AJ63:AL63 AJ95:AL95 AF175:AF223 AF174:AG174 AG190:AI190 AG249:AI249 AF284:AF293 AF295:AF310 AF324 AG386:AI386 AF405:AF406 AF408:AF417 AF419:AF439 AG435:AI436 AG441:AI441 AG444:AI444 H2:AL2 H255:AC274 AD303:AE303 AG304 AF312:AF319 AF321:AF322 AD320:AG320 AF326:AF344 AD376:AE376 AF441:AF455 AF401:AF403 AD400:AF400 AD429:AE429 AD311:AG311 H414:AB414 AF276:AF282 H275:AJ275 AI28:AL28 AI16:AL16 AF29:AL30 H19:AD19 AG405:AJ405 P106:Q106 AF260:AF274 H415:AC486 AF225:AF234 AF236:AF258 H229:AC239 H276:AC278 AF346:AF399 AD345:AF345 AD458:AF486 AG485:AH485 H487:AF489 H491:AF514 H490:AH490 AG459:AH459 H515:AG515 H56:AE56 H57:AC72 H172:AE200 H201:AC212 H214:AC225 H246:AC253 H279:AE279 AD301:AE301 H20:AC20 H280:AC413 H7:AL7 H22:AC29 H21:AE21 AF17:AL27 K241:AC245 K240:AE240 H240:J245 H73:AD73 H74:Q74 W74:X74 AF9:AL15 AH8:AL8 AE15 X6:AC6 H8:AC18 H85:AD85 AF64:AL94 AI96:AL96 H516:AF837 H99:AD99 AF97:AL99 H86:AC98 H31:AC53 AF32:AL41 AH31:AL31 AH100:AL100 H100:AC103 H104:Q105 R104:AC106 AF101:AL106 AH107:AL107 H75:AC84 AF108:AL122 H107:AC122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H152:AC161 AF152:AL173">
    <cfRule type="expression" dxfId="446" priority="31">
      <formula>WEEKDAY(H$2,2)&gt;5</formula>
    </cfRule>
    <cfRule type="expression" dxfId="445" priority="32">
      <formula>WEEKDAY(#REF!,2)&gt;5</formula>
    </cfRule>
    <cfRule type="expression" dxfId="444" priority="33">
      <formula>WEEKDAY(#REF!,2)&gt;5</formula>
    </cfRule>
  </conditionalFormatting>
  <conditionalFormatting sqref="H127:U127 H124:I126 H145:M145 Y124 Y126:AC127 AF136:AL136 AJ143 AF128:AL129 AD32:AE41 AE30 AD57:AE72 AE73 AJ132:AL132 AF138:AL142 AD163:AE171 AD201:AE212 AD214:AE223 AD227:AE227 AD229:AE234 AD241:AE253 AD255:AE258 AE254 AD276:AE278 AD43:AE55 AD42 AF55:AI55 AF63:AI63 AF95:AI95 AJ133 AF145:AL145 AF283 AF294:AH294 AF323:AI323 AF404:AI404 AF407:AI407 AF418:AI418 AD304:AE310 AD312:AE319 AD321:AE344 AF325:AG325 AD377:AE399 AD430:AE439 AD456:AF457 AD415:AE428 AC414:AE414 AD29:AE29 AD28:AH28 AF16:AH16 AD20:AE20 AE19 AD260:AE274 AD259:AG259 AD441:AE455 AD440:AI440 AD225:AE225 AD224:AH224 AD236:AE239 AD235:AH235 AD346:AE375 AL3:AL6 AD280:AE300 AD302:AE302 H131:AC131 AD9:AE14 R4:AK5 AD22:AE27 AD16:AE18 AD401:AE413 H3:L3 N3:AK3 N5:Q5 R74:V74 Y74:AC74 AD8:AG8 AD74:AE84 AD15 R6:W6 AD6:AK6 AE85 AD86:AE95 AD97:AE98 AD96:AH96 AE99 AD31:AG31 AD100:AG100 AD101:AE106 AD107:AG107 AJ124:AL124 AK125:AL127 H129:U129 H128:Q128 AK131:AL131 H130:Q130 W130:AC130 H144:AC144 X132:Y132 H132:S133 X133:AC133 H134:Y134 AJ134:AL134 AK135:AL135 H135:X135 H136:J137 M136:Q137 W137:AC138 W136:X136 H142:W142 AB139:AC142 H138:Q138 V139:W141 H141:Q141 H139:K140 P139:Q140 AJ144:AL144 H143:S143 X143:AC143 R145:Y145 H146:Q146 V146:AC146 H151:X151 P147:W147 AD108:AE147 H148:AE148 H149:Z149 AD149:AI149 H150:AG150 AL149:AL150 AK151:AL151 AD151:AE161">
    <cfRule type="expression" dxfId="443" priority="19">
      <formula>WEEKDAY(H$2,2)&gt;5</formula>
    </cfRule>
    <cfRule type="expression" dxfId="442" priority="20">
      <formula>WEEKDAY(#REF!,2)&gt;5</formula>
    </cfRule>
    <cfRule type="expression" dxfId="441" priority="21">
      <formula>WEEKDAY(#REF!,2)&gt;5</formula>
    </cfRule>
  </conditionalFormatting>
  <conditionalFormatting sqref="M3 H4:Q4 H6:Q6 H5:M5">
    <cfRule type="expression" dxfId="440" priority="16">
      <formula>WEEKDAY(H$2,2)&gt;5</formula>
    </cfRule>
    <cfRule type="expression" dxfId="439" priority="17">
      <formula>WEEKDAY(#REF!,2)&gt;5</formula>
    </cfRule>
    <cfRule type="expression" dxfId="438" priority="18">
      <formula>WEEKDAY(#REF!,2)&gt;5</formula>
    </cfRule>
  </conditionalFormatting>
  <conditionalFormatting sqref="H54:AC54 K136:L137 R136:V138 Y136:AC136">
    <cfRule type="expression" dxfId="437" priority="13">
      <formula>WEEKDAY(H$2,2)&gt;5</formula>
    </cfRule>
    <cfRule type="expression" dxfId="436" priority="14">
      <formula>WEEKDAY(#REF!,2)&gt;5</formula>
    </cfRule>
    <cfRule type="expression" dxfId="435" priority="15">
      <formula>WEEKDAY(#REF!,2)&gt;5</formula>
    </cfRule>
  </conditionalFormatting>
  <conditionalFormatting sqref="O106">
    <cfRule type="expression" dxfId="434" priority="104">
      <formula>WEEKDAY(N$2,2)&gt;5</formula>
    </cfRule>
    <cfRule type="expression" dxfId="433" priority="105">
      <formula>WEEKDAY(#REF!,2)&gt;5</formula>
    </cfRule>
    <cfRule type="expression" dxfId="432" priority="106">
      <formula>WEEKDAY(#REF!,2)&gt;5</formula>
    </cfRule>
  </conditionalFormatting>
  <conditionalFormatting sqref="N106">
    <cfRule type="expression" dxfId="431" priority="10">
      <formula>WEEKDAY(N$2,2)&gt;5</formula>
    </cfRule>
    <cfRule type="expression" dxfId="430" priority="11">
      <formula>WEEKDAY(#REF!,2)&gt;5</formula>
    </cfRule>
    <cfRule type="expression" dxfId="429" priority="12">
      <formula>WEEKDAY(#REF!,2)&gt;5</formula>
    </cfRule>
  </conditionalFormatting>
  <conditionalFormatting sqref="AH174:AL174 AG179:AL179 AG180:AH186 AG188:AH188 AG192:AH192 AG194:AH194 AG196:AH196 AG198:AH198 AG202:AH202 AG204:AH204 AG208:AH208 AG210:AH210 AG189:AL189 AG191:AL191 AG193:AL193 AG195:AL195 AG197:AL197 AG199:AL199 AG201:AL201 AG203:AL203 AG205:AL205 AG207:AL207 AG209:AL209 AG211:AL211 AG212:AH215 AG217:AH217 AG219:AH219 AG225:AH225 AG229:AH229 AG231:AH231 AG216:AL216 AG218:AL218 AG220:AL220 AG221:AH223 AG226:AL226 AG230:AL230 AG232:AL232 AG234:AL234 AG237:AH237 AG243:AH243 AG245:AH245 AG247:AH247 AG251:AH251 AG257:AH257 AH259 AG261:AH261 AG265:AH265 AG267:AH267 AG269:AH269 AG271:AH271 AG273:AH273 AG281:AH281 AG283:AH283 AG285:AH285 AG287:AH287 AG289:AH289 AG291:AH291 AG293:AH293 AG295:AH295 AG297:AH297 AG299:AH299 AG303:AH303 AG305:AH305 AG307:AH307 AG309:AH309 AH311 AG315:AH315 AG317:AH317 AG319:AH319 AG321:AH321 AH325 AG327:AH327 AG329:AH329 AG331:AH331 AG333:AH333 AG335:AH335 AG337:AH337 AG339:AH339 AG341:AH341 AG343:AH343 AG345:AH345 AG347:AH347 AG349:AH349 AG351:AH351 AG353:AH353 AG355:AH355 AG357:AH357 AG359:AH359 AG363:AH363 AG365:AH365 AG367:AH367 AG369:AH369 AG371:AH371 AG373:AH373 AG375:AH375 AG377:AH377 AG379:AH379 AG381:AH381 AG383:AH383 AG387:AH387 AG389:AH389 AG391:AH391 AG393:AH393 AG395:AH395 AG399:AH399 AG401:AH401 AG409:AH409 AG411:AH411 AG413:AH413 AG415:AH415 AG417:AH417 AG419:AH419 AG421:AH421 AG423:AH423 AG425:AH425 AG427:AH427 AG429:AH429 AG431:AH431 AG433:AH433 AG438:AH438 AG442:AH442 AG446:AH446 AG448:AH448 AG450:AH450 AG452:AH452 AG454:AH454 AG585:AH585 AG587:AH587 AG589:AH589 AG591:AH591 AG691:AH691 AG693:AH693 AG695:AH695 AG697:AH697 AG699:AH699 AG701:AH701 AG703:AH703 AG705:AH705 AG707:AH707 AG709:AH709 AG711:AH711 AG713:AH713 AG715:AH715 AG717:AH717 AG719:AH719 AG721:AH721 AG723:AH723 AG725:AH725 AG727:AH727 AG729:AH729 AG731:AH731 AG733:AH733 AG735:AH735 AG737:AH737 AG739:AH739 AG741:AH741 AG743:AH743 AG745:AH745 AG747:AH747 AG749:AH749 AG751:AH751 AG753:AH753 AG755:AH755 AG757:AH757 AG759:AH759 AG761:AH761 AG763:AH763 AG765:AH765 AG767:AH767 AG769:AH769 AG771:AH771 AG773:AH773 AG775:AH775 AG777:AH777 AG779:AH779 AG781:AH781 AG783:AH783 AG785:AH785 AG787:AH787 AG789:AH789 AG791:AH791 AG793:AH793 AG795:AH795 AG797:AH797 AG799:AH799 AG801:AH801 AG803:AH803 AG805:AH805 AG807:AH807 AG809:AH809 AG811:AH811 AG813:AH813 AG815:AH815 AG817:AH817 AG819:AH819 AG821:AH821 AG823:AH823 AG825:AH825 AG827:AH827 AG829:AH829 AG831:AH831 AG833:AH833 AG236:AL236 AG238:AL238 AG239:AH241 AG242:AL242 AG244:AL244 AG246:AL246 AG248:AL248 AG250:AL250 AG252:AL252 AG253:AH255 AG256:AL256 AG260:AL260 AG266:AL266 AG268:AL268 AG270:AL270 AG274:AL274 AG276:AH277 AG278:AL278 AG280:AL280 AG282:AL282 AG286:AL286 AG288:AL288 AG290:AL290 AG292:AL292 AI294:AL294 AG296:AL296 AG298:AL298 AG302:AL302 AH304:AL304 AG306:AL306 AG308:AL308 AG314:AL314 AG316:AL316 AG318:AL318 AH320:AL320 AG322:AL322 AG324:AL324 AG328:AL328 AG330:AL330 AG332:AL332 AG336:AL336 AG338:AL338 AG340:AL340 AG342:AL342 AG344:AL344 AG346:AL346 AG350:AL350 AG352:AL352 AG354:AL354 AG356:AL356 AG358:AL358 AG360:AL360 AG362:AL362 AG366:AL366 AG368:AL368 AG370:AL370 AG372:AL372 AG374:AL374 AG376:AL376 AG378:AL378 AG380:AL380 AG382:AL382 AJ386:AL386 AG388:AL388 AG390:AL390 AG392:AL392 AG394:AL394 AG398:AL398 AG400:AL400 AJ404:AL404 AG406:AL406 AG408:AL408 AG410:AL410 AG412:AL412 AG414:AL414 AG416:AL416 AJ418:AL418 AG420:AL420 AG422:AL422 AG424:AL424 AG426:AL426 AG428:AL428 AG430:AL430 AG432:AL432 AG434:AL434 AG437:AL437 AG439:AL439 AJ441:AL441 AG443:AL443 AG445:AL445 AG447:AL447 AG449:AL449 AG451:AL451 AG453:AL453 AG455:AL455 AG457:AL457 AI459:AL459 AG586:AL586 AG588:AL588 AG590:AL590 AG592:AL592 AG692:AL692 AG694:AL694 AG696:AL696 AG698:AL698 AG700:AL700 AG702:AL702 AG704:AL704 AG706:AL706 AG708:AL708 AG710:AL710 AG712:AL712 AG714:AL714 AG716:AL716 AG718:AL718 AG720:AL720 AG722:AL722 AG724:AL724 AG726:AL726 AG728:AL728 AG730:AL730 AG732:AL732 AG734:AL734 AG736:AL736 AG738:AL738 AG740:AL740 AG742:AL742 AG744:AL744 AG746:AL746 AG748:AL748 AG750:AL750 AG752:AL752 AG754:AL754 AG756:AL756 AG758:AL758 AG760:AL760 AG762:AL762 AG764:AL764 AG766:AL766 AG768:AL768 AG770:AL770 AG772:AL772 AG774:AL774 AG776:AL776 AG778:AL778 AG780:AL780 AG782:AL782 AG784:AL784 AG786:AL786 AG788:AL788 AG790:AL790 AG792:AL792 AG794:AL794 AG796:AL796 AG798:AL798 AG800:AL800 AG802:AL802 AG804:AL804 AG806:AL806 AG808:AL808 AG810:AL810 AG812:AL812 AG814:AL814 AG816:AL816 AG818:AL818 AG820:AL820 AG822:AL822 AG824:AL824 AG826:AL826 AG828:AL828 AG830:AL830 AG832:AL832 AG834:AL834 AG272:AL272 AG175:AH177 AG228:AL228 AG262:AL264 AG206:AI206 AG284:AL284 AG310:AL310 AG361:AI361 AG385:AI385 AG397:AI397 AG403:AI403 AG456:AI456 AG312:AL312 AG326:AL326 AG348:AL348 AG593:AH593 AG595:AH595 AG597:AH597 AG599:AH599 AG601:AH601 AG603:AH603 AG605:AH605 AG607:AH607 AG609:AH609 AG611:AH611 AG613:AH613 AG615:AH615 AG617:AH617 AG619:AH619 AG621:AH621 AG623:AH623 AG625:AH625 AG627:AH627 AG629:AH629 AG631:AH631 AG633:AH633 AG635:AH635 AG637:AH637 AG639:AH639 AG641:AH641 AG643:AH643 AG645:AH645 AG647:AH647 AG649:AH649 AG651:AH651 AG653:AH653 AG655:AH655 AG657:AH657 AG659:AH659 AG661:AH661 AG663:AH663 AG665:AH665 AG667:AH667 AG669:AH669 AG671:AH671 AG673:AH673 AG675:AH675 AG677:AH677 AG679:AH679 AG681:AH681 AG683:AH683 AG685:AH685 AG687:AH687 AG689:AH689 AG594:AL594 AG596:AL596 AG598:AL598 AG600:AL600 AG602:AL602 AG604:AL604 AG606:AL606 AG610:AL610 AG612:AL612 AG614:AL614 AG616:AL616 AG618:AL618 AG620:AL620 AG622:AL622 AG624:AL624 AG626:AL626 AG628:AL628 AG630:AL630 AG632:AL632 AG634:AL634 AG636:AL636 AG638:AL638 AG640:AL640 AG642:AL642 AG644:AL644 AG646:AL646 AG648:AL648 AG650:AL650 AG652:AL652 AG654:AL654 AG656:AL656 AG658:AL658 AG660:AL660 AG662:AL662 AG664:AL664 AG666:AL666 AG668:AL668 AG670:AL670 AG672:AL672 AG674:AL674 AG676:AL676 AG678:AL678 AG680:AL680 AG682:AL682 AG684:AL684 AG686:AL686 AG688:AL688 AG690:AL690 AG460:AH460 AG462:AH462 AG464:AH464 AG466:AH466 AG468:AH468 AG470:AH470 AG472:AH472 AG474:AH474 AG476:AH476 AG478:AH478 AG480:AH480 AG482:AH482 AG484:AH484 AG488:AH488 AG492:AH492 AG494:AH494 AG496:AH496 AG498:AH498 AG500:AH500 AG502:AH502 AG504:AH504 AG506:AH506 AG508:AH508 AG510:AH510 AG512:AH512 AG514:AH514 AG516:AH516 AG518:AH518 AG520:AH520 AG522:AH522 AG525:AH525 AG527:AH527 AG529:AH529 AG531:AH531 AG533:AH533 AG535:AH535 AG537:AH537 AG539:AH539 AG541:AH541 AG543:AH543 AG545:AH545 AG547:AH547 AG549:AH549 AG551:AH551 AG553:AH553 AG555:AH555 AG557:AH557 AG559:AH559 AG561:AH561 AG567:AH567 AG569:AH569 AG571:AH571 AG573:AH573 AG575:AH575 AG577:AH577 AG579:AH579 AG581:AH581 AG583:AH583 AG461:AL461 AG463:AL463 AG465:AL465 AG467:AL467 AG469:AL469 AG473:AL473 AG475:AL475 AG477:AL477 AG479:AL479 AG481:AL481 AG483:AL483 AG487:AL487 AG489:AL489 AG493:AL493 AG495:AL495 AG497:AL497 AG499:AL499 AG501:AL501 AG503:AL503 AG505:AL505 AG507:AL507 AG509:AL509 AG511:AL511 AH515:AK515 AG517:AK517 AG519:AL519 AG521:AL521 AG523:AL524 AG526:AL526 AG528:AL528 AG530:AL530 AG532:AL532 AG534:AL534 AG536:AL536 AG538:AL538 AG540:AL540 AG542:AL542 AG544:AL544 AG546:AL546 AG548:AL548 AG550:AL550 AG552:AL552 AG554:AL554 AG556:AL556 AG558:AL558 AG560:AL560 AG562:AL562 AG564:AL564 AG566:AL566 AG568:AL568 AG570:AL570 AG572:AL572 AG574:AL574 AG576:AL576 AG578:AL578 AG580:AL580 AG582:AL582 AG584:AL584 AG471:AL471 AG608:AL608 AI485:AL485 AG835:AH835 AG837:AH837 AG836:AL836 AI224:AL224 AG486:AH486 AG491:AL491 AG513:AL513 AG458:AH458 AG563:AH565 AG279:AK279 AG301:AK301 AG334:AL334 AG300:AL300 AG384:AL384 AG364:AL364 AG396:AL396 AG402:AL402">
    <cfRule type="expression" dxfId="428" priority="7">
      <formula>WEEKDAY(AG$2,2)&gt;5</formula>
    </cfRule>
    <cfRule type="expression" dxfId="427" priority="8">
      <formula>WEEKDAY(#REF!,2)&gt;5</formula>
    </cfRule>
    <cfRule type="expression" dxfId="426" priority="9">
      <formula>WEEKDAY(#REF!,2)&gt;5</formula>
    </cfRule>
  </conditionalFormatting>
  <conditionalFormatting sqref="AI176:AL177 AI188:AL188 AJ190:AL190 AI192:AL192 AI194:AL194 AI196:AL196 AI198:AL198 AI202:AL202 AI204:AL204 AJ206:AL206 AI208:AL208 AI210:AL210 AI212:AL213 AI215:AL215 AI217:AL217 AI219:AL219 AI221:AL221 AI223:AL223 AI225:AL225 AI229:AL229 AI231:AL231 AI235:AL235 AI237:AL237 AI239:AL239 AI241:AL241 AI243:AL243 AI245:AL245 AI247:AL247 AJ249:AL249 AI251:AL251 AI253:AL253 AI255:AL255 AI257:AL257 AI259:AL259 AI261:AL261 AI265:AL265 AI267:AL267 AI269:AL269 AI271:AL271 AI273:AL273 AK275:AL275 AI277:AL277 AL279 AI281:AL281 AI283:AL283 AI285:AL285 AI287:AL287 AI289:AL289 AI291:AL291 AI293:AL293 AI295:AL295 AI297:AL297 AI299:AL299 AL301 AI303:AL303 AI305:AL305 AI307:AL307 AI309:AL309 AI311:AL311 AI313:AL313 AI315:AL315 AI317:AL317 AI319:AL319 AJ323:AL323 AI325:AL325 AI327:AL327 AI329:AL329 AI331:AL331 AI333:AL333 AI335:AL335 AI337:AL337 AI339:AL339 AI341:AL341 AI343:AL343 AI345:AL345 AI347:AL347 AI349:AL349 AI351:AL351 AI353:AL353 AI355:AL355 AI357:AL357 AI359:AL359 AJ361:AL361 AI363:AL363 AI365:AL365 AI367:AL367 AI369:AL369 AI371:AL371 AI373:AL373 AI375:AL375 AI377:AL377 AI379:AL379 AI381:AL381 AI383:AL383 AJ385:AL385 AI387:AL387 AI389:AL389 AI391:AL391 AI393:AL393 AI395:AL395 AJ397:AL397 AI399:AL399 AI401:AL401 AJ403:AL403 AK405:AL405 AJ407:AL407 AI409:AL409 AI411:AL411 AI413:AL413 AI415:AL415 AI417:AL417 AI419:AL419 AI421:AL421 AI423:AL423 AI425:AL425 AI427:AL427 AI429:AL429 AI431:AL431 AI433:AL433 AJ435:AL436 AI438:AL438 AJ440:AL440 AI442:AL442 AJ444:AL444 AI446:AL446 AI448:AL448 AI450:AL450 AI452:AL452 AI454:AL454 AJ456:AL456 AI458:AL458 AI585:AL585 AI587:AL587 AI589:AL589 AI591:AL591 AI691:AL691 AI693:AL693 AI695:AL695 AI697:AL697 AI699:AL699 AI701:AL701 AI703:AL703 AI705:AL705 AI707:AL707 AI709:AL709 AI711:AL711 AI713:AL713 AI715:AL715 AI717:AL717 AI719:AL719 AI721:AL721 AI723:AL723 AI725:AL725 AI727:AL727 AI729:AL729 AI731:AL731 AI733:AL733 AI735:AL735 AI737:AL737 AI739:AL739 AI741:AL741 AI743:AL743 AI745:AL745 AI747:AL747 AI749:AL749 AI751:AL751 AI753:AL753 AI755:AL755 AI757:AL757 AI759:AL759 AI761:AL761 AI763:AL763 AI765:AL765 AI767:AL767 AI769:AL769 AI771:AL771 AI773:AL773 AI775:AL775 AI777:AL777 AI779:AL779 AI781:AL781 AI783:AL783 AI785:AL785 AI787:AL787 AI789:AL789 AI791:AL791 AI793:AL793 AI795:AL795 AI797:AL797 AI799:AL799 AI801:AL801 AI803:AL803 AI805:AL805 AI807:AL807 AI809:AL809 AI811:AL811 AI813:AL813 AI815:AL815 AI817:AL817 AI819:AL819 AI821:AL821 AI823:AL823 AI825:AL825 AI827:AL827 AI829:AL829 AI831:AL831 AI833:AL833 AI180:AL186 AI593:AL593 AI597:AL597 AI599:AL599 AI601:AL601 AI603:AL603 AI605:AL605 AI607:AL607 AI609:AL609 AI611:AL611 AI613:AL613 AI615:AL615 AI617:AL617 AI619:AL619 AI621:AL621 AI623:AL623 AI625:AL625 AI627:AL627 AI629:AL629 AI631:AL631 AI633:AL633 AI637:AL637 AI641:AL641 AI643:AL643 AI645:AL645 AI647:AL647 AI649:AL649 AI651:AL651 AI653:AL653 AI655:AL655 AI657:AL657 AI659:AL659 AI661:AL661 AI663:AL663 AI665:AL665 AI667:AL667 AI669:AL669 AI671:AL671 AI673:AL673 AI675:AL675 AI677:AL677 AI679:AL679 AI681:AL681 AI683:AL683 AI685:AL685 AI687:AL687 AI689:AL689 AI460:AL460 AI462:AL462 AI464:AL464 AI468:AL468 AI470:AL470 AI472:AL472 AI474:AL474 AI478:AL478 AI482:AL482 AI484:AL484 AI486:AL486 AI488:AL488 AI490:AL490 AI492:AL492 AI494:AL494 AI496:AL496 AI498:AL498 AI500:AL500 AI502:AL502 AI504:AL504 AI506:AL506 AI508:AL508 AI510:AL510 AI512:AL512 AI514:AL514 AI516:AK516 AI518:AL518 AI520:AL520 AI522:AL522 AI525:AL525 AI527:AL527 AI529:AL529 AI531:AL531 AI533:AL533 AI535:AL535 AI537:AL537 AI539:AL539 AI541:AL541 AI543:AL543 AI545:AL545 AI547:AL547 AI549:AL549 AI551:AL551 AI553:AL553 AI555:AL555 AI557:AL557 AI559:AL559 AI561:AL561 AI563:AL563 AI565:AL565 AI567:AL567 AI569:AL569 AI571:AL571 AI573:AL573 AI575:AL575 AI577:AL577 AI579:AL579 AI581:AL581 AI583:AL583 AI321:AL321 AI480:AL480 AI476:AL476 AI635:AL635 AI639:AL639 AI835:AL835 AI837:AL837 AI466:AL466 AL515:AL517 AI595:AL595">
    <cfRule type="expression" dxfId="425" priority="4">
      <formula>WEEKDAY(AI$2,2)&gt;5</formula>
    </cfRule>
    <cfRule type="expression" dxfId="424" priority="5">
      <formula>WEEKDAY(#REF!,2)&gt;5</formula>
    </cfRule>
    <cfRule type="expression" dxfId="423" priority="6">
      <formula>WEEKDAY(#REF!,2)&gt;5</formula>
    </cfRule>
  </conditionalFormatting>
  <dataValidations count="1">
    <dataValidation type="list" allowBlank="1" showInputMessage="1" showErrorMessage="1" sqref="A3:A837" xr:uid="{00000000-0002-0000-0000-000000000000}">
      <formula1>"январь,февраль,март,апрель,май,июнь,июль,август,сентябрь,октябрь,ноябрь,декабрь"</formula1>
    </dataValidation>
  </dataValidations>
  <pageMargins left="0.7" right="0.7" top="0.75" bottom="0.75" header="0.3" footer="0.3"/>
  <pageSetup paperSize="9" orientation="portrait" r:id="rId1"/>
  <ignoredErrors>
    <ignoredError sqref="AS7:AS20 AS3 AO3 AS6 AS27:AS47 AS21:AS26" twoDigitTextYear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ирите" prompt="ФИО мастера" xr:uid="{00000000-0002-0000-0000-000001000000}">
          <x14:formula1>
            <xm:f>база!$O$2:$O$6</xm:f>
          </x14:formula1>
          <xm:sqref>AU7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>
    <tabColor rgb="FFFF0000"/>
    <pageSetUpPr fitToPage="1"/>
  </sheetPr>
  <dimension ref="A1:AT494"/>
  <sheetViews>
    <sheetView showZeros="0" zoomScale="80" zoomScaleNormal="80" workbookViewId="0">
      <selection activeCell="E484" sqref="E484"/>
    </sheetView>
  </sheetViews>
  <sheetFormatPr defaultRowHeight="14.25"/>
  <cols>
    <col min="1" max="1" customWidth="true" style="4" width="11.7109375"/>
    <col min="2" max="2" customWidth="true" style="6" width="6.140625"/>
    <col min="3" max="3" customWidth="true" style="4" width="16.28515625"/>
    <col min="4" max="4" customWidth="true" style="29" width="7.28515625"/>
    <col min="5" max="5" customWidth="true" style="5" width="6.42578125"/>
    <col min="6" max="6" customWidth="true" style="213" width="45.140625"/>
    <col min="7" max="7" customWidth="true" style="1" width="7.0"/>
    <col min="8" max="15" customWidth="true" style="1" width="6.0"/>
    <col min="16" max="16" customWidth="true" style="19" width="6.0"/>
    <col min="17" max="38" customWidth="true" style="1" width="6.0"/>
    <col min="39" max="39" customWidth="true" style="1" width="10.42578125"/>
    <col min="40" max="40" customWidth="true" style="136" width="15.85546875"/>
    <col min="41" max="41" customWidth="true" style="1" width="11.85546875"/>
    <col min="42" max="16384" style="1" width="9.140625"/>
  </cols>
  <sheetData>
    <row r="1" spans="1:46" s="51" customFormat="1" ht="73.5" customHeight="1">
      <c r="A1" s="194" t="s">
        <v>7</v>
      </c>
      <c r="B1" s="106" t="s">
        <v>8</v>
      </c>
      <c r="C1" s="106" t="s">
        <v>2</v>
      </c>
      <c r="D1" s="107" t="s">
        <v>10</v>
      </c>
      <c r="E1" s="108" t="s">
        <v>9</v>
      </c>
      <c r="F1" s="212" t="s">
        <v>0</v>
      </c>
      <c r="G1" s="109" t="s">
        <v>1</v>
      </c>
      <c r="H1" s="110" t="s">
        <v>46</v>
      </c>
      <c r="I1" s="110" t="s">
        <v>11</v>
      </c>
      <c r="J1" s="110" t="s">
        <v>12</v>
      </c>
      <c r="K1" s="110" t="s">
        <v>54</v>
      </c>
      <c r="L1" s="110" t="s">
        <v>55</v>
      </c>
      <c r="M1" s="110" t="s">
        <v>13</v>
      </c>
      <c r="N1" s="110" t="s">
        <v>44</v>
      </c>
      <c r="O1" s="110" t="s">
        <v>45</v>
      </c>
      <c r="P1" s="110" t="s">
        <v>14</v>
      </c>
      <c r="Q1" s="110" t="s">
        <v>15</v>
      </c>
      <c r="R1" s="110" t="s">
        <v>56</v>
      </c>
      <c r="S1" s="110" t="s">
        <v>57</v>
      </c>
      <c r="T1" s="110" t="s">
        <v>16</v>
      </c>
      <c r="U1" s="110" t="s">
        <v>47</v>
      </c>
      <c r="V1" s="110" t="s">
        <v>48</v>
      </c>
      <c r="W1" s="110" t="s">
        <v>17</v>
      </c>
      <c r="X1" s="110" t="s">
        <v>18</v>
      </c>
      <c r="Y1" s="110" t="s">
        <v>58</v>
      </c>
      <c r="Z1" s="110" t="s">
        <v>59</v>
      </c>
      <c r="AA1" s="110" t="s">
        <v>19</v>
      </c>
      <c r="AB1" s="110" t="s">
        <v>49</v>
      </c>
      <c r="AC1" s="110" t="s">
        <v>50</v>
      </c>
      <c r="AD1" s="110" t="s">
        <v>20</v>
      </c>
      <c r="AE1" s="110" t="s">
        <v>21</v>
      </c>
      <c r="AF1" s="110" t="s">
        <v>60</v>
      </c>
      <c r="AG1" s="110" t="s">
        <v>61</v>
      </c>
      <c r="AH1" s="110" t="s">
        <v>22</v>
      </c>
      <c r="AI1" s="110" t="s">
        <v>51</v>
      </c>
      <c r="AJ1" s="110" t="s">
        <v>52</v>
      </c>
      <c r="AK1" s="110" t="s">
        <v>53</v>
      </c>
      <c r="AL1" s="110" t="s">
        <v>62</v>
      </c>
      <c r="AM1" s="111" t="s">
        <v>41</v>
      </c>
      <c r="AN1" s="273" t="s">
        <v>93</v>
      </c>
      <c r="AO1" s="112" t="s">
        <v>74</v>
      </c>
    </row>
    <row r="2" spans="1:46" ht="13.5" customHeight="1">
      <c r="A2" t="s" s="879">
        <v>387</v>
      </c>
      <c r="B2" t="n" s="879">
        <v>2023.0</v>
      </c>
      <c r="C2" t="s" s="879">
        <v>357</v>
      </c>
      <c r="D2" t="s" s="879">
        <v>371</v>
      </c>
      <c r="E2" t="s" s="879">
        <v>46</v>
      </c>
      <c r="F2" t="s" s="879">
        <v>394</v>
      </c>
      <c r="G2" t="s" s="879">
        <v>5</v>
      </c>
      <c r="H2" s="879"/>
      <c r="I2" s="879"/>
      <c r="J2" s="879"/>
      <c r="K2" s="879"/>
      <c r="L2" s="879"/>
      <c r="M2" s="879"/>
      <c r="N2" s="879"/>
      <c r="O2" s="879"/>
      <c r="P2" s="879"/>
      <c r="Q2" s="879"/>
      <c r="R2" s="879"/>
      <c r="S2" s="879"/>
      <c r="T2" s="879"/>
      <c r="U2" s="879"/>
      <c r="V2" s="879"/>
      <c r="W2" s="879"/>
      <c r="X2" s="879"/>
      <c r="Y2" s="879"/>
      <c r="Z2" s="879"/>
      <c r="AA2" s="879"/>
      <c r="AB2" s="879"/>
      <c r="AC2" s="879"/>
      <c r="AD2" t="n" s="879">
        <v>7.2</v>
      </c>
      <c r="AE2" s="44"/>
      <c r="AF2" s="44"/>
      <c r="AG2" s="44"/>
      <c r="AH2" s="44"/>
      <c r="AI2" s="44"/>
      <c r="AJ2" s="44"/>
      <c r="AK2" s="44"/>
      <c r="AL2" s="44"/>
      <c r="AM2" s="113">
        <f>SUM(H2:AL2)</f>
        <v>0</v>
      </c>
      <c r="AN2" s="540">
        <f>IF(AO2&lt;=3,(IF(AND(G2="5/24",AM2&gt;2),(AM2*2*база!$M$6*Таблица14[[#This Row],[коэф]]),
IF(AND(G2="4/24",AM2&gt;2),(AM2*2*база!$M$5*Таблица14[[#This Row],[коэф]]),
IF(AND(G2="3/24",AM2&gt;2),(AM2*2*база!$M$4*Таблица14[[#This Row],[коэф]]),
IF(AND(G2="5/16",AM2&gt;2),(AM2*2*база!$L$6*Таблица14[[#This Row],[коэф]]),
IF(AND(G2="4/16",AM2&gt;2),(AM2*2*база!$L$5*Таблица14[[#This Row],[коэф]]),
IF(AND(G2="3/16",AM2&gt;2),(AM2*2*база!$L$4*Таблица14[[#This Row],[коэф]]),
IF(AND(G2="4/4",AM2&gt;2),(AM2*2*база!$I$5*Таблица14[[#This Row],[коэф]]),
IF(AND(G2="3/4",AM2&gt;2),(AM2*2*база!$I$4*Таблица14[[#This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(AM2*2*база!$L$4*Таблица14[[#This Row],[коэф]]))))))))))))),
(IF(AND(G2="5/24",AM2&gt;2),(AM2*2*база!$M$6*Таблица14[[#This Row],[коэф]]),
IF(OR(AND(G2="4/24",AM2&gt;2),AND(G2="3/24",AM2&gt;2)),(AM2*2*база!$M$5*Таблица14[[#This Row],[коэф]]),
IF(AND(G2="5/16",AM2&gt;2),(AM2*2*база!$L$6*Таблица14[[#This Row],[коэф]]),
IF(OR(AND(G2="4/16",AM2&gt;2),AND(G2="3/16",AM2&gt;2)),(AM2*2*база!$L$5*Таблица14[[#This Row],[коэф]]),
IF(OR(AND(G2="4/4",AM2&gt;2),AND(G2="3/4",AM2&gt;2)),(AM2*2*база!$I$5*Таблица14[[#This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(AM2*2*база!$L$5*Таблица14[[#This Row],[коэф]])))))))))))</f>
        <v>0</v>
      </c>
      <c r="AO2" s="114">
        <f>IFERROR(INDEX(база!$D$2:$D$120, MATCH(Таблица14[[#This Row],[Ф. И. О.]],база!$B$2:$B$100,0)),"")</f>
        <v>0</v>
      </c>
      <c r="AP2" s="51"/>
      <c r="AQ2" s="51"/>
      <c r="AR2" s="51"/>
      <c r="AS2" s="51"/>
    </row>
    <row r="3" spans="1:46" ht="13.5" customHeight="1">
      <c r="A3" t="s" s="887">
        <v>387</v>
      </c>
      <c r="B3" t="n" s="887">
        <v>2023.0</v>
      </c>
      <c r="C3" t="s" s="887">
        <v>396</v>
      </c>
      <c r="D3" t="s" s="887">
        <v>401</v>
      </c>
      <c r="E3" t="s" s="887">
        <v>403</v>
      </c>
      <c r="F3" t="s" s="887">
        <v>405</v>
      </c>
      <c r="G3" t="s" s="887">
        <v>6</v>
      </c>
      <c r="H3" s="887"/>
      <c r="I3" s="887"/>
      <c r="J3" s="887"/>
      <c r="K3" s="887"/>
      <c r="L3" s="887"/>
      <c r="M3" s="887"/>
      <c r="N3" s="887"/>
      <c r="O3" s="887"/>
      <c r="P3" s="887"/>
      <c r="Q3" s="887"/>
      <c r="R3" s="887"/>
      <c r="S3" s="887"/>
      <c r="T3" s="887"/>
      <c r="U3" s="887"/>
      <c r="V3" s="887"/>
      <c r="W3" s="887"/>
      <c r="X3" s="887"/>
      <c r="Y3" s="887"/>
      <c r="Z3" s="887"/>
      <c r="AA3" s="887"/>
      <c r="AB3" t="n" s="887">
        <v>4.0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113">
        <f>SUM(H3:AL3)</f>
        <v>0</v>
      </c>
      <c r="AN3" s="540">
        <f>IF(AO3&lt;=3,(IF(AND(G3="5/24",AM3&gt;2),(AM3*2*база!$M$6*Таблица14[[#This Row],[коэф]]),
IF(AND(G3="4/24",AM3&gt;2),(AM3*2*база!$M$5*Таблица14[[#This Row],[коэф]]),
IF(AND(G3="3/24",AM3&gt;2),(AM3*2*база!$M$4*Таблица14[[#This Row],[коэф]]),
IF(AND(G3="5/16",AM3&gt;2),(AM3*2*база!$L$6*Таблица14[[#This Row],[коэф]]),
IF(AND(G3="4/16",AM3&gt;2),(AM3*2*база!$L$5*Таблица14[[#This Row],[коэф]]),
IF(AND(G3="3/16",AM3&gt;2),(AM3*2*база!$L$4*Таблица14[[#This Row],[коэф]]),
IF(AND(G3="4/4",AM3&gt;2),(AM3*2*база!$I$5*Таблица14[[#This Row],[коэф]]),
IF(AND(G3="3/4",AM3&gt;2),(AM3*2*база!$I$4*Таблица14[[#This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(AM3*2*база!$L$4*Таблица14[[#This Row],[коэф]]))))))))))))),
(IF(AND(G3="5/24",AM3&gt;2),(AM3*2*база!$M$6*Таблица14[[#This Row],[коэф]]),
IF(OR(AND(G3="4/24",AM3&gt;2),AND(G3="3/24",AM3&gt;2)),(AM3*2*база!$M$5*Таблица14[[#This Row],[коэф]]),
IF(AND(G3="5/16",AM3&gt;2),(AM3*2*база!$L$6*Таблица14[[#This Row],[коэф]]),
IF(OR(AND(G3="4/16",AM3&gt;2),AND(G3="3/16",AM3&gt;2)),(AM3*2*база!$L$5*Таблица14[[#This Row],[коэф]]),
IF(OR(AND(G3="4/4",AM3&gt;2),AND(G3="3/4",AM3&gt;2)),(AM3*2*база!$I$5*Таблица14[[#This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(AM3*2*база!$L$5*Таблица14[[#This Row],[коэф]])))))))))))</f>
        <v>0</v>
      </c>
      <c r="AO3" s="114">
        <f>IFERROR(INDEX(база!$D$2:$D$120, MATCH(Таблица14[[#This Row],[Ф. И. О.]],база!$B$2:$B$100,0)),"")</f>
        <v>0</v>
      </c>
      <c r="AP3" s="51"/>
      <c r="AQ3" s="51"/>
      <c r="AR3" s="51"/>
      <c r="AS3" s="51"/>
      <c r="AT3" s="63"/>
    </row>
    <row r="4" spans="1:46" ht="13.5" customHeight="1">
      <c r="A4" s="192"/>
      <c r="B4" s="223"/>
      <c r="C4" s="543"/>
      <c r="D4" s="190"/>
      <c r="E4" s="224"/>
      <c r="F4" s="679"/>
      <c r="G4" s="22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113">
        <f t="shared" ref="AM4:AM67" si="0">SUM(H4:AL4)</f>
        <v>0</v>
      </c>
      <c r="AN4" s="540">
        <f>IF(AO4&lt;=3,(IF(AND(G4="5/24",AM4&gt;2),(AM4*2*база!$M$6*Таблица14[[#This Row],[коэф]]),
IF(AND(G4="4/24",AM4&gt;2),(AM4*2*база!$M$5*Таблица14[[#This Row],[коэф]]),
IF(AND(G4="3/24",AM4&gt;2),(AM4*2*база!$M$4*Таблица14[[#This Row],[коэф]]),
IF(AND(G4="5/16",AM4&gt;2),(AM4*2*база!$L$6*Таблица14[[#This Row],[коэф]]),
IF(AND(G4="4/16",AM4&gt;2),(AM4*2*база!$L$5*Таблица14[[#This Row],[коэф]]),
IF(AND(G4="3/16",AM4&gt;2),(AM4*2*база!$L$4*Таблица14[[#This Row],[коэф]]),
IF(AND(G4="4/4",AM4&gt;2),(AM4*2*база!$I$5*Таблица14[[#This Row],[коэф]]),
IF(AND(G4="3/4",AM4&gt;2),(AM4*2*база!$I$4*Таблица14[[#This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(AM4*2*база!$L$4*Таблица14[[#This Row],[коэф]]))))))))))))),
(IF(AND(G4="5/24",AM4&gt;2),(AM4*2*база!$M$6*Таблица14[[#This Row],[коэф]]),
IF(OR(AND(G4="4/24",AM4&gt;2),AND(G4="3/24",AM4&gt;2)),(AM4*2*база!$M$5*Таблица14[[#This Row],[коэф]]),
IF(AND(G4="5/16",AM4&gt;2),(AM4*2*база!$L$6*Таблица14[[#This Row],[коэф]]),
IF(OR(AND(G4="4/16",AM4&gt;2),AND(G4="3/16",AM4&gt;2)),(AM4*2*база!$L$5*Таблица14[[#This Row],[коэф]]),
IF(OR(AND(G4="4/4",AM4&gt;2),AND(G4="3/4",AM4&gt;2)),(AM4*2*база!$I$5*Таблица14[[#This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(AM4*2*база!$L$5*Таблица14[[#This Row],[коэф]])))))))))))</f>
        <v>0</v>
      </c>
      <c r="AO4" s="114">
        <f>IFERROR(INDEX(база!$D$2:$D$120, MATCH(Таблица14[[#This Row],[Ф. И. О.]],база!$B$2:$B$100,0)),"")</f>
        <v>0</v>
      </c>
      <c r="AP4" s="51"/>
      <c r="AQ4" s="51"/>
      <c r="AR4" s="51"/>
      <c r="AS4" s="51"/>
    </row>
    <row r="5" spans="1:46" ht="13.5" customHeight="1">
      <c r="A5" s="192"/>
      <c r="B5" s="189"/>
      <c r="C5" s="543"/>
      <c r="D5" s="199"/>
      <c r="E5" s="226"/>
      <c r="F5" s="679"/>
      <c r="G5" s="191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44"/>
      <c r="Z5" s="200"/>
      <c r="AA5" s="200"/>
      <c r="AB5" s="200"/>
      <c r="AC5" s="200"/>
      <c r="AD5" s="200"/>
      <c r="AE5" s="200"/>
      <c r="AF5" s="200"/>
      <c r="AG5" s="200"/>
      <c r="AH5" s="44"/>
      <c r="AI5" s="200"/>
      <c r="AJ5" s="200"/>
      <c r="AK5" s="200"/>
      <c r="AL5" s="200"/>
      <c r="AM5" s="113">
        <f t="shared" si="0"/>
        <v>0</v>
      </c>
      <c r="AN5" s="540">
        <f>IF(AO5&lt;=3,(IF(AND(G5="5/24",AM5&gt;2),(AM5*2*база!$M$6*Таблица14[[#This Row],[коэф]]),
IF(AND(G5="4/24",AM5&gt;2),(AM5*2*база!$M$5*Таблица14[[#This Row],[коэф]]),
IF(AND(G5="3/24",AM5&gt;2),(AM5*2*база!$M$4*Таблица14[[#This Row],[коэф]]),
IF(AND(G5="5/16",AM5&gt;2),(AM5*2*база!$L$6*Таблица14[[#This Row],[коэф]]),
IF(AND(G5="4/16",AM5&gt;2),(AM5*2*база!$L$5*Таблица14[[#This Row],[коэф]]),
IF(AND(G5="3/16",AM5&gt;2),(AM5*2*база!$L$4*Таблица14[[#This Row],[коэф]]),
IF(AND(G5="4/4",AM5&gt;2),(AM5*2*база!$I$5*Таблица14[[#This Row],[коэф]]),
IF(AND(G5="3/4",AM5&gt;2),(AM5*2*база!$I$4*Таблица14[[#This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(AM5*2*база!$L$4*Таблица14[[#This Row],[коэф]]))))))))))))),
(IF(AND(G5="5/24",AM5&gt;2),(AM5*2*база!$M$6*Таблица14[[#This Row],[коэф]]),
IF(OR(AND(G5="4/24",AM5&gt;2),AND(G5="3/24",AM5&gt;2)),(AM5*2*база!$M$5*Таблица14[[#This Row],[коэф]]),
IF(AND(G5="5/16",AM5&gt;2),(AM5*2*база!$L$6*Таблица14[[#This Row],[коэф]]),
IF(OR(AND(G5="4/16",AM5&gt;2),AND(G5="3/16",AM5&gt;2)),(AM5*2*база!$L$5*Таблица14[[#This Row],[коэф]]),
IF(OR(AND(G5="4/4",AM5&gt;2),AND(G5="3/4",AM5&gt;2)),(AM5*2*база!$I$5*Таблица14[[#This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(AM5*2*база!$L$5*Таблица14[[#This Row],[коэф]])))))))))))</f>
        <v>0</v>
      </c>
      <c r="AO5" s="114">
        <f>IFERROR(INDEX(база!$D$2:$D$120, MATCH(Таблица14[[#This Row],[Ф. И. О.]],база!$B$2:$B$100,0)),"")</f>
        <v>0</v>
      </c>
      <c r="AP5" s="51"/>
      <c r="AQ5" s="51"/>
      <c r="AR5" s="51"/>
      <c r="AS5" s="51"/>
      <c r="AT5" s="63"/>
    </row>
    <row r="6" spans="1:46" ht="13.5" customHeight="1">
      <c r="A6" s="192"/>
      <c r="B6" s="223"/>
      <c r="C6" s="543"/>
      <c r="D6" s="190"/>
      <c r="E6" s="224"/>
      <c r="F6" s="679"/>
      <c r="G6" s="225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44"/>
      <c r="V6" s="200"/>
      <c r="W6" s="200"/>
      <c r="X6" s="200"/>
      <c r="Y6" s="200"/>
      <c r="Z6" s="44"/>
      <c r="AA6" s="200"/>
      <c r="AB6" s="200"/>
      <c r="AC6" s="200"/>
      <c r="AD6" s="200"/>
      <c r="AE6" s="200"/>
      <c r="AF6" s="200"/>
      <c r="AG6" s="200"/>
      <c r="AH6" s="200"/>
      <c r="AI6" s="200"/>
      <c r="AJ6" s="200"/>
      <c r="AK6" s="200"/>
      <c r="AL6" s="200"/>
      <c r="AM6" s="113">
        <f t="shared" si="0"/>
        <v>0</v>
      </c>
      <c r="AN6" s="540">
        <f>IF(AO6&lt;=3,(IF(AND(G6="5/24",AM6&gt;2),(AM6*2*база!$M$6*Таблица14[[#This Row],[коэф]]),
IF(AND(G6="4/24",AM6&gt;2),(AM6*2*база!$M$5*Таблица14[[#This Row],[коэф]]),
IF(AND(G6="3/24",AM6&gt;2),(AM6*2*база!$M$4*Таблица14[[#This Row],[коэф]]),
IF(AND(G6="5/16",AM6&gt;2),(AM6*2*база!$L$6*Таблица14[[#This Row],[коэф]]),
IF(AND(G6="4/16",AM6&gt;2),(AM6*2*база!$L$5*Таблица14[[#This Row],[коэф]]),
IF(AND(G6="3/16",AM6&gt;2),(AM6*2*база!$L$4*Таблица14[[#This Row],[коэф]]),
IF(AND(G6="4/4",AM6&gt;2),(AM6*2*база!$I$5*Таблица14[[#This Row],[коэф]]),
IF(AND(G6="3/4",AM6&gt;2),(AM6*2*база!$I$4*Таблица14[[#This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(AM6*2*база!$L$4*Таблица14[[#This Row],[коэф]]))))))))))))),
(IF(AND(G6="5/24",AM6&gt;2),(AM6*2*база!$M$6*Таблица14[[#This Row],[коэф]]),
IF(OR(AND(G6="4/24",AM6&gt;2),AND(G6="3/24",AM6&gt;2)),(AM6*2*база!$M$5*Таблица14[[#This Row],[коэф]]),
IF(AND(G6="5/16",AM6&gt;2),(AM6*2*база!$L$6*Таблица14[[#This Row],[коэф]]),
IF(OR(AND(G6="4/16",AM6&gt;2),AND(G6="3/16",AM6&gt;2)),(AM6*2*база!$L$5*Таблица14[[#This Row],[коэф]]),
IF(OR(AND(G6="4/4",AM6&gt;2),AND(G6="3/4",AM6&gt;2)),(AM6*2*база!$I$5*Таблица14[[#This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(AM6*2*база!$L$5*Таблица14[[#This Row],[коэф]])))))))))))</f>
        <v>0</v>
      </c>
      <c r="AO6" s="114">
        <f>IFERROR(INDEX(база!$D$2:$D$120, MATCH(Таблица14[[#This Row],[Ф. И. О.]],база!$B$2:$B$100,0)),"")</f>
        <v>0</v>
      </c>
      <c r="AP6" s="51"/>
      <c r="AQ6" s="51"/>
      <c r="AR6" s="51"/>
      <c r="AS6" s="51"/>
      <c r="AT6" s="63"/>
    </row>
    <row r="7" spans="1:46" ht="13.5" customHeight="1">
      <c r="A7" s="192"/>
      <c r="B7" s="189"/>
      <c r="C7" s="543"/>
      <c r="D7" s="199"/>
      <c r="E7" s="226"/>
      <c r="F7" s="679"/>
      <c r="G7" s="191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44"/>
      <c r="V7" s="200"/>
      <c r="W7" s="200"/>
      <c r="X7" s="200"/>
      <c r="Y7" s="200"/>
      <c r="Z7" s="44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113">
        <f t="shared" si="0"/>
        <v>0</v>
      </c>
      <c r="AN7" s="540">
        <f>IF(AO7&lt;=3,(IF(AND(G7="5/24",AM7&gt;2),(AM7*2*база!$M$6*Таблица14[[#This Row],[коэф]]),
IF(AND(G7="4/24",AM7&gt;2),(AM7*2*база!$M$5*Таблица14[[#This Row],[коэф]]),
IF(AND(G7="3/24",AM7&gt;2),(AM7*2*база!$M$4*Таблица14[[#This Row],[коэф]]),
IF(AND(G7="5/16",AM7&gt;2),(AM7*2*база!$L$6*Таблица14[[#This Row],[коэф]]),
IF(AND(G7="4/16",AM7&gt;2),(AM7*2*база!$L$5*Таблица14[[#This Row],[коэф]]),
IF(AND(G7="3/16",AM7&gt;2),(AM7*2*база!$L$4*Таблица14[[#This Row],[коэф]]),
IF(AND(G7="4/4",AM7&gt;2),(AM7*2*база!$I$5*Таблица14[[#This Row],[коэф]]),
IF(AND(G7="3/4",AM7&gt;2),(AM7*2*база!$I$4*Таблица14[[#This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(AM7*2*база!$L$4*Таблица14[[#This Row],[коэф]]))))))))))))),
(IF(AND(G7="5/24",AM7&gt;2),(AM7*2*база!$M$6*Таблица14[[#This Row],[коэф]]),
IF(OR(AND(G7="4/24",AM7&gt;2),AND(G7="3/24",AM7&gt;2)),(AM7*2*база!$M$5*Таблица14[[#This Row],[коэф]]),
IF(AND(G7="5/16",AM7&gt;2),(AM7*2*база!$L$6*Таблица14[[#This Row],[коэф]]),
IF(OR(AND(G7="4/16",AM7&gt;2),AND(G7="3/16",AM7&gt;2)),(AM7*2*база!$L$5*Таблица14[[#This Row],[коэф]]),
IF(OR(AND(G7="4/4",AM7&gt;2),AND(G7="3/4",AM7&gt;2)),(AM7*2*база!$I$5*Таблица14[[#This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(AM7*2*база!$L$5*Таблица14[[#This Row],[коэф]])))))))))))</f>
        <v>0</v>
      </c>
      <c r="AO7" s="114">
        <f>IFERROR(INDEX(база!$D$2:$D$120, MATCH(Таблица14[[#This Row],[Ф. И. О.]],база!$B$2:$B$100,0)),"")</f>
        <v>0</v>
      </c>
      <c r="AP7" s="51"/>
      <c r="AQ7" s="51"/>
      <c r="AR7" s="51"/>
      <c r="AS7" s="51"/>
    </row>
    <row r="8" spans="1:46" ht="13.5" customHeight="1">
      <c r="A8" s="192"/>
      <c r="B8" s="223"/>
      <c r="C8" s="543"/>
      <c r="D8" s="199"/>
      <c r="E8" s="224"/>
      <c r="F8" s="679"/>
      <c r="G8" s="225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113">
        <f t="shared" si="0"/>
        <v>0</v>
      </c>
      <c r="AN8" s="540">
        <f>IF(AO8&lt;=3,(IF(AND(G8="5/24",AM8&gt;2),(AM8*2*база!$M$6*Таблица14[[#This Row],[коэф]]),
IF(AND(G8="4/24",AM8&gt;2),(AM8*2*база!$M$5*Таблица14[[#This Row],[коэф]]),
IF(AND(G8="3/24",AM8&gt;2),(AM8*2*база!$M$4*Таблица14[[#This Row],[коэф]]),
IF(AND(G8="5/16",AM8&gt;2),(AM8*2*база!$L$6*Таблица14[[#This Row],[коэф]]),
IF(AND(G8="4/16",AM8&gt;2),(AM8*2*база!$L$5*Таблица14[[#This Row],[коэф]]),
IF(AND(G8="3/16",AM8&gt;2),(AM8*2*база!$L$4*Таблица14[[#This Row],[коэф]]),
IF(AND(G8="4/4",AM8&gt;2),(AM8*2*база!$I$5*Таблица14[[#This Row],[коэф]]),
IF(AND(G8="3/4",AM8&gt;2),(AM8*2*база!$I$4*Таблица14[[#This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(AM8*2*база!$L$4*Таблица14[[#This Row],[коэф]]))))))))))))),
(IF(AND(G8="5/24",AM8&gt;2),(AM8*2*база!$M$6*Таблица14[[#This Row],[коэф]]),
IF(OR(AND(G8="4/24",AM8&gt;2),AND(G8="3/24",AM8&gt;2)),(AM8*2*база!$M$5*Таблица14[[#This Row],[коэф]]),
IF(AND(G8="5/16",AM8&gt;2),(AM8*2*база!$L$6*Таблица14[[#This Row],[коэф]]),
IF(OR(AND(G8="4/16",AM8&gt;2),AND(G8="3/16",AM8&gt;2)),(AM8*2*база!$L$5*Таблица14[[#This Row],[коэф]]),
IF(OR(AND(G8="4/4",AM8&gt;2),AND(G8="3/4",AM8&gt;2)),(AM8*2*база!$I$5*Таблица14[[#This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(AM8*2*база!$L$5*Таблица14[[#This Row],[коэф]])))))))))))</f>
        <v>0</v>
      </c>
      <c r="AO8" s="114">
        <f>IFERROR(INDEX(база!$D$2:$D$120, MATCH(Таблица14[[#This Row],[Ф. И. О.]],база!$B$2:$B$100,0)),"")</f>
        <v>0</v>
      </c>
      <c r="AP8" s="51"/>
      <c r="AQ8" s="51"/>
      <c r="AR8" s="51"/>
      <c r="AS8" s="51"/>
    </row>
    <row r="9" spans="1:46" ht="13.5" customHeight="1">
      <c r="A9" s="192"/>
      <c r="B9" s="189"/>
      <c r="C9" s="544"/>
      <c r="D9" s="199"/>
      <c r="E9" s="226"/>
      <c r="F9" s="679"/>
      <c r="G9" s="191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113">
        <f t="shared" si="0"/>
        <v>0</v>
      </c>
      <c r="AN9" s="540">
        <f>IF(AO9&lt;=3,(IF(AND(G9="5/24",AM9&gt;2),(AM9*2*база!$M$6*Таблица14[[#This Row],[коэф]]),
IF(AND(G9="4/24",AM9&gt;2),(AM9*2*база!$M$5*Таблица14[[#This Row],[коэф]]),
IF(AND(G9="3/24",AM9&gt;2),(AM9*2*база!$M$4*Таблица14[[#This Row],[коэф]]),
IF(AND(G9="5/16",AM9&gt;2),(AM9*2*база!$L$6*Таблица14[[#This Row],[коэф]]),
IF(AND(G9="4/16",AM9&gt;2),(AM9*2*база!$L$5*Таблица14[[#This Row],[коэф]]),
IF(AND(G9="3/16",AM9&gt;2),(AM9*2*база!$L$4*Таблица14[[#This Row],[коэф]]),
IF(AND(G9="4/4",AM9&gt;2),(AM9*2*база!$I$5*Таблица14[[#This Row],[коэф]]),
IF(AND(G9="3/4",AM9&gt;2),(AM9*2*база!$I$4*Таблица14[[#This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(AM9*2*база!$L$4*Таблица14[[#This Row],[коэф]]))))))))))))),
(IF(AND(G9="5/24",AM9&gt;2),(AM9*2*база!$M$6*Таблица14[[#This Row],[коэф]]),
IF(OR(AND(G9="4/24",AM9&gt;2),AND(G9="3/24",AM9&gt;2)),(AM9*2*база!$M$5*Таблица14[[#This Row],[коэф]]),
IF(AND(G9="5/16",AM9&gt;2),(AM9*2*база!$L$6*Таблица14[[#This Row],[коэф]]),
IF(OR(AND(G9="4/16",AM9&gt;2),AND(G9="3/16",AM9&gt;2)),(AM9*2*база!$L$5*Таблица14[[#This Row],[коэф]]),
IF(OR(AND(G9="4/4",AM9&gt;2),AND(G9="3/4",AM9&gt;2)),(AM9*2*база!$I$5*Таблица14[[#This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(AM9*2*база!$L$5*Таблица14[[#This Row],[коэф]])))))))))))</f>
        <v>0</v>
      </c>
      <c r="AO9" s="114">
        <f>IFERROR(INDEX(база!$D$2:$D$120, MATCH(Таблица14[[#This Row],[Ф. И. О.]],база!$B$2:$B$100,0)),"")</f>
        <v>0</v>
      </c>
      <c r="AP9" s="51"/>
      <c r="AQ9" s="51"/>
      <c r="AR9" s="51"/>
      <c r="AS9" s="51"/>
    </row>
    <row r="10" spans="1:46" ht="13.5" customHeight="1">
      <c r="A10" s="192"/>
      <c r="B10" s="223"/>
      <c r="C10" s="543"/>
      <c r="D10" s="199"/>
      <c r="E10" s="224"/>
      <c r="F10" s="679"/>
      <c r="G10" s="225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113">
        <f t="shared" si="0"/>
        <v>0</v>
      </c>
      <c r="AN10" s="540">
        <f>IF(AO10&lt;=3,(IF(AND(G10="5/24",AM10&gt;2),(AM10*2*база!$M$6*Таблица14[[#This Row],[коэф]]),
IF(AND(G10="4/24",AM10&gt;2),(AM10*2*база!$M$5*Таблица14[[#This Row],[коэф]]),
IF(AND(G10="3/24",AM10&gt;2),(AM10*2*база!$M$4*Таблица14[[#This Row],[коэф]]),
IF(AND(G10="5/16",AM10&gt;2),(AM10*2*база!$L$6*Таблица14[[#This Row],[коэф]]),
IF(AND(G10="4/16",AM10&gt;2),(AM10*2*база!$L$5*Таблица14[[#This Row],[коэф]]),
IF(AND(G10="3/16",AM10&gt;2),(AM10*2*база!$L$4*Таблица14[[#This Row],[коэф]]),
IF(AND(G10="4/4",AM10&gt;2),(AM10*2*база!$I$5*Таблица14[[#This Row],[коэф]]),
IF(AND(G10="3/4",AM10&gt;2),(AM10*2*база!$I$4*Таблица14[[#This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(AM10*2*база!$L$4*Таблица14[[#This Row],[коэф]]))))))))))))),
(IF(AND(G10="5/24",AM10&gt;2),(AM10*2*база!$M$6*Таблица14[[#This Row],[коэф]]),
IF(OR(AND(G10="4/24",AM10&gt;2),AND(G10="3/24",AM10&gt;2)),(AM10*2*база!$M$5*Таблица14[[#This Row],[коэф]]),
IF(AND(G10="5/16",AM10&gt;2),(AM10*2*база!$L$6*Таблица14[[#This Row],[коэф]]),
IF(OR(AND(G10="4/16",AM10&gt;2),AND(G10="3/16",AM10&gt;2)),(AM10*2*база!$L$5*Таблица14[[#This Row],[коэф]]),
IF(OR(AND(G10="4/4",AM10&gt;2),AND(G10="3/4",AM10&gt;2)),(AM10*2*база!$I$5*Таблица14[[#This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(AM10*2*база!$L$5*Таблица14[[#This Row],[коэф]])))))))))))</f>
        <v>0</v>
      </c>
      <c r="AO10" s="114">
        <f>IFERROR(INDEX(база!$D$2:$D$120, MATCH(Таблица14[[#This Row],[Ф. И. О.]],база!$B$2:$B$100,0)),"")</f>
        <v>0</v>
      </c>
      <c r="AP10" s="51"/>
      <c r="AQ10" s="51"/>
      <c r="AR10" s="51"/>
      <c r="AS10" s="51"/>
    </row>
    <row r="11" spans="1:46" ht="13.5" customHeight="1">
      <c r="A11" s="192"/>
      <c r="B11" s="189"/>
      <c r="C11" s="544"/>
      <c r="D11" s="199"/>
      <c r="E11" s="226"/>
      <c r="F11" s="679"/>
      <c r="G11" s="191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113">
        <f t="shared" si="0"/>
        <v>0</v>
      </c>
      <c r="AN11" s="540">
        <f>IF(AO11&lt;=3,(IF(AND(G11="5/24",AM11&gt;2),(AM11*2*база!$M$6*Таблица14[[#This Row],[коэф]]),
IF(AND(G11="4/24",AM11&gt;2),(AM11*2*база!$M$5*Таблица14[[#This Row],[коэф]]),
IF(AND(G11="3/24",AM11&gt;2),(AM11*2*база!$M$4*Таблица14[[#This Row],[коэф]]),
IF(AND(G11="5/16",AM11&gt;2),(AM11*2*база!$L$6*Таблица14[[#This Row],[коэф]]),
IF(AND(G11="4/16",AM11&gt;2),(AM11*2*база!$L$5*Таблица14[[#This Row],[коэф]]),
IF(AND(G11="3/16",AM11&gt;2),(AM11*2*база!$L$4*Таблица14[[#This Row],[коэф]]),
IF(AND(G11="4/4",AM11&gt;2),(AM11*2*база!$I$5*Таблица14[[#This Row],[коэф]]),
IF(AND(G11="3/4",AM11&gt;2),(AM11*2*база!$I$4*Таблица14[[#This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(AM11*2*база!$L$4*Таблица14[[#This Row],[коэф]]))))))))))))),
(IF(AND(G11="5/24",AM11&gt;2),(AM11*2*база!$M$6*Таблица14[[#This Row],[коэф]]),
IF(OR(AND(G11="4/24",AM11&gt;2),AND(G11="3/24",AM11&gt;2)),(AM11*2*база!$M$5*Таблица14[[#This Row],[коэф]]),
IF(AND(G11="5/16",AM11&gt;2),(AM11*2*база!$L$6*Таблица14[[#This Row],[коэф]]),
IF(OR(AND(G11="4/16",AM11&gt;2),AND(G11="3/16",AM11&gt;2)),(AM11*2*база!$L$5*Таблица14[[#This Row],[коэф]]),
IF(OR(AND(G11="4/4",AM11&gt;2),AND(G11="3/4",AM11&gt;2)),(AM11*2*база!$I$5*Таблица14[[#This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(AM11*2*база!$L$5*Таблица14[[#This Row],[коэф]])))))))))))</f>
        <v>0</v>
      </c>
      <c r="AO11" s="114">
        <f>IFERROR(INDEX(база!$D$2:$D$120, MATCH(Таблица14[[#This Row],[Ф. И. О.]],база!$B$2:$B$100,0)),"")</f>
        <v>0</v>
      </c>
      <c r="AP11" s="51"/>
      <c r="AQ11" s="51"/>
      <c r="AR11" s="51"/>
      <c r="AS11" s="51"/>
    </row>
    <row r="12" spans="1:46" ht="13.5" customHeight="1">
      <c r="A12" s="192"/>
      <c r="B12" s="223"/>
      <c r="C12" s="543"/>
      <c r="D12" s="199"/>
      <c r="E12" s="224"/>
      <c r="F12" s="679"/>
      <c r="G12" s="225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113">
        <f t="shared" si="0"/>
        <v>0</v>
      </c>
      <c r="AN12" s="540">
        <f>IF(AO12&lt;=3,(IF(AND(G12="5/24",AM12&gt;2),(AM12*2*база!$M$6*Таблица14[[#This Row],[коэф]]),
IF(AND(G12="4/24",AM12&gt;2),(AM12*2*база!$M$5*Таблица14[[#This Row],[коэф]]),
IF(AND(G12="3/24",AM12&gt;2),(AM12*2*база!$M$4*Таблица14[[#This Row],[коэф]]),
IF(AND(G12="5/16",AM12&gt;2),(AM12*2*база!$L$6*Таблица14[[#This Row],[коэф]]),
IF(AND(G12="4/16",AM12&gt;2),(AM12*2*база!$L$5*Таблица14[[#This Row],[коэф]]),
IF(AND(G12="3/16",AM12&gt;2),(AM12*2*база!$L$4*Таблица14[[#This Row],[коэф]]),
IF(AND(G12="4/4",AM12&gt;2),(AM12*2*база!$I$5*Таблица14[[#This Row],[коэф]]),
IF(AND(G12="3/4",AM12&gt;2),(AM12*2*база!$I$4*Таблица14[[#This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(AM12*2*база!$L$4*Таблица14[[#This Row],[коэф]]))))))))))))),
(IF(AND(G12="5/24",AM12&gt;2),(AM12*2*база!$M$6*Таблица14[[#This Row],[коэф]]),
IF(OR(AND(G12="4/24",AM12&gt;2),AND(G12="3/24",AM12&gt;2)),(AM12*2*база!$M$5*Таблица14[[#This Row],[коэф]]),
IF(AND(G12="5/16",AM12&gt;2),(AM12*2*база!$L$6*Таблица14[[#This Row],[коэф]]),
IF(OR(AND(G12="4/16",AM12&gt;2),AND(G12="3/16",AM12&gt;2)),(AM12*2*база!$L$5*Таблица14[[#This Row],[коэф]]),
IF(OR(AND(G12="4/4",AM12&gt;2),AND(G12="3/4",AM12&gt;2)),(AM12*2*база!$I$5*Таблица14[[#This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(AM12*2*база!$L$5*Таблица14[[#This Row],[коэф]])))))))))))</f>
        <v>0</v>
      </c>
      <c r="AO12" s="114">
        <f>IFERROR(INDEX(база!$D$2:$D$120, MATCH(Таблица14[[#This Row],[Ф. И. О.]],база!$B$2:$B$100,0)),"")</f>
        <v>0</v>
      </c>
      <c r="AP12" s="51"/>
      <c r="AQ12" s="51"/>
      <c r="AR12" s="51"/>
      <c r="AS12" s="51"/>
    </row>
    <row r="13" spans="1:46" ht="13.5" customHeight="1">
      <c r="A13" s="192"/>
      <c r="B13" s="189"/>
      <c r="C13" s="543"/>
      <c r="D13" s="199"/>
      <c r="E13" s="226"/>
      <c r="F13" s="679"/>
      <c r="G13" s="191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113">
        <f t="shared" si="0"/>
        <v>0</v>
      </c>
      <c r="AN13" s="540">
        <f>IF(AO13&lt;=3,(IF(AND(G13="5/24",AM13&gt;2),(AM13*2*база!$M$6*Таблица14[[#This Row],[коэф]]),
IF(AND(G13="4/24",AM13&gt;2),(AM13*2*база!$M$5*Таблица14[[#This Row],[коэф]]),
IF(AND(G13="3/24",AM13&gt;2),(AM13*2*база!$M$4*Таблица14[[#This Row],[коэф]]),
IF(AND(G13="5/16",AM13&gt;2),(AM13*2*база!$L$6*Таблица14[[#This Row],[коэф]]),
IF(AND(G13="4/16",AM13&gt;2),(AM13*2*база!$L$5*Таблица14[[#This Row],[коэф]]),
IF(AND(G13="3/16",AM13&gt;2),(AM13*2*база!$L$4*Таблица14[[#This Row],[коэф]]),
IF(AND(G13="4/4",AM13&gt;2),(AM13*2*база!$I$5*Таблица14[[#This Row],[коэф]]),
IF(AND(G13="3/4",AM13&gt;2),(AM13*2*база!$I$4*Таблица14[[#This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(AM13*2*база!$L$4*Таблица14[[#This Row],[коэф]]))))))))))))),
(IF(AND(G13="5/24",AM13&gt;2),(AM13*2*база!$M$6*Таблица14[[#This Row],[коэф]]),
IF(OR(AND(G13="4/24",AM13&gt;2),AND(G13="3/24",AM13&gt;2)),(AM13*2*база!$M$5*Таблица14[[#This Row],[коэф]]),
IF(AND(G13="5/16",AM13&gt;2),(AM13*2*база!$L$6*Таблица14[[#This Row],[коэф]]),
IF(OR(AND(G13="4/16",AM13&gt;2),AND(G13="3/16",AM13&gt;2)),(AM13*2*база!$L$5*Таблица14[[#This Row],[коэф]]),
IF(OR(AND(G13="4/4",AM13&gt;2),AND(G13="3/4",AM13&gt;2)),(AM13*2*база!$I$5*Таблица14[[#This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(AM13*2*база!$L$5*Таблица14[[#This Row],[коэф]])))))))))))</f>
        <v>0</v>
      </c>
      <c r="AO13" s="114">
        <f>IFERROR(INDEX(база!$D$2:$D$120, MATCH(Таблица14[[#This Row],[Ф. И. О.]],база!$B$2:$B$100,0)),"")</f>
        <v>0</v>
      </c>
      <c r="AP13" s="51"/>
      <c r="AQ13" s="51"/>
      <c r="AR13" s="51"/>
      <c r="AS13" s="51"/>
    </row>
    <row r="14" spans="1:46" ht="13.5" customHeight="1">
      <c r="A14" s="192"/>
      <c r="B14" s="223"/>
      <c r="C14" s="543"/>
      <c r="D14" s="190"/>
      <c r="E14" s="224"/>
      <c r="F14" s="679"/>
      <c r="G14" s="225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113">
        <f t="shared" si="0"/>
        <v>0</v>
      </c>
      <c r="AN14" s="540">
        <f>IF(AO14&lt;=3,(IF(AND(G14="5/24",AM14&gt;2),(AM14*2*база!$M$6*Таблица14[[#This Row],[коэф]]),
IF(AND(G14="4/24",AM14&gt;2),(AM14*2*база!$M$5*Таблица14[[#This Row],[коэф]]),
IF(AND(G14="3/24",AM14&gt;2),(AM14*2*база!$M$4*Таблица14[[#This Row],[коэф]]),
IF(AND(G14="5/16",AM14&gt;2),(AM14*2*база!$L$6*Таблица14[[#This Row],[коэф]]),
IF(AND(G14="4/16",AM14&gt;2),(AM14*2*база!$L$5*Таблица14[[#This Row],[коэф]]),
IF(AND(G14="3/16",AM14&gt;2),(AM14*2*база!$L$4*Таблица14[[#This Row],[коэф]]),
IF(AND(G14="4/4",AM14&gt;2),(AM14*2*база!$I$5*Таблица14[[#This Row],[коэф]]),
IF(AND(G14="3/4",AM14&gt;2),(AM14*2*база!$I$4*Таблица14[[#This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(AM14*2*база!$L$4*Таблица14[[#This Row],[коэф]]))))))))))))),
(IF(AND(G14="5/24",AM14&gt;2),(AM14*2*база!$M$6*Таблица14[[#This Row],[коэф]]),
IF(OR(AND(G14="4/24",AM14&gt;2),AND(G14="3/24",AM14&gt;2)),(AM14*2*база!$M$5*Таблица14[[#This Row],[коэф]]),
IF(AND(G14="5/16",AM14&gt;2),(AM14*2*база!$L$6*Таблица14[[#This Row],[коэф]]),
IF(OR(AND(G14="4/16",AM14&gt;2),AND(G14="3/16",AM14&gt;2)),(AM14*2*база!$L$5*Таблица14[[#This Row],[коэф]]),
IF(OR(AND(G14="4/4",AM14&gt;2),AND(G14="3/4",AM14&gt;2)),(AM14*2*база!$I$5*Таблица14[[#This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(AM14*2*база!$L$5*Таблица14[[#This Row],[коэф]])))))))))))</f>
        <v>0</v>
      </c>
      <c r="AO14" s="114">
        <f>IFERROR(INDEX(база!$D$2:$D$120, MATCH(Таблица14[[#This Row],[Ф. И. О.]],база!$B$2:$B$100,0)),"")</f>
        <v>0</v>
      </c>
      <c r="AP14" s="51"/>
      <c r="AQ14" s="51"/>
      <c r="AR14" s="51"/>
      <c r="AS14" s="51"/>
    </row>
    <row r="15" spans="1:46" ht="13.5" customHeight="1">
      <c r="A15" s="192"/>
      <c r="B15" s="189"/>
      <c r="C15" s="544"/>
      <c r="D15" s="199"/>
      <c r="E15" s="226"/>
      <c r="F15" s="679"/>
      <c r="G15" s="191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200"/>
      <c r="AG15" s="200"/>
      <c r="AH15" s="200"/>
      <c r="AI15" s="200"/>
      <c r="AJ15" s="200"/>
      <c r="AK15" s="200"/>
      <c r="AL15" s="200"/>
      <c r="AM15" s="113">
        <f t="shared" si="0"/>
        <v>0</v>
      </c>
      <c r="AN15" s="540">
        <f>IF(AO15&lt;=3,(IF(AND(G15="5/24",AM15&gt;2),(AM15*2*база!$M$6*Таблица14[[#This Row],[коэф]]),
IF(AND(G15="4/24",AM15&gt;2),(AM15*2*база!$M$5*Таблица14[[#This Row],[коэф]]),
IF(AND(G15="3/24",AM15&gt;2),(AM15*2*база!$M$4*Таблица14[[#This Row],[коэф]]),
IF(AND(G15="5/16",AM15&gt;2),(AM15*2*база!$L$6*Таблица14[[#This Row],[коэф]]),
IF(AND(G15="4/16",AM15&gt;2),(AM15*2*база!$L$5*Таблица14[[#This Row],[коэф]]),
IF(AND(G15="3/16",AM15&gt;2),(AM15*2*база!$L$4*Таблица14[[#This Row],[коэф]]),
IF(AND(G15="4/4",AM15&gt;2),(AM15*2*база!$I$5*Таблица14[[#This Row],[коэф]]),
IF(AND(G15="3/4",AM15&gt;2),(AM15*2*база!$I$4*Таблица14[[#This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(AM15*2*база!$L$4*Таблица14[[#This Row],[коэф]]))))))))))))),
(IF(AND(G15="5/24",AM15&gt;2),(AM15*2*база!$M$6*Таблица14[[#This Row],[коэф]]),
IF(OR(AND(G15="4/24",AM15&gt;2),AND(G15="3/24",AM15&gt;2)),(AM15*2*база!$M$5*Таблица14[[#This Row],[коэф]]),
IF(AND(G15="5/16",AM15&gt;2),(AM15*2*база!$L$6*Таблица14[[#This Row],[коэф]]),
IF(OR(AND(G15="4/16",AM15&gt;2),AND(G15="3/16",AM15&gt;2)),(AM15*2*база!$L$5*Таблица14[[#This Row],[коэф]]),
IF(OR(AND(G15="4/4",AM15&gt;2),AND(G15="3/4",AM15&gt;2)),(AM15*2*база!$I$5*Таблица14[[#This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(AM15*2*база!$L$5*Таблица14[[#This Row],[коэф]])))))))))))</f>
        <v>0</v>
      </c>
      <c r="AO15" s="114">
        <f>IFERROR(INDEX(база!$D$2:$D$120, MATCH(Таблица14[[#This Row],[Ф. И. О.]],база!$B$2:$B$100,0)),"")</f>
        <v>0</v>
      </c>
      <c r="AP15" s="51"/>
      <c r="AQ15" s="51"/>
      <c r="AR15" s="51"/>
      <c r="AS15" s="51"/>
    </row>
    <row r="16" spans="1:46" ht="13.5" customHeight="1">
      <c r="A16" s="192"/>
      <c r="B16" s="223"/>
      <c r="C16" s="544"/>
      <c r="D16" s="199"/>
      <c r="E16" s="224"/>
      <c r="F16" s="679"/>
      <c r="G16" s="225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113">
        <f t="shared" si="0"/>
        <v>0</v>
      </c>
      <c r="AN16" s="540">
        <f>IF(AO16&lt;=3,(IF(AND(G16="5/24",AM16&gt;2),(AM16*2*база!$M$6*Таблица14[[#This Row],[коэф]]),
IF(AND(G16="4/24",AM16&gt;2),(AM16*2*база!$M$5*Таблица14[[#This Row],[коэф]]),
IF(AND(G16="3/24",AM16&gt;2),(AM16*2*база!$M$4*Таблица14[[#This Row],[коэф]]),
IF(AND(G16="5/16",AM16&gt;2),(AM16*2*база!$L$6*Таблица14[[#This Row],[коэф]]),
IF(AND(G16="4/16",AM16&gt;2),(AM16*2*база!$L$5*Таблица14[[#This Row],[коэф]]),
IF(AND(G16="3/16",AM16&gt;2),(AM16*2*база!$L$4*Таблица14[[#This Row],[коэф]]),
IF(AND(G16="4/4",AM16&gt;2),(AM16*2*база!$I$5*Таблица14[[#This Row],[коэф]]),
IF(AND(G16="3/4",AM16&gt;2),(AM16*2*база!$I$4*Таблица14[[#This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(AM16*2*база!$L$4*Таблица14[[#This Row],[коэф]]))))))))))))),
(IF(AND(G16="5/24",AM16&gt;2),(AM16*2*база!$M$6*Таблица14[[#This Row],[коэф]]),
IF(OR(AND(G16="4/24",AM16&gt;2),AND(G16="3/24",AM16&gt;2)),(AM16*2*база!$M$5*Таблица14[[#This Row],[коэф]]),
IF(AND(G16="5/16",AM16&gt;2),(AM16*2*база!$L$6*Таблица14[[#This Row],[коэф]]),
IF(OR(AND(G16="4/16",AM16&gt;2),AND(G16="3/16",AM16&gt;2)),(AM16*2*база!$L$5*Таблица14[[#This Row],[коэф]]),
IF(OR(AND(G16="4/4",AM16&gt;2),AND(G16="3/4",AM16&gt;2)),(AM16*2*база!$I$5*Таблица14[[#This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(AM16*2*база!$L$5*Таблица14[[#This Row],[коэф]])))))))))))</f>
        <v>0</v>
      </c>
      <c r="AO16" s="114">
        <f>IFERROR(INDEX(база!$D$2:$D$120, MATCH(Таблица14[[#This Row],[Ф. И. О.]],база!$B$2:$B$100,0)),"")</f>
        <v>0</v>
      </c>
      <c r="AP16" s="51"/>
      <c r="AQ16" s="51"/>
      <c r="AR16" s="51"/>
      <c r="AS16" s="51"/>
    </row>
    <row r="17" spans="1:45" ht="13.5" customHeight="1">
      <c r="A17" s="192"/>
      <c r="B17" s="189"/>
      <c r="C17" s="544"/>
      <c r="D17" s="199"/>
      <c r="E17" s="226"/>
      <c r="F17" s="679"/>
      <c r="G17" s="191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113">
        <f t="shared" si="0"/>
        <v>0</v>
      </c>
      <c r="AN17" s="540">
        <f>IF(AO17&lt;=3,(IF(AND(G17="5/24",AM17&gt;2),(AM17*2*база!$M$6*Таблица14[[#This Row],[коэф]]),
IF(AND(G17="4/24",AM17&gt;2),(AM17*2*база!$M$5*Таблица14[[#This Row],[коэф]]),
IF(AND(G17="3/24",AM17&gt;2),(AM17*2*база!$M$4*Таблица14[[#This Row],[коэф]]),
IF(AND(G17="5/16",AM17&gt;2),(AM17*2*база!$L$6*Таблица14[[#This Row],[коэф]]),
IF(AND(G17="4/16",AM17&gt;2),(AM17*2*база!$L$5*Таблица14[[#This Row],[коэф]]),
IF(AND(G17="3/16",AM17&gt;2),(AM17*2*база!$L$4*Таблица14[[#This Row],[коэф]]),
IF(AND(G17="4/4",AM17&gt;2),(AM17*2*база!$I$5*Таблица14[[#This Row],[коэф]]),
IF(AND(OR(G17="3/4",G17="2/4"),AM17&gt;2),(AM17*2*база!$I$4*Таблица14[[#This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(AM17*2*база!$L$4*Таблица14[[#This Row],[коэф]]))))))))))))),
(IF(AND(G17="5/24",AM17&gt;2),(AM17*2*база!$M$6*Таблица14[[#This Row],[коэф]]),
IF(OR(AND(G17="4/24",AM17&gt;2),AND(G17="3/24",AM17&gt;2)),(AM17*2*база!$M$5*Таблица14[[#This Row],[коэф]]),
IF(AND(G17="5/16",AM17&gt;2),(AM17*2*база!$L$6*Таблица14[[#This Row],[коэф]]),
IF(OR(AND(G17="4/16",AM17&gt;2),AND(G17="3/16",AM17&gt;2)),(AM17*2*база!$L$5*Таблица14[[#This Row],[коэф]]),
IF(OR(AND(G17="4/4",AM17&gt;2),AND(G17="3/4",AM17&gt;2)),(AM17*2*база!$I$5*Таблица14[[#This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(AM17*2*база!$L$5*Таблица14[[#This Row],[коэф]])))))))))))</f>
        <v>0</v>
      </c>
      <c r="AO17" s="114">
        <f>IFERROR(INDEX(база!$D$2:$D$120, MATCH(Таблица14[[#This Row],[Ф. И. О.]],база!$B$2:$B$100,0)),"")</f>
        <v>0</v>
      </c>
      <c r="AP17" s="51"/>
      <c r="AQ17" s="51"/>
      <c r="AR17" s="51"/>
      <c r="AS17" s="51"/>
    </row>
    <row r="18" spans="1:45" ht="13.5" customHeight="1">
      <c r="A18" s="192"/>
      <c r="B18" s="223"/>
      <c r="C18" s="544"/>
      <c r="D18" s="199"/>
      <c r="E18" s="224"/>
      <c r="F18" s="679"/>
      <c r="G18" s="225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113">
        <f t="shared" si="0"/>
        <v>0</v>
      </c>
      <c r="AN18" s="540">
        <f>IF(AO18&lt;=3,(IF(AND(G18="5/24",AM18&gt;2),(AM18*2*база!$M$6*Таблица14[[#This Row],[коэф]]),
IF(AND(G18="4/24",AM18&gt;2),(AM18*2*база!$M$5*Таблица14[[#This Row],[коэф]]),
IF(AND(G18="3/24",AM18&gt;2),(AM18*2*база!$M$4*Таблица14[[#This Row],[коэф]]),
IF(AND(G18="5/16",AM18&gt;2),(AM18*2*база!$L$6*Таблица14[[#This Row],[коэф]]),
IF(AND(G18="4/16",AM18&gt;2),(AM18*2*база!$L$5*Таблица14[[#This Row],[коэф]]),
IF(AND(G18="3/16",AM18&gt;2),(AM18*2*база!$L$4*Таблица14[[#This Row],[коэф]]),
IF(AND(G18="4/4",AM18&gt;2),(AM18*2*база!$I$5*Таблица14[[#This Row],[коэф]]),
IF(AND(G18="3/4",AM18&gt;2),(AM18*2*база!$I$4*Таблица14[[#This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(AM18*2*база!$L$4*Таблица14[[#This Row],[коэф]]))))))))))))),
(IF(AND(G18="5/24",AM18&gt;2),(AM18*2*база!$M$6*Таблица14[[#This Row],[коэф]]),
IF(OR(AND(G18="4/24",AM18&gt;2),AND(G18="3/24",AM18&gt;2)),(AM18*2*база!$M$5*Таблица14[[#This Row],[коэф]]),
IF(AND(G18="5/16",AM18&gt;2),(AM18*2*база!$L$6*Таблица14[[#This Row],[коэф]]),
IF(OR(AND(G18="4/16",AM18&gt;2),AND(G18="3/16",AM18&gt;2)),(AM18*2*база!$L$5*Таблица14[[#This Row],[коэф]]),
IF(OR(AND(G18="4/4",AM18&gt;2),AND(G18="3/4",AM18&gt;2)),(AM18*2*база!$I$5*Таблица14[[#This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(AM18*2*база!$L$5*Таблица14[[#This Row],[коэф]])))))))))))</f>
        <v>0</v>
      </c>
      <c r="AO18" s="114">
        <f>IFERROR(INDEX(база!$D$2:$D$120, MATCH(Таблица14[[#This Row],[Ф. И. О.]],база!$B$2:$B$100,0)),"")</f>
        <v>0</v>
      </c>
      <c r="AP18" s="51"/>
      <c r="AQ18" s="51"/>
      <c r="AR18" s="51"/>
      <c r="AS18" s="51"/>
    </row>
    <row r="19" spans="1:45" ht="13.5" customHeight="1">
      <c r="A19" s="192"/>
      <c r="B19" s="189"/>
      <c r="C19" s="544"/>
      <c r="D19" s="190"/>
      <c r="E19" s="226"/>
      <c r="F19" s="679"/>
      <c r="G19" s="191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113">
        <f t="shared" si="0"/>
        <v>0</v>
      </c>
      <c r="AN19" s="540">
        <f>IF(AO19&lt;=3,(IF(AND(G19="5/24",AM19&gt;2),(AM19*2*база!$M$6*Таблица14[[#This Row],[коэф]]),
IF(AND(G19="4/24",AM19&gt;2),(AM19*2*база!$M$5*Таблица14[[#This Row],[коэф]]),
IF(AND(G19="3/24",AM19&gt;2),(AM19*2*база!$M$4*Таблица14[[#This Row],[коэф]]),
IF(AND(G19="5/16",AM19&gt;2),(AM19*2*база!$L$6*Таблица14[[#This Row],[коэф]]),
IF(AND(G19="4/16",AM19&gt;2),(AM19*2*база!$L$5*Таблица14[[#This Row],[коэф]]),
IF(AND(G19="3/16",AM19&gt;2),(AM19*2*база!$L$4*Таблица14[[#This Row],[коэф]]),
IF(AND(G19="4/4",AM19&gt;2),(AM19*2*база!$I$5*Таблица14[[#This Row],[коэф]]),
IF(AND(G19="3/4",AM19&gt;2),(AM19*2*база!$I$4*Таблица14[[#This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(AM19*2*база!$L$4*Таблица14[[#This Row],[коэф]]))))))))))))),
(IF(AND(G19="5/24",AM19&gt;2),(AM19*2*база!$M$6*Таблица14[[#This Row],[коэф]]),
IF(OR(AND(G19="4/24",AM19&gt;2),AND(G19="3/24",AM19&gt;2)),(AM19*2*база!$M$5*Таблица14[[#This Row],[коэф]]),
IF(AND(G19="5/16",AM19&gt;2),(AM19*2*база!$L$6*Таблица14[[#This Row],[коэф]]),
IF(OR(AND(G19="4/16",AM19&gt;2),AND(G19="3/16",AM19&gt;2)),(AM19*2*база!$L$5*Таблица14[[#This Row],[коэф]]),
IF(OR(AND(G19="4/4",AM19&gt;2),AND(G19="3/4",AM19&gt;2)),(AM19*2*база!$I$5*Таблица14[[#This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(AM19*2*база!$L$5*Таблица14[[#This Row],[коэф]])))))))))))</f>
        <v>0</v>
      </c>
      <c r="AO19" s="114">
        <f>IFERROR(INDEX(база!$D$2:$D$120, MATCH(Таблица14[[#This Row],[Ф. И. О.]],база!$B$2:$B$100,0)),"")</f>
        <v>0</v>
      </c>
      <c r="AP19" s="51"/>
      <c r="AQ19" s="51"/>
      <c r="AR19" s="51"/>
      <c r="AS19" s="51"/>
    </row>
    <row r="20" spans="1:45" ht="13.5" customHeight="1">
      <c r="A20" s="192"/>
      <c r="B20" s="223"/>
      <c r="C20" s="544"/>
      <c r="D20" s="199"/>
      <c r="E20" s="224"/>
      <c r="F20" s="679"/>
      <c r="G20" s="225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113">
        <f t="shared" si="0"/>
        <v>0</v>
      </c>
      <c r="AN20" s="540">
        <f>IF(AO20&lt;=3,(IF(AND(G20="5/24",AM20&gt;2),(AM20*2*база!$M$6*Таблица14[[#This Row],[коэф]]),
IF(AND(G20="4/24",AM20&gt;2),(AM20*2*база!$M$5*Таблица14[[#This Row],[коэф]]),
IF(AND(G20="3/24",AM20&gt;2),(AM20*2*база!$M$4*Таблица14[[#This Row],[коэф]]),
IF(AND(G20="5/16",AM20&gt;2),(AM20*2*база!$L$6*Таблица14[[#This Row],[коэф]]),
IF(AND(G20="4/16",AM20&gt;2),(AM20*2*база!$L$5*Таблица14[[#This Row],[коэф]]),
IF(AND(G20="3/16",AM20&gt;2),(AM20*2*база!$L$4*Таблица14[[#This Row],[коэф]]),
IF(AND(G20="4/4",AM20&gt;2),(AM20*2*база!$I$5*Таблица14[[#This Row],[коэф]]),
IF(AND(G20="3/4",AM20&gt;2),(AM20*2*база!$I$4*Таблица14[[#This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(AM20*2*база!$L$4*Таблица14[[#This Row],[коэф]]))))))))))))),
(IF(AND(G20="5/24",AM20&gt;2),(AM20*2*база!$M$6*Таблица14[[#This Row],[коэф]]),
IF(OR(AND(G20="4/24",AM20&gt;2),AND(G20="3/24",AM20&gt;2)),(AM20*2*база!$M$5*Таблица14[[#This Row],[коэф]]),
IF(AND(G20="5/16",AM20&gt;2),(AM20*2*база!$L$6*Таблица14[[#This Row],[коэф]]),
IF(OR(AND(G20="4/16",AM20&gt;2),AND(G20="3/16",AM20&gt;2)),(AM20*2*база!$L$5*Таблица14[[#This Row],[коэф]]),
IF(OR(AND(G20="4/4",AM20&gt;2),AND(G20="3/4",AM20&gt;2)),(AM20*2*база!$I$5*Таблица14[[#This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(AM20*2*база!$L$5*Таблица14[[#This Row],[коэф]])))))))))))</f>
        <v>0</v>
      </c>
      <c r="AO20" s="114">
        <f>IFERROR(INDEX(база!$D$2:$D$120, MATCH(Таблица14[[#This Row],[Ф. И. О.]],база!$B$2:$B$100,0)),"")</f>
        <v>0</v>
      </c>
      <c r="AP20" s="51"/>
      <c r="AQ20" s="51"/>
      <c r="AR20" s="51"/>
      <c r="AS20" s="51"/>
    </row>
    <row r="21" spans="1:45" ht="13.5" customHeight="1">
      <c r="A21" s="192"/>
      <c r="B21" s="189"/>
      <c r="C21" s="544"/>
      <c r="D21" s="199"/>
      <c r="E21" s="226"/>
      <c r="F21" s="679"/>
      <c r="G21" s="191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113">
        <f t="shared" si="0"/>
        <v>0</v>
      </c>
      <c r="AN21" s="540">
        <f>IF(AO21&lt;=3,(IF(AND(G21="5/24",AM21&gt;2),(AM21*2*база!$M$6*Таблица14[[#This Row],[коэф]]),
IF(AND(G21="4/24",AM21&gt;2),(AM21*2*база!$M$5*Таблица14[[#This Row],[коэф]]),
IF(AND(G21="3/24",AM21&gt;2),(AM21*2*база!$M$4*Таблица14[[#This Row],[коэф]]),
IF(AND(G21="5/16",AM21&gt;2),(AM21*2*база!$L$6*Таблица14[[#This Row],[коэф]]),
IF(AND(G21="4/16",AM21&gt;2),(AM21*2*база!$L$5*Таблица14[[#This Row],[коэф]]),
IF(AND(G21="3/16",AM21&gt;2),(AM21*2*база!$L$4*Таблица14[[#This Row],[коэф]]),
IF(AND(G21="4/4",AM21&gt;2),(AM21*2*база!$I$5*Таблица14[[#This Row],[коэф]]),
IF(AND(G21="3/4",AM21&gt;2),(AM21*2*база!$I$4*Таблица14[[#This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(AM21*2*база!$L$4*Таблица14[[#This Row],[коэф]]))))))))))))),
(IF(AND(G21="5/24",AM21&gt;2),(AM21*2*база!$M$6*Таблица14[[#This Row],[коэф]]),
IF(OR(AND(G21="4/24",AM21&gt;2),AND(G21="3/24",AM21&gt;2)),(AM21*2*база!$M$5*Таблица14[[#This Row],[коэф]]),
IF(AND(G21="5/16",AM21&gt;2),(AM21*2*база!$L$6*Таблица14[[#This Row],[коэф]]),
IF(OR(AND(G21="4/16",AM21&gt;2),AND(G21="3/16",AM21&gt;2)),(AM21*2*база!$L$5*Таблица14[[#This Row],[коэф]]),
IF(OR(AND(G21="4/4",AM21&gt;2),AND(G21="3/4",AM21&gt;2)),(AM21*2*база!$I$5*Таблица14[[#This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(AM21*2*база!$L$5*Таблица14[[#This Row],[коэф]])))))))))))</f>
        <v>0</v>
      </c>
      <c r="AO21" s="114">
        <f>IFERROR(INDEX(база!$D$2:$D$120, MATCH(Таблица14[[#This Row],[Ф. И. О.]],база!$B$2:$B$100,0)),"")</f>
        <v>0</v>
      </c>
      <c r="AP21" s="51"/>
      <c r="AQ21" s="51"/>
      <c r="AR21" s="51"/>
      <c r="AS21" s="51"/>
    </row>
    <row r="22" spans="1:45" ht="13.5" customHeight="1">
      <c r="A22" s="192"/>
      <c r="B22" s="223"/>
      <c r="C22" s="544"/>
      <c r="D22" s="190"/>
      <c r="E22" s="224"/>
      <c r="F22" s="679"/>
      <c r="G22" s="225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113">
        <f t="shared" si="0"/>
        <v>0</v>
      </c>
      <c r="AN22" s="540">
        <f>IF(AO22&lt;=3,(IF(AND(G22="5/24",AM22&gt;2),(AM22*2*база!$M$6*Таблица14[[#This Row],[коэф]]),
IF(AND(G22="4/24",AM22&gt;2),(AM22*2*база!$M$5*Таблица14[[#This Row],[коэф]]),
IF(AND(G22="3/24",AM22&gt;2),(AM22*2*база!$M$4*Таблица14[[#This Row],[коэф]]),
IF(AND(G22="5/16",AM22&gt;2),(AM22*2*база!$L$6*Таблица14[[#This Row],[коэф]]),
IF(AND(G22="4/16",AM22&gt;2),(AM22*2*база!$L$5*Таблица14[[#This Row],[коэф]]),
IF(AND(G22="3/16",AM22&gt;2),(AM22*2*база!$L$4*Таблица14[[#This Row],[коэф]]),
IF(AND(G22="4/4",AM22&gt;2),(AM22*2*база!$I$5*Таблица14[[#This Row],[коэф]]),
IF(AND(G22="3/4",AM22&gt;2),(AM22*2*база!$I$4*Таблица14[[#This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(AM22*2*база!$L$4*Таблица14[[#This Row],[коэф]]))))))))))))),
(IF(AND(G22="5/24",AM22&gt;2),(AM22*2*база!$M$6*Таблица14[[#This Row],[коэф]]),
IF(OR(AND(G22="4/24",AM22&gt;2),AND(G22="3/24",AM22&gt;2)),(AM22*2*база!$M$5*Таблица14[[#This Row],[коэф]]),
IF(AND(G22="5/16",AM22&gt;2),(AM22*2*база!$L$6*Таблица14[[#This Row],[коэф]]),
IF(OR(AND(G22="4/16",AM22&gt;2),AND(G22="3/16",AM22&gt;2)),(AM22*2*база!$L$5*Таблица14[[#This Row],[коэф]]),
IF(OR(AND(G22="4/4",AM22&gt;2),AND(G22="3/4",AM22&gt;2)),(AM22*2*база!$I$5*Таблица14[[#This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(AM22*2*база!$L$5*Таблица14[[#This Row],[коэф]])))))))))))</f>
        <v>0</v>
      </c>
      <c r="AO22" s="114">
        <f>IFERROR(INDEX(база!$D$2:$D$120, MATCH(Таблица14[[#This Row],[Ф. И. О.]],база!$B$2:$B$100,0)),"")</f>
        <v>0</v>
      </c>
      <c r="AP22" s="51"/>
      <c r="AQ22" s="51"/>
      <c r="AR22" s="51"/>
      <c r="AS22" s="51"/>
    </row>
    <row r="23" spans="1:45" ht="13.5" customHeight="1">
      <c r="A23" s="192"/>
      <c r="B23" s="189"/>
      <c r="C23" s="544"/>
      <c r="D23" s="190"/>
      <c r="E23" s="226"/>
      <c r="F23" s="679"/>
      <c r="G23" s="191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113">
        <f t="shared" si="0"/>
        <v>0</v>
      </c>
      <c r="AN23" s="540">
        <f>IF(AO23&lt;=3,(IF(AND(G23="5/24",AM23&gt;2),(AM23*2*база!$M$6*Таблица14[[#This Row],[коэф]]),
IF(AND(G23="4/24",AM23&gt;2),(AM23*2*база!$M$5*Таблица14[[#This Row],[коэф]]),
IF(AND(G23="3/24",AM23&gt;2),(AM23*2*база!$M$4*Таблица14[[#This Row],[коэф]]),
IF(AND(G23="5/16",AM23&gt;2),(AM23*2*база!$L$6*Таблица14[[#This Row],[коэф]]),
IF(AND(G23="4/16",AM23&gt;2),(AM23*2*база!$L$5*Таблица14[[#This Row],[коэф]]),
IF(AND(G23="3/16",AM23&gt;2),(AM23*2*база!$L$4*Таблица14[[#This Row],[коэф]]),
IF(AND(G23="4/4",AM23&gt;2),(AM23*2*база!$I$5*Таблица14[[#This Row],[коэф]]),
IF(AND(G23="3/4",AM23&gt;2),(AM23*2*база!$I$4*Таблица14[[#This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(AM23*2*база!$L$4*Таблица14[[#This Row],[коэф]]))))))))))))),
(IF(AND(G23="5/24",AM23&gt;2),(AM23*2*база!$M$6*Таблица14[[#This Row],[коэф]]),
IF(OR(AND(G23="4/24",AM23&gt;2),AND(G23="3/24",AM23&gt;2)),(AM23*2*база!$M$5*Таблица14[[#This Row],[коэф]]),
IF(AND(G23="5/16",AM23&gt;2),(AM23*2*база!$L$6*Таблица14[[#This Row],[коэф]]),
IF(OR(AND(G23="4/16",AM23&gt;2),AND(G23="3/16",AM23&gt;2)),(AM23*2*база!$L$5*Таблица14[[#This Row],[коэф]]),
IF(OR(AND(G23="4/4",AM23&gt;2),AND(G23="3/4",AM23&gt;2)),(AM23*2*база!$I$5*Таблица14[[#This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(AM23*2*база!$L$5*Таблица14[[#This Row],[коэф]])))))))))))</f>
        <v>0</v>
      </c>
      <c r="AO23" s="114">
        <f>IFERROR(INDEX(база!$D$2:$D$120, MATCH(Таблица14[[#This Row],[Ф. И. О.]],база!$B$2:$B$100,0)),"")</f>
        <v>0</v>
      </c>
      <c r="AP23" s="51"/>
      <c r="AQ23" s="51"/>
      <c r="AR23" s="51"/>
      <c r="AS23" s="51"/>
    </row>
    <row r="24" spans="1:45" ht="13.5" customHeight="1">
      <c r="A24" s="192"/>
      <c r="B24" s="223"/>
      <c r="C24" s="544"/>
      <c r="D24" s="199"/>
      <c r="E24" s="224"/>
      <c r="F24" s="679"/>
      <c r="G24" s="225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113">
        <f t="shared" si="0"/>
        <v>0</v>
      </c>
      <c r="AN24" s="540">
        <f>IF(AO24&lt;=3,(IF(AND(G24="5/24",AM24&gt;2),(AM24*2*база!$M$6*Таблица14[[#This Row],[коэф]]),
IF(AND(G24="4/24",AM24&gt;2),(AM24*2*база!$M$5*Таблица14[[#This Row],[коэф]]),
IF(AND(G24="3/24",AM24&gt;2),(AM24*2*база!$M$4*Таблица14[[#This Row],[коэф]]),
IF(AND(G24="5/16",AM24&gt;2),(AM24*2*база!$L$6*Таблица14[[#This Row],[коэф]]),
IF(AND(G24="4/16",AM24&gt;2),(AM24*2*база!$L$5*Таблица14[[#This Row],[коэф]]),
IF(AND(G24="3/16",AM24&gt;2),(AM24*2*база!$L$4*Таблица14[[#This Row],[коэф]]),
IF(AND(G24="4/4",AM24&gt;2),(AM24*2*база!$I$5*Таблица14[[#This Row],[коэф]]),
IF(AND(G24="3/4",AM24&gt;2),(AM24*2*база!$I$4*Таблица14[[#This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(AM24*2*база!$L$4*Таблица14[[#This Row],[коэф]]))))))))))))),
(IF(AND(G24="5/24",AM24&gt;2),(AM24*2*база!$M$6*Таблица14[[#This Row],[коэф]]),
IF(OR(AND(G24="4/24",AM24&gt;2),AND(G24="3/24",AM24&gt;2)),(AM24*2*база!$M$5*Таблица14[[#This Row],[коэф]]),
IF(AND(G24="5/16",AM24&gt;2),(AM24*2*база!$L$6*Таблица14[[#This Row],[коэф]]),
IF(OR(AND(G24="4/16",AM24&gt;2),AND(G24="3/16",AM24&gt;2)),(AM24*2*база!$L$5*Таблица14[[#This Row],[коэф]]),
IF(OR(AND(G24="4/4",AM24&gt;2),AND(G24="3/4",AM24&gt;2)),(AM24*2*база!$I$5*Таблица14[[#This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(AM24*2*база!$L$5*Таблица14[[#This Row],[коэф]])))))))))))</f>
        <v>0</v>
      </c>
      <c r="AO24" s="114">
        <f>IFERROR(INDEX(база!$D$2:$D$120, MATCH(Таблица14[[#This Row],[Ф. И. О.]],база!$B$2:$B$100,0)),"")</f>
        <v>0</v>
      </c>
      <c r="AP24" s="51"/>
      <c r="AQ24" s="51"/>
      <c r="AR24" s="51"/>
      <c r="AS24" s="51"/>
    </row>
    <row r="25" spans="1:45" ht="13.5" customHeight="1">
      <c r="A25" s="192"/>
      <c r="B25" s="189"/>
      <c r="C25" s="544"/>
      <c r="D25" s="199"/>
      <c r="E25" s="226"/>
      <c r="F25" s="679"/>
      <c r="G25" s="191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113">
        <f t="shared" si="0"/>
        <v>0</v>
      </c>
      <c r="AN25" s="540">
        <f>IF(AO25&lt;=3,(IF(AND(G25="5/24",AM25&gt;2),(AM25*2*база!$M$6*Таблица14[[#This Row],[коэф]]),
IF(AND(G25="4/24",AM25&gt;2),(AM25*2*база!$M$5*Таблица14[[#This Row],[коэф]]),
IF(AND(G25="3/24",AM25&gt;2),(AM25*2*база!$M$4*Таблица14[[#This Row],[коэф]]),
IF(AND(G25="5/16",AM25&gt;2),(AM25*2*база!$L$6*Таблица14[[#This Row],[коэф]]),
IF(AND(G25="4/16",AM25&gt;2),(AM25*2*база!$L$5*Таблица14[[#This Row],[коэф]]),
IF(AND(G25="3/16",AM25&gt;2),(AM25*2*база!$L$4*Таблица14[[#This Row],[коэф]]),
IF(AND(G25="4/4",AM25&gt;2),(AM25*2*база!$I$5*Таблица14[[#This Row],[коэф]]),
IF(AND(G25="3/4",AM25&gt;2),(AM25*2*база!$I$4*Таблица14[[#This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(AM25*2*база!$L$4*Таблица14[[#This Row],[коэф]]))))))))))))),
(IF(AND(G25="5/24",AM25&gt;2),(AM25*2*база!$M$6*Таблица14[[#This Row],[коэф]]),
IF(OR(AND(G25="4/24",AM25&gt;2),AND(G25="3/24",AM25&gt;2)),(AM25*2*база!$M$5*Таблица14[[#This Row],[коэф]]),
IF(AND(G25="5/16",AM25&gt;2),(AM25*2*база!$L$6*Таблица14[[#This Row],[коэф]]),
IF(OR(AND(G25="4/16",AM25&gt;2),AND(G25="3/16",AM25&gt;2)),(AM25*2*база!$L$5*Таблица14[[#This Row],[коэф]]),
IF(OR(AND(G25="4/4",AM25&gt;2),AND(G25="3/4",AM25&gt;2)),(AM25*2*база!$I$5*Таблица14[[#This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(AM25*2*база!$L$5*Таблица14[[#This Row],[коэф]])))))))))))</f>
        <v>0</v>
      </c>
      <c r="AO25" s="114">
        <f>IFERROR(INDEX(база!$D$2:$D$120, MATCH(Таблица14[[#This Row],[Ф. И. О.]],база!$B$2:$B$100,0)),"")</f>
        <v>0</v>
      </c>
      <c r="AP25" s="51"/>
      <c r="AQ25" s="51"/>
      <c r="AR25" s="51"/>
      <c r="AS25" s="51"/>
    </row>
    <row r="26" spans="1:45" ht="13.5" customHeight="1">
      <c r="A26" s="192"/>
      <c r="B26" s="223"/>
      <c r="C26" s="544"/>
      <c r="D26" s="199"/>
      <c r="E26" s="224"/>
      <c r="F26" s="679"/>
      <c r="G26" s="225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113">
        <f t="shared" si="0"/>
        <v>0</v>
      </c>
      <c r="AN26" s="540">
        <f>IF(AO26&lt;=3,(IF(AND(G26="5/24",AM26&gt;2),(AM26*2*база!$M$6*Таблица14[[#This Row],[коэф]]),
IF(AND(G26="4/24",AM26&gt;2),(AM26*2*база!$M$5*Таблица14[[#This Row],[коэф]]),
IF(AND(G26="3/24",AM26&gt;2),(AM26*2*база!$M$4*Таблица14[[#This Row],[коэф]]),
IF(AND(G26="5/16",AM26&gt;2),(AM26*2*база!$L$6*Таблица14[[#This Row],[коэф]]),
IF(AND(G26="4/16",AM26&gt;2),(AM26*2*база!$L$5*Таблица14[[#This Row],[коэф]]),
IF(AND(G26="3/16",AM26&gt;2),(AM26*2*база!$L$4*Таблица14[[#This Row],[коэф]]),
IF(AND(G26="4/4",AM26&gt;2),(AM26*2*база!$I$5*Таблица14[[#This Row],[коэф]]),
IF(AND(G26="3/4",AM26&gt;2),(AM26*2*база!$I$4*Таблица14[[#This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(AM26*2*база!$L$4*Таблица14[[#This Row],[коэф]]))))))))))))),
(IF(AND(G26="5/24",AM26&gt;2),(AM26*2*база!$M$6*Таблица14[[#This Row],[коэф]]),
IF(OR(AND(G26="4/24",AM26&gt;2),AND(G26="3/24",AM26&gt;2)),(AM26*2*база!$M$5*Таблица14[[#This Row],[коэф]]),
IF(AND(G26="5/16",AM26&gt;2),(AM26*2*база!$L$6*Таблица14[[#This Row],[коэф]]),
IF(OR(AND(G26="4/16",AM26&gt;2),AND(G26="3/16",AM26&gt;2)),(AM26*2*база!$L$5*Таблица14[[#This Row],[коэф]]),
IF(OR(AND(G26="4/4",AM26&gt;2),AND(G26="3/4",AM26&gt;2)),(AM26*2*база!$I$5*Таблица14[[#This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(AM26*2*база!$L$5*Таблица14[[#This Row],[коэф]])))))))))))</f>
        <v>0</v>
      </c>
      <c r="AO26" s="114">
        <f>IFERROR(INDEX(база!$D$2:$D$120, MATCH(Таблица14[[#This Row],[Ф. И. О.]],база!$B$2:$B$100,0)),"")</f>
        <v>0</v>
      </c>
      <c r="AP26" s="51"/>
      <c r="AQ26" s="51"/>
      <c r="AR26" s="51"/>
      <c r="AS26" s="51"/>
    </row>
    <row r="27" spans="1:45" ht="13.5" customHeight="1">
      <c r="A27" s="192"/>
      <c r="B27" s="189"/>
      <c r="C27" s="544"/>
      <c r="D27" s="190"/>
      <c r="E27" s="226"/>
      <c r="F27" s="679"/>
      <c r="G27" s="191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113">
        <f t="shared" si="0"/>
        <v>0</v>
      </c>
      <c r="AN27" s="540">
        <f>IF(AO27&lt;=3,(IF(AND(G27="5/24",AM27&gt;2),(AM27*2*база!$M$6*Таблица14[[#This Row],[коэф]]),
IF(AND(G27="4/24",AM27&gt;2),(AM27*2*база!$M$5*Таблица14[[#This Row],[коэф]]),
IF(AND(G27="3/24",AM27&gt;2),(AM27*2*база!$M$4*Таблица14[[#This Row],[коэф]]),
IF(AND(G27="5/16",AM27&gt;2),(AM27*2*база!$L$6*Таблица14[[#This Row],[коэф]]),
IF(AND(G27="4/16",AM27&gt;2),(AM27*2*база!$L$5*Таблица14[[#This Row],[коэф]]),
IF(AND(G27="3/16",AM27&gt;2),(AM27*2*база!$L$4*Таблица14[[#This Row],[коэф]]),
IF(AND(G27="4/4",AM27&gt;2),(AM27*2*база!$I$5*Таблица14[[#This Row],[коэф]]),
IF(AND(G27="3/4",AM27&gt;2),(AM27*2*база!$I$4*Таблица14[[#This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(AM27*2*база!$L$4*Таблица14[[#This Row],[коэф]]))))))))))))),
(IF(AND(G27="5/24",AM27&gt;2),(AM27*2*база!$M$6*Таблица14[[#This Row],[коэф]]),
IF(OR(AND(G27="4/24",AM27&gt;2),AND(G27="3/24",AM27&gt;2)),(AM27*2*база!$M$5*Таблица14[[#This Row],[коэф]]),
IF(AND(G27="5/16",AM27&gt;2),(AM27*2*база!$L$6*Таблица14[[#This Row],[коэф]]),
IF(OR(AND(G27="4/16",AM27&gt;2),AND(G27="3/16",AM27&gt;2)),(AM27*2*база!$L$5*Таблица14[[#This Row],[коэф]]),
IF(OR(AND(G27="4/4",AM27&gt;2),AND(G27="3/4",AM27&gt;2)),(AM27*2*база!$I$5*Таблица14[[#This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(AM27*2*база!$L$5*Таблица14[[#This Row],[коэф]])))))))))))</f>
        <v>0</v>
      </c>
      <c r="AO27" s="114">
        <f>IFERROR(INDEX(база!$D$2:$D$120, MATCH(Таблица14[[#This Row],[Ф. И. О.]],база!$B$2:$B$100,0)),"")</f>
        <v>0</v>
      </c>
      <c r="AP27" s="51"/>
      <c r="AQ27" s="51"/>
      <c r="AR27" s="51"/>
      <c r="AS27" s="51"/>
    </row>
    <row r="28" spans="1:45" ht="13.5" customHeight="1">
      <c r="A28" s="192"/>
      <c r="B28" s="223"/>
      <c r="C28" s="544"/>
      <c r="D28" s="190"/>
      <c r="E28" s="224"/>
      <c r="F28" s="679"/>
      <c r="G28" s="225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113">
        <f t="shared" si="0"/>
        <v>0</v>
      </c>
      <c r="AN28" s="540">
        <f>IF(AO28&lt;=3,(IF(AND(G28="5/24",AM28&gt;2),(AM28*2*база!$M$6*Таблица14[[#This Row],[коэф]]),
IF(AND(G28="4/24",AM28&gt;2),(AM28*2*база!$M$5*Таблица14[[#This Row],[коэф]]),
IF(AND(G28="3/24",AM28&gt;2),(AM28*2*база!$M$4*Таблица14[[#This Row],[коэф]]),
IF(AND(G28="5/16",AM28&gt;2),(AM28*2*база!$L$6*Таблица14[[#This Row],[коэф]]),
IF(AND(G28="4/16",AM28&gt;2),(AM28*2*база!$L$5*Таблица14[[#This Row],[коэф]]),
IF(AND(G28="3/16",AM28&gt;2),(AM28*2*база!$L$4*Таблица14[[#This Row],[коэф]]),
IF(AND(G28="4/4",AM28&gt;2),(AM28*2*база!$I$5*Таблица14[[#This Row],[коэф]]),
IF(AND(G28="3/4",AM28&gt;2),(AM28*2*база!$I$4*Таблица14[[#This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(AM28*2*база!$L$4*Таблица14[[#This Row],[коэф]]))))))))))))),
(IF(AND(G28="5/24",AM28&gt;2),(AM28*2*база!$M$6*Таблица14[[#This Row],[коэф]]),
IF(OR(AND(G28="4/24",AM28&gt;2),AND(G28="3/24",AM28&gt;2)),(AM28*2*база!$M$5*Таблица14[[#This Row],[коэф]]),
IF(AND(G28="5/16",AM28&gt;2),(AM28*2*база!$L$6*Таблица14[[#This Row],[коэф]]),
IF(OR(AND(G28="4/16",AM28&gt;2),AND(G28="3/16",AM28&gt;2)),(AM28*2*база!$L$5*Таблица14[[#This Row],[коэф]]),
IF(OR(AND(G28="4/4",AM28&gt;2),AND(G28="3/4",AM28&gt;2)),(AM28*2*база!$I$5*Таблица14[[#This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(AM28*2*база!$L$5*Таблица14[[#This Row],[коэф]])))))))))))</f>
        <v>0</v>
      </c>
      <c r="AO28" s="114">
        <f>IFERROR(INDEX(база!$D$2:$D$120, MATCH(Таблица14[[#This Row],[Ф. И. О.]],база!$B$2:$B$100,0)),"")</f>
        <v>0</v>
      </c>
      <c r="AP28" s="51"/>
      <c r="AQ28" s="51"/>
      <c r="AR28" s="51"/>
      <c r="AS28" s="51"/>
    </row>
    <row r="29" spans="1:45" ht="13.5" customHeight="1">
      <c r="A29" s="192"/>
      <c r="B29" s="189"/>
      <c r="C29" s="544"/>
      <c r="D29" s="199"/>
      <c r="E29" s="226"/>
      <c r="F29" s="679"/>
      <c r="G29" s="191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113">
        <f t="shared" si="0"/>
        <v>0</v>
      </c>
      <c r="AN29" s="540">
        <f>IF(AO29&lt;=3,(IF(AND(G29="5/24",AM29&gt;2),(AM29*2*база!$M$6*Таблица14[[#This Row],[коэф]]),
IF(AND(G29="4/24",AM29&gt;2),(AM29*2*база!$M$5*Таблица14[[#This Row],[коэф]]),
IF(AND(G29="3/24",AM29&gt;2),(AM29*2*база!$M$4*Таблица14[[#This Row],[коэф]]),
IF(AND(G29="5/16",AM29&gt;2),(AM29*2*база!$L$6*Таблица14[[#This Row],[коэф]]),
IF(AND(G29="4/16",AM29&gt;2),(AM29*2*база!$L$5*Таблица14[[#This Row],[коэф]]),
IF(AND(G29="3/16",AM29&gt;2),(AM29*2*база!$L$4*Таблица14[[#This Row],[коэф]]),
IF(AND(G29="4/4",AM29&gt;2),(AM29*2*база!$I$5*Таблица14[[#This Row],[коэф]]),
IF(AND(G29="3/4",AM29&gt;2),(AM29*2*база!$I$4*Таблица14[[#This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(AM29*2*база!$L$4*Таблица14[[#This Row],[коэф]]))))))))))))),
(IF(AND(G29="5/24",AM29&gt;2),(AM29*2*база!$M$6*Таблица14[[#This Row],[коэф]]),
IF(OR(AND(G29="4/24",AM29&gt;2),AND(G29="3/24",AM29&gt;2)),(AM29*2*база!$M$5*Таблица14[[#This Row],[коэф]]),
IF(AND(G29="5/16",AM29&gt;2),(AM29*2*база!$L$6*Таблица14[[#This Row],[коэф]]),
IF(OR(AND(G29="4/16",AM29&gt;2),AND(G29="3/16",AM29&gt;2)),(AM29*2*база!$L$5*Таблица14[[#This Row],[коэф]]),
IF(OR(AND(G29="4/4",AM29&gt;2),AND(G29="3/4",AM29&gt;2)),(AM29*2*база!$I$5*Таблица14[[#This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(AM29*2*база!$L$5*Таблица14[[#This Row],[коэф]])))))))))))</f>
        <v>0</v>
      </c>
      <c r="AO29" s="114">
        <f>IFERROR(INDEX(база!$D$2:$D$120, MATCH(Таблица14[[#This Row],[Ф. И. О.]],база!$B$2:$B$100,0)),"")</f>
        <v>0</v>
      </c>
      <c r="AP29" s="51"/>
      <c r="AQ29" s="51"/>
      <c r="AR29" s="51"/>
      <c r="AS29" s="51"/>
    </row>
    <row r="30" spans="1:45" ht="13.5" customHeight="1">
      <c r="A30" s="192"/>
      <c r="B30" s="223"/>
      <c r="C30" s="544"/>
      <c r="D30" s="199"/>
      <c r="E30" s="224"/>
      <c r="F30" s="679"/>
      <c r="G30" s="225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113">
        <f t="shared" si="0"/>
        <v>0</v>
      </c>
      <c r="AN30" s="540">
        <f>IF(AO30&lt;=3,(IF(AND(G30="5/24",AM30&gt;2),(AM30*2*база!$M$6*Таблица14[[#This Row],[коэф]]),
IF(AND(G30="4/24",AM30&gt;2),(AM30*2*база!$M$5*Таблица14[[#This Row],[коэф]]),
IF(AND(G30="3/24",AM30&gt;2),(AM30*2*база!$M$4*Таблица14[[#This Row],[коэф]]),
IF(AND(G30="5/16",AM30&gt;2),(AM30*2*база!$L$6*Таблица14[[#This Row],[коэф]]),
IF(AND(G30="4/16",AM30&gt;2),(AM30*2*база!$L$5*Таблица14[[#This Row],[коэф]]),
IF(AND(G30="3/16",AM30&gt;2),(AM30*2*база!$L$4*Таблица14[[#This Row],[коэф]]),
IF(AND(G30="4/4",AM30&gt;2),(AM30*2*база!$I$5*Таблица14[[#This Row],[коэф]]),
IF(AND(G30="3/4",AM30&gt;2),(AM30*2*база!$I$4*Таблица14[[#This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(AM30*2*база!$L$4*Таблица14[[#This Row],[коэф]]))))))))))))),
(IF(AND(G30="5/24",AM30&gt;2),(AM30*2*база!$M$6*Таблица14[[#This Row],[коэф]]),
IF(OR(AND(G30="4/24",AM30&gt;2),AND(G30="3/24",AM30&gt;2)),(AM30*2*база!$M$5*Таблица14[[#This Row],[коэф]]),
IF(AND(G30="5/16",AM30&gt;2),(AM30*2*база!$L$6*Таблица14[[#This Row],[коэф]]),
IF(OR(AND(G30="4/16",AM30&gt;2),AND(G30="3/16",AM30&gt;2)),(AM30*2*база!$L$5*Таблица14[[#This Row],[коэф]]),
IF(OR(AND(G30="4/4",AM30&gt;2),AND(G30="3/4",AM30&gt;2)),(AM30*2*база!$I$5*Таблица14[[#This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(AM30*2*база!$L$5*Таблица14[[#This Row],[коэф]])))))))))))</f>
        <v>0</v>
      </c>
      <c r="AO30" s="114">
        <f>IFERROR(INDEX(база!$D$2:$D$120, MATCH(Таблица14[[#This Row],[Ф. И. О.]],база!$B$2:$B$100,0)),"")</f>
        <v>0</v>
      </c>
      <c r="AP30" s="51"/>
      <c r="AQ30" s="51"/>
      <c r="AR30" s="51"/>
      <c r="AS30" s="51"/>
    </row>
    <row r="31" spans="1:45" ht="13.5" customHeight="1">
      <c r="A31" s="192"/>
      <c r="B31" s="189"/>
      <c r="C31" s="544"/>
      <c r="D31" s="199"/>
      <c r="E31" s="226"/>
      <c r="F31" s="679"/>
      <c r="G31" s="191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113">
        <f t="shared" si="0"/>
        <v>0</v>
      </c>
      <c r="AN31" s="540">
        <f>IF(AO31&lt;=3,(IF(AND(G31="5/24",AM31&gt;2),(AM31*2*база!$M$6*Таблица14[[#This Row],[коэф]]),
IF(AND(G31="4/24",AM31&gt;2),(AM31*2*база!$M$5*Таблица14[[#This Row],[коэф]]),
IF(AND(G31="3/24",AM31&gt;2),(AM31*2*база!$M$4*Таблица14[[#This Row],[коэф]]),
IF(AND(G31="5/16",AM31&gt;2),(AM31*2*база!$L$6*Таблица14[[#This Row],[коэф]]),
IF(AND(G31="4/16",AM31&gt;2),(AM31*2*база!$L$5*Таблица14[[#This Row],[коэф]]),
IF(AND(G31="3/16",AM31&gt;2),(AM31*2*база!$L$4*Таблица14[[#This Row],[коэф]]),
IF(AND(G31="4/4",AM31&gt;2),(AM31*2*база!$I$5*Таблица14[[#This Row],[коэф]]),
IF(AND(G31="3/4",AM31&gt;2),(AM31*2*база!$I$4*Таблица14[[#This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(AM31*2*база!$L$4*Таблица14[[#This Row],[коэф]]))))))))))))),
(IF(AND(G31="5/24",AM31&gt;2),(AM31*2*база!$M$6*Таблица14[[#This Row],[коэф]]),
IF(OR(AND(G31="4/24",AM31&gt;2),AND(G31="3/24",AM31&gt;2)),(AM31*2*база!$M$5*Таблица14[[#This Row],[коэф]]),
IF(AND(G31="5/16",AM31&gt;2),(AM31*2*база!$L$6*Таблица14[[#This Row],[коэф]]),
IF(OR(AND(G31="4/16",AM31&gt;2),AND(G31="3/16",AM31&gt;2)),(AM31*2*база!$L$5*Таблица14[[#This Row],[коэф]]),
IF(OR(AND(G31="4/4",AM31&gt;2),AND(G31="3/4",AM31&gt;2)),(AM31*2*база!$I$5*Таблица14[[#This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(AM31*2*база!$L$5*Таблица14[[#This Row],[коэф]])))))))))))</f>
        <v>0</v>
      </c>
      <c r="AO31" s="114">
        <f>IFERROR(INDEX(база!$D$2:$D$120, MATCH(Таблица14[[#This Row],[Ф. И. О.]],база!$B$2:$B$100,0)),"")</f>
        <v>0</v>
      </c>
      <c r="AP31" s="51"/>
      <c r="AQ31" s="51"/>
      <c r="AR31" s="51"/>
      <c r="AS31" s="51"/>
    </row>
    <row r="32" spans="1:45" ht="13.5" customHeight="1">
      <c r="A32" s="192"/>
      <c r="B32" s="223"/>
      <c r="C32" s="544"/>
      <c r="D32" s="199"/>
      <c r="E32" s="224"/>
      <c r="F32" s="679"/>
      <c r="G32" s="225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113">
        <f t="shared" si="0"/>
        <v>0</v>
      </c>
      <c r="AN32" s="540">
        <f>IF(AO32&lt;=3,(IF(AND(G32="5/24",AM32&gt;2),(AM32*2*база!$M$6*Таблица14[[#This Row],[коэф]]),
IF(AND(G32="4/24",AM32&gt;2),(AM32*2*база!$M$5*Таблица14[[#This Row],[коэф]]),
IF(AND(G32="3/24",AM32&gt;2),(AM32*2*база!$M$4*Таблица14[[#This Row],[коэф]]),
IF(AND(G32="5/16",AM32&gt;2),(AM32*2*база!$L$6*Таблица14[[#This Row],[коэф]]),
IF(AND(G32="4/16",AM32&gt;2),(AM32*2*база!$L$5*Таблица14[[#This Row],[коэф]]),
IF(AND(G32="3/16",AM32&gt;2),(AM32*2*база!$L$4*Таблица14[[#This Row],[коэф]]),
IF(AND(G32="4/4",AM32&gt;2),(AM32*2*база!$I$5*Таблица14[[#This Row],[коэф]]),
IF(AND(G32="3/4",AM32&gt;2),(AM32*2*база!$I$4*Таблица14[[#This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(AM32*2*база!$L$4*Таблица14[[#This Row],[коэф]]))))))))))))),
(IF(AND(G32="5/24",AM32&gt;2),(AM32*2*база!$M$6*Таблица14[[#This Row],[коэф]]),
IF(OR(AND(G32="4/24",AM32&gt;2),AND(G32="3/24",AM32&gt;2)),(AM32*2*база!$M$5*Таблица14[[#This Row],[коэф]]),
IF(AND(G32="5/16",AM32&gt;2),(AM32*2*база!$L$6*Таблица14[[#This Row],[коэф]]),
IF(OR(AND(G32="4/16",AM32&gt;2),AND(G32="3/16",AM32&gt;2)),(AM32*2*база!$L$5*Таблица14[[#This Row],[коэф]]),
IF(OR(AND(G32="4/4",AM32&gt;2),AND(G32="3/4",AM32&gt;2)),(AM32*2*база!$I$5*Таблица14[[#This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(AM32*2*база!$L$5*Таблица14[[#This Row],[коэф]])))))))))))</f>
        <v>0</v>
      </c>
      <c r="AO32" s="114">
        <f>IFERROR(INDEX(база!$D$2:$D$120, MATCH(Таблица14[[#This Row],[Ф. И. О.]],база!$B$2:$B$100,0)),"")</f>
        <v>0</v>
      </c>
      <c r="AP32" s="51"/>
      <c r="AQ32" s="51"/>
      <c r="AR32" s="51"/>
      <c r="AS32" s="51"/>
    </row>
    <row r="33" spans="1:45" ht="13.5" customHeight="1">
      <c r="A33" s="192"/>
      <c r="B33" s="189"/>
      <c r="C33" s="544"/>
      <c r="D33" s="199"/>
      <c r="E33" s="226"/>
      <c r="F33" s="679"/>
      <c r="G33" s="191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113">
        <f t="shared" si="0"/>
        <v>0</v>
      </c>
      <c r="AN33" s="540">
        <f>IF(AO33&lt;=3,(IF(AND(G33="5/24",AM33&gt;2),(AM33*2*база!$M$6*Таблица14[[#This Row],[коэф]]),
IF(AND(G33="4/24",AM33&gt;2),(AM33*2*база!$M$5*Таблица14[[#This Row],[коэф]]),
IF(AND(G33="3/24",AM33&gt;2),(AM33*2*база!$M$4*Таблица14[[#This Row],[коэф]]),
IF(AND(G33="5/16",AM33&gt;2),(AM33*2*база!$L$6*Таблица14[[#This Row],[коэф]]),
IF(AND(G33="4/16",AM33&gt;2),(AM33*2*база!$L$5*Таблица14[[#This Row],[коэф]]),
IF(AND(G33="3/16",AM33&gt;2),(AM33*2*база!$L$4*Таблица14[[#This Row],[коэф]]),
IF(AND(G33="4/4",AM33&gt;2),(AM33*2*база!$I$5*Таблица14[[#This Row],[коэф]]),
IF(AND(G33="3/4",AM33&gt;2),(AM33*2*база!$I$4*Таблица14[[#This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(AM33*2*база!$L$4*Таблица14[[#This Row],[коэф]]))))))))))))),
(IF(AND(G33="5/24",AM33&gt;2),(AM33*2*база!$M$6*Таблица14[[#This Row],[коэф]]),
IF(OR(AND(G33="4/24",AM33&gt;2),AND(G33="3/24",AM33&gt;2)),(AM33*2*база!$M$5*Таблица14[[#This Row],[коэф]]),
IF(AND(G33="5/16",AM33&gt;2),(AM33*2*база!$L$6*Таблица14[[#This Row],[коэф]]),
IF(OR(AND(G33="4/16",AM33&gt;2),AND(G33="3/16",AM33&gt;2)),(AM33*2*база!$L$5*Таблица14[[#This Row],[коэф]]),
IF(OR(AND(G33="4/4",AM33&gt;2),AND(G33="3/4",AM33&gt;2)),(AM33*2*база!$I$5*Таблица14[[#This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(AM33*2*база!$L$5*Таблица14[[#This Row],[коэф]])))))))))))</f>
        <v>0</v>
      </c>
      <c r="AO33" s="114">
        <f>IFERROR(INDEX(база!$D$2:$D$120, MATCH(Таблица14[[#This Row],[Ф. И. О.]],база!$B$2:$B$100,0)),"")</f>
        <v>0</v>
      </c>
      <c r="AP33" s="51"/>
      <c r="AQ33" s="51"/>
      <c r="AR33" s="51"/>
      <c r="AS33" s="51"/>
    </row>
    <row r="34" spans="1:45" ht="13.5" customHeight="1">
      <c r="A34" s="192"/>
      <c r="B34" s="223"/>
      <c r="C34" s="544"/>
      <c r="D34" s="199"/>
      <c r="E34" s="224"/>
      <c r="F34" s="679"/>
      <c r="G34" s="225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113">
        <f t="shared" si="0"/>
        <v>0</v>
      </c>
      <c r="AN34" s="540">
        <f>IF(AO34&lt;=3,(IF(AND(G34="5/24",AM34&gt;2),(AM34*2*база!$M$6*Таблица14[[#This Row],[коэф]]),
IF(AND(G34="4/24",AM34&gt;2),(AM34*2*база!$M$5*Таблица14[[#This Row],[коэф]]),
IF(AND(G34="3/24",AM34&gt;2),(AM34*2*база!$M$4*Таблица14[[#This Row],[коэф]]),
IF(AND(G34="5/16",AM34&gt;2),(AM34*2*база!$L$6*Таблица14[[#This Row],[коэф]]),
IF(AND(G34="4/16",AM34&gt;2),(AM34*2*база!$L$5*Таблица14[[#This Row],[коэф]]),
IF(AND(G34="3/16",AM34&gt;2),(AM34*2*база!$L$4*Таблица14[[#This Row],[коэф]]),
IF(AND(G34="4/4",AM34&gt;2),(AM34*2*база!$I$5*Таблица14[[#This Row],[коэф]]),
IF(AND(G34="3/4",AM34&gt;2),(AM34*2*база!$I$4*Таблица14[[#This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(AM34*2*база!$L$4*Таблица14[[#This Row],[коэф]]))))))))))))),
(IF(AND(G34="5/24",AM34&gt;2),(AM34*2*база!$M$6*Таблица14[[#This Row],[коэф]]),
IF(OR(AND(G34="4/24",AM34&gt;2),AND(G34="3/24",AM34&gt;2)),(AM34*2*база!$M$5*Таблица14[[#This Row],[коэф]]),
IF(AND(G34="5/16",AM34&gt;2),(AM34*2*база!$L$6*Таблица14[[#This Row],[коэф]]),
IF(OR(AND(G34="4/16",AM34&gt;2),AND(G34="3/16",AM34&gt;2)),(AM34*2*база!$L$5*Таблица14[[#This Row],[коэф]]),
IF(OR(AND(G34="4/4",AM34&gt;2),AND(G34="3/4",AM34&gt;2)),(AM34*2*база!$I$5*Таблица14[[#This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(AM34*2*база!$L$5*Таблица14[[#This Row],[коэф]])))))))))))</f>
        <v>0</v>
      </c>
      <c r="AO34" s="114">
        <f>IFERROR(INDEX(база!$D$2:$D$120, MATCH(Таблица14[[#This Row],[Ф. И. О.]],база!$B$2:$B$100,0)),"")</f>
        <v>0</v>
      </c>
      <c r="AP34" s="51"/>
      <c r="AQ34" s="51"/>
      <c r="AR34" s="51"/>
      <c r="AS34" s="51"/>
    </row>
    <row r="35" spans="1:45" ht="13.5" customHeight="1">
      <c r="A35" s="192"/>
      <c r="B35" s="189"/>
      <c r="C35" s="544"/>
      <c r="D35" s="199"/>
      <c r="E35" s="226"/>
      <c r="F35" s="679"/>
      <c r="G35" s="191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113">
        <f t="shared" si="0"/>
        <v>0</v>
      </c>
      <c r="AN35" s="540">
        <f>IF(AO35&lt;=3,(IF(AND(G35="5/24",AM35&gt;2),(AM35*2*база!$M$6*Таблица14[[#This Row],[коэф]]),
IF(AND(G35="4/24",AM35&gt;2),(AM35*2*база!$M$5*Таблица14[[#This Row],[коэф]]),
IF(AND(G35="3/24",AM35&gt;2),(AM35*2*база!$M$4*Таблица14[[#This Row],[коэф]]),
IF(AND(G35="5/16",AM35&gt;2),(AM35*2*база!$L$6*Таблица14[[#This Row],[коэф]]),
IF(AND(G35="4/16",AM35&gt;2),(AM35*2*база!$L$5*Таблица14[[#This Row],[коэф]]),
IF(AND(G35="3/16",AM35&gt;2),(AM35*2*база!$L$4*Таблица14[[#This Row],[коэф]]),
IF(AND(G35="4/4",AM35&gt;2),(AM35*2*база!$I$5*Таблица14[[#This Row],[коэф]]),
IF(AND(G35="3/4",AM35&gt;2),(AM35*2*база!$I$4*Таблица14[[#This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(AM35*2*база!$L$4*Таблица14[[#This Row],[коэф]]))))))))))))),
(IF(AND(G35="5/24",AM35&gt;2),(AM35*2*база!$M$6*Таблица14[[#This Row],[коэф]]),
IF(OR(AND(G35="4/24",AM35&gt;2),AND(G35="3/24",AM35&gt;2)),(AM35*2*база!$M$5*Таблица14[[#This Row],[коэф]]),
IF(AND(G35="5/16",AM35&gt;2),(AM35*2*база!$L$6*Таблица14[[#This Row],[коэф]]),
IF(OR(AND(G35="4/16",AM35&gt;2),AND(G35="3/16",AM35&gt;2)),(AM35*2*база!$L$5*Таблица14[[#This Row],[коэф]]),
IF(OR(AND(G35="4/4",AM35&gt;2),AND(G35="3/4",AM35&gt;2)),(AM35*2*база!$I$5*Таблица14[[#This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(AM35*2*база!$L$5*Таблица14[[#This Row],[коэф]])))))))))))</f>
        <v>0</v>
      </c>
      <c r="AO35" s="114">
        <f>IFERROR(INDEX(база!$D$2:$D$120, MATCH(Таблица14[[#This Row],[Ф. И. О.]],база!$B$2:$B$100,0)),"")</f>
        <v>0</v>
      </c>
      <c r="AP35" s="51"/>
      <c r="AQ35" s="51"/>
      <c r="AR35" s="51"/>
      <c r="AS35" s="51"/>
    </row>
    <row r="36" spans="1:45" ht="13.5" customHeight="1">
      <c r="A36" s="192"/>
      <c r="B36" s="223"/>
      <c r="C36" s="544"/>
      <c r="D36" s="199"/>
      <c r="E36" s="224"/>
      <c r="F36" s="679"/>
      <c r="G36" s="225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113">
        <f t="shared" si="0"/>
        <v>0</v>
      </c>
      <c r="AN36" s="540">
        <f>IF(AO36&lt;=3,(IF(AND(G36="5/24",AM36&gt;2),(AM36*2*база!$M$6*Таблица14[[#This Row],[коэф]]),
IF(AND(G36="4/24",AM36&gt;2),(AM36*2*база!$M$5*Таблица14[[#This Row],[коэф]]),
IF(AND(G36="3/24",AM36&gt;2),(AM36*2*база!$M$4*Таблица14[[#This Row],[коэф]]),
IF(AND(G36="5/16",AM36&gt;2),(AM36*2*база!$L$6*Таблица14[[#This Row],[коэф]]),
IF(AND(G36="4/16",AM36&gt;2),(AM36*2*база!$L$5*Таблица14[[#This Row],[коэф]]),
IF(AND(G36="3/16",AM36&gt;2),(AM36*2*база!$L$4*Таблица14[[#This Row],[коэф]]),
IF(AND(G36="4/4",AM36&gt;2),(AM36*2*база!$I$5*Таблица14[[#This Row],[коэф]]),
IF(AND(G36="3/4",AM36&gt;2),(AM36*2*база!$I$4*Таблица14[[#This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(AM36*2*база!$L$4*Таблица14[[#This Row],[коэф]]))))))))))))),
(IF(AND(G36="5/24",AM36&gt;2),(AM36*2*база!$M$6*Таблица14[[#This Row],[коэф]]),
IF(OR(AND(G36="4/24",AM36&gt;2),AND(G36="3/24",AM36&gt;2)),(AM36*2*база!$M$5*Таблица14[[#This Row],[коэф]]),
IF(AND(G36="5/16",AM36&gt;2),(AM36*2*база!$L$6*Таблица14[[#This Row],[коэф]]),
IF(OR(AND(G36="4/16",AM36&gt;2),AND(G36="3/16",AM36&gt;2)),(AM36*2*база!$L$5*Таблица14[[#This Row],[коэф]]),
IF(OR(AND(G36="4/4",AM36&gt;2),AND(G36="3/4",AM36&gt;2)),(AM36*2*база!$I$5*Таблица14[[#This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(AM36*2*база!$L$5*Таблица14[[#This Row],[коэф]])))))))))))</f>
        <v>0</v>
      </c>
      <c r="AO36" s="114">
        <f>IFERROR(INDEX(база!$D$2:$D$120, MATCH(Таблица14[[#This Row],[Ф. И. О.]],база!$B$2:$B$100,0)),"")</f>
        <v>0</v>
      </c>
    </row>
    <row r="37" spans="1:45" ht="13.5" customHeight="1">
      <c r="A37" s="192"/>
      <c r="B37" s="189"/>
      <c r="C37" s="544"/>
      <c r="D37" s="199"/>
      <c r="E37" s="226"/>
      <c r="F37" s="679"/>
      <c r="G37" s="191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113">
        <f t="shared" si="0"/>
        <v>0</v>
      </c>
      <c r="AN37" s="540">
        <f>IF(AO37&lt;=3,(IF(AND(G37="5/24",AM37&gt;2),(AM37*2*база!$M$6*Таблица14[[#This Row],[коэф]]),
IF(AND(G37="4/24",AM37&gt;2),(AM37*2*база!$M$5*Таблица14[[#This Row],[коэф]]),
IF(AND(G37="3/24",AM37&gt;2),(AM37*2*база!$M$4*Таблица14[[#This Row],[коэф]]),
IF(AND(G37="5/16",AM37&gt;2),(AM37*2*база!$L$6*Таблица14[[#This Row],[коэф]]),
IF(AND(G37="4/16",AM37&gt;2),(AM37*2*база!$L$5*Таблица14[[#This Row],[коэф]]),
IF(AND(G37="3/16",AM37&gt;2),(AM37*2*база!$L$4*Таблица14[[#This Row],[коэф]]),
IF(AND(G37="4/4",AM37&gt;2),(AM37*2*база!$I$5*Таблица14[[#This Row],[коэф]]),
IF(AND(G37="3/4",AM37&gt;2),(AM37*2*база!$I$4*Таблица14[[#This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(AM37*2*база!$L$4*Таблица14[[#This Row],[коэф]]))))))))))))),
(IF(AND(G37="5/24",AM37&gt;2),(AM37*2*база!$M$6*Таблица14[[#This Row],[коэф]]),
IF(OR(AND(G37="4/24",AM37&gt;2),AND(G37="3/24",AM37&gt;2)),(AM37*2*база!$M$5*Таблица14[[#This Row],[коэф]]),
IF(AND(G37="5/16",AM37&gt;2),(AM37*2*база!$L$6*Таблица14[[#This Row],[коэф]]),
IF(OR(AND(G37="4/16",AM37&gt;2),AND(G37="3/16",AM37&gt;2)),(AM37*2*база!$L$5*Таблица14[[#This Row],[коэф]]),
IF(OR(AND(G37="4/4",AM37&gt;2),AND(G37="3/4",AM37&gt;2)),(AM37*2*база!$I$5*Таблица14[[#This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(AM37*2*база!$L$5*Таблица14[[#This Row],[коэф]])))))))))))</f>
        <v>0</v>
      </c>
      <c r="AO37" s="114">
        <f>IFERROR(INDEX(база!$D$2:$D$120, MATCH(Таблица14[[#This Row],[Ф. И. О.]],база!$B$2:$B$100,0)),"")</f>
        <v>0</v>
      </c>
    </row>
    <row r="38" spans="1:45" ht="13.5" customHeight="1">
      <c r="A38" s="192"/>
      <c r="B38" s="223"/>
      <c r="C38" s="544"/>
      <c r="D38" s="199"/>
      <c r="E38" s="224"/>
      <c r="F38" s="679"/>
      <c r="G38" s="225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113">
        <f t="shared" si="0"/>
        <v>0</v>
      </c>
      <c r="AN38" s="540">
        <f>IF(AO38&lt;=3,(IF(AND(G38="5/24",AM38&gt;2),(AM38*2*база!$M$6*Таблица14[[#This Row],[коэф]]),
IF(AND(G38="4/24",AM38&gt;2),(AM38*2*база!$M$5*Таблица14[[#This Row],[коэф]]),
IF(AND(G38="3/24",AM38&gt;2),(AM38*2*база!$M$4*Таблица14[[#This Row],[коэф]]),
IF(AND(G38="5/16",AM38&gt;2),(AM38*2*база!$L$6*Таблица14[[#This Row],[коэф]]),
IF(AND(G38="4/16",AM38&gt;2),(AM38*2*база!$L$5*Таблица14[[#This Row],[коэф]]),
IF(AND(G38="3/16",AM38&gt;2),(AM38*2*база!$L$4*Таблица14[[#This Row],[коэф]]),
IF(AND(G38="4/4",AM38&gt;2),(AM38*2*база!$I$5*Таблица14[[#This Row],[коэф]]),
IF(AND(G38="3/4",AM38&gt;2),(AM38*2*база!$I$4*Таблица14[[#This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(AM38*2*база!$L$4*Таблица14[[#This Row],[коэф]]))))))))))))),
(IF(AND(G38="5/24",AM38&gt;2),(AM38*2*база!$M$6*Таблица14[[#This Row],[коэф]]),
IF(OR(AND(G38="4/24",AM38&gt;2),AND(G38="3/24",AM38&gt;2)),(AM38*2*база!$M$5*Таблица14[[#This Row],[коэф]]),
IF(AND(G38="5/16",AM38&gt;2),(AM38*2*база!$L$6*Таблица14[[#This Row],[коэф]]),
IF(OR(AND(G38="4/16",AM38&gt;2),AND(G38="3/16",AM38&gt;2)),(AM38*2*база!$L$5*Таблица14[[#This Row],[коэф]]),
IF(OR(AND(G38="4/4",AM38&gt;2),AND(G38="3/4",AM38&gt;2)),(AM38*2*база!$I$5*Таблица14[[#This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(AM38*2*база!$L$5*Таблица14[[#This Row],[коэф]])))))))))))</f>
        <v>0</v>
      </c>
      <c r="AO38" s="114">
        <f>IFERROR(INDEX(база!$D$2:$D$120, MATCH(Таблица14[[#This Row],[Ф. И. О.]],база!$B$2:$B$100,0)),"")</f>
        <v>0</v>
      </c>
    </row>
    <row r="39" spans="1:45" ht="13.5" customHeight="1">
      <c r="A39" s="192"/>
      <c r="B39" s="189"/>
      <c r="C39" s="544"/>
      <c r="D39" s="190"/>
      <c r="E39" s="226"/>
      <c r="F39" s="679"/>
      <c r="G39" s="191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113">
        <f t="shared" si="0"/>
        <v>0</v>
      </c>
      <c r="AN39" s="540">
        <f>IF(AO39&lt;=3,(IF(AND(G39="5/24",AM39&gt;2),(AM39*2*база!$M$6*Таблица14[[#This Row],[коэф]]),
IF(AND(G39="4/24",AM39&gt;2),(AM39*2*база!$M$5*Таблица14[[#This Row],[коэф]]),
IF(AND(G39="3/24",AM39&gt;2),(AM39*2*база!$M$4*Таблица14[[#This Row],[коэф]]),
IF(AND(G39="5/16",AM39&gt;2),(AM39*2*база!$L$6*Таблица14[[#This Row],[коэф]]),
IF(AND(G39="4/16",AM39&gt;2),(AM39*2*база!$L$5*Таблица14[[#This Row],[коэф]]),
IF(AND(G39="3/16",AM39&gt;2),(AM39*2*база!$L$4*Таблица14[[#This Row],[коэф]]),
IF(AND(G39="4/4",AM39&gt;2),(AM39*2*база!$I$5*Таблица14[[#This Row],[коэф]]),
IF(AND(G39="3/4",AM39&gt;2),(AM39*2*база!$I$4*Таблица14[[#This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(AM39*2*база!$L$4*Таблица14[[#This Row],[коэф]]))))))))))))),
(IF(AND(G39="5/24",AM39&gt;2),(AM39*2*база!$M$6*Таблица14[[#This Row],[коэф]]),
IF(OR(AND(G39="4/24",AM39&gt;2),AND(G39="3/24",AM39&gt;2)),(AM39*2*база!$M$5*Таблица14[[#This Row],[коэф]]),
IF(AND(G39="5/16",AM39&gt;2),(AM39*2*база!$L$6*Таблица14[[#This Row],[коэф]]),
IF(OR(AND(G39="4/16",AM39&gt;2),AND(G39="3/16",AM39&gt;2)),(AM39*2*база!$L$5*Таблица14[[#This Row],[коэф]]),
IF(OR(AND(G39="4/4",AM39&gt;2),AND(G39="3/4",AM39&gt;2)),(AM39*2*база!$I$5*Таблица14[[#This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(AM39*2*база!$L$5*Таблица14[[#This Row],[коэф]])))))))))))</f>
        <v>0</v>
      </c>
      <c r="AO39" s="114">
        <f>IFERROR(INDEX(база!$D$2:$D$120, MATCH(Таблица14[[#This Row],[Ф. И. О.]],база!$B$2:$B$100,0)),"")</f>
        <v>0</v>
      </c>
    </row>
    <row r="40" spans="1:45" ht="13.5" customHeight="1">
      <c r="A40" s="192"/>
      <c r="B40" s="223"/>
      <c r="C40" s="544"/>
      <c r="D40" s="199"/>
      <c r="E40" s="224"/>
      <c r="F40" s="679"/>
      <c r="G40" s="225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113">
        <f t="shared" si="0"/>
        <v>0</v>
      </c>
      <c r="AN40" s="540">
        <f>IF(AO40&lt;=3,(IF(AND(G40="5/24",AM40&gt;2),(AM40*2*база!$M$6*Таблица14[[#This Row],[коэф]]),
IF(AND(G40="4/24",AM40&gt;2),(AM40*2*база!$M$5*Таблица14[[#This Row],[коэф]]),
IF(AND(G40="3/24",AM40&gt;2),(AM40*2*база!$M$4*Таблица14[[#This Row],[коэф]]),
IF(AND(G40="5/16",AM40&gt;2),(AM40*2*база!$L$6*Таблица14[[#This Row],[коэф]]),
IF(AND(G40="4/16",AM40&gt;2),(AM40*2*база!$L$5*Таблица14[[#This Row],[коэф]]),
IF(AND(G40="3/16",AM40&gt;2),(AM40*2*база!$L$4*Таблица14[[#This Row],[коэф]]),
IF(AND(G40="4/4",AM40&gt;2),(AM40*2*база!$I$5*Таблица14[[#This Row],[коэф]]),
IF(AND(G40="3/4",AM40&gt;2),(AM40*2*база!$I$4*Таблица14[[#This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(AM40*2*база!$L$4*Таблица14[[#This Row],[коэф]]))))))))))))),
(IF(AND(G40="5/24",AM40&gt;2),(AM40*2*база!$M$6*Таблица14[[#This Row],[коэф]]),
IF(OR(AND(G40="4/24",AM40&gt;2),AND(G40="3/24",AM40&gt;2)),(AM40*2*база!$M$5*Таблица14[[#This Row],[коэф]]),
IF(AND(G40="5/16",AM40&gt;2),(AM40*2*база!$L$6*Таблица14[[#This Row],[коэф]]),
IF(OR(AND(G40="4/16",AM40&gt;2),AND(G40="3/16",AM40&gt;2)),(AM40*2*база!$L$5*Таблица14[[#This Row],[коэф]]),
IF(OR(AND(G40="4/4",AM40&gt;2),AND(G40="3/4",AM40&gt;2)),(AM40*2*база!$I$5*Таблица14[[#This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(AM40*2*база!$L$5*Таблица14[[#This Row],[коэф]])))))))))))</f>
        <v>0</v>
      </c>
      <c r="AO40" s="114">
        <f>IFERROR(INDEX(база!$D$2:$D$120, MATCH(Таблица14[[#This Row],[Ф. И. О.]],база!$B$2:$B$100,0)),"")</f>
        <v>0</v>
      </c>
    </row>
    <row r="41" spans="1:45" ht="13.5" customHeight="1">
      <c r="A41" s="192"/>
      <c r="B41" s="189"/>
      <c r="C41" s="544"/>
      <c r="D41" s="199"/>
      <c r="E41" s="226"/>
      <c r="F41" s="679"/>
      <c r="G41" s="191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113">
        <f t="shared" si="0"/>
        <v>0</v>
      </c>
      <c r="AN41" s="540">
        <f>IF(AO41&lt;=3,(IF(AND(G41="5/24",AM41&gt;2),(AM41*2*база!$M$6*Таблица14[[#This Row],[коэф]]),
IF(AND(G41="4/24",AM41&gt;2),(AM41*2*база!$M$5*Таблица14[[#This Row],[коэф]]),
IF(AND(G41="3/24",AM41&gt;2),(AM41*2*база!$M$4*Таблица14[[#This Row],[коэф]]),
IF(AND(G41="5/16",AM41&gt;2),(AM41*2*база!$L$6*Таблица14[[#This Row],[коэф]]),
IF(AND(G41="4/16",AM41&gt;2),(AM41*2*база!$L$5*Таблица14[[#This Row],[коэф]]),
IF(AND(G41="3/16",AM41&gt;2),(AM41*2*база!$L$4*Таблица14[[#This Row],[коэф]]),
IF(AND(G41="4/4",AM41&gt;2),(AM41*2*база!$I$5*Таблица14[[#This Row],[коэф]]),
IF(AND(G41="3/4",AM41&gt;2),(AM41*2*база!$I$4*Таблица14[[#This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(AM41*2*база!$L$4*Таблица14[[#This Row],[коэф]]))))))))))))),
(IF(AND(G41="5/24",AM41&gt;2),(AM41*2*база!$M$6*Таблица14[[#This Row],[коэф]]),
IF(OR(AND(G41="4/24",AM41&gt;2),AND(G41="3/24",AM41&gt;2)),(AM41*2*база!$M$5*Таблица14[[#This Row],[коэф]]),
IF(AND(G41="5/16",AM41&gt;2),(AM41*2*база!$L$6*Таблица14[[#This Row],[коэф]]),
IF(OR(AND(G41="4/16",AM41&gt;2),AND(G41="3/16",AM41&gt;2)),(AM41*2*база!$L$5*Таблица14[[#This Row],[коэф]]),
IF(OR(AND(G41="4/4",AM41&gt;2),AND(G41="3/4",AM41&gt;2)),(AM41*2*база!$I$5*Таблица14[[#This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(AM41*2*база!$L$5*Таблица14[[#This Row],[коэф]])))))))))))</f>
        <v>0</v>
      </c>
      <c r="AO41" s="114">
        <f>IFERROR(INDEX(база!$D$2:$D$120, MATCH(Таблица14[[#This Row],[Ф. И. О.]],база!$B$2:$B$100,0)),"")</f>
        <v>0</v>
      </c>
    </row>
    <row r="42" spans="1:45" ht="13.5" customHeight="1">
      <c r="A42" s="192"/>
      <c r="B42" s="223"/>
      <c r="C42" s="544"/>
      <c r="D42" s="199"/>
      <c r="E42" s="224"/>
      <c r="F42" s="679"/>
      <c r="G42" s="225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113">
        <f t="shared" si="0"/>
        <v>0</v>
      </c>
      <c r="AN42" s="540">
        <f>IF(AO42&lt;=3,(IF(AND(G42="5/24",AM42&gt;2),(AM42*2*база!$M$6*Таблица14[[#This Row],[коэф]]),
IF(AND(G42="4/24",AM42&gt;2),(AM42*2*база!$M$5*Таблица14[[#This Row],[коэф]]),
IF(AND(G42="3/24",AM42&gt;2),(AM42*2*база!$M$4*Таблица14[[#This Row],[коэф]]),
IF(AND(G42="5/16",AM42&gt;2),(AM42*2*база!$L$6*Таблица14[[#This Row],[коэф]]),
IF(AND(G42="4/16",AM42&gt;2),(AM42*2*база!$L$5*Таблица14[[#This Row],[коэф]]),
IF(AND(G42="3/16",AM42&gt;2),(AM42*2*база!$L$4*Таблица14[[#This Row],[коэф]]),
IF(AND(G42="4/4",AM42&gt;2),(AM42*2*база!$I$5*Таблица14[[#This Row],[коэф]]),
IF(AND(G42="3/4",AM42&gt;2),(AM42*2*база!$I$4*Таблица14[[#This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(AM42*2*база!$L$4*Таблица14[[#This Row],[коэф]]))))))))))))),
(IF(AND(G42="5/24",AM42&gt;2),(AM42*2*база!$M$6*Таблица14[[#This Row],[коэф]]),
IF(OR(AND(G42="4/24",AM42&gt;2),AND(G42="3/24",AM42&gt;2)),(AM42*2*база!$M$5*Таблица14[[#This Row],[коэф]]),
IF(AND(G42="5/16",AM42&gt;2),(AM42*2*база!$L$6*Таблица14[[#This Row],[коэф]]),
IF(OR(AND(G42="4/16",AM42&gt;2),AND(G42="3/16",AM42&gt;2)),(AM42*2*база!$L$5*Таблица14[[#This Row],[коэф]]),
IF(OR(AND(G42="4/4",AM42&gt;2),AND(G42="3/4",AM42&gt;2)),(AM42*2*база!$I$5*Таблица14[[#This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(AM42*2*база!$L$5*Таблица14[[#This Row],[коэф]])))))))))))</f>
        <v>0</v>
      </c>
      <c r="AO42" s="114">
        <f>IFERROR(INDEX(база!$D$2:$D$120, MATCH(Таблица14[[#This Row],[Ф. И. О.]],база!$B$2:$B$100,0)),"")</f>
        <v>0</v>
      </c>
    </row>
    <row r="43" spans="1:45" ht="13.5" customHeight="1">
      <c r="A43" s="192"/>
      <c r="B43" s="189"/>
      <c r="C43" s="544"/>
      <c r="D43" s="199"/>
      <c r="E43" s="226"/>
      <c r="F43" s="679"/>
      <c r="G43" s="191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113">
        <f t="shared" si="0"/>
        <v>0</v>
      </c>
      <c r="AN43" s="540">
        <f>IF(AO43&lt;=3,(IF(AND(G43="5/24",AM43&gt;2),(AM43*2*база!$M$6*Таблица14[[#This Row],[коэф]]),
IF(AND(G43="4/24",AM43&gt;2),(AM43*2*база!$M$5*Таблица14[[#This Row],[коэф]]),
IF(AND(G43="3/24",AM43&gt;2),(AM43*2*база!$M$4*Таблица14[[#This Row],[коэф]]),
IF(AND(G43="5/16",AM43&gt;2),(AM43*2*база!$L$6*Таблица14[[#This Row],[коэф]]),
IF(AND(G43="4/16",AM43&gt;2),(AM43*2*база!$L$5*Таблица14[[#This Row],[коэф]]),
IF(AND(G43="3/16",AM43&gt;2),(AM43*2*база!$L$4*Таблица14[[#This Row],[коэф]]),
IF(AND(G43="4/4",AM43&gt;2),(AM43*2*база!$I$5*Таблица14[[#This Row],[коэф]]),
IF(AND(G43="3/4",AM43&gt;2),(AM43*2*база!$I$4*Таблица14[[#This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(AM43*2*база!$L$4*Таблица14[[#This Row],[коэф]]))))))))))))),
(IF(AND(G43="5/24",AM43&gt;2),(AM43*2*база!$M$6*Таблица14[[#This Row],[коэф]]),
IF(OR(AND(G43="4/24",AM43&gt;2),AND(G43="3/24",AM43&gt;2)),(AM43*2*база!$M$5*Таблица14[[#This Row],[коэф]]),
IF(AND(G43="5/16",AM43&gt;2),(AM43*2*база!$L$6*Таблица14[[#This Row],[коэф]]),
IF(OR(AND(G43="4/16",AM43&gt;2),AND(G43="3/16",AM43&gt;2)),(AM43*2*база!$L$5*Таблица14[[#This Row],[коэф]]),
IF(OR(AND(G43="4/4",AM43&gt;2),AND(G43="3/4",AM43&gt;2)),(AM43*2*база!$I$5*Таблица14[[#This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(AM43*2*база!$L$5*Таблица14[[#This Row],[коэф]])))))))))))</f>
        <v>0</v>
      </c>
      <c r="AO43" s="114">
        <f>IFERROR(INDEX(база!$D$2:$D$120, MATCH(Таблица14[[#This Row],[Ф. И. О.]],база!$B$2:$B$100,0)),"")</f>
        <v>0</v>
      </c>
    </row>
    <row r="44" spans="1:45" ht="13.5" customHeight="1">
      <c r="A44" s="192"/>
      <c r="B44" s="223"/>
      <c r="C44" s="544"/>
      <c r="D44" s="199"/>
      <c r="E44" s="224"/>
      <c r="F44" s="679"/>
      <c r="G44" s="225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113">
        <f t="shared" si="0"/>
        <v>0</v>
      </c>
      <c r="AN44" s="540">
        <f>IF(AO44&lt;=3,(IF(AND(G44="5/24",AM44&gt;2),(AM44*2*база!$M$6*Таблица14[[#This Row],[коэф]]),
IF(AND(G44="4/24",AM44&gt;2),(AM44*2*база!$M$5*Таблица14[[#This Row],[коэф]]),
IF(AND(G44="3/24",AM44&gt;2),(AM44*2*база!$M$4*Таблица14[[#This Row],[коэф]]),
IF(AND(G44="5/16",AM44&gt;2),(AM44*2*база!$L$6*Таблица14[[#This Row],[коэф]]),
IF(AND(G44="4/16",AM44&gt;2),(AM44*2*база!$L$5*Таблица14[[#This Row],[коэф]]),
IF(AND(G44="3/16",AM44&gt;2),(AM44*2*база!$L$4*Таблица14[[#This Row],[коэф]]),
IF(AND(G44="4/4",AM44&gt;2),(AM44*2*база!$I$5*Таблица14[[#This Row],[коэф]]),
IF(AND(G44="3/4",AM44&gt;2),(AM44*2*база!$I$4*Таблица14[[#This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(AM44*2*база!$L$4*Таблица14[[#This Row],[коэф]]))))))))))))),
(IF(AND(G44="5/24",AM44&gt;2),(AM44*2*база!$M$6*Таблица14[[#This Row],[коэф]]),
IF(OR(AND(G44="4/24",AM44&gt;2),AND(G44="3/24",AM44&gt;2)),(AM44*2*база!$M$5*Таблица14[[#This Row],[коэф]]),
IF(AND(G44="5/16",AM44&gt;2),(AM44*2*база!$L$6*Таблица14[[#This Row],[коэф]]),
IF(OR(AND(G44="4/16",AM44&gt;2),AND(G44="3/16",AM44&gt;2)),(AM44*2*база!$L$5*Таблица14[[#This Row],[коэф]]),
IF(OR(AND(G44="4/4",AM44&gt;2),AND(G44="3/4",AM44&gt;2)),(AM44*2*база!$I$5*Таблица14[[#This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(AM44*2*база!$L$5*Таблица14[[#This Row],[коэф]])))))))))))</f>
        <v>0</v>
      </c>
      <c r="AO44" s="114">
        <f>IFERROR(INDEX(база!$D$2:$D$120, MATCH(Таблица14[[#This Row],[Ф. И. О.]],база!$B$2:$B$100,0)),"")</f>
        <v>0</v>
      </c>
    </row>
    <row r="45" spans="1:45" ht="13.5" customHeight="1">
      <c r="A45" s="192"/>
      <c r="B45" s="189"/>
      <c r="C45" s="544"/>
      <c r="D45" s="199"/>
      <c r="E45" s="226"/>
      <c r="F45" s="679"/>
      <c r="G45" s="191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113">
        <f t="shared" si="0"/>
        <v>0</v>
      </c>
      <c r="AN45" s="540">
        <f>IF(AO45&lt;=3,(IF(AND(G45="5/24",AM45&gt;2),(AM45*2*база!$M$6*Таблица14[[#This Row],[коэф]]),
IF(AND(G45="4/24",AM45&gt;2),(AM45*2*база!$M$5*Таблица14[[#This Row],[коэф]]),
IF(AND(G45="3/24",AM45&gt;2),(AM45*2*база!$M$4*Таблица14[[#This Row],[коэф]]),
IF(AND(G45="5/16",AM45&gt;2),(AM45*2*база!$L$6*Таблица14[[#This Row],[коэф]]),
IF(AND(G45="4/16",AM45&gt;2),(AM45*2*база!$L$5*Таблица14[[#This Row],[коэф]]),
IF(AND(G45="3/16",AM45&gt;2),(AM45*2*база!$L$4*Таблица14[[#This Row],[коэф]]),
IF(AND(G45="4/4",AM45&gt;2),(AM45*2*база!$I$5*Таблица14[[#This Row],[коэф]]),
IF(AND(G45="3/4",AM45&gt;2),(AM45*2*база!$I$4*Таблица14[[#This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(AM45*2*база!$L$4*Таблица14[[#This Row],[коэф]]))))))))))))),
(IF(AND(G45="5/24",AM45&gt;2),(AM45*2*база!$M$6*Таблица14[[#This Row],[коэф]]),
IF(OR(AND(G45="4/24",AM45&gt;2),AND(G45="3/24",AM45&gt;2)),(AM45*2*база!$M$5*Таблица14[[#This Row],[коэф]]),
IF(AND(G45="5/16",AM45&gt;2),(AM45*2*база!$L$6*Таблица14[[#This Row],[коэф]]),
IF(OR(AND(G45="4/16",AM45&gt;2),AND(G45="3/16",AM45&gt;2)),(AM45*2*база!$L$5*Таблица14[[#This Row],[коэф]]),
IF(OR(AND(G45="4/4",AM45&gt;2),AND(G45="3/4",AM45&gt;2)),(AM45*2*база!$I$5*Таблица14[[#This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(AM45*2*база!$L$5*Таблица14[[#This Row],[коэф]])))))))))))</f>
        <v>0</v>
      </c>
      <c r="AO45" s="114">
        <f>IFERROR(INDEX(база!$D$2:$D$120, MATCH(Таблица14[[#This Row],[Ф. И. О.]],база!$B$2:$B$100,0)),"")</f>
        <v>0</v>
      </c>
    </row>
    <row r="46" spans="1:45" ht="13.5" customHeight="1">
      <c r="A46" s="192"/>
      <c r="B46" s="223"/>
      <c r="C46" s="544"/>
      <c r="D46" s="199"/>
      <c r="E46" s="224"/>
      <c r="F46" s="679"/>
      <c r="G46" s="225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113">
        <f t="shared" si="0"/>
        <v>0</v>
      </c>
      <c r="AN46" s="540">
        <f>IF(AO46&lt;=3,(IF(AND(G46="5/24",AM46&gt;2),(AM46*2*база!$M$6*Таблица14[[#This Row],[коэф]]),
IF(AND(G46="4/24",AM46&gt;2),(AM46*2*база!$M$5*Таблица14[[#This Row],[коэф]]),
IF(AND(G46="3/24",AM46&gt;2),(AM46*2*база!$M$4*Таблица14[[#This Row],[коэф]]),
IF(AND(G46="5/16",AM46&gt;2),(AM46*2*база!$L$6*Таблица14[[#This Row],[коэф]]),
IF(AND(G46="4/16",AM46&gt;2),(AM46*2*база!$L$5*Таблица14[[#This Row],[коэф]]),
IF(AND(G46="3/16",AM46&gt;2),(AM46*2*база!$L$4*Таблица14[[#This Row],[коэф]]),
IF(AND(G46="4/4",AM46&gt;2),(AM46*2*база!$I$5*Таблица14[[#This Row],[коэф]]),
IF(AND(G46="3/4",AM46&gt;2),(AM46*2*база!$I$4*Таблица14[[#This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(AM46*2*база!$L$4*Таблица14[[#This Row],[коэф]]))))))))))))),
(IF(AND(G46="5/24",AM46&gt;2),(AM46*2*база!$M$6*Таблица14[[#This Row],[коэф]]),
IF(OR(AND(G46="4/24",AM46&gt;2),AND(G46="3/24",AM46&gt;2)),(AM46*2*база!$M$5*Таблица14[[#This Row],[коэф]]),
IF(AND(G46="5/16",AM46&gt;2),(AM46*2*база!$L$6*Таблица14[[#This Row],[коэф]]),
IF(OR(AND(G46="4/16",AM46&gt;2),AND(G46="3/16",AM46&gt;2)),(AM46*2*база!$L$5*Таблица14[[#This Row],[коэф]]),
IF(OR(AND(G46="4/4",AM46&gt;2),AND(G46="3/4",AM46&gt;2)),(AM46*2*база!$I$5*Таблица14[[#This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(AM46*2*база!$L$5*Таблица14[[#This Row],[коэф]])))))))))))</f>
        <v>0</v>
      </c>
      <c r="AO46" s="114">
        <f>IFERROR(INDEX(база!$D$2:$D$120, MATCH(Таблица14[[#This Row],[Ф. И. О.]],база!$B$2:$B$100,0)),"")</f>
        <v>0</v>
      </c>
    </row>
    <row r="47" spans="1:45" ht="13.5" customHeight="1">
      <c r="A47" s="192"/>
      <c r="B47" s="189"/>
      <c r="C47" s="544"/>
      <c r="D47" s="199"/>
      <c r="E47" s="226"/>
      <c r="F47" s="679"/>
      <c r="G47" s="191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113">
        <f t="shared" si="0"/>
        <v>0</v>
      </c>
      <c r="AN47" s="540">
        <f>IF(AO47&lt;=3,(IF(AND(G47="5/24",AM47&gt;2),(AM47*2*база!$M$6*Таблица14[[#This Row],[коэф]]),
IF(AND(G47="4/24",AM47&gt;2),(AM47*2*база!$M$5*Таблица14[[#This Row],[коэф]]),
IF(AND(G47="3/24",AM47&gt;2),(AM47*2*база!$M$4*Таблица14[[#This Row],[коэф]]),
IF(AND(G47="5/16",AM47&gt;2),(AM47*2*база!$L$6*Таблица14[[#This Row],[коэф]]),
IF(AND(G47="4/16",AM47&gt;2),(AM47*2*база!$L$5*Таблица14[[#This Row],[коэф]]),
IF(AND(G47="3/16",AM47&gt;2),(AM47*2*база!$L$4*Таблица14[[#This Row],[коэф]]),
IF(AND(G47="4/4",AM47&gt;2),(AM47*2*база!$I$5*Таблица14[[#This Row],[коэф]]),
IF(AND(G47="3/4",AM47&gt;2),(AM47*2*база!$I$4*Таблица14[[#This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(AM47*2*база!$L$4*Таблица14[[#This Row],[коэф]]))))))))))))),
(IF(AND(G47="5/24",AM47&gt;2),(AM47*2*база!$M$6*Таблица14[[#This Row],[коэф]]),
IF(OR(AND(G47="4/24",AM47&gt;2),AND(G47="3/24",AM47&gt;2)),(AM47*2*база!$M$5*Таблица14[[#This Row],[коэф]]),
IF(AND(G47="5/16",AM47&gt;2),(AM47*2*база!$L$6*Таблица14[[#This Row],[коэф]]),
IF(OR(AND(G47="4/16",AM47&gt;2),AND(G47="3/16",AM47&gt;2)),(AM47*2*база!$L$5*Таблица14[[#This Row],[коэф]]),
IF(OR(AND(G47="4/4",AM47&gt;2),AND(G47="3/4",AM47&gt;2)),(AM47*2*база!$I$5*Таблица14[[#This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(AM47*2*база!$L$5*Таблица14[[#This Row],[коэф]])))))))))))</f>
        <v>0</v>
      </c>
      <c r="AO47" s="114">
        <f>IFERROR(INDEX(база!$D$2:$D$120, MATCH(Таблица14[[#This Row],[Ф. И. О.]],база!$B$2:$B$100,0)),"")</f>
        <v>0</v>
      </c>
    </row>
    <row r="48" spans="1:45" ht="13.5" customHeight="1">
      <c r="A48" s="192"/>
      <c r="B48" s="223"/>
      <c r="C48" s="544"/>
      <c r="D48" s="199"/>
      <c r="E48" s="224"/>
      <c r="F48" s="679"/>
      <c r="G48" s="225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113">
        <f t="shared" si="0"/>
        <v>0</v>
      </c>
      <c r="AN48" s="540">
        <f>IF(AO48&lt;=3,(IF(AND(G48="5/24",AM48&gt;2),(AM48*2*база!$M$6*Таблица14[[#This Row],[коэф]]),
IF(AND(G48="4/24",AM48&gt;2),(AM48*2*база!$M$5*Таблица14[[#This Row],[коэф]]),
IF(AND(G48="3/24",AM48&gt;2),(AM48*2*база!$M$4*Таблица14[[#This Row],[коэф]]),
IF(AND(G48="5/16",AM48&gt;2),(AM48*2*база!$L$6*Таблица14[[#This Row],[коэф]]),
IF(AND(G48="4/16",AM48&gt;2),(AM48*2*база!$L$5*Таблица14[[#This Row],[коэф]]),
IF(AND(G48="3/16",AM48&gt;2),(AM48*2*база!$L$4*Таблица14[[#This Row],[коэф]]),
IF(AND(G48="4/4",AM48&gt;2),(AM48*2*база!$I$5*Таблица14[[#This Row],[коэф]]),
IF(AND(G48="3/4",AM48&gt;2),(AM48*2*база!$I$4*Таблица14[[#This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(AM48*2*база!$L$4*Таблица14[[#This Row],[коэф]]))))))))))))),
(IF(AND(G48="5/24",AM48&gt;2),(AM48*2*база!$M$6*Таблица14[[#This Row],[коэф]]),
IF(OR(AND(G48="4/24",AM48&gt;2),AND(G48="3/24",AM48&gt;2)),(AM48*2*база!$M$5*Таблица14[[#This Row],[коэф]]),
IF(AND(G48="5/16",AM48&gt;2),(AM48*2*база!$L$6*Таблица14[[#This Row],[коэф]]),
IF(OR(AND(G48="4/16",AM48&gt;2),AND(G48="3/16",AM48&gt;2)),(AM48*2*база!$L$5*Таблица14[[#This Row],[коэф]]),
IF(OR(AND(G48="4/4",AM48&gt;2),AND(G48="3/4",AM48&gt;2)),(AM48*2*база!$I$5*Таблица14[[#This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(AM48*2*база!$L$5*Таблица14[[#This Row],[коэф]])))))))))))</f>
        <v>0</v>
      </c>
      <c r="AO48" s="114">
        <f>IFERROR(INDEX(база!$D$2:$D$120, MATCH(Таблица14[[#This Row],[Ф. И. О.]],база!$B$2:$B$100,0)),"")</f>
        <v>0</v>
      </c>
    </row>
    <row r="49" spans="1:41" ht="13.5" customHeight="1">
      <c r="A49" s="192"/>
      <c r="B49" s="189"/>
      <c r="C49" s="544"/>
      <c r="D49" s="199"/>
      <c r="E49" s="226"/>
      <c r="F49" s="679"/>
      <c r="G49" s="191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113">
        <f t="shared" si="0"/>
        <v>0</v>
      </c>
      <c r="AN49" s="540">
        <f>IF(AO49&lt;=3,(IF(AND(G49="5/24",AM49&gt;2),(AM49*2*база!$M$6*Таблица14[[#This Row],[коэф]]),
IF(AND(G49="4/24",AM49&gt;2),(AM49*2*база!$M$5*Таблица14[[#This Row],[коэф]]),
IF(AND(G49="3/24",AM49&gt;2),(AM49*2*база!$M$4*Таблица14[[#This Row],[коэф]]),
IF(AND(G49="5/16",AM49&gt;2),(AM49*2*база!$L$6*Таблица14[[#This Row],[коэф]]),
IF(AND(G49="4/16",AM49&gt;2),(AM49*2*база!$L$5*Таблица14[[#This Row],[коэф]]),
IF(AND(G49="3/16",AM49&gt;2),(AM49*2*база!$L$4*Таблица14[[#This Row],[коэф]]),
IF(AND(G49="4/4",AM49&gt;2),(AM49*2*база!$I$5*Таблица14[[#This Row],[коэф]]),
IF(AND(G49="3/4",AM49&gt;2),(AM49*2*база!$I$4*Таблица14[[#This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(AM49*2*база!$L$4*Таблица14[[#This Row],[коэф]]))))))))))))),
(IF(AND(G49="5/24",AM49&gt;2),(AM49*2*база!$M$6*Таблица14[[#This Row],[коэф]]),
IF(OR(AND(G49="4/24",AM49&gt;2),AND(G49="3/24",AM49&gt;2)),(AM49*2*база!$M$5*Таблица14[[#This Row],[коэф]]),
IF(AND(G49="5/16",AM49&gt;2),(AM49*2*база!$L$6*Таблица14[[#This Row],[коэф]]),
IF(OR(AND(G49="4/16",AM49&gt;2),AND(G49="3/16",AM49&gt;2)),(AM49*2*база!$L$5*Таблица14[[#This Row],[коэф]]),
IF(OR(AND(G49="4/4",AM49&gt;2),AND(G49="3/4",AM49&gt;2)),(AM49*2*база!$I$5*Таблица14[[#This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(AM49*2*база!$L$5*Таблица14[[#This Row],[коэф]])))))))))))</f>
        <v>0</v>
      </c>
      <c r="AO49" s="114">
        <f>IFERROR(INDEX(база!$D$2:$D$120, MATCH(Таблица14[[#This Row],[Ф. И. О.]],база!$B$2:$B$100,0)),"")</f>
        <v>0</v>
      </c>
    </row>
    <row r="50" spans="1:41" ht="13.5" customHeight="1">
      <c r="A50" s="192"/>
      <c r="B50" s="223"/>
      <c r="C50" s="544"/>
      <c r="D50" s="199"/>
      <c r="E50" s="224"/>
      <c r="F50" s="679"/>
      <c r="G50" s="225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113">
        <f t="shared" si="0"/>
        <v>0</v>
      </c>
      <c r="AN50" s="540">
        <f>IF(AO50&lt;=3,(IF(AND(G50="5/24",AM50&gt;2),(AM50*2*база!$M$6*Таблица14[[#This Row],[коэф]]),
IF(AND(G50="4/24",AM50&gt;2),(AM50*2*база!$M$5*Таблица14[[#This Row],[коэф]]),
IF(AND(G50="3/24",AM50&gt;2),(AM50*2*база!$M$4*Таблица14[[#This Row],[коэф]]),
IF(AND(G50="5/16",AM50&gt;2),(AM50*2*база!$L$6*Таблица14[[#This Row],[коэф]]),
IF(AND(G50="4/16",AM50&gt;2),(AM50*2*база!$L$5*Таблица14[[#This Row],[коэф]]),
IF(AND(G50="3/16",AM50&gt;2),(AM50*2*база!$L$4*Таблица14[[#This Row],[коэф]]),
IF(AND(G50="4/4",AM50&gt;2),(AM50*2*база!$I$5*Таблица14[[#This Row],[коэф]]),
IF(AND(G50="3/4",AM50&gt;2),(AM50*2*база!$I$4*Таблица14[[#This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(AM50*2*база!$L$4*Таблица14[[#This Row],[коэф]]))))))))))))),
(IF(AND(G50="5/24",AM50&gt;2),(AM50*2*база!$M$6*Таблица14[[#This Row],[коэф]]),
IF(OR(AND(G50="4/24",AM50&gt;2),AND(G50="3/24",AM50&gt;2)),(AM50*2*база!$M$5*Таблица14[[#This Row],[коэф]]),
IF(AND(G50="5/16",AM50&gt;2),(AM50*2*база!$L$6*Таблица14[[#This Row],[коэф]]),
IF(OR(AND(G50="4/16",AM50&gt;2),AND(G50="3/16",AM50&gt;2)),(AM50*2*база!$L$5*Таблица14[[#This Row],[коэф]]),
IF(OR(AND(G50="4/4",AM50&gt;2),AND(G50="3/4",AM50&gt;2)),(AM50*2*база!$I$5*Таблица14[[#This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(AM50*2*база!$L$5*Таблица14[[#This Row],[коэф]])))))))))))</f>
        <v>0</v>
      </c>
      <c r="AO50" s="114">
        <f>IFERROR(INDEX(база!$D$2:$D$120, MATCH(Таблица14[[#This Row],[Ф. И. О.]],база!$B$2:$B$100,0)),"")</f>
        <v>0</v>
      </c>
    </row>
    <row r="51" spans="1:41" ht="13.5" customHeight="1">
      <c r="A51" s="192"/>
      <c r="B51" s="189"/>
      <c r="C51" s="544"/>
      <c r="D51" s="199"/>
      <c r="E51" s="226"/>
      <c r="F51" s="679"/>
      <c r="G51" s="191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113">
        <f t="shared" si="0"/>
        <v>0</v>
      </c>
      <c r="AN51" s="540">
        <f>IF(AO51&lt;=3,(IF(AND(G51="5/24",AM51&gt;2),(AM51*2*база!$M$6*Таблица14[[#This Row],[коэф]]),
IF(AND(G51="4/24",AM51&gt;2),(AM51*2*база!$M$5*Таблица14[[#This Row],[коэф]]),
IF(AND(G51="3/24",AM51&gt;2),(AM51*2*база!$M$4*Таблица14[[#This Row],[коэф]]),
IF(AND(G51="5/16",AM51&gt;2),(AM51*2*база!$L$6*Таблица14[[#This Row],[коэф]]),
IF(AND(G51="4/16",AM51&gt;2),(AM51*2*база!$L$5*Таблица14[[#This Row],[коэф]]),
IF(AND(G51="3/16",AM51&gt;2),(AM51*2*база!$L$4*Таблица14[[#This Row],[коэф]]),
IF(AND(G51="4/4",AM51&gt;2),(AM51*2*база!$I$5*Таблица14[[#This Row],[коэф]]),
IF(AND(G51="3/4",AM51&gt;2),(AM51*2*база!$I$4*Таблица14[[#This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(AM51*2*база!$L$4*Таблица14[[#This Row],[коэф]]))))))))))))),
(IF(AND(G51="5/24",AM51&gt;2),(AM51*2*база!$M$6*Таблица14[[#This Row],[коэф]]),
IF(OR(AND(G51="4/24",AM51&gt;2),AND(G51="3/24",AM51&gt;2)),(AM51*2*база!$M$5*Таблица14[[#This Row],[коэф]]),
IF(AND(G51="5/16",AM51&gt;2),(AM51*2*база!$L$6*Таблица14[[#This Row],[коэф]]),
IF(OR(AND(G51="4/16",AM51&gt;2),AND(G51="3/16",AM51&gt;2)),(AM51*2*база!$L$5*Таблица14[[#This Row],[коэф]]),
IF(OR(AND(G51="4/4",AM51&gt;2),AND(G51="3/4",AM51&gt;2)),(AM51*2*база!$I$5*Таблица14[[#This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(AM51*2*база!$L$5*Таблица14[[#This Row],[коэф]])))))))))))</f>
        <v>0</v>
      </c>
      <c r="AO51" s="114">
        <f>IFERROR(INDEX(база!$D$2:$D$120, MATCH(Таблица14[[#This Row],[Ф. И. О.]],база!$B$2:$B$100,0)),"")</f>
        <v>0</v>
      </c>
    </row>
    <row r="52" spans="1:41" ht="13.5" customHeight="1">
      <c r="A52" s="192"/>
      <c r="B52" s="223"/>
      <c r="C52" s="544"/>
      <c r="D52" s="199"/>
      <c r="E52" s="224"/>
      <c r="F52" s="679"/>
      <c r="G52" s="225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113">
        <f t="shared" si="0"/>
        <v>0</v>
      </c>
      <c r="AN52" s="540">
        <f>IF(AO52&lt;=3,(IF(AND(G52="5/24",AM52&gt;2),(AM52*2*база!$M$6*Таблица14[[#This Row],[коэф]]),
IF(AND(G52="4/24",AM52&gt;2),(AM52*2*база!$M$5*Таблица14[[#This Row],[коэф]]),
IF(AND(G52="3/24",AM52&gt;2),(AM52*2*база!$M$4*Таблица14[[#This Row],[коэф]]),
IF(AND(G52="5/16",AM52&gt;2),(AM52*2*база!$L$6*Таблица14[[#This Row],[коэф]]),
IF(AND(G52="4/16",AM52&gt;2),(AM52*2*база!$L$5*Таблица14[[#This Row],[коэф]]),
IF(AND(G52="3/16",AM52&gt;2),(AM52*2*база!$L$4*Таблица14[[#This Row],[коэф]]),
IF(AND(G52="4/4",AM52&gt;2),(AM52*2*база!$I$5*Таблица14[[#This Row],[коэф]]),
IF(AND(G52="3/4",AM52&gt;2),(AM52*2*база!$I$4*Таблица14[[#This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(AM52*2*база!$L$4*Таблица14[[#This Row],[коэф]]))))))))))))),
(IF(AND(G52="5/24",AM52&gt;2),(AM52*2*база!$M$6*Таблица14[[#This Row],[коэф]]),
IF(OR(AND(G52="4/24",AM52&gt;2),AND(G52="3/24",AM52&gt;2)),(AM52*2*база!$M$5*Таблица14[[#This Row],[коэф]]),
IF(AND(G52="5/16",AM52&gt;2),(AM52*2*база!$L$6*Таблица14[[#This Row],[коэф]]),
IF(OR(AND(G52="4/16",AM52&gt;2),AND(G52="3/16",AM52&gt;2)),(AM52*2*база!$L$5*Таблица14[[#This Row],[коэф]]),
IF(OR(AND(G52="4/4",AM52&gt;2),AND(G52="3/4",AM52&gt;2)),(AM52*2*база!$I$5*Таблица14[[#This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(AM52*2*база!$L$5*Таблица14[[#This Row],[коэф]])))))))))))</f>
        <v>0</v>
      </c>
      <c r="AO52" s="114">
        <f>IFERROR(INDEX(база!$D$2:$D$120, MATCH(Таблица14[[#This Row],[Ф. И. О.]],база!$B$2:$B$100,0)),"")</f>
        <v>0</v>
      </c>
    </row>
    <row r="53" spans="1:41" ht="13.5" customHeight="1">
      <c r="A53" s="192"/>
      <c r="B53" s="189"/>
      <c r="C53" s="544"/>
      <c r="D53" s="199"/>
      <c r="E53" s="226"/>
      <c r="F53" s="679"/>
      <c r="G53" s="191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113">
        <f t="shared" si="0"/>
        <v>0</v>
      </c>
      <c r="AN53" s="540">
        <f>IF(AO53&lt;=3,(IF(AND(G53="5/24",AM53&gt;2),(AM53*2*база!$M$6*Таблица14[[#This Row],[коэф]]),
IF(AND(G53="4/24",AM53&gt;2),(AM53*2*база!$M$5*Таблица14[[#This Row],[коэф]]),
IF(AND(G53="3/24",AM53&gt;2),(AM53*2*база!$M$4*Таблица14[[#This Row],[коэф]]),
IF(AND(G53="5/16",AM53&gt;2),(AM53*2*база!$L$6*Таблица14[[#This Row],[коэф]]),
IF(AND(G53="4/16",AM53&gt;2),(AM53*2*база!$L$5*Таблица14[[#This Row],[коэф]]),
IF(AND(G53="3/16",AM53&gt;2),(AM53*2*база!$L$4*Таблица14[[#This Row],[коэф]]),
IF(AND(G53="4/4",AM53&gt;2),(AM53*2*база!$I$5*Таблица14[[#This Row],[коэф]]),
IF(AND(G53="3/4",AM53&gt;2),(AM53*2*база!$I$4*Таблица14[[#This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(AM53*2*база!$L$4*Таблица14[[#This Row],[коэф]]))))))))))))),
(IF(AND(G53="5/24",AM53&gt;2),(AM53*2*база!$M$6*Таблица14[[#This Row],[коэф]]),
IF(OR(AND(G53="4/24",AM53&gt;2),AND(G53="3/24",AM53&gt;2)),(AM53*2*база!$M$5*Таблица14[[#This Row],[коэф]]),
IF(AND(G53="5/16",AM53&gt;2),(AM53*2*база!$L$6*Таблица14[[#This Row],[коэф]]),
IF(OR(AND(G53="4/16",AM53&gt;2),AND(G53="3/16",AM53&gt;2)),(AM53*2*база!$L$5*Таблица14[[#This Row],[коэф]]),
IF(OR(AND(G53="4/4",AM53&gt;2),AND(G53="3/4",AM53&gt;2)),(AM53*2*база!$I$5*Таблица14[[#This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(AM53*2*база!$L$5*Таблица14[[#This Row],[коэф]])))))))))))</f>
        <v>0</v>
      </c>
      <c r="AO53" s="114">
        <f>IFERROR(INDEX(база!$D$2:$D$120, MATCH(Таблица14[[#This Row],[Ф. И. О.]],база!$B$2:$B$100,0)),"")</f>
        <v>0</v>
      </c>
    </row>
    <row r="54" spans="1:41" ht="13.5" customHeight="1">
      <c r="A54" s="192"/>
      <c r="B54" s="223"/>
      <c r="C54" s="544"/>
      <c r="D54" s="199"/>
      <c r="E54" s="224"/>
      <c r="F54" s="679"/>
      <c r="G54" s="225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113">
        <f t="shared" si="0"/>
        <v>0</v>
      </c>
      <c r="AN54" s="540">
        <f>IF(AO54&lt;=3,(IF(AND(G54="5/24",AM54&gt;2),(AM54*2*база!$M$6*Таблица14[[#This Row],[коэф]]),
IF(AND(G54="4/24",AM54&gt;2),(AM54*2*база!$M$5*Таблица14[[#This Row],[коэф]]),
IF(AND(G54="3/24",AM54&gt;2),(AM54*2*база!$M$4*Таблица14[[#This Row],[коэф]]),
IF(AND(G54="5/16",AM54&gt;2),(AM54*2*база!$L$6*Таблица14[[#This Row],[коэф]]),
IF(AND(G54="4/16",AM54&gt;2),(AM54*2*база!$L$5*Таблица14[[#This Row],[коэф]]),
IF(AND(G54="3/16",AM54&gt;2),(AM54*2*база!$L$4*Таблица14[[#This Row],[коэф]]),
IF(AND(G54="4/4",AM54&gt;2),(AM54*2*база!$I$5*Таблица14[[#This Row],[коэф]]),
IF(AND(G54="3/4",AM54&gt;2),(AM54*2*база!$I$4*Таблица14[[#This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(AM54*2*база!$L$4*Таблица14[[#This Row],[коэф]]))))))))))))),
(IF(AND(G54="5/24",AM54&gt;2),(AM54*2*база!$M$6*Таблица14[[#This Row],[коэф]]),
IF(OR(AND(G54="4/24",AM54&gt;2),AND(G54="3/24",AM54&gt;2)),(AM54*2*база!$M$5*Таблица14[[#This Row],[коэф]]),
IF(AND(G54="5/16",AM54&gt;2),(AM54*2*база!$L$6*Таблица14[[#This Row],[коэф]]),
IF(OR(AND(G54="4/16",AM54&gt;2),AND(G54="3/16",AM54&gt;2)),(AM54*2*база!$L$5*Таблица14[[#This Row],[коэф]]),
IF(OR(AND(G54="4/4",AM54&gt;2),AND(G54="3/4",AM54&gt;2)),(AM54*2*база!$I$5*Таблица14[[#This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(AM54*2*база!$L$5*Таблица14[[#This Row],[коэф]])))))))))))</f>
        <v>0</v>
      </c>
      <c r="AO54" s="114">
        <f>IFERROR(INDEX(база!$D$2:$D$120, MATCH(Таблица14[[#This Row],[Ф. И. О.]],база!$B$2:$B$100,0)),"")</f>
        <v>0</v>
      </c>
    </row>
    <row r="55" spans="1:41" ht="13.5" customHeight="1">
      <c r="A55" s="192"/>
      <c r="B55" s="189"/>
      <c r="C55" s="544"/>
      <c r="D55" s="199"/>
      <c r="E55" s="226"/>
      <c r="F55" s="679"/>
      <c r="G55" s="191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113">
        <f t="shared" si="0"/>
        <v>0</v>
      </c>
      <c r="AN55" s="540">
        <f>IF(AO55&lt;=3,(IF(AND(G55="5/24",AM55&gt;2),(AM55*2*база!$M$6*Таблица14[[#This Row],[коэф]]),
IF(AND(G55="4/24",AM55&gt;2),(AM55*2*база!$M$5*Таблица14[[#This Row],[коэф]]),
IF(AND(G55="3/24",AM55&gt;2),(AM55*2*база!$M$4*Таблица14[[#This Row],[коэф]]),
IF(AND(G55="5/16",AM55&gt;2),(AM55*2*база!$L$6*Таблица14[[#This Row],[коэф]]),
IF(AND(G55="4/16",AM55&gt;2),(AM55*2*база!$L$5*Таблица14[[#This Row],[коэф]]),
IF(AND(G55="3/16",AM55&gt;2),(AM55*2*база!$L$4*Таблица14[[#This Row],[коэф]]),
IF(AND(G55="4/4",AM55&gt;2),(AM55*2*база!$I$5*Таблица14[[#This Row],[коэф]]),
IF(AND(G55="3/4",AM55&gt;2),(AM55*2*база!$I$4*Таблица14[[#This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(AM55*2*база!$L$4*Таблица14[[#This Row],[коэф]]))))))))))))),
(IF(AND(G55="5/24",AM55&gt;2),(AM55*2*база!$M$6*Таблица14[[#This Row],[коэф]]),
IF(OR(AND(G55="4/24",AM55&gt;2),AND(G55="3/24",AM55&gt;2)),(AM55*2*база!$M$5*Таблица14[[#This Row],[коэф]]),
IF(AND(G55="5/16",AM55&gt;2),(AM55*2*база!$L$6*Таблица14[[#This Row],[коэф]]),
IF(OR(AND(G55="4/16",AM55&gt;2),AND(G55="3/16",AM55&gt;2)),(AM55*2*база!$L$5*Таблица14[[#This Row],[коэф]]),
IF(OR(AND(G55="4/4",AM55&gt;2),AND(G55="3/4",AM55&gt;2)),(AM55*2*база!$I$5*Таблица14[[#This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(AM55*2*база!$L$5*Таблица14[[#This Row],[коэф]])))))))))))</f>
        <v>0</v>
      </c>
      <c r="AO55" s="114">
        <f>IFERROR(INDEX(база!$D$2:$D$120, MATCH(Таблица14[[#This Row],[Ф. И. О.]],база!$B$2:$B$100,0)),"")</f>
        <v>0</v>
      </c>
    </row>
    <row r="56" spans="1:41" ht="13.5" customHeight="1">
      <c r="A56" s="192"/>
      <c r="B56" s="223"/>
      <c r="C56" s="544"/>
      <c r="D56" s="199"/>
      <c r="E56" s="224"/>
      <c r="F56" s="679"/>
      <c r="G56" s="225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113">
        <f t="shared" si="0"/>
        <v>0</v>
      </c>
      <c r="AN56" s="540">
        <f>IF(AO56&lt;=3,(IF(AND(G56="5/24",AM56&gt;2),(AM56*2*база!$M$6*Таблица14[[#This Row],[коэф]]),
IF(AND(G56="4/24",AM56&gt;2),(AM56*2*база!$M$5*Таблица14[[#This Row],[коэф]]),
IF(AND(G56="3/24",AM56&gt;2),(AM56*2*база!$M$4*Таблица14[[#This Row],[коэф]]),
IF(AND(G56="5/16",AM56&gt;2),(AM56*2*база!$L$6*Таблица14[[#This Row],[коэф]]),
IF(AND(G56="4/16",AM56&gt;2),(AM56*2*база!$L$5*Таблица14[[#This Row],[коэф]]),
IF(AND(G56="3/16",AM56&gt;2),(AM56*2*база!$L$4*Таблица14[[#This Row],[коэф]]),
IF(AND(G56="4/4",AM56&gt;2),(AM56*2*база!$I$5*Таблица14[[#This Row],[коэф]]),
IF(AND(G56="3/4",AM56&gt;2),(AM56*2*база!$I$4*Таблица14[[#This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(AM56*2*база!$L$4*Таблица14[[#This Row],[коэф]]))))))))))))),
(IF(AND(G56="5/24",AM56&gt;2),(AM56*2*база!$M$6*Таблица14[[#This Row],[коэф]]),
IF(OR(AND(G56="4/24",AM56&gt;2),AND(G56="3/24",AM56&gt;2)),(AM56*2*база!$M$5*Таблица14[[#This Row],[коэф]]),
IF(AND(G56="5/16",AM56&gt;2),(AM56*2*база!$L$6*Таблица14[[#This Row],[коэф]]),
IF(OR(AND(G56="4/16",AM56&gt;2),AND(G56="3/16",AM56&gt;2)),(AM56*2*база!$L$5*Таблица14[[#This Row],[коэф]]),
IF(OR(AND(G56="4/4",AM56&gt;2),AND(G56="3/4",AM56&gt;2)),(AM56*2*база!$I$5*Таблица14[[#This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(AM56*2*база!$L$5*Таблица14[[#This Row],[коэф]])))))))))))</f>
        <v>0</v>
      </c>
      <c r="AO56" s="114">
        <f>IFERROR(INDEX(база!$D$2:$D$120, MATCH(Таблица14[[#This Row],[Ф. И. О.]],база!$B$2:$B$100,0)),"")</f>
        <v>0</v>
      </c>
    </row>
    <row r="57" spans="1:41" ht="13.5" customHeight="1">
      <c r="A57" s="192"/>
      <c r="B57" s="189"/>
      <c r="C57" s="544"/>
      <c r="D57" s="199"/>
      <c r="E57" s="226"/>
      <c r="F57" s="679"/>
      <c r="G57" s="191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113">
        <f t="shared" si="0"/>
        <v>0</v>
      </c>
      <c r="AN57" s="540">
        <f>IF(AO57&lt;=3,(IF(AND(G57="5/24",AM57&gt;2),(AM57*2*база!$M$6*Таблица14[[#This Row],[коэф]]),
IF(AND(G57="4/24",AM57&gt;2),(AM57*2*база!$M$5*Таблица14[[#This Row],[коэф]]),
IF(AND(G57="3/24",AM57&gt;2),(AM57*2*база!$M$4*Таблица14[[#This Row],[коэф]]),
IF(AND(G57="5/16",AM57&gt;2),(AM57*2*база!$L$6*Таблица14[[#This Row],[коэф]]),
IF(AND(G57="4/16",AM57&gt;2),(AM57*2*база!$L$5*Таблица14[[#This Row],[коэф]]),
IF(AND(G57="3/16",AM57&gt;2),(AM57*2*база!$L$4*Таблица14[[#This Row],[коэф]]),
IF(AND(G57="4/4",AM57&gt;2),(AM57*2*база!$I$5*Таблица14[[#This Row],[коэф]]),
IF(AND(G57="3/4",AM57&gt;2),(AM57*2*база!$I$4*Таблица14[[#This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(AM57*2*база!$L$4*Таблица14[[#This Row],[коэф]]))))))))))))),
(IF(AND(G57="5/24",AM57&gt;2),(AM57*2*база!$M$6*Таблица14[[#This Row],[коэф]]),
IF(OR(AND(G57="4/24",AM57&gt;2),AND(G57="3/24",AM57&gt;2)),(AM57*2*база!$M$5*Таблица14[[#This Row],[коэф]]),
IF(AND(G57="5/16",AM57&gt;2),(AM57*2*база!$L$6*Таблица14[[#This Row],[коэф]]),
IF(OR(AND(G57="4/16",AM57&gt;2),AND(G57="3/16",AM57&gt;2)),(AM57*2*база!$L$5*Таблица14[[#This Row],[коэф]]),
IF(OR(AND(G57="4/4",AM57&gt;2),AND(G57="3/4",AM57&gt;2)),(AM57*2*база!$I$5*Таблица14[[#This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(AM57*2*база!$L$5*Таблица14[[#This Row],[коэф]])))))))))))</f>
        <v>0</v>
      </c>
      <c r="AO57" s="114">
        <f>IFERROR(INDEX(база!$D$2:$D$120, MATCH(Таблица14[[#This Row],[Ф. И. О.]],база!$B$2:$B$100,0)),"")</f>
        <v>0</v>
      </c>
    </row>
    <row r="58" spans="1:41" ht="13.5" customHeight="1">
      <c r="A58" s="192"/>
      <c r="B58" s="223"/>
      <c r="C58" s="544"/>
      <c r="D58" s="199"/>
      <c r="E58" s="224"/>
      <c r="F58" s="679"/>
      <c r="G58" s="225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113">
        <f t="shared" si="0"/>
        <v>0</v>
      </c>
      <c r="AN58" s="540">
        <f>IF(AO58&lt;=3,(IF(AND(G58="5/24",AM58&gt;2),(AM58*2*база!$M$6*Таблица14[[#This Row],[коэф]]),
IF(AND(G58="4/24",AM58&gt;2),(AM58*2*база!$M$5*Таблица14[[#This Row],[коэф]]),
IF(AND(G58="3/24",AM58&gt;2),(AM58*2*база!$M$4*Таблица14[[#This Row],[коэф]]),
IF(AND(G58="5/16",AM58&gt;2),(AM58*2*база!$L$6*Таблица14[[#This Row],[коэф]]),
IF(AND(G58="4/16",AM58&gt;2),(AM58*2*база!$L$5*Таблица14[[#This Row],[коэф]]),
IF(AND(G58="3/16",AM58&gt;2),(AM58*2*база!$L$4*Таблица14[[#This Row],[коэф]]),
IF(AND(G58="4/4",AM58&gt;2),(AM58*2*база!$I$5*Таблица14[[#This Row],[коэф]]),
IF(AND(G58="3/4",AM58&gt;2),(AM58*2*база!$I$4*Таблица14[[#This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(AM58*2*база!$L$4*Таблица14[[#This Row],[коэф]]))))))))))))),
(IF(AND(G58="5/24",AM58&gt;2),(AM58*2*база!$M$6*Таблица14[[#This Row],[коэф]]),
IF(OR(AND(G58="4/24",AM58&gt;2),AND(G58="3/24",AM58&gt;2)),(AM58*2*база!$M$5*Таблица14[[#This Row],[коэф]]),
IF(AND(G58="5/16",AM58&gt;2),(AM58*2*база!$L$6*Таблица14[[#This Row],[коэф]]),
IF(OR(AND(G58="4/16",AM58&gt;2),AND(G58="3/16",AM58&gt;2)),(AM58*2*база!$L$5*Таблица14[[#This Row],[коэф]]),
IF(OR(AND(G58="4/4",AM58&gt;2),AND(G58="3/4",AM58&gt;2)),(AM58*2*база!$I$5*Таблица14[[#This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(AM58*2*база!$L$5*Таблица14[[#This Row],[коэф]])))))))))))</f>
        <v>0</v>
      </c>
      <c r="AO58" s="114">
        <f>IFERROR(INDEX(база!$D$2:$D$120, MATCH(Таблица14[[#This Row],[Ф. И. О.]],база!$B$2:$B$100,0)),"")</f>
        <v>0</v>
      </c>
    </row>
    <row r="59" spans="1:41" ht="13.5" customHeight="1">
      <c r="A59" s="192"/>
      <c r="B59" s="189"/>
      <c r="C59" s="544"/>
      <c r="D59" s="199"/>
      <c r="E59" s="226"/>
      <c r="F59" s="679"/>
      <c r="G59" s="191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113">
        <f t="shared" si="0"/>
        <v>0</v>
      </c>
      <c r="AN59" s="540">
        <f>IF(AO59&lt;=3,(IF(AND(G59="5/24",AM59&gt;2),(AM59*2*база!$M$6*Таблица14[[#This Row],[коэф]]),
IF(AND(G59="4/24",AM59&gt;2),(AM59*2*база!$M$5*Таблица14[[#This Row],[коэф]]),
IF(AND(G59="3/24",AM59&gt;2),(AM59*2*база!$M$4*Таблица14[[#This Row],[коэф]]),
IF(AND(G59="5/16",AM59&gt;2),(AM59*2*база!$L$6*Таблица14[[#This Row],[коэф]]),
IF(AND(G59="4/16",AM59&gt;2),(AM59*2*база!$L$5*Таблица14[[#This Row],[коэф]]),
IF(AND(G59="3/16",AM59&gt;2),(AM59*2*база!$L$4*Таблица14[[#This Row],[коэф]]),
IF(AND(G59="4/4",AM59&gt;2),(AM59*2*база!$I$5*Таблица14[[#This Row],[коэф]]),
IF(AND(G59="3/4",AM59&gt;2),(AM59*2*база!$I$4*Таблица14[[#This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(AM59*2*база!$L$4*Таблица14[[#This Row],[коэф]]))))))))))))),
(IF(AND(G59="5/24",AM59&gt;2),(AM59*2*база!$M$6*Таблица14[[#This Row],[коэф]]),
IF(OR(AND(G59="4/24",AM59&gt;2),AND(G59="3/24",AM59&gt;2)),(AM59*2*база!$M$5*Таблица14[[#This Row],[коэф]]),
IF(AND(G59="5/16",AM59&gt;2),(AM59*2*база!$L$6*Таблица14[[#This Row],[коэф]]),
IF(OR(AND(G59="4/16",AM59&gt;2),AND(G59="3/16",AM59&gt;2)),(AM59*2*база!$L$5*Таблица14[[#This Row],[коэф]]),
IF(OR(AND(G59="4/4",AM59&gt;2),AND(G59="3/4",AM59&gt;2)),(AM59*2*база!$I$5*Таблица14[[#This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(AM59*2*база!$L$5*Таблица14[[#This Row],[коэф]])))))))))))</f>
        <v>0</v>
      </c>
      <c r="AO59" s="114">
        <f>IFERROR(INDEX(база!$D$2:$D$120, MATCH(Таблица14[[#This Row],[Ф. И. О.]],база!$B$2:$B$100,0)),"")</f>
        <v>0</v>
      </c>
    </row>
    <row r="60" spans="1:41" ht="13.5" customHeight="1">
      <c r="A60" s="192"/>
      <c r="B60" s="223"/>
      <c r="C60" s="544"/>
      <c r="D60" s="199"/>
      <c r="E60" s="224"/>
      <c r="F60" s="679"/>
      <c r="G60" s="225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113">
        <f t="shared" si="0"/>
        <v>0</v>
      </c>
      <c r="AN60" s="540">
        <f>IF(AO60&lt;=3,(IF(AND(G60="5/24",AM60&gt;2),(AM60*2*база!$M$6*Таблица14[[#This Row],[коэф]]),
IF(AND(G60="4/24",AM60&gt;2),(AM60*2*база!$M$5*Таблица14[[#This Row],[коэф]]),
IF(AND(G60="3/24",AM60&gt;2),(AM60*2*база!$M$4*Таблица14[[#This Row],[коэф]]),
IF(AND(G60="5/16",AM60&gt;2),(AM60*2*база!$L$6*Таблица14[[#This Row],[коэф]]),
IF(AND(G60="4/16",AM60&gt;2),(AM60*2*база!$L$5*Таблица14[[#This Row],[коэф]]),
IF(AND(G60="3/16",AM60&gt;2),(AM60*2*база!$L$4*Таблица14[[#This Row],[коэф]]),
IF(AND(G60="4/4",AM60&gt;2),(AM60*2*база!$I$5*Таблица14[[#This Row],[коэф]]),
IF(AND(G60="3/4",AM60&gt;2),(AM60*2*база!$I$4*Таблица14[[#This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(AM60*2*база!$L$4*Таблица14[[#This Row],[коэф]]))))))))))))),
(IF(AND(G60="5/24",AM60&gt;2),(AM60*2*база!$M$6*Таблица14[[#This Row],[коэф]]),
IF(OR(AND(G60="4/24",AM60&gt;2),AND(G60="3/24",AM60&gt;2)),(AM60*2*база!$M$5*Таблица14[[#This Row],[коэф]]),
IF(AND(G60="5/16",AM60&gt;2),(AM60*2*база!$L$6*Таблица14[[#This Row],[коэф]]),
IF(OR(AND(G60="4/16",AM60&gt;2),AND(G60="3/16",AM60&gt;2)),(AM60*2*база!$L$5*Таблица14[[#This Row],[коэф]]),
IF(OR(AND(G60="4/4",AM60&gt;2),AND(G60="3/4",AM60&gt;2)),(AM60*2*база!$I$5*Таблица14[[#This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(AM60*2*база!$L$5*Таблица14[[#This Row],[коэф]])))))))))))</f>
        <v>0</v>
      </c>
      <c r="AO60" s="114">
        <f>IFERROR(INDEX(база!$D$2:$D$120, MATCH(Таблица14[[#This Row],[Ф. И. О.]],база!$B$2:$B$100,0)),"")</f>
        <v>0</v>
      </c>
    </row>
    <row r="61" spans="1:41" ht="13.5" customHeight="1">
      <c r="A61" s="192"/>
      <c r="B61" s="189"/>
      <c r="C61" s="544"/>
      <c r="D61" s="199"/>
      <c r="E61" s="226"/>
      <c r="F61" s="679"/>
      <c r="G61" s="191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113">
        <f t="shared" si="0"/>
        <v>0</v>
      </c>
      <c r="AN61" s="540">
        <f>IF(AO61&lt;=3,(IF(AND(G61="5/24",AM61&gt;2),(AM61*2*база!$M$6*Таблица14[[#This Row],[коэф]]),
IF(AND(G61="4/24",AM61&gt;2),(AM61*2*база!$M$5*Таблица14[[#This Row],[коэф]]),
IF(AND(G61="3/24",AM61&gt;2),(AM61*2*база!$M$4*Таблица14[[#This Row],[коэф]]),
IF(AND(G61="5/16",AM61&gt;2),(AM61*2*база!$L$6*Таблица14[[#This Row],[коэф]]),
IF(AND(G61="4/16",AM61&gt;2),(AM61*2*база!$L$5*Таблица14[[#This Row],[коэф]]),
IF(AND(G61="3/16",AM61&gt;2),(AM61*2*база!$L$4*Таблица14[[#This Row],[коэф]]),
IF(AND(G61="4/4",AM61&gt;2),(AM61*2*база!$I$5*Таблица14[[#This Row],[коэф]]),
IF(AND(G61="3/4",AM61&gt;2),(AM61*2*база!$I$4*Таблица14[[#This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(AM61*2*база!$L$4*Таблица14[[#This Row],[коэф]]))))))))))))),
(IF(AND(G61="5/24",AM61&gt;2),(AM61*2*база!$M$6*Таблица14[[#This Row],[коэф]]),
IF(OR(AND(G61="4/24",AM61&gt;2),AND(G61="3/24",AM61&gt;2)),(AM61*2*база!$M$5*Таблица14[[#This Row],[коэф]]),
IF(AND(G61="5/16",AM61&gt;2),(AM61*2*база!$L$6*Таблица14[[#This Row],[коэф]]),
IF(OR(AND(G61="4/16",AM61&gt;2),AND(G61="3/16",AM61&gt;2)),(AM61*2*база!$L$5*Таблица14[[#This Row],[коэф]]),
IF(OR(AND(G61="4/4",AM61&gt;2),AND(G61="3/4",AM61&gt;2)),(AM61*2*база!$I$5*Таблица14[[#This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(AM61*2*база!$L$5*Таблица14[[#This Row],[коэф]])))))))))))</f>
        <v>0</v>
      </c>
      <c r="AO61" s="114">
        <f>IFERROR(INDEX(база!$D$2:$D$120, MATCH(Таблица14[[#This Row],[Ф. И. О.]],база!$B$2:$B$100,0)),"")</f>
        <v>0</v>
      </c>
    </row>
    <row r="62" spans="1:41" ht="13.5" customHeight="1">
      <c r="A62" s="192"/>
      <c r="B62" s="223"/>
      <c r="C62" s="544"/>
      <c r="D62" s="199"/>
      <c r="E62" s="224"/>
      <c r="F62" s="679"/>
      <c r="G62" s="225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113">
        <f t="shared" si="0"/>
        <v>0</v>
      </c>
      <c r="AN62" s="540">
        <f>IF(AO62&lt;=3,(IF(AND(G62="5/24",AM62&gt;2),(AM62*2*база!$M$6*Таблица14[[#This Row],[коэф]]),
IF(AND(G62="4/24",AM62&gt;2),(AM62*2*база!$M$5*Таблица14[[#This Row],[коэф]]),
IF(AND(G62="3/24",AM62&gt;2),(AM62*2*база!$M$4*Таблица14[[#This Row],[коэф]]),
IF(AND(G62="5/16",AM62&gt;2),(AM62*2*база!$L$6*Таблица14[[#This Row],[коэф]]),
IF(AND(G62="4/16",AM62&gt;2),(AM62*2*база!$L$5*Таблица14[[#This Row],[коэф]]),
IF(AND(G62="3/16",AM62&gt;2),(AM62*2*база!$L$4*Таблица14[[#This Row],[коэф]]),
IF(AND(G62="4/4",AM62&gt;2),(AM62*2*база!$I$5*Таблица14[[#This Row],[коэф]]),
IF(AND(G62="3/4",AM62&gt;2),(AM62*2*база!$I$4*Таблица14[[#This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(AM62*2*база!$L$4*Таблица14[[#This Row],[коэф]]))))))))))))),
(IF(AND(G62="5/24",AM62&gt;2),(AM62*2*база!$M$6*Таблица14[[#This Row],[коэф]]),
IF(OR(AND(G62="4/24",AM62&gt;2),AND(G62="3/24",AM62&gt;2)),(AM62*2*база!$M$5*Таблица14[[#This Row],[коэф]]),
IF(AND(G62="5/16",AM62&gt;2),(AM62*2*база!$L$6*Таблица14[[#This Row],[коэф]]),
IF(OR(AND(G62="4/16",AM62&gt;2),AND(G62="3/16",AM62&gt;2)),(AM62*2*база!$L$5*Таблица14[[#This Row],[коэф]]),
IF(OR(AND(G62="4/4",AM62&gt;2),AND(G62="3/4",AM62&gt;2)),(AM62*2*база!$I$5*Таблица14[[#This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(AM62*2*база!$L$5*Таблица14[[#This Row],[коэф]])))))))))))</f>
        <v>0</v>
      </c>
      <c r="AO62" s="114">
        <f>IFERROR(INDEX(база!$D$2:$D$120, MATCH(Таблица14[[#This Row],[Ф. И. О.]],база!$B$2:$B$100,0)),"")</f>
        <v>0</v>
      </c>
    </row>
    <row r="63" spans="1:41" ht="13.5" customHeight="1">
      <c r="A63" s="192"/>
      <c r="B63" s="189"/>
      <c r="C63" s="544"/>
      <c r="D63" s="199"/>
      <c r="E63" s="226"/>
      <c r="F63" s="679"/>
      <c r="G63" s="191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113">
        <f t="shared" si="0"/>
        <v>0</v>
      </c>
      <c r="AN63" s="540">
        <f>IF(AO63&lt;=3,(IF(AND(G63="5/24",AM63&gt;2),(AM63*2*база!$M$6*Таблица14[[#This Row],[коэф]]),
IF(AND(G63="4/24",AM63&gt;2),(AM63*2*база!$M$5*Таблица14[[#This Row],[коэф]]),
IF(AND(G63="3/24",AM63&gt;2),(AM63*2*база!$M$4*Таблица14[[#This Row],[коэф]]),
IF(AND(G63="5/16",AM63&gt;2),(AM63*2*база!$L$6*Таблица14[[#This Row],[коэф]]),
IF(AND(G63="4/16",AM63&gt;2),(AM63*2*база!$L$5*Таблица14[[#This Row],[коэф]]),
IF(AND(G63="3/16",AM63&gt;2),(AM63*2*база!$L$4*Таблица14[[#This Row],[коэф]]),
IF(AND(G63="4/4",AM63&gt;2),(AM63*2*база!$I$5*Таблица14[[#This Row],[коэф]]),
IF(AND(G63="3/4",AM63&gt;2),(AM63*2*база!$I$4*Таблица14[[#This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(AM63*2*база!$L$4*Таблица14[[#This Row],[коэф]]))))))))))))),
(IF(AND(G63="5/24",AM63&gt;2),(AM63*2*база!$M$6*Таблица14[[#This Row],[коэф]]),
IF(OR(AND(G63="4/24",AM63&gt;2),AND(G63="3/24",AM63&gt;2)),(AM63*2*база!$M$5*Таблица14[[#This Row],[коэф]]),
IF(AND(G63="5/16",AM63&gt;2),(AM63*2*база!$L$6*Таблица14[[#This Row],[коэф]]),
IF(OR(AND(G63="4/16",AM63&gt;2),AND(G63="3/16",AM63&gt;2)),(AM63*2*база!$L$5*Таблица14[[#This Row],[коэф]]),
IF(OR(AND(G63="4/4",AM63&gt;2),AND(G63="3/4",AM63&gt;2)),(AM63*2*база!$I$5*Таблица14[[#This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(AM63*2*база!$L$5*Таблица14[[#This Row],[коэф]])))))))))))</f>
        <v>0</v>
      </c>
      <c r="AO63" s="114">
        <f>IFERROR(INDEX(база!$D$2:$D$120, MATCH(Таблица14[[#This Row],[Ф. И. О.]],база!$B$2:$B$100,0)),"")</f>
        <v>0</v>
      </c>
    </row>
    <row r="64" spans="1:41" ht="13.5" customHeight="1">
      <c r="A64" s="192"/>
      <c r="B64" s="223"/>
      <c r="C64" s="544"/>
      <c r="D64" s="199"/>
      <c r="E64" s="224"/>
      <c r="F64" s="679"/>
      <c r="G64" s="225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113">
        <f t="shared" si="0"/>
        <v>0</v>
      </c>
      <c r="AN64" s="540">
        <f>IF(AO64&lt;=3,(IF(AND(G64="5/24",AM64&gt;2),(AM64*2*база!$M$6*Таблица14[[#This Row],[коэф]]),
IF(AND(G64="4/24",AM64&gt;2),(AM64*2*база!$M$5*Таблица14[[#This Row],[коэф]]),
IF(AND(G64="3/24",AM64&gt;2),(AM64*2*база!$M$4*Таблица14[[#This Row],[коэф]]),
IF(AND(G64="5/16",AM64&gt;2),(AM64*2*база!$L$6*Таблица14[[#This Row],[коэф]]),
IF(AND(G64="4/16",AM64&gt;2),(AM64*2*база!$L$5*Таблица14[[#This Row],[коэф]]),
IF(AND(G64="3/16",AM64&gt;2),(AM64*2*база!$L$4*Таблица14[[#This Row],[коэф]]),
IF(AND(G64="4/4",AM64&gt;2),(AM64*2*база!$I$5*Таблица14[[#This Row],[коэф]]),
IF(AND(G64="3/4",AM64&gt;2),(AM64*2*база!$I$4*Таблица14[[#This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(AM64*2*база!$L$4*Таблица14[[#This Row],[коэф]]))))))))))))),
(IF(AND(G64="5/24",AM64&gt;2),(AM64*2*база!$M$6*Таблица14[[#This Row],[коэф]]),
IF(OR(AND(G64="4/24",AM64&gt;2),AND(G64="3/24",AM64&gt;2)),(AM64*2*база!$M$5*Таблица14[[#This Row],[коэф]]),
IF(AND(G64="5/16",AM64&gt;2),(AM64*2*база!$L$6*Таблица14[[#This Row],[коэф]]),
IF(OR(AND(G64="4/16",AM64&gt;2),AND(G64="3/16",AM64&gt;2)),(AM64*2*база!$L$5*Таблица14[[#This Row],[коэф]]),
IF(OR(AND(G64="4/4",AM64&gt;2),AND(G64="3/4",AM64&gt;2)),(AM64*2*база!$I$5*Таблица14[[#This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(AM64*2*база!$L$5*Таблица14[[#This Row],[коэф]])))))))))))</f>
        <v>0</v>
      </c>
      <c r="AO64" s="114">
        <f>IFERROR(INDEX(база!$D$2:$D$120, MATCH(Таблица14[[#This Row],[Ф. И. О.]],база!$B$2:$B$100,0)),"")</f>
        <v>0</v>
      </c>
    </row>
    <row r="65" spans="1:41" ht="13.5" customHeight="1">
      <c r="A65" s="192"/>
      <c r="B65" s="189"/>
      <c r="C65" s="54"/>
      <c r="D65" s="55"/>
      <c r="E65" s="226"/>
      <c r="F65" s="651"/>
      <c r="G65" s="191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113">
        <f t="shared" si="0"/>
        <v>0</v>
      </c>
      <c r="AN65" s="540">
        <f>IF(AO65&lt;=3,(IF(AND(G65="5/24",AM65&gt;2),(AM65*2*база!$M$6*Таблица14[[#This Row],[коэф]]),
IF(AND(G65="4/24",AM65&gt;2),(AM65*2*база!$M$5*Таблица14[[#This Row],[коэф]]),
IF(AND(G65="3/24",AM65&gt;2),(AM65*2*база!$M$4*Таблица14[[#This Row],[коэф]]),
IF(AND(G65="5/16",AM65&gt;2),(AM65*2*база!$L$6*Таблица14[[#This Row],[коэф]]),
IF(AND(G65="4/16",AM65&gt;2),(AM65*2*база!$L$5*Таблица14[[#This Row],[коэф]]),
IF(AND(G65="3/16",AM65&gt;2),(AM65*2*база!$L$4*Таблица14[[#This Row],[коэф]]),
IF(AND(G65="4/4",AM65&gt;2),(AM65*2*база!$I$5*Таблица14[[#This Row],[коэф]]),
IF(AND(G65="3/4",AM65&gt;2),(AM65*2*база!$I$4*Таблица14[[#This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(AM65*2*база!$L$4*Таблица14[[#This Row],[коэф]]))))))))))))),
(IF(AND(G65="5/24",AM65&gt;2),(AM65*2*база!$M$6*Таблица14[[#This Row],[коэф]]),
IF(OR(AND(G65="4/24",AM65&gt;2),AND(G65="3/24",AM65&gt;2)),(AM65*2*база!$M$5*Таблица14[[#This Row],[коэф]]),
IF(AND(G65="5/16",AM65&gt;2),(AM65*2*база!$L$6*Таблица14[[#This Row],[коэф]]),
IF(OR(AND(G65="4/16",AM65&gt;2),AND(G65="3/16",AM65&gt;2)),(AM65*2*база!$L$5*Таблица14[[#This Row],[коэф]]),
IF(OR(AND(G65="4/4",AM65&gt;2),AND(G65="3/4",AM65&gt;2)),(AM65*2*база!$I$5*Таблица14[[#This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(AM65*2*база!$L$5*Таблица14[[#This Row],[коэф]])))))))))))</f>
        <v>0</v>
      </c>
      <c r="AO65" s="114">
        <f>IFERROR(INDEX(база!$D$2:$D$120, MATCH(Таблица14[[#This Row],[Ф. И. О.]],база!$B$2:$B$100,0)),"")</f>
        <v>0</v>
      </c>
    </row>
    <row r="66" spans="1:41" ht="13.5" customHeight="1">
      <c r="A66" s="192"/>
      <c r="B66" s="223"/>
      <c r="C66" s="54"/>
      <c r="D66" s="55"/>
      <c r="E66" s="224"/>
      <c r="F66" s="651"/>
      <c r="G66" s="225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113">
        <f t="shared" si="0"/>
        <v>0</v>
      </c>
      <c r="AN66" s="540">
        <f>IF(AO66&lt;=3,(IF(AND(G66="5/24",AM66&gt;2),(AM66*2*база!$M$6*Таблица14[[#This Row],[коэф]]),
IF(AND(G66="4/24",AM66&gt;2),(AM66*2*база!$M$5*Таблица14[[#This Row],[коэф]]),
IF(AND(G66="3/24",AM66&gt;2),(AM66*2*база!$M$4*Таблица14[[#This Row],[коэф]]),
IF(AND(G66="5/16",AM66&gt;2),(AM66*2*база!$L$6*Таблица14[[#This Row],[коэф]]),
IF(AND(G66="4/16",AM66&gt;2),(AM66*2*база!$L$5*Таблица14[[#This Row],[коэф]]),
IF(AND(G66="3/16",AM66&gt;2),(AM66*2*база!$L$4*Таблица14[[#This Row],[коэф]]),
IF(AND(G66="4/4",AM66&gt;2),(AM66*2*база!$I$5*Таблица14[[#This Row],[коэф]]),
IF(AND(G66="3/4",AM66&gt;2),(AM66*2*база!$I$4*Таблица14[[#This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(AM66*2*база!$L$4*Таблица14[[#This Row],[коэф]]))))))))))))),
(IF(AND(G66="5/24",AM66&gt;2),(AM66*2*база!$M$6*Таблица14[[#This Row],[коэф]]),
IF(OR(AND(G66="4/24",AM66&gt;2),AND(G66="3/24",AM66&gt;2)),(AM66*2*база!$M$5*Таблица14[[#This Row],[коэф]]),
IF(AND(G66="5/16",AM66&gt;2),(AM66*2*база!$L$6*Таблица14[[#This Row],[коэф]]),
IF(OR(AND(G66="4/16",AM66&gt;2),AND(G66="3/16",AM66&gt;2)),(AM66*2*база!$L$5*Таблица14[[#This Row],[коэф]]),
IF(OR(AND(G66="4/4",AM66&gt;2),AND(G66="3/4",AM66&gt;2)),(AM66*2*база!$I$5*Таблица14[[#This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(AM66*2*база!$L$5*Таблица14[[#This Row],[коэф]])))))))))))</f>
        <v>0</v>
      </c>
      <c r="AO66" s="114">
        <f>IFERROR(INDEX(база!$D$2:$D$120, MATCH(Таблица14[[#This Row],[Ф. И. О.]],база!$B$2:$B$100,0)),"")</f>
        <v>0</v>
      </c>
    </row>
    <row r="67" spans="1:41" ht="13.5" customHeight="1">
      <c r="A67" s="192"/>
      <c r="B67" s="189"/>
      <c r="C67" s="54"/>
      <c r="D67" s="55"/>
      <c r="E67" s="226"/>
      <c r="F67" s="651"/>
      <c r="G67" s="191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113">
        <f t="shared" si="0"/>
        <v>0</v>
      </c>
      <c r="AN67" s="540">
        <f>IF(AO67&lt;=3,(IF(AND(G67="5/24",AM67&gt;2),(AM67*2*база!$M$6*Таблица14[[#This Row],[коэф]]),
IF(AND(G67="4/24",AM67&gt;2),(AM67*2*база!$M$5*Таблица14[[#This Row],[коэф]]),
IF(AND(G67="3/24",AM67&gt;2),(AM67*2*база!$M$4*Таблица14[[#This Row],[коэф]]),
IF(AND(G67="5/16",AM67&gt;2),(AM67*2*база!$L$6*Таблица14[[#This Row],[коэф]]),
IF(AND(G67="4/16",AM67&gt;2),(AM67*2*база!$L$5*Таблица14[[#This Row],[коэф]]),
IF(AND(G67="3/16",AM67&gt;2),(AM67*2*база!$L$4*Таблица14[[#This Row],[коэф]]),
IF(AND(G67="4/4",AM67&gt;2),(AM67*2*база!$I$5*Таблица14[[#This Row],[коэф]]),
IF(AND(G67="3/4",AM67&gt;2),(AM67*2*база!$I$4*Таблица14[[#This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(AM67*2*база!$L$4*Таблица14[[#This Row],[коэф]]))))))))))))),
(IF(AND(G67="5/24",AM67&gt;2),(AM67*2*база!$M$6*Таблица14[[#This Row],[коэф]]),
IF(OR(AND(G67="4/24",AM67&gt;2),AND(G67="3/24",AM67&gt;2)),(AM67*2*база!$M$5*Таблица14[[#This Row],[коэф]]),
IF(AND(G67="5/16",AM67&gt;2),(AM67*2*база!$L$6*Таблица14[[#This Row],[коэф]]),
IF(OR(AND(G67="4/16",AM67&gt;2),AND(G67="3/16",AM67&gt;2)),(AM67*2*база!$L$5*Таблица14[[#This Row],[коэф]]),
IF(OR(AND(G67="4/4",AM67&gt;2),AND(G67="3/4",AM67&gt;2)),(AM67*2*база!$I$5*Таблица14[[#This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(AM67*2*база!$L$5*Таблица14[[#This Row],[коэф]])))))))))))</f>
        <v>0</v>
      </c>
      <c r="AO67" s="114">
        <f>IFERROR(INDEX(база!$D$2:$D$120, MATCH(Таблица14[[#This Row],[Ф. И. О.]],база!$B$2:$B$100,0)),"")</f>
        <v>0</v>
      </c>
    </row>
    <row r="68" spans="1:41" ht="13.5" customHeight="1">
      <c r="A68" s="192"/>
      <c r="B68" s="223"/>
      <c r="C68" s="54"/>
      <c r="D68" s="55"/>
      <c r="E68" s="224"/>
      <c r="F68" s="651"/>
      <c r="G68" s="225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113">
        <f t="shared" ref="AM68:AM131" si="1">SUM(H68:AL68)</f>
        <v>0</v>
      </c>
      <c r="AN68" s="540">
        <f>IF(AO68&lt;=3,(IF(AND(G68="5/24",AM68&gt;2),(AM68*2*база!$M$6*Таблица14[[#This Row],[коэф]]),
IF(AND(G68="4/24",AM68&gt;2),(AM68*2*база!$M$5*Таблица14[[#This Row],[коэф]]),
IF(AND(G68="3/24",AM68&gt;2),(AM68*2*база!$M$4*Таблица14[[#This Row],[коэф]]),
IF(AND(G68="5/16",AM68&gt;2),(AM68*2*база!$L$6*Таблица14[[#This Row],[коэф]]),
IF(AND(G68="4/16",AM68&gt;2),(AM68*2*база!$L$5*Таблица14[[#This Row],[коэф]]),
IF(AND(G68="3/16",AM68&gt;2),(AM68*2*база!$L$4*Таблица14[[#This Row],[коэф]]),
IF(AND(G68="4/4",AM68&gt;2),(AM68*2*база!$I$5*Таблица14[[#This Row],[коэф]]),
IF(AND(G68="3/4",AM68&gt;2),(AM68*2*база!$I$4*Таблица14[[#This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(AM68*2*база!$L$4*Таблица14[[#This Row],[коэф]]))))))))))))),
(IF(AND(G68="5/24",AM68&gt;2),(AM68*2*база!$M$6*Таблица14[[#This Row],[коэф]]),
IF(OR(AND(G68="4/24",AM68&gt;2),AND(G68="3/24",AM68&gt;2)),(AM68*2*база!$M$5*Таблица14[[#This Row],[коэф]]),
IF(AND(G68="5/16",AM68&gt;2),(AM68*2*база!$L$6*Таблица14[[#This Row],[коэф]]),
IF(OR(AND(G68="4/16",AM68&gt;2),AND(G68="3/16",AM68&gt;2)),(AM68*2*база!$L$5*Таблица14[[#This Row],[коэф]]),
IF(OR(AND(G68="4/4",AM68&gt;2),AND(G68="3/4",AM68&gt;2)),(AM68*2*база!$I$5*Таблица14[[#This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(AM68*2*база!$L$5*Таблица14[[#This Row],[коэф]])))))))))))</f>
        <v>0</v>
      </c>
      <c r="AO68" s="114">
        <f>IFERROR(INDEX(база!$D$2:$D$120, MATCH(Таблица14[[#This Row],[Ф. И. О.]],база!$B$2:$B$100,0)),"")</f>
        <v>0</v>
      </c>
    </row>
    <row r="69" spans="1:41" ht="13.5" customHeight="1">
      <c r="A69" s="192"/>
      <c r="B69" s="189"/>
      <c r="C69" s="54"/>
      <c r="D69" s="55"/>
      <c r="E69" s="226"/>
      <c r="F69" s="651"/>
      <c r="G69" s="191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113">
        <f t="shared" si="1"/>
        <v>0</v>
      </c>
      <c r="AN69" s="540">
        <f>IF(AO69&lt;=3,(IF(AND(G69="5/24",AM69&gt;2),(AM69*2*база!$M$6*Таблица14[[#This Row],[коэф]]),
IF(AND(G69="4/24",AM69&gt;2),(AM69*2*база!$M$5*Таблица14[[#This Row],[коэф]]),
IF(AND(G69="3/24",AM69&gt;2),(AM69*2*база!$M$4*Таблица14[[#This Row],[коэф]]),
IF(AND(G69="5/16",AM69&gt;2),(AM69*2*база!$L$6*Таблица14[[#This Row],[коэф]]),
IF(AND(G69="4/16",AM69&gt;2),(AM69*2*база!$L$5*Таблица14[[#This Row],[коэф]]),
IF(AND(G69="3/16",AM69&gt;2),(AM69*2*база!$L$4*Таблица14[[#This Row],[коэф]]),
IF(AND(G69="4/4",AM69&gt;2),(AM69*2*база!$I$5*Таблица14[[#This Row],[коэф]]),
IF(AND(G69="3/4",AM69&gt;2),(AM69*2*база!$I$4*Таблица14[[#This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(AM69*2*база!$L$4*Таблица14[[#This Row],[коэф]]))))))))))))),
(IF(AND(G69="5/24",AM69&gt;2),(AM69*2*база!$M$6*Таблица14[[#This Row],[коэф]]),
IF(OR(AND(G69="4/24",AM69&gt;2),AND(G69="3/24",AM69&gt;2)),(AM69*2*база!$M$5*Таблица14[[#This Row],[коэф]]),
IF(AND(G69="5/16",AM69&gt;2),(AM69*2*база!$L$6*Таблица14[[#This Row],[коэф]]),
IF(OR(AND(G69="4/16",AM69&gt;2),AND(G69="3/16",AM69&gt;2)),(AM69*2*база!$L$5*Таблица14[[#This Row],[коэф]]),
IF(OR(AND(G69="4/4",AM69&gt;2),AND(G69="3/4",AM69&gt;2)),(AM69*2*база!$I$5*Таблица14[[#This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(AM69*2*база!$L$5*Таблица14[[#This Row],[коэф]])))))))))))</f>
        <v>0</v>
      </c>
      <c r="AO69" s="114">
        <f>IFERROR(INDEX(база!$D$2:$D$120, MATCH(Таблица14[[#This Row],[Ф. И. О.]],база!$B$2:$B$100,0)),"")</f>
        <v>0</v>
      </c>
    </row>
    <row r="70" spans="1:41" ht="13.5" customHeight="1">
      <c r="A70" s="192"/>
      <c r="B70" s="223"/>
      <c r="C70" s="544"/>
      <c r="D70" s="199"/>
      <c r="E70" s="224"/>
      <c r="F70" s="679"/>
      <c r="G70" s="225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113">
        <f t="shared" si="1"/>
        <v>0</v>
      </c>
      <c r="AN70" s="540">
        <f>IF(AO70&lt;=3,(IF(AND(G70="5/24",AM70&gt;2),(AM70*2*база!$M$6*Таблица14[[#This Row],[коэф]]),
IF(AND(G70="4/24",AM70&gt;2),(AM70*2*база!$M$5*Таблица14[[#This Row],[коэф]]),
IF(AND(G70="3/24",AM70&gt;2),(AM70*2*база!$M$4*Таблица14[[#This Row],[коэф]]),
IF(AND(G70="5/16",AM70&gt;2),(AM70*2*база!$L$6*Таблица14[[#This Row],[коэф]]),
IF(AND(G70="4/16",AM70&gt;2),(AM70*2*база!$L$5*Таблица14[[#This Row],[коэф]]),
IF(AND(G70="3/16",AM70&gt;2),(AM70*2*база!$L$4*Таблица14[[#This Row],[коэф]]),
IF(AND(G70="4/4",AM70&gt;2),(AM70*2*база!$I$5*Таблица14[[#This Row],[коэф]]),
IF(AND(G70="3/4",AM70&gt;2),(AM70*2*база!$I$4*Таблица14[[#This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(AM70*2*база!$L$4*Таблица14[[#This Row],[коэф]]))))))))))))),
(IF(AND(G70="5/24",AM70&gt;2),(AM70*2*база!$M$6*Таблица14[[#This Row],[коэф]]),
IF(OR(AND(G70="4/24",AM70&gt;2),AND(G70="3/24",AM70&gt;2)),(AM70*2*база!$M$5*Таблица14[[#This Row],[коэф]]),
IF(AND(G70="5/16",AM70&gt;2),(AM70*2*база!$L$6*Таблица14[[#This Row],[коэф]]),
IF(OR(AND(G70="4/16",AM70&gt;2),AND(G70="3/16",AM70&gt;2)),(AM70*2*база!$L$5*Таблица14[[#This Row],[коэф]]),
IF(OR(AND(G70="4/4",AM70&gt;2),AND(G70="3/4",AM70&gt;2)),(AM70*2*база!$I$5*Таблица14[[#This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(AM70*2*база!$L$5*Таблица14[[#This Row],[коэф]])))))))))))</f>
        <v>0</v>
      </c>
      <c r="AO70" s="114">
        <f>IFERROR(INDEX(база!$D$2:$D$120, MATCH(Таблица14[[#This Row],[Ф. И. О.]],база!$B$2:$B$100,0)),"")</f>
        <v>0</v>
      </c>
    </row>
    <row r="71" spans="1:41" ht="13.5" customHeight="1">
      <c r="A71" s="192"/>
      <c r="B71" s="189"/>
      <c r="C71" s="544"/>
      <c r="D71" s="199"/>
      <c r="E71" s="226"/>
      <c r="F71" s="679"/>
      <c r="G71" s="191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113">
        <f t="shared" si="1"/>
        <v>0</v>
      </c>
      <c r="AN71" s="540">
        <f>IF(AO71&lt;=3,(IF(AND(G71="5/24",AM71&gt;2),(AM71*2*база!$M$6*Таблица14[[#This Row],[коэф]]),
IF(AND(G71="4/24",AM71&gt;2),(AM71*2*база!$M$5*Таблица14[[#This Row],[коэф]]),
IF(AND(G71="3/24",AM71&gt;2),(AM71*2*база!$M$4*Таблица14[[#This Row],[коэф]]),
IF(AND(G71="5/16",AM71&gt;2),(AM71*2*база!$L$6*Таблица14[[#This Row],[коэф]]),
IF(AND(G71="4/16",AM71&gt;2),(AM71*2*база!$L$5*Таблица14[[#This Row],[коэф]]),
IF(AND(G71="3/16",AM71&gt;2),(AM71*2*база!$L$4*Таблица14[[#This Row],[коэф]]),
IF(AND(G71="4/4",AM71&gt;2),(AM71*2*база!$I$5*Таблица14[[#This Row],[коэф]]),
IF(AND(G71="3/4",AM71&gt;2),(AM71*2*база!$I$4*Таблица14[[#This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(AM71*2*база!$L$4*Таблица14[[#This Row],[коэф]]))))))))))))),
(IF(AND(G71="5/24",AM71&gt;2),(AM71*2*база!$M$6*Таблица14[[#This Row],[коэф]]),
IF(OR(AND(G71="4/24",AM71&gt;2),AND(G71="3/24",AM71&gt;2)),(AM71*2*база!$M$5*Таблица14[[#This Row],[коэф]]),
IF(AND(G71="5/16",AM71&gt;2),(AM71*2*база!$L$6*Таблица14[[#This Row],[коэф]]),
IF(OR(AND(G71="4/16",AM71&gt;2),AND(G71="3/16",AM71&gt;2)),(AM71*2*база!$L$5*Таблица14[[#This Row],[коэф]]),
IF(OR(AND(G71="4/4",AM71&gt;2),AND(G71="3/4",AM71&gt;2)),(AM71*2*база!$I$5*Таблица14[[#This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(AM71*2*база!$L$5*Таблица14[[#This Row],[коэф]])))))))))))</f>
        <v>0</v>
      </c>
      <c r="AO71" s="114">
        <f>IFERROR(INDEX(база!$D$2:$D$120, MATCH(Таблица14[[#This Row],[Ф. И. О.]],база!$B$2:$B$100,0)),"")</f>
        <v>0</v>
      </c>
    </row>
    <row r="72" spans="1:41" ht="13.5" customHeight="1">
      <c r="A72" s="192"/>
      <c r="B72" s="223"/>
      <c r="C72" s="544"/>
      <c r="D72" s="199"/>
      <c r="E72" s="224"/>
      <c r="F72" s="679"/>
      <c r="G72" s="225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113">
        <f t="shared" si="1"/>
        <v>0</v>
      </c>
      <c r="AN72" s="540">
        <f>IF(AO72&lt;=3,(IF(AND(G72="5/24",AM72&gt;2),(AM72*2*база!$M$6*Таблица14[[#This Row],[коэф]]),
IF(AND(G72="4/24",AM72&gt;2),(AM72*2*база!$M$5*Таблица14[[#This Row],[коэф]]),
IF(AND(G72="3/24",AM72&gt;2),(AM72*2*база!$M$4*Таблица14[[#This Row],[коэф]]),
IF(AND(G72="5/16",AM72&gt;2),(AM72*2*база!$L$6*Таблица14[[#This Row],[коэф]]),
IF(AND(G72="4/16",AM72&gt;2),(AM72*2*база!$L$5*Таблица14[[#This Row],[коэф]]),
IF(AND(G72="3/16",AM72&gt;2),(AM72*2*база!$L$4*Таблица14[[#This Row],[коэф]]),
IF(AND(G72="4/4",AM72&gt;2),(AM72*2*база!$I$5*Таблица14[[#This Row],[коэф]]),
IF(AND(G72="3/4",AM72&gt;2),(AM72*2*база!$I$4*Таблица14[[#This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(AM72*2*база!$L$4*Таблица14[[#This Row],[коэф]]))))))))))))),
(IF(AND(G72="5/24",AM72&gt;2),(AM72*2*база!$M$6*Таблица14[[#This Row],[коэф]]),
IF(OR(AND(G72="4/24",AM72&gt;2),AND(G72="3/24",AM72&gt;2)),(AM72*2*база!$M$5*Таблица14[[#This Row],[коэф]]),
IF(AND(G72="5/16",AM72&gt;2),(AM72*2*база!$L$6*Таблица14[[#This Row],[коэф]]),
IF(OR(AND(G72="4/16",AM72&gt;2),AND(G72="3/16",AM72&gt;2)),(AM72*2*база!$L$5*Таблица14[[#This Row],[коэф]]),
IF(OR(AND(G72="4/4",AM72&gt;2),AND(G72="3/4",AM72&gt;2)),(AM72*2*база!$I$5*Таблица14[[#This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(AM72*2*база!$L$5*Таблица14[[#This Row],[коэф]])))))))))))</f>
        <v>0</v>
      </c>
      <c r="AO72" s="114">
        <f>IFERROR(INDEX(база!$D$2:$D$120, MATCH(Таблица14[[#This Row],[Ф. И. О.]],база!$B$2:$B$100,0)),"")</f>
        <v>0</v>
      </c>
    </row>
    <row r="73" spans="1:41" ht="13.5" customHeight="1">
      <c r="A73" s="192"/>
      <c r="B73" s="189"/>
      <c r="C73" s="544"/>
      <c r="D73" s="199"/>
      <c r="E73" s="226"/>
      <c r="F73" s="679"/>
      <c r="G73" s="191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113">
        <f t="shared" si="1"/>
        <v>0</v>
      </c>
      <c r="AN73" s="540">
        <f>IF(AO73&lt;=3,(IF(AND(G73="5/24",AM73&gt;2),(AM73*2*база!$M$6*Таблица14[[#This Row],[коэф]]),
IF(AND(G73="4/24",AM73&gt;2),(AM73*2*база!$M$5*Таблица14[[#This Row],[коэф]]),
IF(AND(G73="3/24",AM73&gt;2),(AM73*2*база!$M$4*Таблица14[[#This Row],[коэф]]),
IF(AND(G73="5/16",AM73&gt;2),(AM73*2*база!$L$6*Таблица14[[#This Row],[коэф]]),
IF(AND(G73="4/16",AM73&gt;2),(AM73*2*база!$L$5*Таблица14[[#This Row],[коэф]]),
IF(AND(G73="3/16",AM73&gt;2),(AM73*2*база!$L$4*Таблица14[[#This Row],[коэф]]),
IF(AND(G73="4/4",AM73&gt;2),(AM73*2*база!$I$5*Таблица14[[#This Row],[коэф]]),
IF(AND(G73="3/4",AM73&gt;2),(AM73*2*база!$I$4*Таблица14[[#This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(AM73*2*база!$L$4*Таблица14[[#This Row],[коэф]]))))))))))))),
(IF(AND(G73="5/24",AM73&gt;2),(AM73*2*база!$M$6*Таблица14[[#This Row],[коэф]]),
IF(OR(AND(G73="4/24",AM73&gt;2),AND(G73="3/24",AM73&gt;2)),(AM73*2*база!$M$5*Таблица14[[#This Row],[коэф]]),
IF(AND(G73="5/16",AM73&gt;2),(AM73*2*база!$L$6*Таблица14[[#This Row],[коэф]]),
IF(OR(AND(G73="4/16",AM73&gt;2),AND(G73="3/16",AM73&gt;2)),(AM73*2*база!$L$5*Таблица14[[#This Row],[коэф]]),
IF(OR(AND(G73="4/4",AM73&gt;2),AND(G73="3/4",AM73&gt;2)),(AM73*2*база!$I$5*Таблица14[[#This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(AM73*2*база!$L$5*Таблица14[[#This Row],[коэф]])))))))))))</f>
        <v>0</v>
      </c>
      <c r="AO73" s="114">
        <f>IFERROR(INDEX(база!$D$2:$D$120, MATCH(Таблица14[[#This Row],[Ф. И. О.]],база!$B$2:$B$100,0)),"")</f>
        <v>0</v>
      </c>
    </row>
    <row r="74" spans="1:41" ht="13.5" customHeight="1">
      <c r="A74" s="192"/>
      <c r="B74" s="223"/>
      <c r="C74" s="544"/>
      <c r="D74" s="199"/>
      <c r="E74" s="224"/>
      <c r="F74" s="679"/>
      <c r="G74" s="225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113">
        <f t="shared" si="1"/>
        <v>0</v>
      </c>
      <c r="AN74" s="540">
        <f>IF(AO74&lt;=3,(IF(AND(G74="5/24",AM74&gt;2),(AM74*2*база!$M$6*Таблица14[[#This Row],[коэф]]),
IF(AND(G74="4/24",AM74&gt;2),(AM74*2*база!$M$5*Таблица14[[#This Row],[коэф]]),
IF(AND(G74="3/24",AM74&gt;2),(AM74*2*база!$M$4*Таблица14[[#This Row],[коэф]]),
IF(AND(G74="5/16",AM74&gt;2),(AM74*2*база!$L$6*Таблица14[[#This Row],[коэф]]),
IF(AND(G74="4/16",AM74&gt;2),(AM74*2*база!$L$5*Таблица14[[#This Row],[коэф]]),
IF(AND(G74="3/16",AM74&gt;2),(AM74*2*база!$L$4*Таблица14[[#This Row],[коэф]]),
IF(AND(G74="4/4",AM74&gt;2),(AM74*2*база!$I$5*Таблица14[[#This Row],[коэф]]),
IF(AND(G74="3/4",AM74&gt;2),(AM74*2*база!$I$4*Таблица14[[#This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(AM74*2*база!$L$4*Таблица14[[#This Row],[коэф]]))))))))))))),
(IF(AND(G74="5/24",AM74&gt;2),(AM74*2*база!$M$6*Таблица14[[#This Row],[коэф]]),
IF(OR(AND(G74="4/24",AM74&gt;2),AND(G74="3/24",AM74&gt;2)),(AM74*2*база!$M$5*Таблица14[[#This Row],[коэф]]),
IF(AND(G74="5/16",AM74&gt;2),(AM74*2*база!$L$6*Таблица14[[#This Row],[коэф]]),
IF(OR(AND(G74="4/16",AM74&gt;2),AND(G74="3/16",AM74&gt;2)),(AM74*2*база!$L$5*Таблица14[[#This Row],[коэф]]),
IF(OR(AND(G74="4/4",AM74&gt;2),AND(G74="3/4",AM74&gt;2)),(AM74*2*база!$I$5*Таблица14[[#This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(AM74*2*база!$L$5*Таблица14[[#This Row],[коэф]])))))))))))</f>
        <v>0</v>
      </c>
      <c r="AO74" s="114">
        <f>IFERROR(INDEX(база!$D$2:$D$120, MATCH(Таблица14[[#This Row],[Ф. И. О.]],база!$B$2:$B$100,0)),"")</f>
        <v>0</v>
      </c>
    </row>
    <row r="75" spans="1:41" ht="13.5" customHeight="1">
      <c r="A75" s="192"/>
      <c r="B75" s="189"/>
      <c r="C75" s="544"/>
      <c r="D75" s="199"/>
      <c r="E75" s="226"/>
      <c r="F75" s="679"/>
      <c r="G75" s="191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113">
        <f t="shared" si="1"/>
        <v>0</v>
      </c>
      <c r="AN75" s="540">
        <f>IF(AO75&lt;=3,(IF(AND(G75="5/24",AM75&gt;2),(AM75*2*база!$M$6*Таблица14[[#This Row],[коэф]]),
IF(AND(G75="4/24",AM75&gt;2),(AM75*2*база!$M$5*Таблица14[[#This Row],[коэф]]),
IF(AND(G75="3/24",AM75&gt;2),(AM75*2*база!$M$4*Таблица14[[#This Row],[коэф]]),
IF(AND(G75="5/16",AM75&gt;2),(AM75*2*база!$L$6*Таблица14[[#This Row],[коэф]]),
IF(AND(G75="4/16",AM75&gt;2),(AM75*2*база!$L$5*Таблица14[[#This Row],[коэф]]),
IF(AND(G75="3/16",AM75&gt;2),(AM75*2*база!$L$4*Таблица14[[#This Row],[коэф]]),
IF(AND(G75="4/4",AM75&gt;2),(AM75*2*база!$I$5*Таблица14[[#This Row],[коэф]]),
IF(AND(G75="3/4",AM75&gt;2),(AM75*2*база!$I$4*Таблица14[[#This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(AM75*2*база!$L$4*Таблица14[[#This Row],[коэф]]))))))))))))),
(IF(AND(G75="5/24",AM75&gt;2),(AM75*2*база!$M$6*Таблица14[[#This Row],[коэф]]),
IF(OR(AND(G75="4/24",AM75&gt;2),AND(G75="3/24",AM75&gt;2)),(AM75*2*база!$M$5*Таблица14[[#This Row],[коэф]]),
IF(AND(G75="5/16",AM75&gt;2),(AM75*2*база!$L$6*Таблица14[[#This Row],[коэф]]),
IF(OR(AND(G75="4/16",AM75&gt;2),AND(G75="3/16",AM75&gt;2)),(AM75*2*база!$L$5*Таблица14[[#This Row],[коэф]]),
IF(OR(AND(G75="4/4",AM75&gt;2),AND(G75="3/4",AM75&gt;2)),(AM75*2*база!$I$5*Таблица14[[#This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(AM75*2*база!$L$5*Таблица14[[#This Row],[коэф]])))))))))))</f>
        <v>0</v>
      </c>
      <c r="AO75" s="114">
        <f>IFERROR(INDEX(база!$D$2:$D$120, MATCH(Таблица14[[#This Row],[Ф. И. О.]],база!$B$2:$B$100,0)),"")</f>
        <v>0</v>
      </c>
    </row>
    <row r="76" spans="1:41" ht="13.5" customHeight="1">
      <c r="A76" s="192"/>
      <c r="B76" s="223"/>
      <c r="C76" s="544"/>
      <c r="D76" s="199"/>
      <c r="E76" s="224"/>
      <c r="F76" s="679"/>
      <c r="G76" s="225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113">
        <f t="shared" si="1"/>
        <v>0</v>
      </c>
      <c r="AN76" s="540">
        <f>IF(AO76&lt;=3,(IF(AND(G76="5/24",AM76&gt;2),(AM76*2*база!$M$6*Таблица14[[#This Row],[коэф]]),
IF(AND(G76="4/24",AM76&gt;2),(AM76*2*база!$M$5*Таблица14[[#This Row],[коэф]]),
IF(AND(G76="3/24",AM76&gt;2),(AM76*2*база!$M$4*Таблица14[[#This Row],[коэф]]),
IF(AND(G76="5/16",AM76&gt;2),(AM76*2*база!$L$6*Таблица14[[#This Row],[коэф]]),
IF(AND(G76="4/16",AM76&gt;2),(AM76*2*база!$L$5*Таблица14[[#This Row],[коэф]]),
IF(AND(G76="3/16",AM76&gt;2),(AM76*2*база!$L$4*Таблица14[[#This Row],[коэф]]),
IF(AND(G76="4/4",AM76&gt;2),(AM76*2*база!$I$5*Таблица14[[#This Row],[коэф]]),
IF(AND(G76="3/4",AM76&gt;2),(AM76*2*база!$I$4*Таблица14[[#This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(AM76*2*база!$L$4*Таблица14[[#This Row],[коэф]]))))))))))))),
(IF(AND(G76="5/24",AM76&gt;2),(AM76*2*база!$M$6*Таблица14[[#This Row],[коэф]]),
IF(OR(AND(G76="4/24",AM76&gt;2),AND(G76="3/24",AM76&gt;2)),(AM76*2*база!$M$5*Таблица14[[#This Row],[коэф]]),
IF(AND(G76="5/16",AM76&gt;2),(AM76*2*база!$L$6*Таблица14[[#This Row],[коэф]]),
IF(OR(AND(G76="4/16",AM76&gt;2),AND(G76="3/16",AM76&gt;2)),(AM76*2*база!$L$5*Таблица14[[#This Row],[коэф]]),
IF(OR(AND(G76="4/4",AM76&gt;2),AND(G76="3/4",AM76&gt;2)),(AM76*2*база!$I$5*Таблица14[[#This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(AM76*2*база!$L$5*Таблица14[[#This Row],[коэф]])))))))))))</f>
        <v>0</v>
      </c>
      <c r="AO76" s="114">
        <f>IFERROR(INDEX(база!$D$2:$D$120, MATCH(Таблица14[[#This Row],[Ф. И. О.]],база!$B$2:$B$100,0)),"")</f>
        <v>0</v>
      </c>
    </row>
    <row r="77" spans="1:41" ht="13.5" customHeight="1">
      <c r="A77" s="192"/>
      <c r="B77" s="189"/>
      <c r="C77" s="544"/>
      <c r="D77" s="199"/>
      <c r="E77" s="226"/>
      <c r="F77" s="679"/>
      <c r="G77" s="191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113">
        <f t="shared" si="1"/>
        <v>0</v>
      </c>
      <c r="AN77" s="540">
        <f>IF(AO77&lt;=3,(IF(AND(G77="5/24",AM77&gt;2),(AM77*2*база!$M$6*Таблица14[[#This Row],[коэф]]),
IF(AND(G77="4/24",AM77&gt;2),(AM77*2*база!$M$5*Таблица14[[#This Row],[коэф]]),
IF(AND(G77="3/24",AM77&gt;2),(AM77*2*база!$M$4*Таблица14[[#This Row],[коэф]]),
IF(AND(G77="5/16",AM77&gt;2),(AM77*2*база!$L$6*Таблица14[[#This Row],[коэф]]),
IF(AND(G77="4/16",AM77&gt;2),(AM77*2*база!$L$5*Таблица14[[#This Row],[коэф]]),
IF(AND(G77="3/16",AM77&gt;2),(AM77*2*база!$L$4*Таблица14[[#This Row],[коэф]]),
IF(AND(G77="4/4",AM77&gt;2),(AM77*2*база!$I$5*Таблица14[[#This Row],[коэф]]),
IF(AND(G77="3/4",AM77&gt;2),(AM77*2*база!$I$4*Таблица14[[#This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(AM77*2*база!$L$4*Таблица14[[#This Row],[коэф]]))))))))))))),
(IF(AND(G77="5/24",AM77&gt;2),(AM77*2*база!$M$6*Таблица14[[#This Row],[коэф]]),
IF(OR(AND(G77="4/24",AM77&gt;2),AND(G77="3/24",AM77&gt;2)),(AM77*2*база!$M$5*Таблица14[[#This Row],[коэф]]),
IF(AND(G77="5/16",AM77&gt;2),(AM77*2*база!$L$6*Таблица14[[#This Row],[коэф]]),
IF(OR(AND(G77="4/16",AM77&gt;2),AND(G77="3/16",AM77&gt;2)),(AM77*2*база!$L$5*Таблица14[[#This Row],[коэф]]),
IF(OR(AND(G77="4/4",AM77&gt;2),AND(G77="3/4",AM77&gt;2)),(AM77*2*база!$I$5*Таблица14[[#This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(AM77*2*база!$L$5*Таблица14[[#This Row],[коэф]])))))))))))</f>
        <v>0</v>
      </c>
      <c r="AO77" s="114">
        <f>IFERROR(INDEX(база!$D$2:$D$120, MATCH(Таблица14[[#This Row],[Ф. И. О.]],база!$B$2:$B$100,0)),"")</f>
        <v>0</v>
      </c>
    </row>
    <row r="78" spans="1:41" ht="13.5" customHeight="1">
      <c r="A78" s="192"/>
      <c r="B78" s="223"/>
      <c r="C78" s="544"/>
      <c r="D78" s="199"/>
      <c r="E78" s="224"/>
      <c r="F78" s="679"/>
      <c r="G78" s="225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113">
        <f t="shared" si="1"/>
        <v>0</v>
      </c>
      <c r="AN78" s="540">
        <f>IF(AO78&lt;=3,(IF(AND(G78="5/24",AM78&gt;2),(AM78*2*база!$M$6*Таблица14[[#This Row],[коэф]]),
IF(AND(G78="4/24",AM78&gt;2),(AM78*2*база!$M$5*Таблица14[[#This Row],[коэф]]),
IF(AND(G78="3/24",AM78&gt;2),(AM78*2*база!$M$4*Таблица14[[#This Row],[коэф]]),
IF(AND(G78="5/16",AM78&gt;2),(AM78*2*база!$L$6*Таблица14[[#This Row],[коэф]]),
IF(AND(G78="4/16",AM78&gt;2),(AM78*2*база!$L$5*Таблица14[[#This Row],[коэф]]),
IF(AND(G78="3/16",AM78&gt;2),(AM78*2*база!$L$4*Таблица14[[#This Row],[коэф]]),
IF(AND(G78="4/4",AM78&gt;2),(AM78*2*база!$I$5*Таблица14[[#This Row],[коэф]]),
IF(AND(G78="3/4",AM78&gt;2),(AM78*2*база!$I$4*Таблица14[[#This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(AM78*2*база!$L$4*Таблица14[[#This Row],[коэф]]))))))))))))),
(IF(AND(G78="5/24",AM78&gt;2),(AM78*2*база!$M$6*Таблица14[[#This Row],[коэф]]),
IF(OR(AND(G78="4/24",AM78&gt;2),AND(G78="3/24",AM78&gt;2)),(AM78*2*база!$M$5*Таблица14[[#This Row],[коэф]]),
IF(AND(G78="5/16",AM78&gt;2),(AM78*2*база!$L$6*Таблица14[[#This Row],[коэф]]),
IF(OR(AND(G78="4/16",AM78&gt;2),AND(G78="3/16",AM78&gt;2)),(AM78*2*база!$L$5*Таблица14[[#This Row],[коэф]]),
IF(OR(AND(G78="4/4",AM78&gt;2),AND(G78="3/4",AM78&gt;2)),(AM78*2*база!$I$5*Таблица14[[#This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(AM78*2*база!$L$5*Таблица14[[#This Row],[коэф]])))))))))))</f>
        <v>0</v>
      </c>
      <c r="AO78" s="114">
        <f>IFERROR(INDEX(база!$D$2:$D$120, MATCH(Таблица14[[#This Row],[Ф. И. О.]],база!$B$2:$B$100,0)),"")</f>
        <v>0</v>
      </c>
    </row>
    <row r="79" spans="1:41" ht="13.5" customHeight="1">
      <c r="A79" s="192"/>
      <c r="B79" s="189"/>
      <c r="C79" s="544"/>
      <c r="D79" s="199"/>
      <c r="E79" s="226"/>
      <c r="F79" s="679"/>
      <c r="G79" s="191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113">
        <f t="shared" si="1"/>
        <v>0</v>
      </c>
      <c r="AN79" s="540">
        <f>IF(AO79&lt;=3,(IF(AND(G79="5/24",AM79&gt;2),(AM79*2*база!$M$6*Таблица14[[#This Row],[коэф]]),
IF(AND(G79="4/24",AM79&gt;2),(AM79*2*база!$M$5*Таблица14[[#This Row],[коэф]]),
IF(AND(G79="3/24",AM79&gt;2),(AM79*2*база!$M$4*Таблица14[[#This Row],[коэф]]),
IF(AND(G79="5/16",AM79&gt;2),(AM79*2*база!$L$6*Таблица14[[#This Row],[коэф]]),
IF(AND(G79="4/16",AM79&gt;2),(AM79*2*база!$L$5*Таблица14[[#This Row],[коэф]]),
IF(AND(G79="3/16",AM79&gt;2),(AM79*2*база!$L$4*Таблица14[[#This Row],[коэф]]),
IF(AND(G79="4/4",AM79&gt;2),(AM79*2*база!$I$5*Таблица14[[#This Row],[коэф]]),
IF(AND(G79="3/4",AM79&gt;2),(AM79*2*база!$I$4*Таблица14[[#This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(AM79*2*база!$L$4*Таблица14[[#This Row],[коэф]]))))))))))))),
(IF(AND(G79="5/24",AM79&gt;2),(AM79*2*база!$M$6*Таблица14[[#This Row],[коэф]]),
IF(OR(AND(G79="4/24",AM79&gt;2),AND(G79="3/24",AM79&gt;2)),(AM79*2*база!$M$5*Таблица14[[#This Row],[коэф]]),
IF(AND(G79="5/16",AM79&gt;2),(AM79*2*база!$L$6*Таблица14[[#This Row],[коэф]]),
IF(OR(AND(G79="4/16",AM79&gt;2),AND(G79="3/16",AM79&gt;2)),(AM79*2*база!$L$5*Таблица14[[#This Row],[коэф]]),
IF(OR(AND(G79="4/4",AM79&gt;2),AND(G79="3/4",AM79&gt;2)),(AM79*2*база!$I$5*Таблица14[[#This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(AM79*2*база!$L$5*Таблица14[[#This Row],[коэф]])))))))))))</f>
        <v>0</v>
      </c>
      <c r="AO79" s="114">
        <f>IFERROR(INDEX(база!$D$2:$D$120, MATCH(Таблица14[[#This Row],[Ф. И. О.]],база!$B$2:$B$100,0)),"")</f>
        <v>0</v>
      </c>
    </row>
    <row r="80" spans="1:41" ht="13.5" customHeight="1">
      <c r="A80" s="192"/>
      <c r="B80" s="223"/>
      <c r="C80" s="544"/>
      <c r="D80" s="199"/>
      <c r="E80" s="224"/>
      <c r="F80" s="679"/>
      <c r="G80" s="225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113">
        <f t="shared" si="1"/>
        <v>0</v>
      </c>
      <c r="AN80" s="540">
        <f>IF(AO80&lt;=3,(IF(AND(G80="5/24",AM80&gt;2),(AM80*2*база!$M$6*Таблица14[[#This Row],[коэф]]),
IF(AND(G80="4/24",AM80&gt;2),(AM80*2*база!$M$5*Таблица14[[#This Row],[коэф]]),
IF(AND(G80="3/24",AM80&gt;2),(AM80*2*база!$M$4*Таблица14[[#This Row],[коэф]]),
IF(AND(G80="5/16",AM80&gt;2),(AM80*2*база!$L$6*Таблица14[[#This Row],[коэф]]),
IF(AND(G80="4/16",AM80&gt;2),(AM80*2*база!$L$5*Таблица14[[#This Row],[коэф]]),
IF(AND(G80="3/16",AM80&gt;2),(AM80*2*база!$L$4*Таблица14[[#This Row],[коэф]]),
IF(AND(G80="4/4",AM80&gt;2),(AM80*2*база!$I$5*Таблица14[[#This Row],[коэф]]),
IF(AND(G80="3/4",AM80&gt;2),(AM80*2*база!$I$4*Таблица14[[#This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(AM80*2*база!$L$4*Таблица14[[#This Row],[коэф]]))))))))))))),
(IF(AND(G80="5/24",AM80&gt;2),(AM80*2*база!$M$6*Таблица14[[#This Row],[коэф]]),
IF(OR(AND(G80="4/24",AM80&gt;2),AND(G80="3/24",AM80&gt;2)),(AM80*2*база!$M$5*Таблица14[[#This Row],[коэф]]),
IF(AND(G80="5/16",AM80&gt;2),(AM80*2*база!$L$6*Таблица14[[#This Row],[коэф]]),
IF(OR(AND(G80="4/16",AM80&gt;2),AND(G80="3/16",AM80&gt;2)),(AM80*2*база!$L$5*Таблица14[[#This Row],[коэф]]),
IF(OR(AND(G80="4/4",AM80&gt;2),AND(G80="3/4",AM80&gt;2)),(AM80*2*база!$I$5*Таблица14[[#This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(AM80*2*база!$L$5*Таблица14[[#This Row],[коэф]])))))))))))</f>
        <v>0</v>
      </c>
      <c r="AO80" s="114">
        <f>IFERROR(INDEX(база!$D$2:$D$120, MATCH(Таблица14[[#This Row],[Ф. И. О.]],база!$B$2:$B$100,0)),"")</f>
        <v>0</v>
      </c>
    </row>
    <row r="81" spans="1:41" ht="13.5" customHeight="1">
      <c r="A81" s="192"/>
      <c r="B81" s="189"/>
      <c r="C81" s="544"/>
      <c r="D81" s="199"/>
      <c r="E81" s="226"/>
      <c r="F81" s="679"/>
      <c r="G81" s="191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113">
        <f t="shared" si="1"/>
        <v>0</v>
      </c>
      <c r="AN81" s="540">
        <f>IF(AO81&lt;=3,(IF(AND(G81="5/24",AM81&gt;2),(AM81*2*база!$M$6*Таблица14[[#This Row],[коэф]]),
IF(AND(G81="4/24",AM81&gt;2),(AM81*2*база!$M$5*Таблица14[[#This Row],[коэф]]),
IF(AND(G81="3/24",AM81&gt;2),(AM81*2*база!$M$4*Таблица14[[#This Row],[коэф]]),
IF(AND(G81="5/16",AM81&gt;2),(AM81*2*база!$L$6*Таблица14[[#This Row],[коэф]]),
IF(AND(G81="4/16",AM81&gt;2),(AM81*2*база!$L$5*Таблица14[[#This Row],[коэф]]),
IF(AND(G81="3/16",AM81&gt;2),(AM81*2*база!$L$4*Таблица14[[#This Row],[коэф]]),
IF(AND(G81="4/4",AM81&gt;2),(AM81*2*база!$I$5*Таблица14[[#This Row],[коэф]]),
IF(AND(G81="3/4",AM81&gt;2),(AM81*2*база!$I$4*Таблица14[[#This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(AM81*2*база!$L$4*Таблица14[[#This Row],[коэф]]))))))))))))),
(IF(AND(G81="5/24",AM81&gt;2),(AM81*2*база!$M$6*Таблица14[[#This Row],[коэф]]),
IF(OR(AND(G81="4/24",AM81&gt;2),AND(G81="3/24",AM81&gt;2)),(AM81*2*база!$M$5*Таблица14[[#This Row],[коэф]]),
IF(AND(G81="5/16",AM81&gt;2),(AM81*2*база!$L$6*Таблица14[[#This Row],[коэф]]),
IF(OR(AND(G81="4/16",AM81&gt;2),AND(G81="3/16",AM81&gt;2)),(AM81*2*база!$L$5*Таблица14[[#This Row],[коэф]]),
IF(OR(AND(G81="4/4",AM81&gt;2),AND(G81="3/4",AM81&gt;2)),(AM81*2*база!$I$5*Таблица14[[#This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(AM81*2*база!$L$5*Таблица14[[#This Row],[коэф]])))))))))))</f>
        <v>0</v>
      </c>
      <c r="AO81" s="114">
        <f>IFERROR(INDEX(база!$D$2:$D$120, MATCH(Таблица14[[#This Row],[Ф. И. О.]],база!$B$2:$B$100,0)),"")</f>
        <v>0</v>
      </c>
    </row>
    <row r="82" spans="1:41" ht="13.5" customHeight="1">
      <c r="A82" s="192"/>
      <c r="B82" s="223"/>
      <c r="C82" s="544"/>
      <c r="D82" s="199"/>
      <c r="E82" s="224"/>
      <c r="F82" s="679"/>
      <c r="G82" s="225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113">
        <f t="shared" si="1"/>
        <v>0</v>
      </c>
      <c r="AN82" s="540">
        <f>IF(AO82&lt;=3,(IF(AND(G82="5/24",AM82&gt;2),(AM82*2*база!$M$6*Таблица14[[#This Row],[коэф]]),
IF(AND(G82="4/24",AM82&gt;2),(AM82*2*база!$M$5*Таблица14[[#This Row],[коэф]]),
IF(AND(G82="3/24",AM82&gt;2),(AM82*2*база!$M$4*Таблица14[[#This Row],[коэф]]),
IF(AND(G82="5/16",AM82&gt;2),(AM82*2*база!$L$6*Таблица14[[#This Row],[коэф]]),
IF(AND(G82="4/16",AM82&gt;2),(AM82*2*база!$L$5*Таблица14[[#This Row],[коэф]]),
IF(AND(G82="3/16",AM82&gt;2),(AM82*2*база!$L$4*Таблица14[[#This Row],[коэф]]),
IF(AND(G82="4/4",AM82&gt;2),(AM82*2*база!$I$5*Таблица14[[#This Row],[коэф]]),
IF(AND(G82="3/4",AM82&gt;2),(AM82*2*база!$I$4*Таблица14[[#This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(AM82*2*база!$L$4*Таблица14[[#This Row],[коэф]]))))))))))))),
(IF(AND(G82="5/24",AM82&gt;2),(AM82*2*база!$M$6*Таблица14[[#This Row],[коэф]]),
IF(OR(AND(G82="4/24",AM82&gt;2),AND(G82="3/24",AM82&gt;2)),(AM82*2*база!$M$5*Таблица14[[#This Row],[коэф]]),
IF(AND(G82="5/16",AM82&gt;2),(AM82*2*база!$L$6*Таблица14[[#This Row],[коэф]]),
IF(OR(AND(G82="4/16",AM82&gt;2),AND(G82="3/16",AM82&gt;2)),(AM82*2*база!$L$5*Таблица14[[#This Row],[коэф]]),
IF(OR(AND(G82="4/4",AM82&gt;2),AND(G82="3/4",AM82&gt;2)),(AM82*2*база!$I$5*Таблица14[[#This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(AM82*2*база!$L$5*Таблица14[[#This Row],[коэф]])))))))))))</f>
        <v>0</v>
      </c>
      <c r="AO82" s="114">
        <f>IFERROR(INDEX(база!$D$2:$D$120, MATCH(Таблица14[[#This Row],[Ф. И. О.]],база!$B$2:$B$100,0)),"")</f>
        <v>0</v>
      </c>
    </row>
    <row r="83" spans="1:41" ht="13.5" customHeight="1">
      <c r="A83" s="192"/>
      <c r="B83" s="189"/>
      <c r="C83" s="544"/>
      <c r="D83" s="199"/>
      <c r="E83" s="226"/>
      <c r="F83" s="679"/>
      <c r="G83" s="191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113">
        <f t="shared" si="1"/>
        <v>0</v>
      </c>
      <c r="AN83" s="540">
        <f>IF(AO83&lt;=3,(IF(AND(G83="5/24",AM83&gt;2),(AM83*2*база!$M$6*Таблица14[[#This Row],[коэф]]),
IF(AND(G83="4/24",AM83&gt;2),(AM83*2*база!$M$5*Таблица14[[#This Row],[коэф]]),
IF(AND(G83="3/24",AM83&gt;2),(AM83*2*база!$M$4*Таблица14[[#This Row],[коэф]]),
IF(AND(G83="5/16",AM83&gt;2),(AM83*2*база!$L$6*Таблица14[[#This Row],[коэф]]),
IF(AND(G83="4/16",AM83&gt;2),(AM83*2*база!$L$5*Таблица14[[#This Row],[коэф]]),
IF(AND(G83="3/16",AM83&gt;2),(AM83*2*база!$L$4*Таблица14[[#This Row],[коэф]]),
IF(AND(G83="4/4",AM83&gt;2),(AM83*2*база!$I$5*Таблица14[[#This Row],[коэф]]),
IF(AND(G83="3/4",AM83&gt;2),(AM83*2*база!$I$4*Таблица14[[#This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(AM83*2*база!$L$4*Таблица14[[#This Row],[коэф]]))))))))))))),
(IF(AND(G83="5/24",AM83&gt;2),(AM83*2*база!$M$6*Таблица14[[#This Row],[коэф]]),
IF(OR(AND(G83="4/24",AM83&gt;2),AND(G83="3/24",AM83&gt;2)),(AM83*2*база!$M$5*Таблица14[[#This Row],[коэф]]),
IF(AND(G83="5/16",AM83&gt;2),(AM83*2*база!$L$6*Таблица14[[#This Row],[коэф]]),
IF(OR(AND(G83="4/16",AM83&gt;2),AND(G83="3/16",AM83&gt;2)),(AM83*2*база!$L$5*Таблица14[[#This Row],[коэф]]),
IF(OR(AND(G83="4/4",AM83&gt;2),AND(G83="3/4",AM83&gt;2)),(AM83*2*база!$I$5*Таблица14[[#This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(AM83*2*база!$L$5*Таблица14[[#This Row],[коэф]])))))))))))</f>
        <v>0</v>
      </c>
      <c r="AO83" s="114">
        <f>IFERROR(INDEX(база!$D$2:$D$120, MATCH(Таблица14[[#This Row],[Ф. И. О.]],база!$B$2:$B$100,0)),"")</f>
        <v>0</v>
      </c>
    </row>
    <row r="84" spans="1:41" ht="13.5" customHeight="1">
      <c r="A84" s="192"/>
      <c r="B84" s="223"/>
      <c r="C84" s="544"/>
      <c r="D84" s="199"/>
      <c r="E84" s="224"/>
      <c r="F84" s="679"/>
      <c r="G84" s="225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113">
        <f t="shared" si="1"/>
        <v>0</v>
      </c>
      <c r="AN84" s="540">
        <f>IF(AO84&lt;=3,(IF(AND(G84="5/24",AM84&gt;2),(AM84*2*база!$M$6*Таблица14[[#This Row],[коэф]]),
IF(AND(G84="4/24",AM84&gt;2),(AM84*2*база!$M$5*Таблица14[[#This Row],[коэф]]),
IF(AND(G84="3/24",AM84&gt;2),(AM84*2*база!$M$4*Таблица14[[#This Row],[коэф]]),
IF(AND(G84="5/16",AM84&gt;2),(AM84*2*база!$L$6*Таблица14[[#This Row],[коэф]]),
IF(AND(G84="4/16",AM84&gt;2),(AM84*2*база!$L$5*Таблица14[[#This Row],[коэф]]),
IF(AND(G84="3/16",AM84&gt;2),(AM84*2*база!$L$4*Таблица14[[#This Row],[коэф]]),
IF(AND(G84="4/4",AM84&gt;2),(AM84*2*база!$I$5*Таблица14[[#This Row],[коэф]]),
IF(AND(G84="3/4",AM84&gt;2),(AM84*2*база!$I$4*Таблица14[[#This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(AM84*2*база!$L$4*Таблица14[[#This Row],[коэф]]))))))))))))),
(IF(AND(G84="5/24",AM84&gt;2),(AM84*2*база!$M$6*Таблица14[[#This Row],[коэф]]),
IF(OR(AND(G84="4/24",AM84&gt;2),AND(G84="3/24",AM84&gt;2)),(AM84*2*база!$M$5*Таблица14[[#This Row],[коэф]]),
IF(AND(G84="5/16",AM84&gt;2),(AM84*2*база!$L$6*Таблица14[[#This Row],[коэф]]),
IF(OR(AND(G84="4/16",AM84&gt;2),AND(G84="3/16",AM84&gt;2)),(AM84*2*база!$L$5*Таблица14[[#This Row],[коэф]]),
IF(OR(AND(G84="4/4",AM84&gt;2),AND(G84="3/4",AM84&gt;2)),(AM84*2*база!$I$5*Таблица14[[#This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(AM84*2*база!$L$5*Таблица14[[#This Row],[коэф]])))))))))))</f>
        <v>0</v>
      </c>
      <c r="AO84" s="114">
        <f>IFERROR(INDEX(база!$D$2:$D$120, MATCH(Таблица14[[#This Row],[Ф. И. О.]],база!$B$2:$B$100,0)),"")</f>
        <v>0</v>
      </c>
    </row>
    <row r="85" spans="1:41" ht="13.5" customHeight="1">
      <c r="A85" s="192"/>
      <c r="B85" s="189"/>
      <c r="C85" s="544"/>
      <c r="D85" s="199"/>
      <c r="E85" s="226"/>
      <c r="F85" s="679"/>
      <c r="G85" s="191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113">
        <f t="shared" si="1"/>
        <v>0</v>
      </c>
      <c r="AN85" s="540">
        <f>IF(AO85&lt;=3,(IF(AND(G85="5/24",AM85&gt;2),(AM85*2*база!$M$6*Таблица14[[#This Row],[коэф]]),
IF(AND(G85="4/24",AM85&gt;2),(AM85*2*база!$M$5*Таблица14[[#This Row],[коэф]]),
IF(AND(G85="3/24",AM85&gt;2),(AM85*2*база!$M$4*Таблица14[[#This Row],[коэф]]),
IF(AND(G85="5/16",AM85&gt;2),(AM85*2*база!$L$6*Таблица14[[#This Row],[коэф]]),
IF(AND(G85="4/16",AM85&gt;2),(AM85*2*база!$L$5*Таблица14[[#This Row],[коэф]]),
IF(AND(G85="3/16",AM85&gt;2),(AM85*2*база!$L$4*Таблица14[[#This Row],[коэф]]),
IF(AND(G85="4/4",AM85&gt;2),(AM85*2*база!$I$5*Таблица14[[#This Row],[коэф]]),
IF(AND(G85="3/4",AM85&gt;2),(AM85*2*база!$I$4*Таблица14[[#This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(AM85*2*база!$L$4*Таблица14[[#This Row],[коэф]]))))))))))))),
(IF(AND(G85="5/24",AM85&gt;2),(AM85*2*база!$M$6*Таблица14[[#This Row],[коэф]]),
IF(OR(AND(G85="4/24",AM85&gt;2),AND(G85="3/24",AM85&gt;2)),(AM85*2*база!$M$5*Таблица14[[#This Row],[коэф]]),
IF(AND(G85="5/16",AM85&gt;2),(AM85*2*база!$L$6*Таблица14[[#This Row],[коэф]]),
IF(OR(AND(G85="4/16",AM85&gt;2),AND(G85="3/16",AM85&gt;2)),(AM85*2*база!$L$5*Таблица14[[#This Row],[коэф]]),
IF(OR(AND(G85="4/4",AM85&gt;2),AND(G85="3/4",AM85&gt;2)),(AM85*2*база!$I$5*Таблица14[[#This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(AM85*2*база!$L$5*Таблица14[[#This Row],[коэф]])))))))))))</f>
        <v>0</v>
      </c>
      <c r="AO85" s="114">
        <f>IFERROR(INDEX(база!$D$2:$D$120, MATCH(Таблица14[[#This Row],[Ф. И. О.]],база!$B$2:$B$100,0)),"")</f>
        <v>0</v>
      </c>
    </row>
    <row r="86" spans="1:41" ht="13.5" customHeight="1">
      <c r="A86" s="192"/>
      <c r="B86" s="223"/>
      <c r="C86" s="544"/>
      <c r="D86" s="199"/>
      <c r="E86" s="224"/>
      <c r="F86" s="679"/>
      <c r="G86" s="225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113">
        <f t="shared" si="1"/>
        <v>0</v>
      </c>
      <c r="AN86" s="540">
        <f>IF(AO86&lt;=3,(IF(AND(G86="5/24",AM86&gt;2),(AM86*2*база!$M$6*Таблица14[[#This Row],[коэф]]),
IF(AND(G86="4/24",AM86&gt;2),(AM86*2*база!$M$5*Таблица14[[#This Row],[коэф]]),
IF(AND(G86="3/24",AM86&gt;2),(AM86*2*база!$M$4*Таблица14[[#This Row],[коэф]]),
IF(AND(G86="5/16",AM86&gt;2),(AM86*2*база!$L$6*Таблица14[[#This Row],[коэф]]),
IF(AND(G86="4/16",AM86&gt;2),(AM86*2*база!$L$5*Таблица14[[#This Row],[коэф]]),
IF(AND(G86="3/16",AM86&gt;2),(AM86*2*база!$L$4*Таблица14[[#This Row],[коэф]]),
IF(AND(G86="4/4",AM86&gt;2),(AM86*2*база!$I$5*Таблица14[[#This Row],[коэф]]),
IF(AND(G86="3/4",AM86&gt;2),(AM86*2*база!$I$4*Таблица14[[#This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(AM86*2*база!$L$4*Таблица14[[#This Row],[коэф]]))))))))))))),
(IF(AND(G86="5/24",AM86&gt;2),(AM86*2*база!$M$6*Таблица14[[#This Row],[коэф]]),
IF(OR(AND(G86="4/24",AM86&gt;2),AND(G86="3/24",AM86&gt;2)),(AM86*2*база!$M$5*Таблица14[[#This Row],[коэф]]),
IF(AND(G86="5/16",AM86&gt;2),(AM86*2*база!$L$6*Таблица14[[#This Row],[коэф]]),
IF(OR(AND(G86="4/16",AM86&gt;2),AND(G86="3/16",AM86&gt;2)),(AM86*2*база!$L$5*Таблица14[[#This Row],[коэф]]),
IF(OR(AND(G86="4/4",AM86&gt;2),AND(G86="3/4",AM86&gt;2)),(AM86*2*база!$I$5*Таблица14[[#This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(AM86*2*база!$L$5*Таблица14[[#This Row],[коэф]])))))))))))</f>
        <v>0</v>
      </c>
      <c r="AO86" s="114">
        <f>IFERROR(INDEX(база!$D$2:$D$120, MATCH(Таблица14[[#This Row],[Ф. И. О.]],база!$B$2:$B$100,0)),"")</f>
        <v>0</v>
      </c>
    </row>
    <row r="87" spans="1:41">
      <c r="A87" s="192"/>
      <c r="B87" s="189"/>
      <c r="C87" s="544"/>
      <c r="D87" s="199"/>
      <c r="E87" s="226"/>
      <c r="F87" s="679"/>
      <c r="G87" s="191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113">
        <f t="shared" si="1"/>
        <v>0</v>
      </c>
      <c r="AN87" s="540">
        <f>IF(AO87&lt;=3,(IF(AND(G87="5/24",AM87&gt;2),(AM87*2*база!$M$6*Таблица14[[#This Row],[коэф]]),
IF(AND(G87="4/24",AM87&gt;2),(AM87*2*база!$M$5*Таблица14[[#This Row],[коэф]]),
IF(AND(G87="3/24",AM87&gt;2),(AM87*2*база!$M$4*Таблица14[[#This Row],[коэф]]),
IF(AND(G87="5/16",AM87&gt;2),(AM87*2*база!$L$6*Таблица14[[#This Row],[коэф]]),
IF(AND(G87="4/16",AM87&gt;2),(AM87*2*база!$L$5*Таблица14[[#This Row],[коэф]]),
IF(AND(G87="3/16",AM87&gt;2),(AM87*2*база!$L$4*Таблица14[[#This Row],[коэф]]),
IF(AND(G87="4/4",AM87&gt;2),(AM87*2*база!$I$5*Таблица14[[#This Row],[коэф]]),
IF(AND(G87="3/4",AM87&gt;2),(AM87*2*база!$I$4*Таблица14[[#This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(AM87*2*база!$L$4*Таблица14[[#This Row],[коэф]]))))))))))))),
(IF(AND(G87="5/24",AM87&gt;2),(AM87*2*база!$M$6*Таблица14[[#This Row],[коэф]]),
IF(OR(AND(G87="4/24",AM87&gt;2),AND(G87="3/24",AM87&gt;2)),(AM87*2*база!$M$5*Таблица14[[#This Row],[коэф]]),
IF(AND(G87="5/16",AM87&gt;2),(AM87*2*база!$L$6*Таблица14[[#This Row],[коэф]]),
IF(OR(AND(G87="4/16",AM87&gt;2),AND(G87="3/16",AM87&gt;2)),(AM87*2*база!$L$5*Таблица14[[#This Row],[коэф]]),
IF(OR(AND(G87="4/4",AM87&gt;2),AND(G87="3/4",AM87&gt;2)),(AM87*2*база!$I$5*Таблица14[[#This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(AM87*2*база!$L$5*Таблица14[[#This Row],[коэф]])))))))))))</f>
        <v>0</v>
      </c>
      <c r="AO87" s="114">
        <f>IFERROR(INDEX(база!$D$2:$D$120, MATCH(Таблица14[[#This Row],[Ф. И. О.]],база!$B$2:$B$100,0)),"")</f>
        <v>0</v>
      </c>
    </row>
    <row r="88" spans="1:41">
      <c r="A88" s="192"/>
      <c r="B88" s="223"/>
      <c r="C88" s="544"/>
      <c r="D88" s="199"/>
      <c r="E88" s="224"/>
      <c r="F88" s="679"/>
      <c r="G88" s="225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113">
        <f t="shared" si="1"/>
        <v>0</v>
      </c>
      <c r="AN88" s="540">
        <f>IF(AO88&lt;=3,(IF(AND(G88="5/24",AM88&gt;2),(AM88*2*база!$M$6*Таблица14[[#This Row],[коэф]]),
IF(AND(G88="4/24",AM88&gt;2),(AM88*2*база!$M$5*Таблица14[[#This Row],[коэф]]),
IF(AND(G88="3/24",AM88&gt;2),(AM88*2*база!$M$4*Таблица14[[#This Row],[коэф]]),
IF(AND(G88="5/16",AM88&gt;2),(AM88*2*база!$L$6*Таблица14[[#This Row],[коэф]]),
IF(AND(G88="4/16",AM88&gt;2),(AM88*2*база!$L$5*Таблица14[[#This Row],[коэф]]),
IF(AND(G88="3/16",AM88&gt;2),(AM88*2*база!$L$4*Таблица14[[#This Row],[коэф]]),
IF(AND(G88="4/4",AM88&gt;2),(AM88*2*база!$I$5*Таблица14[[#This Row],[коэф]]),
IF(AND(G88="3/4",AM88&gt;2),(AM88*2*база!$I$4*Таблица14[[#This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(AM88*2*база!$L$4*Таблица14[[#This Row],[коэф]]))))))))))))),
(IF(AND(G88="5/24",AM88&gt;2),(AM88*2*база!$M$6*Таблица14[[#This Row],[коэф]]),
IF(OR(AND(G88="4/24",AM88&gt;2),AND(G88="3/24",AM88&gt;2)),(AM88*2*база!$M$5*Таблица14[[#This Row],[коэф]]),
IF(AND(G88="5/16",AM88&gt;2),(AM88*2*база!$L$6*Таблица14[[#This Row],[коэф]]),
IF(OR(AND(G88="4/16",AM88&gt;2),AND(G88="3/16",AM88&gt;2)),(AM88*2*база!$L$5*Таблица14[[#This Row],[коэф]]),
IF(OR(AND(G88="4/4",AM88&gt;2),AND(G88="3/4",AM88&gt;2)),(AM88*2*база!$I$5*Таблица14[[#This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(AM88*2*база!$L$5*Таблица14[[#This Row],[коэф]])))))))))))</f>
        <v>0</v>
      </c>
      <c r="AO88" s="114">
        <f>IFERROR(INDEX(база!$D$2:$D$120, MATCH(Таблица14[[#This Row],[Ф. И. О.]],база!$B$2:$B$100,0)),"")</f>
        <v>0</v>
      </c>
    </row>
    <row r="89" spans="1:41">
      <c r="A89" s="192"/>
      <c r="B89" s="189"/>
      <c r="C89" s="544"/>
      <c r="D89" s="199"/>
      <c r="E89" s="226"/>
      <c r="F89" s="679"/>
      <c r="G89" s="191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113">
        <f t="shared" si="1"/>
        <v>0</v>
      </c>
      <c r="AN89" s="540">
        <f>IF(AO89&lt;=3,(IF(AND(G89="5/24",AM89&gt;2),(AM89*2*база!$M$6*Таблица14[[#This Row],[коэф]]),
IF(AND(G89="4/24",AM89&gt;2),(AM89*2*база!$M$5*Таблица14[[#This Row],[коэф]]),
IF(AND(G89="3/24",AM89&gt;2),(AM89*2*база!$M$4*Таблица14[[#This Row],[коэф]]),
IF(AND(G89="5/16",AM89&gt;2),(AM89*2*база!$L$6*Таблица14[[#This Row],[коэф]]),
IF(AND(G89="4/16",AM89&gt;2),(AM89*2*база!$L$5*Таблица14[[#This Row],[коэф]]),
IF(AND(G89="3/16",AM89&gt;2),(AM89*2*база!$L$4*Таблица14[[#This Row],[коэф]]),
IF(AND(G89="4/4",AM89&gt;2),(AM89*2*база!$I$5*Таблица14[[#This Row],[коэф]]),
IF(AND(G89="3/4",AM89&gt;2),(AM89*2*база!$I$4*Таблица14[[#This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(AM89*2*база!$L$4*Таблица14[[#This Row],[коэф]]))))))))))))),
(IF(AND(G89="5/24",AM89&gt;2),(AM89*2*база!$M$6*Таблица14[[#This Row],[коэф]]),
IF(OR(AND(G89="4/24",AM89&gt;2),AND(G89="3/24",AM89&gt;2)),(AM89*2*база!$M$5*Таблица14[[#This Row],[коэф]]),
IF(AND(G89="5/16",AM89&gt;2),(AM89*2*база!$L$6*Таблица14[[#This Row],[коэф]]),
IF(OR(AND(G89="4/16",AM89&gt;2),AND(G89="3/16",AM89&gt;2)),(AM89*2*база!$L$5*Таблица14[[#This Row],[коэф]]),
IF(OR(AND(G89="4/4",AM89&gt;2),AND(G89="3/4",AM89&gt;2)),(AM89*2*база!$I$5*Таблица14[[#This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(AM89*2*база!$L$5*Таблица14[[#This Row],[коэф]])))))))))))</f>
        <v>0</v>
      </c>
      <c r="AO89" s="114">
        <f>IFERROR(INDEX(база!$D$2:$D$120, MATCH(Таблица14[[#This Row],[Ф. И. О.]],база!$B$2:$B$100,0)),"")</f>
        <v>0</v>
      </c>
    </row>
    <row r="90" spans="1:41">
      <c r="A90" s="192"/>
      <c r="B90" s="223"/>
      <c r="C90" s="544"/>
      <c r="D90" s="199"/>
      <c r="E90" s="224"/>
      <c r="F90" s="679"/>
      <c r="G90" s="225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113">
        <f t="shared" si="1"/>
        <v>0</v>
      </c>
      <c r="AN90" s="540">
        <f>IF(AO90&lt;=3,(IF(AND(G90="5/24",AM90&gt;2),(AM90*2*база!$M$6*Таблица14[[#This Row],[коэф]]),
IF(AND(G90="4/24",AM90&gt;2),(AM90*2*база!$M$5*Таблица14[[#This Row],[коэф]]),
IF(AND(G90="3/24",AM90&gt;2),(AM90*2*база!$M$4*Таблица14[[#This Row],[коэф]]),
IF(AND(G90="5/16",AM90&gt;2),(AM90*2*база!$L$6*Таблица14[[#This Row],[коэф]]),
IF(AND(G90="4/16",AM90&gt;2),(AM90*2*база!$L$5*Таблица14[[#This Row],[коэф]]),
IF(AND(G90="3/16",AM90&gt;2),(AM90*2*база!$L$4*Таблица14[[#This Row],[коэф]]),
IF(AND(G90="4/4",AM90&gt;2),(AM90*2*база!$I$5*Таблица14[[#This Row],[коэф]]),
IF(AND(G90="3/4",AM90&gt;2),(AM90*2*база!$I$4*Таблица14[[#This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(AM90*2*база!$L$4*Таблица14[[#This Row],[коэф]]))))))))))))),
(IF(AND(G90="5/24",AM90&gt;2),(AM90*2*база!$M$6*Таблица14[[#This Row],[коэф]]),
IF(OR(AND(G90="4/24",AM90&gt;2),AND(G90="3/24",AM90&gt;2)),(AM90*2*база!$M$5*Таблица14[[#This Row],[коэф]]),
IF(AND(G90="5/16",AM90&gt;2),(AM90*2*база!$L$6*Таблица14[[#This Row],[коэф]]),
IF(OR(AND(G90="4/16",AM90&gt;2),AND(G90="3/16",AM90&gt;2)),(AM90*2*база!$L$5*Таблица14[[#This Row],[коэф]]),
IF(OR(AND(G90="4/4",AM90&gt;2),AND(G90="3/4",AM90&gt;2)),(AM90*2*база!$I$5*Таблица14[[#This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(AM90*2*база!$L$5*Таблица14[[#This Row],[коэф]])))))))))))</f>
        <v>0</v>
      </c>
      <c r="AO90" s="114">
        <f>IFERROR(INDEX(база!$D$2:$D$120, MATCH(Таблица14[[#This Row],[Ф. И. О.]],база!$B$2:$B$100,0)),"")</f>
        <v>0</v>
      </c>
    </row>
    <row r="91" spans="1:41">
      <c r="A91" s="192"/>
      <c r="B91" s="189"/>
      <c r="C91" s="544"/>
      <c r="D91" s="199"/>
      <c r="E91" s="226"/>
      <c r="F91" s="679"/>
      <c r="G91" s="191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113">
        <f t="shared" si="1"/>
        <v>0</v>
      </c>
      <c r="AN91" s="540">
        <f>IF(AO91&lt;=3,(IF(AND(G91="5/24",AM91&gt;2),(AM91*2*база!$M$6*Таблица14[[#This Row],[коэф]]),
IF(AND(G91="4/24",AM91&gt;2),(AM91*2*база!$M$5*Таблица14[[#This Row],[коэф]]),
IF(AND(G91="3/24",AM91&gt;2),(AM91*2*база!$M$4*Таблица14[[#This Row],[коэф]]),
IF(AND(G91="5/16",AM91&gt;2),(AM91*2*база!$L$6*Таблица14[[#This Row],[коэф]]),
IF(AND(G91="4/16",AM91&gt;2),(AM91*2*база!$L$5*Таблица14[[#This Row],[коэф]]),
IF(AND(G91="3/16",AM91&gt;2),(AM91*2*база!$L$4*Таблица14[[#This Row],[коэф]]),
IF(AND(G91="4/4",AM91&gt;2),(AM91*2*база!$I$5*Таблица14[[#This Row],[коэф]]),
IF(AND(G91="3/4",AM91&gt;2),(AM91*2*база!$I$4*Таблица14[[#This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(AM91*2*база!$L$4*Таблица14[[#This Row],[коэф]]))))))))))))),
(IF(AND(G91="5/24",AM91&gt;2),(AM91*2*база!$M$6*Таблица14[[#This Row],[коэф]]),
IF(OR(AND(G91="4/24",AM91&gt;2),AND(G91="3/24",AM91&gt;2)),(AM91*2*база!$M$5*Таблица14[[#This Row],[коэф]]),
IF(AND(G91="5/16",AM91&gt;2),(AM91*2*база!$L$6*Таблица14[[#This Row],[коэф]]),
IF(OR(AND(G91="4/16",AM91&gt;2),AND(G91="3/16",AM91&gt;2)),(AM91*2*база!$L$5*Таблица14[[#This Row],[коэф]]),
IF(OR(AND(G91="4/4",AM91&gt;2),AND(G91="3/4",AM91&gt;2)),(AM91*2*база!$I$5*Таблица14[[#This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(AM91*2*база!$L$5*Таблица14[[#This Row],[коэф]])))))))))))</f>
        <v>0</v>
      </c>
      <c r="AO91" s="114">
        <f>IFERROR(INDEX(база!$D$2:$D$120, MATCH(Таблица14[[#This Row],[Ф. И. О.]],база!$B$2:$B$100,0)),"")</f>
        <v>0</v>
      </c>
    </row>
    <row r="92" spans="1:41">
      <c r="A92" s="192"/>
      <c r="B92" s="223"/>
      <c r="C92" s="544"/>
      <c r="D92" s="199"/>
      <c r="E92" s="224"/>
      <c r="F92" s="679"/>
      <c r="G92" s="225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113">
        <f t="shared" si="1"/>
        <v>0</v>
      </c>
      <c r="AN92" s="540">
        <f>IF(AO92&lt;=3,(IF(AND(G92="5/24",AM92&gt;2),(AM92*2*база!$M$6*Таблица14[[#This Row],[коэф]]),
IF(AND(G92="4/24",AM92&gt;2),(AM92*2*база!$M$5*Таблица14[[#This Row],[коэф]]),
IF(AND(G92="3/24",AM92&gt;2),(AM92*2*база!$M$4*Таблица14[[#This Row],[коэф]]),
IF(AND(G92="5/16",AM92&gt;2),(AM92*2*база!$L$6*Таблица14[[#This Row],[коэф]]),
IF(AND(G92="4/16",AM92&gt;2),(AM92*2*база!$L$5*Таблица14[[#This Row],[коэф]]),
IF(AND(G92="3/16",AM92&gt;2),(AM92*2*база!$L$4*Таблица14[[#This Row],[коэф]]),
IF(AND(G92="4/4",AM92&gt;2),(AM92*2*база!$I$5*Таблица14[[#This Row],[коэф]]),
IF(AND(G92="3/4",AM92&gt;2),(AM92*2*база!$I$4*Таблица14[[#This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(AM92*2*база!$L$4*Таблица14[[#This Row],[коэф]]))))))))))))),
(IF(AND(G92="5/24",AM92&gt;2),(AM92*2*база!$M$6*Таблица14[[#This Row],[коэф]]),
IF(OR(AND(G92="4/24",AM92&gt;2),AND(G92="3/24",AM92&gt;2)),(AM92*2*база!$M$5*Таблица14[[#This Row],[коэф]]),
IF(AND(G92="5/16",AM92&gt;2),(AM92*2*база!$L$6*Таблица14[[#This Row],[коэф]]),
IF(OR(AND(G92="4/16",AM92&gt;2),AND(G92="3/16",AM92&gt;2)),(AM92*2*база!$L$5*Таблица14[[#This Row],[коэф]]),
IF(OR(AND(G92="4/4",AM92&gt;2),AND(G92="3/4",AM92&gt;2)),(AM92*2*база!$I$5*Таблица14[[#This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(AM92*2*база!$L$5*Таблица14[[#This Row],[коэф]])))))))))))</f>
        <v>0</v>
      </c>
      <c r="AO92" s="114">
        <f>IFERROR(INDEX(база!$D$2:$D$120, MATCH(Таблица14[[#This Row],[Ф. И. О.]],база!$B$2:$B$100,0)),"")</f>
        <v>0</v>
      </c>
    </row>
    <row r="93" spans="1:41">
      <c r="A93" s="192"/>
      <c r="B93" s="189"/>
      <c r="C93" s="544"/>
      <c r="D93" s="199"/>
      <c r="E93" s="226"/>
      <c r="F93" s="679"/>
      <c r="G93" s="191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113">
        <f t="shared" si="1"/>
        <v>0</v>
      </c>
      <c r="AN93" s="540">
        <f>IF(AO93&lt;=3,(IF(AND(G93="5/24",AM93&gt;2),(AM93*2*база!$M$6*Таблица14[[#This Row],[коэф]]),
IF(AND(G93="4/24",AM93&gt;2),(AM93*2*база!$M$5*Таблица14[[#This Row],[коэф]]),
IF(AND(G93="3/24",AM93&gt;2),(AM93*2*база!$M$4*Таблица14[[#This Row],[коэф]]),
IF(AND(G93="5/16",AM93&gt;2),(AM93*2*база!$L$6*Таблица14[[#This Row],[коэф]]),
IF(AND(G93="4/16",AM93&gt;2),(AM93*2*база!$L$5*Таблица14[[#This Row],[коэф]]),
IF(AND(G93="3/16",AM93&gt;2),(AM93*2*база!$L$4*Таблица14[[#This Row],[коэф]]),
IF(AND(G93="4/4",AM93&gt;2),(AM93*2*база!$I$5*Таблица14[[#This Row],[коэф]]),
IF(AND(G93="3/4",AM93&gt;2),(AM93*2*база!$I$4*Таблица14[[#This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(AM93*2*база!$L$4*Таблица14[[#This Row],[коэф]]))))))))))))),
(IF(AND(G93="5/24",AM93&gt;2),(AM93*2*база!$M$6*Таблица14[[#This Row],[коэф]]),
IF(OR(AND(G93="4/24",AM93&gt;2),AND(G93="3/24",AM93&gt;2)),(AM93*2*база!$M$5*Таблица14[[#This Row],[коэф]]),
IF(AND(G93="5/16",AM93&gt;2),(AM93*2*база!$L$6*Таблица14[[#This Row],[коэф]]),
IF(OR(AND(G93="4/16",AM93&gt;2),AND(G93="3/16",AM93&gt;2)),(AM93*2*база!$L$5*Таблица14[[#This Row],[коэф]]),
IF(OR(AND(G93="4/4",AM93&gt;2),AND(G93="3/4",AM93&gt;2)),(AM93*2*база!$I$5*Таблица14[[#This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(AM93*2*база!$L$5*Таблица14[[#This Row],[коэф]])))))))))))</f>
        <v>0</v>
      </c>
      <c r="AO93" s="114">
        <f>IFERROR(INDEX(база!$D$2:$D$120, MATCH(Таблица14[[#This Row],[Ф. И. О.]],база!$B$2:$B$100,0)),"")</f>
        <v>0</v>
      </c>
    </row>
    <row r="94" spans="1:41">
      <c r="A94" s="192"/>
      <c r="B94" s="223"/>
      <c r="C94" s="544"/>
      <c r="D94" s="199"/>
      <c r="E94" s="224"/>
      <c r="F94" s="679"/>
      <c r="G94" s="225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113">
        <f t="shared" si="1"/>
        <v>0</v>
      </c>
      <c r="AN94" s="540">
        <f>IF(AO94&lt;=3,(IF(AND(G94="5/24",AM94&gt;2),(AM94*2*база!$M$6*Таблица14[[#This Row],[коэф]]),
IF(AND(G94="4/24",AM94&gt;2),(AM94*2*база!$M$5*Таблица14[[#This Row],[коэф]]),
IF(AND(G94="3/24",AM94&gt;2),(AM94*2*база!$M$4*Таблица14[[#This Row],[коэф]]),
IF(AND(G94="5/16",AM94&gt;2),(AM94*2*база!$L$6*Таблица14[[#This Row],[коэф]]),
IF(AND(G94="4/16",AM94&gt;2),(AM94*2*база!$L$5*Таблица14[[#This Row],[коэф]]),
IF(AND(G94="3/16",AM94&gt;2),(AM94*2*база!$L$4*Таблица14[[#This Row],[коэф]]),
IF(AND(G94="4/4",AM94&gt;2),(AM94*2*база!$I$5*Таблица14[[#This Row],[коэф]]),
IF(AND(G94="3/4",AM94&gt;2),(AM94*2*база!$I$4*Таблица14[[#This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(AM94*2*база!$L$4*Таблица14[[#This Row],[коэф]]))))))))))))),
(IF(AND(G94="5/24",AM94&gt;2),(AM94*2*база!$M$6*Таблица14[[#This Row],[коэф]]),
IF(OR(AND(G94="4/24",AM94&gt;2),AND(G94="3/24",AM94&gt;2)),(AM94*2*база!$M$5*Таблица14[[#This Row],[коэф]]),
IF(AND(G94="5/16",AM94&gt;2),(AM94*2*база!$L$6*Таблица14[[#This Row],[коэф]]),
IF(OR(AND(G94="4/16",AM94&gt;2),AND(G94="3/16",AM94&gt;2)),(AM94*2*база!$L$5*Таблица14[[#This Row],[коэф]]),
IF(OR(AND(G94="4/4",AM94&gt;2),AND(G94="3/4",AM94&gt;2)),(AM94*2*база!$I$5*Таблица14[[#This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(AM94*2*база!$L$5*Таблица14[[#This Row],[коэф]])))))))))))</f>
        <v>0</v>
      </c>
      <c r="AO94" s="114">
        <f>IFERROR(INDEX(база!$D$2:$D$120, MATCH(Таблица14[[#This Row],[Ф. И. О.]],база!$B$2:$B$100,0)),"")</f>
        <v>0</v>
      </c>
    </row>
    <row r="95" spans="1:41">
      <c r="A95" s="192"/>
      <c r="B95" s="189"/>
      <c r="C95" s="544"/>
      <c r="D95" s="199"/>
      <c r="E95" s="226"/>
      <c r="F95" s="679"/>
      <c r="G95" s="191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113">
        <f t="shared" si="1"/>
        <v>0</v>
      </c>
      <c r="AN95" s="540">
        <f>IF(AO95&lt;=3,(IF(AND(G95="5/24",AM95&gt;2),(AM95*2*база!$M$6*Таблица14[[#This Row],[коэф]]),
IF(AND(G95="4/24",AM95&gt;2),(AM95*2*база!$M$5*Таблица14[[#This Row],[коэф]]),
IF(AND(G95="3/24",AM95&gt;2),(AM95*2*база!$M$4*Таблица14[[#This Row],[коэф]]),
IF(AND(G95="5/16",AM95&gt;2),(AM95*2*база!$L$6*Таблица14[[#This Row],[коэф]]),
IF(AND(G95="4/16",AM95&gt;2),(AM95*2*база!$L$5*Таблица14[[#This Row],[коэф]]),
IF(AND(G95="3/16",AM95&gt;2),(AM95*2*база!$L$4*Таблица14[[#This Row],[коэф]]),
IF(AND(G95="4/4",AM95&gt;2),(AM95*2*база!$I$5*Таблица14[[#This Row],[коэф]]),
IF(AND(G95="3/4",AM95&gt;2),(AM95*2*база!$I$4*Таблица14[[#This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(AM95*2*база!$L$4*Таблица14[[#This Row],[коэф]]))))))))))))),
(IF(AND(G95="5/24",AM95&gt;2),(AM95*2*база!$M$6*Таблица14[[#This Row],[коэф]]),
IF(OR(AND(G95="4/24",AM95&gt;2),AND(G95="3/24",AM95&gt;2)),(AM95*2*база!$M$5*Таблица14[[#This Row],[коэф]]),
IF(AND(G95="5/16",AM95&gt;2),(AM95*2*база!$L$6*Таблица14[[#This Row],[коэф]]),
IF(OR(AND(G95="4/16",AM95&gt;2),AND(G95="3/16",AM95&gt;2)),(AM95*2*база!$L$5*Таблица14[[#This Row],[коэф]]),
IF(OR(AND(G95="4/4",AM95&gt;2),AND(G95="3/4",AM95&gt;2)),(AM95*2*база!$I$5*Таблица14[[#This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(AM95*2*база!$L$5*Таблица14[[#This Row],[коэф]])))))))))))</f>
        <v>0</v>
      </c>
      <c r="AO95" s="114">
        <f>IFERROR(INDEX(база!$D$2:$D$120, MATCH(Таблица14[[#This Row],[Ф. И. О.]],база!$B$2:$B$100,0)),"")</f>
        <v>0</v>
      </c>
    </row>
    <row r="96" spans="1:41">
      <c r="A96" s="192"/>
      <c r="B96" s="223"/>
      <c r="C96" s="54"/>
      <c r="D96" s="55"/>
      <c r="E96" s="224"/>
      <c r="F96" s="651"/>
      <c r="G96" s="225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113">
        <f t="shared" si="1"/>
        <v>0</v>
      </c>
      <c r="AN96" s="540">
        <f>IF(AO96&lt;=3,(IF(AND(G96="5/24",AM96&gt;2),(AM96*2*база!$M$6*Таблица14[[#This Row],[коэф]]),
IF(AND(G96="4/24",AM96&gt;2),(AM96*2*база!$M$5*Таблица14[[#This Row],[коэф]]),
IF(AND(G96="3/24",AM96&gt;2),(AM96*2*база!$M$4*Таблица14[[#This Row],[коэф]]),
IF(AND(G96="5/16",AM96&gt;2),(AM96*2*база!$L$6*Таблица14[[#This Row],[коэф]]),
IF(AND(G96="4/16",AM96&gt;2),(AM96*2*база!$L$5*Таблица14[[#This Row],[коэф]]),
IF(AND(G96="3/16",AM96&gt;2),(AM96*2*база!$L$4*Таблица14[[#This Row],[коэф]]),
IF(AND(G96="4/4",AM96&gt;2),(AM96*2*база!$I$5*Таблица14[[#This Row],[коэф]]),
IF(AND(G96="3/4",AM96&gt;2),(AM96*2*база!$I$4*Таблица14[[#This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(AM96*2*база!$L$4*Таблица14[[#This Row],[коэф]]))))))))))))),
(IF(AND(G96="5/24",AM96&gt;2),(AM96*2*база!$M$6*Таблица14[[#This Row],[коэф]]),
IF(OR(AND(G96="4/24",AM96&gt;2),AND(G96="3/24",AM96&gt;2)),(AM96*2*база!$M$5*Таблица14[[#This Row],[коэф]]),
IF(AND(G96="5/16",AM96&gt;2),(AM96*2*база!$L$6*Таблица14[[#This Row],[коэф]]),
IF(OR(AND(G96="4/16",AM96&gt;2),AND(G96="3/16",AM96&gt;2)),(AM96*2*база!$L$5*Таблица14[[#This Row],[коэф]]),
IF(OR(AND(G96="4/4",AM96&gt;2),AND(G96="3/4",AM96&gt;2)),(AM96*2*база!$I$5*Таблица14[[#This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(AM96*2*база!$L$5*Таблица14[[#This Row],[коэф]])))))))))))</f>
        <v>0</v>
      </c>
      <c r="AO96" s="114">
        <f>IFERROR(INDEX(база!$D$2:$D$120, MATCH(Таблица14[[#This Row],[Ф. И. О.]],база!$B$2:$B$100,0)),"")</f>
        <v>0</v>
      </c>
    </row>
    <row r="97" spans="1:41">
      <c r="A97" s="192"/>
      <c r="B97" s="189"/>
      <c r="C97" s="54"/>
      <c r="D97" s="55"/>
      <c r="E97" s="226"/>
      <c r="F97" s="651"/>
      <c r="G97" s="191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113">
        <f t="shared" si="1"/>
        <v>0</v>
      </c>
      <c r="AN97" s="540">
        <f>IF(AO97&lt;=3,(IF(AND(G97="5/24",AM97&gt;2),(AM97*2*база!$M$6*Таблица14[[#This Row],[коэф]]),
IF(AND(G97="4/24",AM97&gt;2),(AM97*2*база!$M$5*Таблица14[[#This Row],[коэф]]),
IF(AND(G97="3/24",AM97&gt;2),(AM97*2*база!$M$4*Таблица14[[#This Row],[коэф]]),
IF(AND(G97="5/16",AM97&gt;2),(AM97*2*база!$L$6*Таблица14[[#This Row],[коэф]]),
IF(AND(G97="4/16",AM97&gt;2),(AM97*2*база!$L$5*Таблица14[[#This Row],[коэф]]),
IF(AND(G97="3/16",AM97&gt;2),(AM97*2*база!$L$4*Таблица14[[#This Row],[коэф]]),
IF(AND(G97="4/4",AM97&gt;2),(AM97*2*база!$I$5*Таблица14[[#This Row],[коэф]]),
IF(AND(G97="3/4",AM97&gt;2),(AM97*2*база!$I$4*Таблица14[[#This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(AM97*2*база!$L$4*Таблица14[[#This Row],[коэф]]))))))))))))),
(IF(AND(G97="5/24",AM97&gt;2),(AM97*2*база!$M$6*Таблица14[[#This Row],[коэф]]),
IF(OR(AND(G97="4/24",AM97&gt;2),AND(G97="3/24",AM97&gt;2)),(AM97*2*база!$M$5*Таблица14[[#This Row],[коэф]]),
IF(AND(G97="5/16",AM97&gt;2),(AM97*2*база!$L$6*Таблица14[[#This Row],[коэф]]),
IF(OR(AND(G97="4/16",AM97&gt;2),AND(G97="3/16",AM97&gt;2)),(AM97*2*база!$L$5*Таблица14[[#This Row],[коэф]]),
IF(OR(AND(G97="4/4",AM97&gt;2),AND(G97="3/4",AM97&gt;2)),(AM97*2*база!$I$5*Таблица14[[#This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(AM97*2*база!$L$5*Таблица14[[#This Row],[коэф]])))))))))))</f>
        <v>0</v>
      </c>
      <c r="AO97" s="114">
        <f>IFERROR(INDEX(база!$D$2:$D$120, MATCH(Таблица14[[#This Row],[Ф. И. О.]],база!$B$2:$B$100,0)),"")</f>
        <v>0</v>
      </c>
    </row>
    <row r="98" spans="1:41">
      <c r="A98" s="192"/>
      <c r="B98" s="223"/>
      <c r="C98" s="54"/>
      <c r="D98" s="55"/>
      <c r="E98" s="224"/>
      <c r="F98" s="651"/>
      <c r="G98" s="225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113">
        <f t="shared" si="1"/>
        <v>0</v>
      </c>
      <c r="AN98" s="540">
        <f>IF(AO98&lt;=3,(IF(AND(G98="5/24",AM98&gt;2),(AM98*2*база!$M$6*Таблица14[[#This Row],[коэф]]),
IF(AND(G98="4/24",AM98&gt;2),(AM98*2*база!$M$5*Таблица14[[#This Row],[коэф]]),
IF(AND(G98="3/24",AM98&gt;2),(AM98*2*база!$M$4*Таблица14[[#This Row],[коэф]]),
IF(AND(G98="5/16",AM98&gt;2),(AM98*2*база!$L$6*Таблица14[[#This Row],[коэф]]),
IF(AND(G98="4/16",AM98&gt;2),(AM98*2*база!$L$5*Таблица14[[#This Row],[коэф]]),
IF(AND(G98="3/16",AM98&gt;2),(AM98*2*база!$L$4*Таблица14[[#This Row],[коэф]]),
IF(AND(G98="4/4",AM98&gt;2),(AM98*2*база!$I$5*Таблица14[[#This Row],[коэф]]),
IF(AND(G98="3/4",AM98&gt;2),(AM98*2*база!$I$4*Таблица14[[#This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(AM98*2*база!$L$4*Таблица14[[#This Row],[коэф]]))))))))))))),
(IF(AND(G98="5/24",AM98&gt;2),(AM98*2*база!$M$6*Таблица14[[#This Row],[коэф]]),
IF(OR(AND(G98="4/24",AM98&gt;2),AND(G98="3/24",AM98&gt;2)),(AM98*2*база!$M$5*Таблица14[[#This Row],[коэф]]),
IF(AND(G98="5/16",AM98&gt;2),(AM98*2*база!$L$6*Таблица14[[#This Row],[коэф]]),
IF(OR(AND(G98="4/16",AM98&gt;2),AND(G98="3/16",AM98&gt;2)),(AM98*2*база!$L$5*Таблица14[[#This Row],[коэф]]),
IF(OR(AND(G98="4/4",AM98&gt;2),AND(G98="3/4",AM98&gt;2)),(AM98*2*база!$I$5*Таблица14[[#This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(AM98*2*база!$L$5*Таблица14[[#This Row],[коэф]])))))))))))</f>
        <v>0</v>
      </c>
      <c r="AO98" s="114">
        <f>IFERROR(INDEX(база!$D$2:$D$120, MATCH(Таблица14[[#This Row],[Ф. И. О.]],база!$B$2:$B$100,0)),"")</f>
        <v>0</v>
      </c>
    </row>
    <row r="99" spans="1:41">
      <c r="A99" s="192"/>
      <c r="B99" s="189"/>
      <c r="C99" s="54"/>
      <c r="D99" s="55"/>
      <c r="E99" s="226"/>
      <c r="F99" s="651"/>
      <c r="G99" s="191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113">
        <f t="shared" si="1"/>
        <v>0</v>
      </c>
      <c r="AN99" s="540">
        <f>IF(AO99&lt;=3,(IF(AND(G99="5/24",AM99&gt;2),(AM99*2*база!$M$6*Таблица14[[#This Row],[коэф]]),
IF(AND(G99="4/24",AM99&gt;2),(AM99*2*база!$M$5*Таблица14[[#This Row],[коэф]]),
IF(AND(G99="3/24",AM99&gt;2),(AM99*2*база!$M$4*Таблица14[[#This Row],[коэф]]),
IF(AND(G99="5/16",AM99&gt;2),(AM99*2*база!$L$6*Таблица14[[#This Row],[коэф]]),
IF(AND(G99="4/16",AM99&gt;2),(AM99*2*база!$L$5*Таблица14[[#This Row],[коэф]]),
IF(AND(G99="3/16",AM99&gt;2),(AM99*2*база!$L$4*Таблица14[[#This Row],[коэф]]),
IF(AND(G99="4/4",AM99&gt;2),(AM99*2*база!$I$5*Таблица14[[#This Row],[коэф]]),
IF(AND(G99="3/4",AM99&gt;2),(AM99*2*база!$I$4*Таблица14[[#This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(AM99*2*база!$L$4*Таблица14[[#This Row],[коэф]]))))))))))))),
(IF(AND(G99="5/24",AM99&gt;2),(AM99*2*база!$M$6*Таблица14[[#This Row],[коэф]]),
IF(OR(AND(G99="4/24",AM99&gt;2),AND(G99="3/24",AM99&gt;2)),(AM99*2*база!$M$5*Таблица14[[#This Row],[коэф]]),
IF(AND(G99="5/16",AM99&gt;2),(AM99*2*база!$L$6*Таблица14[[#This Row],[коэф]]),
IF(OR(AND(G99="4/16",AM99&gt;2),AND(G99="3/16",AM99&gt;2)),(AM99*2*база!$L$5*Таблица14[[#This Row],[коэф]]),
IF(OR(AND(G99="4/4",AM99&gt;2),AND(G99="3/4",AM99&gt;2)),(AM99*2*база!$I$5*Таблица14[[#This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(AM99*2*база!$L$5*Таблица14[[#This Row],[коэф]])))))))))))</f>
        <v>0</v>
      </c>
      <c r="AO99" s="114">
        <f>IFERROR(INDEX(база!$D$2:$D$120, MATCH(Таблица14[[#This Row],[Ф. И. О.]],база!$B$2:$B$100,0)),"")</f>
        <v>0</v>
      </c>
    </row>
    <row r="100" spans="1:41">
      <c r="A100" s="192"/>
      <c r="B100" s="223"/>
      <c r="C100" s="544"/>
      <c r="D100" s="199"/>
      <c r="E100" s="224"/>
      <c r="F100" s="679"/>
      <c r="G100" s="225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113">
        <f t="shared" si="1"/>
        <v>0</v>
      </c>
      <c r="AN100" s="540">
        <f>IF(AO100&lt;=3,(IF(AND(G100="5/24",AM100&gt;2),(AM100*2*база!$M$6*Таблица14[[#This Row],[коэф]]),
IF(AND(G100="4/24",AM100&gt;2),(AM100*2*база!$M$5*Таблица14[[#This Row],[коэф]]),
IF(AND(G100="3/24",AM100&gt;2),(AM100*2*база!$M$4*Таблица14[[#This Row],[коэф]]),
IF(AND(G100="5/16",AM100&gt;2),(AM100*2*база!$L$6*Таблица14[[#This Row],[коэф]]),
IF(AND(G100="4/16",AM100&gt;2),(AM100*2*база!$L$5*Таблица14[[#This Row],[коэф]]),
IF(AND(G100="3/16",AM100&gt;2),(AM100*2*база!$L$4*Таблица14[[#This Row],[коэф]]),
IF(AND(G100="4/4",AM100&gt;2),(AM100*2*база!$I$5*Таблица14[[#This Row],[коэф]]),
IF(AND(G100="3/4",AM100&gt;2),(AM100*2*база!$I$4*Таблица14[[#This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(AM100*2*база!$L$4*Таблица14[[#This Row],[коэф]]))))))))))))),
(IF(AND(G100="5/24",AM100&gt;2),(AM100*2*база!$M$6*Таблица14[[#This Row],[коэф]]),
IF(OR(AND(G100="4/24",AM100&gt;2),AND(G100="3/24",AM100&gt;2)),(AM100*2*база!$M$5*Таблица14[[#This Row],[коэф]]),
IF(AND(G100="5/16",AM100&gt;2),(AM100*2*база!$L$6*Таблица14[[#This Row],[коэф]]),
IF(OR(AND(G100="4/16",AM100&gt;2),AND(G100="3/16",AM100&gt;2)),(AM100*2*база!$L$5*Таблица14[[#This Row],[коэф]]),
IF(OR(AND(G100="4/4",AM100&gt;2),AND(G100="3/4",AM100&gt;2)),(AM100*2*база!$I$5*Таблица14[[#This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(AM100*2*база!$L$5*Таблица14[[#This Row],[коэф]])))))))))))</f>
        <v>0</v>
      </c>
      <c r="AO100" s="114">
        <f>IFERROR(INDEX(база!$D$2:$D$120, MATCH(Таблица14[[#This Row],[Ф. И. О.]],база!$B$2:$B$100,0)),"")</f>
        <v>0</v>
      </c>
    </row>
    <row r="101" spans="1:41">
      <c r="A101" s="192"/>
      <c r="B101" s="189"/>
      <c r="C101" s="544"/>
      <c r="D101" s="199"/>
      <c r="E101" s="226"/>
      <c r="F101" s="679"/>
      <c r="G101" s="191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113">
        <f t="shared" si="1"/>
        <v>0</v>
      </c>
      <c r="AN101" s="540">
        <f>IF(AO101&lt;=3,(IF(AND(G101="5/24",AM101&gt;2),(AM101*2*база!$M$6*Таблица14[[#This Row],[коэф]]),
IF(AND(G101="4/24",AM101&gt;2),(AM101*2*база!$M$5*Таблица14[[#This Row],[коэф]]),
IF(AND(G101="3/24",AM101&gt;2),(AM101*2*база!$M$4*Таблица14[[#This Row],[коэф]]),
IF(AND(G101="5/16",AM101&gt;2),(AM101*2*база!$L$6*Таблица14[[#This Row],[коэф]]),
IF(AND(G101="4/16",AM101&gt;2),(AM101*2*база!$L$5*Таблица14[[#This Row],[коэф]]),
IF(AND(G101="3/16",AM101&gt;2),(AM101*2*база!$L$4*Таблица14[[#This Row],[коэф]]),
IF(AND(G101="4/4",AM101&gt;2),(AM101*2*база!$I$5*Таблица14[[#This Row],[коэф]]),
IF(AND(G101="3/4",AM101&gt;2),(AM101*2*база!$I$4*Таблица14[[#This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(AM101*2*база!$L$4*Таблица14[[#This Row],[коэф]]))))))))))))),
(IF(AND(G101="5/24",AM101&gt;2),(AM101*2*база!$M$6*Таблица14[[#This Row],[коэф]]),
IF(OR(AND(G101="4/24",AM101&gt;2),AND(G101="3/24",AM101&gt;2)),(AM101*2*база!$M$5*Таблица14[[#This Row],[коэф]]),
IF(AND(G101="5/16",AM101&gt;2),(AM101*2*база!$L$6*Таблица14[[#This Row],[коэф]]),
IF(OR(AND(G101="4/16",AM101&gt;2),AND(G101="3/16",AM101&gt;2)),(AM101*2*база!$L$5*Таблица14[[#This Row],[коэф]]),
IF(OR(AND(G101="4/4",AM101&gt;2),AND(G101="3/4",AM101&gt;2)),(AM101*2*база!$I$5*Таблица14[[#This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(AM101*2*база!$L$5*Таблица14[[#This Row],[коэф]])))))))))))</f>
        <v>0</v>
      </c>
      <c r="AO101" s="114">
        <f>IFERROR(INDEX(база!$D$2:$D$120, MATCH(Таблица14[[#This Row],[Ф. И. О.]],база!$B$2:$B$100,0)),"")</f>
        <v>0</v>
      </c>
    </row>
    <row r="102" spans="1:41">
      <c r="A102" s="192"/>
      <c r="B102" s="223"/>
      <c r="C102" s="544"/>
      <c r="D102" s="199"/>
      <c r="E102" s="224"/>
      <c r="F102" s="679"/>
      <c r="G102" s="225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113">
        <f t="shared" si="1"/>
        <v>0</v>
      </c>
      <c r="AN102" s="540">
        <f>IF(AO102&lt;=3,(IF(AND(G102="5/24",AM102&gt;2),(AM102*2*база!$M$6*Таблица14[[#This Row],[коэф]]),
IF(AND(G102="4/24",AM102&gt;2),(AM102*2*база!$M$5*Таблица14[[#This Row],[коэф]]),
IF(AND(G102="3/24",AM102&gt;2),(AM102*2*база!$M$4*Таблица14[[#This Row],[коэф]]),
IF(AND(G102="5/16",AM102&gt;2),(AM102*2*база!$L$6*Таблица14[[#This Row],[коэф]]),
IF(AND(G102="4/16",AM102&gt;2),(AM102*2*база!$L$5*Таблица14[[#This Row],[коэф]]),
IF(AND(G102="3/16",AM102&gt;2),(AM102*2*база!$L$4*Таблица14[[#This Row],[коэф]]),
IF(AND(G102="4/4",AM102&gt;2),(AM102*2*база!$I$5*Таблица14[[#This Row],[коэф]]),
IF(AND(G102="3/4",AM102&gt;2),(AM102*2*база!$I$4*Таблица14[[#This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(AM102*2*база!$L$4*Таблица14[[#This Row],[коэф]]))))))))))))),
(IF(AND(G102="5/24",AM102&gt;2),(AM102*2*база!$M$6*Таблица14[[#This Row],[коэф]]),
IF(OR(AND(G102="4/24",AM102&gt;2),AND(G102="3/24",AM102&gt;2)),(AM102*2*база!$M$5*Таблица14[[#This Row],[коэф]]),
IF(AND(G102="5/16",AM102&gt;2),(AM102*2*база!$L$6*Таблица14[[#This Row],[коэф]]),
IF(OR(AND(G102="4/16",AM102&gt;2),AND(G102="3/16",AM102&gt;2)),(AM102*2*база!$L$5*Таблица14[[#This Row],[коэф]]),
IF(OR(AND(G102="4/4",AM102&gt;2),AND(G102="3/4",AM102&gt;2)),(AM102*2*база!$I$5*Таблица14[[#This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(AM102*2*база!$L$5*Таблица14[[#This Row],[коэф]])))))))))))</f>
        <v>0</v>
      </c>
      <c r="AO102" s="114">
        <f>IFERROR(INDEX(база!$D$2:$D$120, MATCH(Таблица14[[#This Row],[Ф. И. О.]],база!$B$2:$B$100,0)),"")</f>
        <v>0</v>
      </c>
    </row>
    <row r="103" spans="1:41">
      <c r="A103" s="192"/>
      <c r="B103" s="189"/>
      <c r="C103" s="544"/>
      <c r="D103" s="199"/>
      <c r="E103" s="226"/>
      <c r="F103" s="679"/>
      <c r="G103" s="191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113">
        <f t="shared" si="1"/>
        <v>0</v>
      </c>
      <c r="AN103" s="540">
        <f>IF(AO103&lt;=3,(IF(AND(G103="5/24",AM103&gt;2),(AM103*2*база!$M$6*Таблица14[[#This Row],[коэф]]),
IF(AND(G103="4/24",AM103&gt;2),(AM103*2*база!$M$5*Таблица14[[#This Row],[коэф]]),
IF(AND(G103="3/24",AM103&gt;2),(AM103*2*база!$M$4*Таблица14[[#This Row],[коэф]]),
IF(AND(G103="5/16",AM103&gt;2),(AM103*2*база!$L$6*Таблица14[[#This Row],[коэф]]),
IF(AND(G103="4/16",AM103&gt;2),(AM103*2*база!$L$5*Таблица14[[#This Row],[коэф]]),
IF(AND(G103="3/16",AM103&gt;2),(AM103*2*база!$L$4*Таблица14[[#This Row],[коэф]]),
IF(AND(G103="4/4",AM103&gt;2),(AM103*2*база!$I$5*Таблица14[[#This Row],[коэф]]),
IF(AND(G103="3/4",AM103&gt;2),(AM103*2*база!$I$4*Таблица14[[#This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(AM103*2*база!$L$4*Таблица14[[#This Row],[коэф]]))))))))))))),
(IF(AND(G103="5/24",AM103&gt;2),(AM103*2*база!$M$6*Таблица14[[#This Row],[коэф]]),
IF(OR(AND(G103="4/24",AM103&gt;2),AND(G103="3/24",AM103&gt;2)),(AM103*2*база!$M$5*Таблица14[[#This Row],[коэф]]),
IF(AND(G103="5/16",AM103&gt;2),(AM103*2*база!$L$6*Таблица14[[#This Row],[коэф]]),
IF(OR(AND(G103="4/16",AM103&gt;2),AND(G103="3/16",AM103&gt;2)),(AM103*2*база!$L$5*Таблица14[[#This Row],[коэф]]),
IF(OR(AND(G103="4/4",AM103&gt;2),AND(G103="3/4",AM103&gt;2)),(AM103*2*база!$I$5*Таблица14[[#This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(AM103*2*база!$L$5*Таблица14[[#This Row],[коэф]])))))))))))</f>
        <v>0</v>
      </c>
      <c r="AO103" s="114">
        <f>IFERROR(INDEX(база!$D$2:$D$120, MATCH(Таблица14[[#This Row],[Ф. И. О.]],база!$B$2:$B$100,0)),"")</f>
        <v>0</v>
      </c>
    </row>
    <row r="104" spans="1:41">
      <c r="A104" s="192"/>
      <c r="B104" s="223"/>
      <c r="C104" s="544"/>
      <c r="D104" s="199"/>
      <c r="E104" s="224"/>
      <c r="F104" s="679"/>
      <c r="G104" s="225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113">
        <f t="shared" si="1"/>
        <v>0</v>
      </c>
      <c r="AN104" s="540">
        <f>IF(AO104&lt;=3,(IF(AND(G104="5/24",AM104&gt;2),(AM104*2*база!$M$6*Таблица14[[#This Row],[коэф]]),
IF(AND(G104="4/24",AM104&gt;2),(AM104*2*база!$M$5*Таблица14[[#This Row],[коэф]]),
IF(AND(G104="3/24",AM104&gt;2),(AM104*2*база!$M$4*Таблица14[[#This Row],[коэф]]),
IF(AND(G104="5/16",AM104&gt;2),(AM104*2*база!$L$6*Таблица14[[#This Row],[коэф]]),
IF(AND(G104="4/16",AM104&gt;2),(AM104*2*база!$L$5*Таблица14[[#This Row],[коэф]]),
IF(AND(G104="3/16",AM104&gt;2),(AM104*2*база!$L$4*Таблица14[[#This Row],[коэф]]),
IF(AND(G104="4/4",AM104&gt;2),(AM104*2*база!$I$5*Таблица14[[#This Row],[коэф]]),
IF(AND(G104="3/4",AM104&gt;2),(AM104*2*база!$I$4*Таблица14[[#This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(AM104*2*база!$L$4*Таблица14[[#This Row],[коэф]]))))))))))))),
(IF(AND(G104="5/24",AM104&gt;2),(AM104*2*база!$M$6*Таблица14[[#This Row],[коэф]]),
IF(OR(AND(G104="4/24",AM104&gt;2),AND(G104="3/24",AM104&gt;2)),(AM104*2*база!$M$5*Таблица14[[#This Row],[коэф]]),
IF(AND(G104="5/16",AM104&gt;2),(AM104*2*база!$L$6*Таблица14[[#This Row],[коэф]]),
IF(OR(AND(G104="4/16",AM104&gt;2),AND(G104="3/16",AM104&gt;2)),(AM104*2*база!$L$5*Таблица14[[#This Row],[коэф]]),
IF(OR(AND(G104="4/4",AM104&gt;2),AND(G104="3/4",AM104&gt;2)),(AM104*2*база!$I$5*Таблица14[[#This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(AM104*2*база!$L$5*Таблица14[[#This Row],[коэф]])))))))))))</f>
        <v>0</v>
      </c>
      <c r="AO104" s="114">
        <f>IFERROR(INDEX(база!$D$2:$D$120, MATCH(Таблица14[[#This Row],[Ф. И. О.]],база!$B$2:$B$100,0)),"")</f>
        <v>0</v>
      </c>
    </row>
    <row r="105" spans="1:41">
      <c r="A105" s="192"/>
      <c r="B105" s="189"/>
      <c r="C105" s="544"/>
      <c r="D105" s="199"/>
      <c r="E105" s="226"/>
      <c r="F105" s="679"/>
      <c r="G105" s="191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113">
        <f t="shared" si="1"/>
        <v>0</v>
      </c>
      <c r="AN105" s="540">
        <f>IF(AO105&lt;=3,(IF(AND(G105="5/24",AM105&gt;2),(AM105*2*база!$M$6*Таблица14[[#This Row],[коэф]]),
IF(AND(G105="4/24",AM105&gt;2),(AM105*2*база!$M$5*Таблица14[[#This Row],[коэф]]),
IF(AND(G105="3/24",AM105&gt;2),(AM105*2*база!$M$4*Таблица14[[#This Row],[коэф]]),
IF(AND(G105="5/16",AM105&gt;2),(AM105*2*база!$L$6*Таблица14[[#This Row],[коэф]]),
IF(AND(G105="4/16",AM105&gt;2),(AM105*2*база!$L$5*Таблица14[[#This Row],[коэф]]),
IF(AND(G105="3/16",AM105&gt;2),(AM105*2*база!$L$4*Таблица14[[#This Row],[коэф]]),
IF(AND(G105="4/4",AM105&gt;2),(AM105*2*база!$I$5*Таблица14[[#This Row],[коэф]]),
IF(AND(G105="3/4",AM105&gt;2),(AM105*2*база!$I$4*Таблица14[[#This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(AM105*2*база!$L$4*Таблица14[[#This Row],[коэф]]))))))))))))),
(IF(AND(G105="5/24",AM105&gt;2),(AM105*2*база!$M$6*Таблица14[[#This Row],[коэф]]),
IF(OR(AND(G105="4/24",AM105&gt;2),AND(G105="3/24",AM105&gt;2)),(AM105*2*база!$M$5*Таблица14[[#This Row],[коэф]]),
IF(AND(G105="5/16",AM105&gt;2),(AM105*2*база!$L$6*Таблица14[[#This Row],[коэф]]),
IF(OR(AND(G105="4/16",AM105&gt;2),AND(G105="3/16",AM105&gt;2)),(AM105*2*база!$L$5*Таблица14[[#This Row],[коэф]]),
IF(OR(AND(G105="4/4",AM105&gt;2),AND(G105="3/4",AM105&gt;2)),(AM105*2*база!$I$5*Таблица14[[#This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(AM105*2*база!$L$5*Таблица14[[#This Row],[коэф]])))))))))))</f>
        <v>0</v>
      </c>
      <c r="AO105" s="114">
        <f>IFERROR(INDEX(база!$D$2:$D$120, MATCH(Таблица14[[#This Row],[Ф. И. О.]],база!$B$2:$B$100,0)),"")</f>
        <v>0</v>
      </c>
    </row>
    <row r="106" spans="1:41">
      <c r="A106" s="192"/>
      <c r="B106" s="223"/>
      <c r="C106" s="544"/>
      <c r="D106" s="199"/>
      <c r="E106" s="224"/>
      <c r="F106" s="679"/>
      <c r="G106" s="225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113">
        <f t="shared" si="1"/>
        <v>0</v>
      </c>
      <c r="AN106" s="540">
        <f>IF(AO106&lt;=3,(IF(AND(G106="5/24",AM106&gt;2),(AM106*2*база!$M$6*Таблица14[[#This Row],[коэф]]),
IF(AND(G106="4/24",AM106&gt;2),(AM106*2*база!$M$5*Таблица14[[#This Row],[коэф]]),
IF(AND(G106="3/24",AM106&gt;2),(AM106*2*база!$M$4*Таблица14[[#This Row],[коэф]]),
IF(AND(G106="5/16",AM106&gt;2),(AM106*2*база!$L$6*Таблица14[[#This Row],[коэф]]),
IF(AND(G106="4/16",AM106&gt;2),(AM106*2*база!$L$5*Таблица14[[#This Row],[коэф]]),
IF(AND(G106="3/16",AM106&gt;2),(AM106*2*база!$L$4*Таблица14[[#This Row],[коэф]]),
IF(AND(G106="4/4",AM106&gt;2),(AM106*2*база!$I$5*Таблица14[[#This Row],[коэф]]),
IF(AND(G106="3/4",AM106&gt;2),(AM106*2*база!$I$4*Таблица14[[#This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(AM106*2*база!$L$4*Таблица14[[#This Row],[коэф]]))))))))))))),
(IF(AND(G106="5/24",AM106&gt;2),(AM106*2*база!$M$6*Таблица14[[#This Row],[коэф]]),
IF(OR(AND(G106="4/24",AM106&gt;2),AND(G106="3/24",AM106&gt;2)),(AM106*2*база!$M$5*Таблица14[[#This Row],[коэф]]),
IF(AND(G106="5/16",AM106&gt;2),(AM106*2*база!$L$6*Таблица14[[#This Row],[коэф]]),
IF(OR(AND(G106="4/16",AM106&gt;2),AND(G106="3/16",AM106&gt;2)),(AM106*2*база!$L$5*Таблица14[[#This Row],[коэф]]),
IF(OR(AND(G106="4/4",AM106&gt;2),AND(G106="3/4",AM106&gt;2)),(AM106*2*база!$I$5*Таблица14[[#This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(AM106*2*база!$L$5*Таблица14[[#This Row],[коэф]])))))))))))</f>
        <v>0</v>
      </c>
      <c r="AO106" s="114">
        <f>IFERROR(INDEX(база!$D$2:$D$120, MATCH(Таблица14[[#This Row],[Ф. И. О.]],база!$B$2:$B$100,0)),"")</f>
        <v>0</v>
      </c>
    </row>
    <row r="107" spans="1:41">
      <c r="A107" s="192"/>
      <c r="B107" s="189"/>
      <c r="C107" s="544"/>
      <c r="D107" s="199"/>
      <c r="E107" s="226"/>
      <c r="F107" s="679"/>
      <c r="G107" s="191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113">
        <f t="shared" si="1"/>
        <v>0</v>
      </c>
      <c r="AN107" s="540">
        <f>IF(AO107&lt;=3,(IF(AND(G107="5/24",AM107&gt;2),(AM107*2*база!$M$6*Таблица14[[#This Row],[коэф]]),
IF(AND(G107="4/24",AM107&gt;2),(AM107*2*база!$M$5*Таблица14[[#This Row],[коэф]]),
IF(AND(G107="3/24",AM107&gt;2),(AM107*2*база!$M$4*Таблица14[[#This Row],[коэф]]),
IF(AND(G107="5/16",AM107&gt;2),(AM107*2*база!$L$6*Таблица14[[#This Row],[коэф]]),
IF(AND(G107="4/16",AM107&gt;2),(AM107*2*база!$L$5*Таблица14[[#This Row],[коэф]]),
IF(AND(G107="3/16",AM107&gt;2),(AM107*2*база!$L$4*Таблица14[[#This Row],[коэф]]),
IF(AND(G107="4/4",AM107&gt;2),(AM107*2*база!$I$5*Таблица14[[#This Row],[коэф]]),
IF(AND(G107="3/4",AM107&gt;2),(AM107*2*база!$I$4*Таблица14[[#This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(AM107*2*база!$L$4*Таблица14[[#This Row],[коэф]]))))))))))))),
(IF(AND(G107="5/24",AM107&gt;2),(AM107*2*база!$M$6*Таблица14[[#This Row],[коэф]]),
IF(OR(AND(G107="4/24",AM107&gt;2),AND(G107="3/24",AM107&gt;2)),(AM107*2*база!$M$5*Таблица14[[#This Row],[коэф]]),
IF(AND(G107="5/16",AM107&gt;2),(AM107*2*база!$L$6*Таблица14[[#This Row],[коэф]]),
IF(OR(AND(G107="4/16",AM107&gt;2),AND(G107="3/16",AM107&gt;2)),(AM107*2*база!$L$5*Таблица14[[#This Row],[коэф]]),
IF(OR(AND(G107="4/4",AM107&gt;2),AND(G107="3/4",AM107&gt;2)),(AM107*2*база!$I$5*Таблица14[[#This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(AM107*2*база!$L$5*Таблица14[[#This Row],[коэф]])))))))))))</f>
        <v>0</v>
      </c>
      <c r="AO107" s="114">
        <f>IFERROR(INDEX(база!$D$2:$D$120, MATCH(Таблица14[[#This Row],[Ф. И. О.]],база!$B$2:$B$100,0)),"")</f>
        <v>0</v>
      </c>
    </row>
    <row r="108" spans="1:41">
      <c r="A108" s="192"/>
      <c r="B108" s="223"/>
      <c r="C108" s="544"/>
      <c r="D108" s="199"/>
      <c r="E108" s="224"/>
      <c r="F108" s="679"/>
      <c r="G108" s="225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  <c r="AB108" s="200"/>
      <c r="AC108" s="200"/>
      <c r="AD108" s="200"/>
      <c r="AE108" s="200"/>
      <c r="AF108" s="200"/>
      <c r="AG108" s="200"/>
      <c r="AH108" s="200"/>
      <c r="AI108" s="200"/>
      <c r="AJ108" s="200"/>
      <c r="AK108" s="200"/>
      <c r="AL108" s="200"/>
      <c r="AM108" s="113">
        <f t="shared" si="1"/>
        <v>0</v>
      </c>
      <c r="AN108" s="540">
        <f>IF(AO108&lt;=3,(IF(AND(G108="5/24",AM108&gt;2),(AM108*2*база!$M$6*Таблица14[[#This Row],[коэф]]),
IF(AND(G108="4/24",AM108&gt;2),(AM108*2*база!$M$5*Таблица14[[#This Row],[коэф]]),
IF(AND(G108="3/24",AM108&gt;2),(AM108*2*база!$M$4*Таблица14[[#This Row],[коэф]]),
IF(AND(G108="5/16",AM108&gt;2),(AM108*2*база!$L$6*Таблица14[[#This Row],[коэф]]),
IF(AND(G108="4/16",AM108&gt;2),(AM108*2*база!$L$5*Таблица14[[#This Row],[коэф]]),
IF(AND(G108="3/16",AM108&gt;2),(AM108*2*база!$L$4*Таблица14[[#This Row],[коэф]]),
IF(AND(G108="4/4",AM108&gt;2),(AM108*2*база!$I$5*Таблица14[[#This Row],[коэф]]),
IF(AND(G108="3/4",AM108&gt;2),(AM108*2*база!$I$4*Таблица14[[#This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(AM108*2*база!$L$4*Таблица14[[#This Row],[коэф]]))))))))))))),
(IF(AND(G108="5/24",AM108&gt;2),(AM108*2*база!$M$6*Таблица14[[#This Row],[коэф]]),
IF(OR(AND(G108="4/24",AM108&gt;2),AND(G108="3/24",AM108&gt;2)),(AM108*2*база!$M$5*Таблица14[[#This Row],[коэф]]),
IF(AND(G108="5/16",AM108&gt;2),(AM108*2*база!$L$6*Таблица14[[#This Row],[коэф]]),
IF(OR(AND(G108="4/16",AM108&gt;2),AND(G108="3/16",AM108&gt;2)),(AM108*2*база!$L$5*Таблица14[[#This Row],[коэф]]),
IF(OR(AND(G108="4/4",AM108&gt;2),AND(G108="3/4",AM108&gt;2)),(AM108*2*база!$I$5*Таблица14[[#This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(AM108*2*база!$L$5*Таблица14[[#This Row],[коэф]])))))))))))</f>
        <v>0</v>
      </c>
      <c r="AO108" s="114">
        <f>IFERROR(INDEX(база!$D$2:$D$120, MATCH(Таблица14[[#This Row],[Ф. И. О.]],база!$B$2:$B$100,0)),"")</f>
        <v>0</v>
      </c>
    </row>
    <row r="109" spans="1:41">
      <c r="A109" s="192"/>
      <c r="B109" s="189"/>
      <c r="C109" s="544"/>
      <c r="D109" s="199"/>
      <c r="E109" s="226"/>
      <c r="F109" s="679"/>
      <c r="G109" s="191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  <c r="AB109" s="200"/>
      <c r="AC109" s="200"/>
      <c r="AD109" s="200"/>
      <c r="AE109" s="200"/>
      <c r="AF109" s="200"/>
      <c r="AG109" s="200"/>
      <c r="AH109" s="200"/>
      <c r="AI109" s="200"/>
      <c r="AJ109" s="200"/>
      <c r="AK109" s="200"/>
      <c r="AL109" s="200"/>
      <c r="AM109" s="113">
        <f t="shared" si="1"/>
        <v>0</v>
      </c>
      <c r="AN109" s="540">
        <f>IF(AO109&lt;=3,(IF(AND(G109="5/24",AM109&gt;2),(AM109*2*база!$M$6*Таблица14[[#This Row],[коэф]]),
IF(AND(G109="4/24",AM109&gt;2),(AM109*2*база!$M$5*Таблица14[[#This Row],[коэф]]),
IF(AND(G109="3/24",AM109&gt;2),(AM109*2*база!$M$4*Таблица14[[#This Row],[коэф]]),
IF(AND(G109="5/16",AM109&gt;2),(AM109*2*база!$L$6*Таблица14[[#This Row],[коэф]]),
IF(AND(G109="4/16",AM109&gt;2),(AM109*2*база!$L$5*Таблица14[[#This Row],[коэф]]),
IF(AND(G109="3/16",AM109&gt;2),(AM109*2*база!$L$4*Таблица14[[#This Row],[коэф]]),
IF(AND(G109="4/4",AM109&gt;2),(AM109*2*база!$I$5*Таблица14[[#This Row],[коэф]]),
IF(AND(G109="3/4",AM109&gt;2),(AM109*2*база!$I$4*Таблица14[[#This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(AM109*2*база!$L$4*Таблица14[[#This Row],[коэф]]))))))))))))),
(IF(AND(G109="5/24",AM109&gt;2),(AM109*2*база!$M$6*Таблица14[[#This Row],[коэф]]),
IF(OR(AND(G109="4/24",AM109&gt;2),AND(G109="3/24",AM109&gt;2)),(AM109*2*база!$M$5*Таблица14[[#This Row],[коэф]]),
IF(AND(G109="5/16",AM109&gt;2),(AM109*2*база!$L$6*Таблица14[[#This Row],[коэф]]),
IF(OR(AND(G109="4/16",AM109&gt;2),AND(G109="3/16",AM109&gt;2)),(AM109*2*база!$L$5*Таблица14[[#This Row],[коэф]]),
IF(OR(AND(G109="4/4",AM109&gt;2),AND(G109="3/4",AM109&gt;2)),(AM109*2*база!$I$5*Таблица14[[#This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(AM109*2*база!$L$5*Таблица14[[#This Row],[коэф]])))))))))))</f>
        <v>0</v>
      </c>
      <c r="AO109" s="114">
        <f>IFERROR(INDEX(база!$D$2:$D$120, MATCH(Таблица14[[#This Row],[Ф. И. О.]],база!$B$2:$B$100,0)),"")</f>
        <v>0</v>
      </c>
    </row>
    <row r="110" spans="1:41">
      <c r="A110" s="192"/>
      <c r="B110" s="223"/>
      <c r="C110" s="544"/>
      <c r="D110" s="199"/>
      <c r="E110" s="224"/>
      <c r="F110" s="679"/>
      <c r="G110" s="225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  <c r="AB110" s="200"/>
      <c r="AC110" s="200"/>
      <c r="AD110" s="200"/>
      <c r="AE110" s="200"/>
      <c r="AF110" s="200"/>
      <c r="AG110" s="200"/>
      <c r="AH110" s="200"/>
      <c r="AI110" s="200"/>
      <c r="AJ110" s="200"/>
      <c r="AK110" s="200"/>
      <c r="AL110" s="200"/>
      <c r="AM110" s="113">
        <f t="shared" si="1"/>
        <v>0</v>
      </c>
      <c r="AN110" s="540">
        <f>IF(AO110&lt;=3,(IF(AND(G110="5/24",AM110&gt;2),(AM110*2*база!$M$6*Таблица14[[#This Row],[коэф]]),
IF(AND(G110="4/24",AM110&gt;2),(AM110*2*база!$M$5*Таблица14[[#This Row],[коэф]]),
IF(AND(G110="3/24",AM110&gt;2),(AM110*2*база!$M$4*Таблица14[[#This Row],[коэф]]),
IF(AND(G110="5/16",AM110&gt;2),(AM110*2*база!$L$6*Таблица14[[#This Row],[коэф]]),
IF(AND(G110="4/16",AM110&gt;2),(AM110*2*база!$L$5*Таблица14[[#This Row],[коэф]]),
IF(AND(G110="3/16",AM110&gt;2),(AM110*2*база!$L$4*Таблица14[[#This Row],[коэф]]),
IF(AND(G110="4/4",AM110&gt;2),(AM110*2*база!$I$5*Таблица14[[#This Row],[коэф]]),
IF(AND(G110="3/4",AM110&gt;2),(AM110*2*база!$I$4*Таблица14[[#This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(AM110*2*база!$L$4*Таблица14[[#This Row],[коэф]]))))))))))))),
(IF(AND(G110="5/24",AM110&gt;2),(AM110*2*база!$M$6*Таблица14[[#This Row],[коэф]]),
IF(OR(AND(G110="4/24",AM110&gt;2),AND(G110="3/24",AM110&gt;2)),(AM110*2*база!$M$5*Таблица14[[#This Row],[коэф]]),
IF(AND(G110="5/16",AM110&gt;2),(AM110*2*база!$L$6*Таблица14[[#This Row],[коэф]]),
IF(OR(AND(G110="4/16",AM110&gt;2),AND(G110="3/16",AM110&gt;2)),(AM110*2*база!$L$5*Таблица14[[#This Row],[коэф]]),
IF(OR(AND(G110="4/4",AM110&gt;2),AND(G110="3/4",AM110&gt;2)),(AM110*2*база!$I$5*Таблица14[[#This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(AM110*2*база!$L$5*Таблица14[[#This Row],[коэф]])))))))))))</f>
        <v>0</v>
      </c>
      <c r="AO110" s="114">
        <f>IFERROR(INDEX(база!$D$2:$D$120, MATCH(Таблица14[[#This Row],[Ф. И. О.]],база!$B$2:$B$100,0)),"")</f>
        <v>0</v>
      </c>
    </row>
    <row r="111" spans="1:41">
      <c r="A111" s="192"/>
      <c r="B111" s="189"/>
      <c r="C111" s="544"/>
      <c r="D111" s="199"/>
      <c r="E111" s="226"/>
      <c r="F111" s="679"/>
      <c r="G111" s="191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  <c r="AB111" s="200"/>
      <c r="AC111" s="200"/>
      <c r="AD111" s="200"/>
      <c r="AE111" s="200"/>
      <c r="AF111" s="200"/>
      <c r="AG111" s="200"/>
      <c r="AH111" s="200"/>
      <c r="AI111" s="200"/>
      <c r="AJ111" s="200"/>
      <c r="AK111" s="200"/>
      <c r="AL111" s="200"/>
      <c r="AM111" s="113">
        <f t="shared" si="1"/>
        <v>0</v>
      </c>
      <c r="AN111" s="540">
        <f>IF(AO111&lt;=3,(IF(AND(G111="5/24",AM111&gt;2),(AM111*2*база!$M$6*Таблица14[[#This Row],[коэф]]),
IF(AND(G111="4/24",AM111&gt;2),(AM111*2*база!$M$5*Таблица14[[#This Row],[коэф]]),
IF(AND(G111="3/24",AM111&gt;2),(AM111*2*база!$M$4*Таблица14[[#This Row],[коэф]]),
IF(AND(G111="5/16",AM111&gt;2),(AM111*2*база!$L$6*Таблица14[[#This Row],[коэф]]),
IF(AND(G111="4/16",AM111&gt;2),(AM111*2*база!$L$5*Таблица14[[#This Row],[коэф]]),
IF(AND(G111="3/16",AM111&gt;2),(AM111*2*база!$L$4*Таблица14[[#This Row],[коэф]]),
IF(AND(G111="4/4",AM111&gt;2),(AM111*2*база!$I$5*Таблица14[[#This Row],[коэф]]),
IF(AND(G111="3/4",AM111&gt;2),(AM111*2*база!$I$4*Таблица14[[#This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(AM111*2*база!$L$4*Таблица14[[#This Row],[коэф]]))))))))))))),
(IF(AND(G111="5/24",AM111&gt;2),(AM111*2*база!$M$6*Таблица14[[#This Row],[коэф]]),
IF(OR(AND(G111="4/24",AM111&gt;2),AND(G111="3/24",AM111&gt;2)),(AM111*2*база!$M$5*Таблица14[[#This Row],[коэф]]),
IF(AND(G111="5/16",AM111&gt;2),(AM111*2*база!$L$6*Таблица14[[#This Row],[коэф]]),
IF(OR(AND(G111="4/16",AM111&gt;2),AND(G111="3/16",AM111&gt;2)),(AM111*2*база!$L$5*Таблица14[[#This Row],[коэф]]),
IF(OR(AND(G111="4/4",AM111&gt;2),AND(G111="3/4",AM111&gt;2)),(AM111*2*база!$I$5*Таблица14[[#This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(AM111*2*база!$L$5*Таблица14[[#This Row],[коэф]])))))))))))</f>
        <v>0</v>
      </c>
      <c r="AO111" s="114">
        <f>IFERROR(INDEX(база!$D$2:$D$120, MATCH(Таблица14[[#This Row],[Ф. И. О.]],база!$B$2:$B$100,0)),"")</f>
        <v>0</v>
      </c>
    </row>
    <row r="112" spans="1:41">
      <c r="A112" s="192"/>
      <c r="B112" s="223"/>
      <c r="C112" s="544"/>
      <c r="D112" s="199"/>
      <c r="E112" s="224"/>
      <c r="F112" s="679"/>
      <c r="G112" s="225"/>
      <c r="H112" s="200"/>
      <c r="I112" s="200"/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  <c r="AB112" s="200"/>
      <c r="AC112" s="200"/>
      <c r="AD112" s="200"/>
      <c r="AE112" s="200"/>
      <c r="AF112" s="200"/>
      <c r="AG112" s="200"/>
      <c r="AH112" s="200"/>
      <c r="AI112" s="200"/>
      <c r="AJ112" s="200"/>
      <c r="AK112" s="200"/>
      <c r="AL112" s="200"/>
      <c r="AM112" s="113">
        <f t="shared" si="1"/>
        <v>0</v>
      </c>
      <c r="AN112" s="540">
        <f>IF(AO112&lt;=3,(IF(AND(G112="5/24",AM112&gt;2),(AM112*2*база!$M$6*Таблица14[[#This Row],[коэф]]),
IF(AND(G112="4/24",AM112&gt;2),(AM112*2*база!$M$5*Таблица14[[#This Row],[коэф]]),
IF(AND(G112="3/24",AM112&gt;2),(AM112*2*база!$M$4*Таблица14[[#This Row],[коэф]]),
IF(AND(G112="5/16",AM112&gt;2),(AM112*2*база!$L$6*Таблица14[[#This Row],[коэф]]),
IF(AND(G112="4/16",AM112&gt;2),(AM112*2*база!$L$5*Таблица14[[#This Row],[коэф]]),
IF(AND(G112="3/16",AM112&gt;2),(AM112*2*база!$L$4*Таблица14[[#This Row],[коэф]]),
IF(AND(G112="4/4",AM112&gt;2),(AM112*2*база!$I$5*Таблица14[[#This Row],[коэф]]),
IF(AND(G112="3/4",AM112&gt;2),(AM112*2*база!$I$4*Таблица14[[#This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(AM112*2*база!$L$4*Таблица14[[#This Row],[коэф]]))))))))))))),
(IF(AND(G112="5/24",AM112&gt;2),(AM112*2*база!$M$6*Таблица14[[#This Row],[коэф]]),
IF(OR(AND(G112="4/24",AM112&gt;2),AND(G112="3/24",AM112&gt;2)),(AM112*2*база!$M$5*Таблица14[[#This Row],[коэф]]),
IF(AND(G112="5/16",AM112&gt;2),(AM112*2*база!$L$6*Таблица14[[#This Row],[коэф]]),
IF(OR(AND(G112="4/16",AM112&gt;2),AND(G112="3/16",AM112&gt;2)),(AM112*2*база!$L$5*Таблица14[[#This Row],[коэф]]),
IF(OR(AND(G112="4/4",AM112&gt;2),AND(G112="3/4",AM112&gt;2)),(AM112*2*база!$I$5*Таблица14[[#This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(AM112*2*база!$L$5*Таблица14[[#This Row],[коэф]])))))))))))</f>
        <v>0</v>
      </c>
      <c r="AO112" s="114">
        <f>IFERROR(INDEX(база!$D$2:$D$120, MATCH(Таблица14[[#This Row],[Ф. И. О.]],база!$B$2:$B$100,0)),"")</f>
        <v>0</v>
      </c>
    </row>
    <row r="113" spans="1:41">
      <c r="A113" s="192"/>
      <c r="B113" s="189"/>
      <c r="C113" s="544"/>
      <c r="D113" s="199"/>
      <c r="E113" s="226"/>
      <c r="F113" s="679"/>
      <c r="G113" s="191"/>
      <c r="H113" s="200"/>
      <c r="I113" s="200"/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113">
        <f t="shared" si="1"/>
        <v>0</v>
      </c>
      <c r="AN113" s="540">
        <f>IF(AO113&lt;=3,(IF(AND(G113="5/24",AM113&gt;2),(AM113*2*база!$M$6*Таблица14[[#This Row],[коэф]]),
IF(AND(G113="4/24",AM113&gt;2),(AM113*2*база!$M$5*Таблица14[[#This Row],[коэф]]),
IF(AND(G113="3/24",AM113&gt;2),(AM113*2*база!$M$4*Таблица14[[#This Row],[коэф]]),
IF(AND(G113="5/16",AM113&gt;2),(AM113*2*база!$L$6*Таблица14[[#This Row],[коэф]]),
IF(AND(G113="4/16",AM113&gt;2),(AM113*2*база!$L$5*Таблица14[[#This Row],[коэф]]),
IF(AND(G113="3/16",AM113&gt;2),(AM113*2*база!$L$4*Таблица14[[#This Row],[коэф]]),
IF(AND(G113="4/4",AM113&gt;2),(AM113*2*база!$I$5*Таблица14[[#This Row],[коэф]]),
IF(AND(G113="3/4",AM113&gt;2),(AM113*2*база!$I$4*Таблица14[[#This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(AM113*2*база!$L$4*Таблица14[[#This Row],[коэф]]))))))))))))),
(IF(AND(G113="5/24",AM113&gt;2),(AM113*2*база!$M$6*Таблица14[[#This Row],[коэф]]),
IF(OR(AND(G113="4/24",AM113&gt;2),AND(G113="3/24",AM113&gt;2)),(AM113*2*база!$M$5*Таблица14[[#This Row],[коэф]]),
IF(AND(G113="5/16",AM113&gt;2),(AM113*2*база!$L$6*Таблица14[[#This Row],[коэф]]),
IF(OR(AND(G113="4/16",AM113&gt;2),AND(G113="3/16",AM113&gt;2)),(AM113*2*база!$L$5*Таблица14[[#This Row],[коэф]]),
IF(OR(AND(G113="4/4",AM113&gt;2),AND(G113="3/4",AM113&gt;2)),(AM113*2*база!$I$5*Таблица14[[#This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(AM113*2*база!$L$5*Таблица14[[#This Row],[коэф]])))))))))))</f>
        <v>0</v>
      </c>
      <c r="AO113" s="114">
        <f>IFERROR(INDEX(база!$D$2:$D$120, MATCH(Таблица14[[#This Row],[Ф. И. О.]],база!$B$2:$B$100,0)),"")</f>
        <v>0</v>
      </c>
    </row>
    <row r="114" spans="1:41">
      <c r="A114" s="192"/>
      <c r="B114" s="223"/>
      <c r="C114" s="544"/>
      <c r="D114" s="199"/>
      <c r="E114" s="224"/>
      <c r="F114" s="679"/>
      <c r="G114" s="225"/>
      <c r="H114" s="200"/>
      <c r="I114" s="200"/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113">
        <f t="shared" si="1"/>
        <v>0</v>
      </c>
      <c r="AN114" s="540">
        <f>IF(AO114&lt;=3,(IF(AND(G114="5/24",AM114&gt;2),(AM114*2*база!$M$6*Таблица14[[#This Row],[коэф]]),
IF(AND(G114="4/24",AM114&gt;2),(AM114*2*база!$M$5*Таблица14[[#This Row],[коэф]]),
IF(AND(G114="3/24",AM114&gt;2),(AM114*2*база!$M$4*Таблица14[[#This Row],[коэф]]),
IF(AND(G114="5/16",AM114&gt;2),(AM114*2*база!$L$6*Таблица14[[#This Row],[коэф]]),
IF(AND(G114="4/16",AM114&gt;2),(AM114*2*база!$L$5*Таблица14[[#This Row],[коэф]]),
IF(AND(G114="3/16",AM114&gt;2),(AM114*2*база!$L$4*Таблица14[[#This Row],[коэф]]),
IF(AND(G114="4/4",AM114&gt;2),(AM114*2*база!$I$5*Таблица14[[#This Row],[коэф]]),
IF(AND(G114="3/4",AM114&gt;2),(AM114*2*база!$I$4*Таблица14[[#This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(AM114*2*база!$L$4*Таблица14[[#This Row],[коэф]]))))))))))))),
(IF(AND(G114="5/24",AM114&gt;2),(AM114*2*база!$M$6*Таблица14[[#This Row],[коэф]]),
IF(OR(AND(G114="4/24",AM114&gt;2),AND(G114="3/24",AM114&gt;2)),(AM114*2*база!$M$5*Таблица14[[#This Row],[коэф]]),
IF(AND(G114="5/16",AM114&gt;2),(AM114*2*база!$L$6*Таблица14[[#This Row],[коэф]]),
IF(OR(AND(G114="4/16",AM114&gt;2),AND(G114="3/16",AM114&gt;2)),(AM114*2*база!$L$5*Таблица14[[#This Row],[коэф]]),
IF(OR(AND(G114="4/4",AM114&gt;2),AND(G114="3/4",AM114&gt;2)),(AM114*2*база!$I$5*Таблица14[[#This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(AM114*2*база!$L$5*Таблица14[[#This Row],[коэф]])))))))))))</f>
        <v>0</v>
      </c>
      <c r="AO114" s="114">
        <f>IFERROR(INDEX(база!$D$2:$D$120, MATCH(Таблица14[[#This Row],[Ф. И. О.]],база!$B$2:$B$100,0)),"")</f>
        <v>0</v>
      </c>
    </row>
    <row r="115" spans="1:41">
      <c r="A115" s="192"/>
      <c r="B115" s="189"/>
      <c r="C115" s="544"/>
      <c r="D115" s="199"/>
      <c r="E115" s="226"/>
      <c r="F115" s="679"/>
      <c r="G115" s="191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113">
        <f t="shared" si="1"/>
        <v>0</v>
      </c>
      <c r="AN115" s="540">
        <f>IF(AO115&lt;=3,(IF(AND(G115="5/24",AM115&gt;2),(AM115*2*база!$M$6*Таблица14[[#This Row],[коэф]]),
IF(AND(G115="4/24",AM115&gt;2),(AM115*2*база!$M$5*Таблица14[[#This Row],[коэф]]),
IF(AND(G115="3/24",AM115&gt;2),(AM115*2*база!$M$4*Таблица14[[#This Row],[коэф]]),
IF(AND(G115="5/16",AM115&gt;2),(AM115*2*база!$L$6*Таблица14[[#This Row],[коэф]]),
IF(AND(G115="4/16",AM115&gt;2),(AM115*2*база!$L$5*Таблица14[[#This Row],[коэф]]),
IF(AND(G115="3/16",AM115&gt;2),(AM115*2*база!$L$4*Таблица14[[#This Row],[коэф]]),
IF(AND(G115="4/4",AM115&gt;2),(AM115*2*база!$I$5*Таблица14[[#This Row],[коэф]]),
IF(AND(G115="3/4",AM115&gt;2),(AM115*2*база!$I$4*Таблица14[[#This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(AM115*2*база!$L$4*Таблица14[[#This Row],[коэф]]))))))))))))),
(IF(AND(G115="5/24",AM115&gt;2),(AM115*2*база!$M$6*Таблица14[[#This Row],[коэф]]),
IF(OR(AND(G115="4/24",AM115&gt;2),AND(G115="3/24",AM115&gt;2)),(AM115*2*база!$M$5*Таблица14[[#This Row],[коэф]]),
IF(AND(G115="5/16",AM115&gt;2),(AM115*2*база!$L$6*Таблица14[[#This Row],[коэф]]),
IF(OR(AND(G115="4/16",AM115&gt;2),AND(G115="3/16",AM115&gt;2)),(AM115*2*база!$L$5*Таблица14[[#This Row],[коэф]]),
IF(OR(AND(G115="4/4",AM115&gt;2),AND(G115="3/4",AM115&gt;2)),(AM115*2*база!$I$5*Таблица14[[#This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(AM115*2*база!$L$5*Таблица14[[#This Row],[коэф]])))))))))))</f>
        <v>0</v>
      </c>
      <c r="AO115" s="114">
        <f>IFERROR(INDEX(база!$D$2:$D$120, MATCH(Таблица14[[#This Row],[Ф. И. О.]],база!$B$2:$B$100,0)),"")</f>
        <v>0</v>
      </c>
    </row>
    <row r="116" spans="1:41">
      <c r="A116" s="192"/>
      <c r="B116" s="223"/>
      <c r="C116" s="544"/>
      <c r="D116" s="199"/>
      <c r="E116" s="224"/>
      <c r="F116" s="679"/>
      <c r="G116" s="225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113">
        <f t="shared" si="1"/>
        <v>0</v>
      </c>
      <c r="AN116" s="540">
        <f>IF(AO116&lt;=3,(IF(AND(G116="5/24",AM116&gt;2),(AM116*2*база!$M$6*Таблица14[[#This Row],[коэф]]),
IF(AND(G116="4/24",AM116&gt;2),(AM116*2*база!$M$5*Таблица14[[#This Row],[коэф]]),
IF(AND(G116="3/24",AM116&gt;2),(AM116*2*база!$M$4*Таблица14[[#This Row],[коэф]]),
IF(AND(G116="5/16",AM116&gt;2),(AM116*2*база!$L$6*Таблица14[[#This Row],[коэф]]),
IF(AND(G116="4/16",AM116&gt;2),(AM116*2*база!$L$5*Таблица14[[#This Row],[коэф]]),
IF(AND(G116="3/16",AM116&gt;2),(AM116*2*база!$L$4*Таблица14[[#This Row],[коэф]]),
IF(AND(G116="4/4",AM116&gt;2),(AM116*2*база!$I$5*Таблица14[[#This Row],[коэф]]),
IF(AND(G116="3/4",AM116&gt;2),(AM116*2*база!$I$4*Таблица14[[#This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(AM116*2*база!$L$4*Таблица14[[#This Row],[коэф]]))))))))))))),
(IF(AND(G116="5/24",AM116&gt;2),(AM116*2*база!$M$6*Таблица14[[#This Row],[коэф]]),
IF(OR(AND(G116="4/24",AM116&gt;2),AND(G116="3/24",AM116&gt;2)),(AM116*2*база!$M$5*Таблица14[[#This Row],[коэф]]),
IF(AND(G116="5/16",AM116&gt;2),(AM116*2*база!$L$6*Таблица14[[#This Row],[коэф]]),
IF(OR(AND(G116="4/16",AM116&gt;2),AND(G116="3/16",AM116&gt;2)),(AM116*2*база!$L$5*Таблица14[[#This Row],[коэф]]),
IF(OR(AND(G116="4/4",AM116&gt;2),AND(G116="3/4",AM116&gt;2)),(AM116*2*база!$I$5*Таблица14[[#This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(AM116*2*база!$L$5*Таблица14[[#This Row],[коэф]])))))))))))</f>
        <v>0</v>
      </c>
      <c r="AO116" s="114">
        <f>IFERROR(INDEX(база!$D$2:$D$120, MATCH(Таблица14[[#This Row],[Ф. И. О.]],база!$B$2:$B$100,0)),"")</f>
        <v>0</v>
      </c>
    </row>
    <row r="117" spans="1:41">
      <c r="A117" s="192"/>
      <c r="B117" s="189"/>
      <c r="C117" s="544"/>
      <c r="D117" s="199"/>
      <c r="E117" s="226"/>
      <c r="F117" s="679"/>
      <c r="G117" s="191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113">
        <f t="shared" si="1"/>
        <v>0</v>
      </c>
      <c r="AN117" s="540">
        <f>IF(AO117&lt;=3,(IF(AND(G117="5/24",AM117&gt;2),(AM117*2*база!$M$6*Таблица14[[#This Row],[коэф]]),
IF(AND(G117="4/24",AM117&gt;2),(AM117*2*база!$M$5*Таблица14[[#This Row],[коэф]]),
IF(AND(G117="3/24",AM117&gt;2),(AM117*2*база!$M$4*Таблица14[[#This Row],[коэф]]),
IF(AND(G117="5/16",AM117&gt;2),(AM117*2*база!$L$6*Таблица14[[#This Row],[коэф]]),
IF(AND(G117="4/16",AM117&gt;2),(AM117*2*база!$L$5*Таблица14[[#This Row],[коэф]]),
IF(AND(G117="3/16",AM117&gt;2),(AM117*2*база!$L$4*Таблица14[[#This Row],[коэф]]),
IF(AND(G117="4/4",AM117&gt;2),(AM117*2*база!$I$5*Таблица14[[#This Row],[коэф]]),
IF(AND(G117="3/4",AM117&gt;2),(AM117*2*база!$I$4*Таблица14[[#This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(AM117*2*база!$L$4*Таблица14[[#This Row],[коэф]]))))))))))))),
(IF(AND(G117="5/24",AM117&gt;2),(AM117*2*база!$M$6*Таблица14[[#This Row],[коэф]]),
IF(OR(AND(G117="4/24",AM117&gt;2),AND(G117="3/24",AM117&gt;2)),(AM117*2*база!$M$5*Таблица14[[#This Row],[коэф]]),
IF(AND(G117="5/16",AM117&gt;2),(AM117*2*база!$L$6*Таблица14[[#This Row],[коэф]]),
IF(OR(AND(G117="4/16",AM117&gt;2),AND(G117="3/16",AM117&gt;2)),(AM117*2*база!$L$5*Таблица14[[#This Row],[коэф]]),
IF(OR(AND(G117="4/4",AM117&gt;2),AND(G117="3/4",AM117&gt;2)),(AM117*2*база!$I$5*Таблица14[[#This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(AM117*2*база!$L$5*Таблица14[[#This Row],[коэф]])))))))))))</f>
        <v>0</v>
      </c>
      <c r="AO117" s="114">
        <f>IFERROR(INDEX(база!$D$2:$D$120, MATCH(Таблица14[[#This Row],[Ф. И. О.]],база!$B$2:$B$100,0)),"")</f>
        <v>0</v>
      </c>
    </row>
    <row r="118" spans="1:41">
      <c r="A118" s="192"/>
      <c r="B118" s="223"/>
      <c r="C118" s="54"/>
      <c r="D118" s="199"/>
      <c r="E118" s="224"/>
      <c r="F118" s="679"/>
      <c r="G118" s="225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113">
        <f t="shared" si="1"/>
        <v>0</v>
      </c>
      <c r="AN118" s="540">
        <f>IF(AO118&lt;=3,(IF(AND(G118="5/24",AM118&gt;2),(AM118*2*база!$M$6*Таблица14[[#This Row],[коэф]]),
IF(AND(G118="4/24",AM118&gt;2),(AM118*2*база!$M$5*Таблица14[[#This Row],[коэф]]),
IF(AND(G118="3/24",AM118&gt;2),(AM118*2*база!$M$4*Таблица14[[#This Row],[коэф]]),
IF(AND(G118="5/16",AM118&gt;2),(AM118*2*база!$L$6*Таблица14[[#This Row],[коэф]]),
IF(AND(G118="4/16",AM118&gt;2),(AM118*2*база!$L$5*Таблица14[[#This Row],[коэф]]),
IF(AND(G118="3/16",AM118&gt;2),(AM118*2*база!$L$4*Таблица14[[#This Row],[коэф]]),
IF(AND(G118="4/4",AM118&gt;2),(AM118*2*база!$I$5*Таблица14[[#This Row],[коэф]]),
IF(AND(G118="3/4",AM118&gt;2),(AM118*2*база!$I$4*Таблица14[[#This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(AM118*2*база!$L$4*Таблица14[[#This Row],[коэф]]))))))))))))),
(IF(AND(G118="5/24",AM118&gt;2),(AM118*2*база!$M$6*Таблица14[[#This Row],[коэф]]),
IF(OR(AND(G118="4/24",AM118&gt;2),AND(G118="3/24",AM118&gt;2)),(AM118*2*база!$M$5*Таблица14[[#This Row],[коэф]]),
IF(AND(G118="5/16",AM118&gt;2),(AM118*2*база!$L$6*Таблица14[[#This Row],[коэф]]),
IF(OR(AND(G118="4/16",AM118&gt;2),AND(G118="3/16",AM118&gt;2)),(AM118*2*база!$L$5*Таблица14[[#This Row],[коэф]]),
IF(OR(AND(G118="4/4",AM118&gt;2),AND(G118="3/4",AM118&gt;2)),(AM118*2*база!$I$5*Таблица14[[#This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(AM118*2*база!$L$5*Таблица14[[#This Row],[коэф]])))))))))))</f>
        <v>0</v>
      </c>
      <c r="AO118" s="114">
        <f>IFERROR(INDEX(база!$D$2:$D$120, MATCH(Таблица14[[#This Row],[Ф. И. О.]],база!$B$2:$B$100,0)),"")</f>
        <v>0</v>
      </c>
    </row>
    <row r="119" spans="1:41">
      <c r="A119" s="192"/>
      <c r="B119" s="189"/>
      <c r="C119" s="54"/>
      <c r="D119" s="55"/>
      <c r="E119" s="226"/>
      <c r="F119" s="679"/>
      <c r="G119" s="191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113">
        <f t="shared" si="1"/>
        <v>0</v>
      </c>
      <c r="AN119" s="540">
        <f>IF(AO119&lt;=3,(IF(AND(G119="5/24",AM119&gt;2),(AM119*2*база!$M$6*Таблица14[[#This Row],[коэф]]),
IF(AND(G119="4/24",AM119&gt;2),(AM119*2*база!$M$5*Таблица14[[#This Row],[коэф]]),
IF(AND(G119="3/24",AM119&gt;2),(AM119*2*база!$M$4*Таблица14[[#This Row],[коэф]]),
IF(AND(G119="5/16",AM119&gt;2),(AM119*2*база!$L$6*Таблица14[[#This Row],[коэф]]),
IF(AND(G119="4/16",AM119&gt;2),(AM119*2*база!$L$5*Таблица14[[#This Row],[коэф]]),
IF(AND(G119="3/16",AM119&gt;2),(AM119*2*база!$L$4*Таблица14[[#This Row],[коэф]]),
IF(AND(G119="4/4",AM119&gt;2),(AM119*2*база!$I$5*Таблица14[[#This Row],[коэф]]),
IF(AND(G119="3/4",AM119&gt;2),(AM119*2*база!$I$4*Таблица14[[#This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(AM119*2*база!$L$4*Таблица14[[#This Row],[коэф]]))))))))))))),
(IF(AND(G119="5/24",AM119&gt;2),(AM119*2*база!$M$6*Таблица14[[#This Row],[коэф]]),
IF(OR(AND(G119="4/24",AM119&gt;2),AND(G119="3/24",AM119&gt;2)),(AM119*2*база!$M$5*Таблица14[[#This Row],[коэф]]),
IF(AND(G119="5/16",AM119&gt;2),(AM119*2*база!$L$6*Таблица14[[#This Row],[коэф]]),
IF(OR(AND(G119="4/16",AM119&gt;2),AND(G119="3/16",AM119&gt;2)),(AM119*2*база!$L$5*Таблица14[[#This Row],[коэф]]),
IF(OR(AND(G119="4/4",AM119&gt;2),AND(G119="3/4",AM119&gt;2)),(AM119*2*база!$I$5*Таблица14[[#This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(AM119*2*база!$L$5*Таблица14[[#This Row],[коэф]])))))))))))</f>
        <v>0</v>
      </c>
      <c r="AO119" s="114">
        <f>IFERROR(INDEX(база!$D$2:$D$120, MATCH(Таблица14[[#This Row],[Ф. И. О.]],база!$B$2:$B$100,0)),"")</f>
        <v>0</v>
      </c>
    </row>
    <row r="120" spans="1:41">
      <c r="A120" s="192"/>
      <c r="B120" s="223"/>
      <c r="C120" s="54"/>
      <c r="D120" s="199"/>
      <c r="E120" s="224"/>
      <c r="F120" s="679"/>
      <c r="G120" s="225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113">
        <f t="shared" si="1"/>
        <v>0</v>
      </c>
      <c r="AN120" s="540">
        <f>IF(AO120&lt;=3,(IF(AND(G120="5/24",AM120&gt;2),(AM120*2*база!$M$6*Таблица14[[#This Row],[коэф]]),
IF(AND(G120="4/24",AM120&gt;2),(AM120*2*база!$M$5*Таблица14[[#This Row],[коэф]]),
IF(AND(G120="3/24",AM120&gt;2),(AM120*2*база!$M$4*Таблица14[[#This Row],[коэф]]),
IF(AND(G120="5/16",AM120&gt;2),(AM120*2*база!$L$6*Таблица14[[#This Row],[коэф]]),
IF(AND(G120="4/16",AM120&gt;2),(AM120*2*база!$L$5*Таблица14[[#This Row],[коэф]]),
IF(AND(G120="3/16",AM120&gt;2),(AM120*2*база!$L$4*Таблица14[[#This Row],[коэф]]),
IF(AND(G120="4/4",AM120&gt;2),(AM120*2*база!$I$5*Таблица14[[#This Row],[коэф]]),
IF(AND(G120="3/4",AM120&gt;2),(AM120*2*база!$I$4*Таблица14[[#This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(AM120*2*база!$L$4*Таблица14[[#This Row],[коэф]]))))))))))))),
(IF(AND(G120="5/24",AM120&gt;2),(AM120*2*база!$M$6*Таблица14[[#This Row],[коэф]]),
IF(OR(AND(G120="4/24",AM120&gt;2),AND(G120="3/24",AM120&gt;2)),(AM120*2*база!$M$5*Таблица14[[#This Row],[коэф]]),
IF(AND(G120="5/16",AM120&gt;2),(AM120*2*база!$L$6*Таблица14[[#This Row],[коэф]]),
IF(OR(AND(G120="4/16",AM120&gt;2),AND(G120="3/16",AM120&gt;2)),(AM120*2*база!$L$5*Таблица14[[#This Row],[коэф]]),
IF(OR(AND(G120="4/4",AM120&gt;2),AND(G120="3/4",AM120&gt;2)),(AM120*2*база!$I$5*Таблица14[[#This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(AM120*2*база!$L$5*Таблица14[[#This Row],[коэф]])))))))))))</f>
        <v>0</v>
      </c>
      <c r="AO120" s="114">
        <f>IFERROR(INDEX(база!$D$2:$D$120, MATCH(Таблица14[[#This Row],[Ф. И. О.]],база!$B$2:$B$100,0)),"")</f>
        <v>0</v>
      </c>
    </row>
    <row r="121" spans="1:41">
      <c r="A121" s="192"/>
      <c r="B121" s="189"/>
      <c r="C121" s="54"/>
      <c r="D121" s="55"/>
      <c r="E121" s="226"/>
      <c r="F121" s="679"/>
      <c r="G121" s="191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113">
        <f t="shared" si="1"/>
        <v>0</v>
      </c>
      <c r="AN121" s="540">
        <f>IF(AO121&lt;=3,(IF(AND(G121="5/24",AM121&gt;2),(AM121*2*база!$M$6*Таблица14[[#This Row],[коэф]]),
IF(AND(G121="4/24",AM121&gt;2),(AM121*2*база!$M$5*Таблица14[[#This Row],[коэф]]),
IF(AND(G121="3/24",AM121&gt;2),(AM121*2*база!$M$4*Таблица14[[#This Row],[коэф]]),
IF(AND(G121="5/16",AM121&gt;2),(AM121*2*база!$L$6*Таблица14[[#This Row],[коэф]]),
IF(AND(G121="4/16",AM121&gt;2),(AM121*2*база!$L$5*Таблица14[[#This Row],[коэф]]),
IF(AND(G121="3/16",AM121&gt;2),(AM121*2*база!$L$4*Таблица14[[#This Row],[коэф]]),
IF(AND(G121="4/4",AM121&gt;2),(AM121*2*база!$I$5*Таблица14[[#This Row],[коэф]]),
IF(AND(G121="3/4",AM121&gt;2),(AM121*2*база!$I$4*Таблица14[[#This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(AM121*2*база!$L$4*Таблица14[[#This Row],[коэф]]))))))))))))),
(IF(AND(G121="5/24",AM121&gt;2),(AM121*2*база!$M$6*Таблица14[[#This Row],[коэф]]),
IF(OR(AND(G121="4/24",AM121&gt;2),AND(G121="3/24",AM121&gt;2)),(AM121*2*база!$M$5*Таблица14[[#This Row],[коэф]]),
IF(AND(G121="5/16",AM121&gt;2),(AM121*2*база!$L$6*Таблица14[[#This Row],[коэф]]),
IF(OR(AND(G121="4/16",AM121&gt;2),AND(G121="3/16",AM121&gt;2)),(AM121*2*база!$L$5*Таблица14[[#This Row],[коэф]]),
IF(OR(AND(G121="4/4",AM121&gt;2),AND(G121="3/4",AM121&gt;2)),(AM121*2*база!$I$5*Таблица14[[#This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(AM121*2*база!$L$5*Таблица14[[#This Row],[коэф]])))))))))))</f>
        <v>0</v>
      </c>
      <c r="AO121" s="114">
        <f>IFERROR(INDEX(база!$D$2:$D$120, MATCH(Таблица14[[#This Row],[Ф. И. О.]],база!$B$2:$B$100,0)),"")</f>
        <v>0</v>
      </c>
    </row>
    <row r="122" spans="1:41">
      <c r="A122" s="192"/>
      <c r="B122" s="223"/>
      <c r="C122" s="544"/>
      <c r="D122" s="199"/>
      <c r="E122" s="224"/>
      <c r="F122" s="679"/>
      <c r="G122" s="225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113">
        <f t="shared" si="1"/>
        <v>0</v>
      </c>
      <c r="AN122" s="540">
        <f>IF(AO122&lt;=3,(IF(AND(G122="5/24",AM122&gt;2),(AM122*2*база!$M$6*Таблица14[[#This Row],[коэф]]),
IF(AND(G122="4/24",AM122&gt;2),(AM122*2*база!$M$5*Таблица14[[#This Row],[коэф]]),
IF(AND(G122="3/24",AM122&gt;2),(AM122*2*база!$M$4*Таблица14[[#This Row],[коэф]]),
IF(AND(G122="5/16",AM122&gt;2),(AM122*2*база!$L$6*Таблица14[[#This Row],[коэф]]),
IF(AND(G122="4/16",AM122&gt;2),(AM122*2*база!$L$5*Таблица14[[#This Row],[коэф]]),
IF(AND(G122="3/16",AM122&gt;2),(AM122*2*база!$L$4*Таблица14[[#This Row],[коэф]]),
IF(AND(G122="4/4",AM122&gt;2),(AM122*2*база!$I$5*Таблица14[[#This Row],[коэф]]),
IF(AND(G122="3/4",AM122&gt;2),(AM122*2*база!$I$4*Таблица14[[#This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(AM122*2*база!$L$4*Таблица14[[#This Row],[коэф]]))))))))))))),
(IF(AND(G122="5/24",AM122&gt;2),(AM122*2*база!$M$6*Таблица14[[#This Row],[коэф]]),
IF(OR(AND(G122="4/24",AM122&gt;2),AND(G122="3/24",AM122&gt;2)),(AM122*2*база!$M$5*Таблица14[[#This Row],[коэф]]),
IF(AND(G122="5/16",AM122&gt;2),(AM122*2*база!$L$6*Таблица14[[#This Row],[коэф]]),
IF(OR(AND(G122="4/16",AM122&gt;2),AND(G122="3/16",AM122&gt;2)),(AM122*2*база!$L$5*Таблица14[[#This Row],[коэф]]),
IF(OR(AND(G122="4/4",AM122&gt;2),AND(G122="3/4",AM122&gt;2)),(AM122*2*база!$I$5*Таблица14[[#This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(AM122*2*база!$L$5*Таблица14[[#This Row],[коэф]])))))))))))</f>
        <v>0</v>
      </c>
      <c r="AO122" s="114">
        <f>IFERROR(INDEX(база!$D$2:$D$120, MATCH(Таблица14[[#This Row],[Ф. И. О.]],база!$B$2:$B$100,0)),"")</f>
        <v>0</v>
      </c>
    </row>
    <row r="123" spans="1:41">
      <c r="A123" s="192"/>
      <c r="B123" s="189"/>
      <c r="C123" s="544"/>
      <c r="D123" s="199"/>
      <c r="E123" s="226"/>
      <c r="F123" s="679"/>
      <c r="G123" s="191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113">
        <f t="shared" si="1"/>
        <v>0</v>
      </c>
      <c r="AN123" s="540">
        <f>IF(AO123&lt;=3,(IF(AND(G123="5/24",AM123&gt;2),(AM123*2*база!$M$6*Таблица14[[#This Row],[коэф]]),
IF(AND(G123="4/24",AM123&gt;2),(AM123*2*база!$M$5*Таблица14[[#This Row],[коэф]]),
IF(AND(G123="3/24",AM123&gt;2),(AM123*2*база!$M$4*Таблица14[[#This Row],[коэф]]),
IF(AND(G123="5/16",AM123&gt;2),(AM123*2*база!$L$6*Таблица14[[#This Row],[коэф]]),
IF(AND(G123="4/16",AM123&gt;2),(AM123*2*база!$L$5*Таблица14[[#This Row],[коэф]]),
IF(AND(G123="3/16",AM123&gt;2),(AM123*2*база!$L$4*Таблица14[[#This Row],[коэф]]),
IF(AND(G123="4/4",AM123&gt;2),(AM123*2*база!$I$5*Таблица14[[#This Row],[коэф]]),
IF(AND(G123="3/4",AM123&gt;2),(AM123*2*база!$I$4*Таблица14[[#This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(AM123*2*база!$L$4*Таблица14[[#This Row],[коэф]]))))))))))))),
(IF(AND(G123="5/24",AM123&gt;2),(AM123*2*база!$M$6*Таблица14[[#This Row],[коэф]]),
IF(OR(AND(G123="4/24",AM123&gt;2),AND(G123="3/24",AM123&gt;2)),(AM123*2*база!$M$5*Таблица14[[#This Row],[коэф]]),
IF(AND(G123="5/16",AM123&gt;2),(AM123*2*база!$L$6*Таблица14[[#This Row],[коэф]]),
IF(OR(AND(G123="4/16",AM123&gt;2),AND(G123="3/16",AM123&gt;2)),(AM123*2*база!$L$5*Таблица14[[#This Row],[коэф]]),
IF(OR(AND(G123="4/4",AM123&gt;2),AND(G123="3/4",AM123&gt;2)),(AM123*2*база!$I$5*Таблица14[[#This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(AM123*2*база!$L$5*Таблица14[[#This Row],[коэф]])))))))))))</f>
        <v>0</v>
      </c>
      <c r="AO123" s="114">
        <f>IFERROR(INDEX(база!$D$2:$D$120, MATCH(Таблица14[[#This Row],[Ф. И. О.]],база!$B$2:$B$100,0)),"")</f>
        <v>0</v>
      </c>
    </row>
    <row r="124" spans="1:41">
      <c r="A124" s="192"/>
      <c r="B124" s="223"/>
      <c r="C124" s="544"/>
      <c r="D124" s="199"/>
      <c r="E124" s="224"/>
      <c r="F124" s="679"/>
      <c r="G124" s="225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113">
        <f t="shared" si="1"/>
        <v>0</v>
      </c>
      <c r="AN124" s="540">
        <f>IF(AO124&lt;=3,(IF(AND(G124="5/24",AM124&gt;2),(AM124*2*база!$M$6*Таблица14[[#This Row],[коэф]]),
IF(AND(G124="4/24",AM124&gt;2),(AM124*2*база!$M$5*Таблица14[[#This Row],[коэф]]),
IF(AND(G124="3/24",AM124&gt;2),(AM124*2*база!$M$4*Таблица14[[#This Row],[коэф]]),
IF(AND(G124="5/16",AM124&gt;2),(AM124*2*база!$L$6*Таблица14[[#This Row],[коэф]]),
IF(AND(G124="4/16",AM124&gt;2),(AM124*2*база!$L$5*Таблица14[[#This Row],[коэф]]),
IF(AND(G124="3/16",AM124&gt;2),(AM124*2*база!$L$4*Таблица14[[#This Row],[коэф]]),
IF(AND(G124="4/4",AM124&gt;2),(AM124*2*база!$I$5*Таблица14[[#This Row],[коэф]]),
IF(AND(G124="3/4",AM124&gt;2),(AM124*2*база!$I$4*Таблица14[[#This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(AM124*2*база!$L$4*Таблица14[[#This Row],[коэф]]))))))))))))),
(IF(AND(G124="5/24",AM124&gt;2),(AM124*2*база!$M$6*Таблица14[[#This Row],[коэф]]),
IF(OR(AND(G124="4/24",AM124&gt;2),AND(G124="3/24",AM124&gt;2)),(AM124*2*база!$M$5*Таблица14[[#This Row],[коэф]]),
IF(AND(G124="5/16",AM124&gt;2),(AM124*2*база!$L$6*Таблица14[[#This Row],[коэф]]),
IF(OR(AND(G124="4/16",AM124&gt;2),AND(G124="3/16",AM124&gt;2)),(AM124*2*база!$L$5*Таблица14[[#This Row],[коэф]]),
IF(OR(AND(G124="4/4",AM124&gt;2),AND(G124="3/4",AM124&gt;2)),(AM124*2*база!$I$5*Таблица14[[#This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(AM124*2*база!$L$5*Таблица14[[#This Row],[коэф]])))))))))))</f>
        <v>0</v>
      </c>
      <c r="AO124" s="114">
        <f>IFERROR(INDEX(база!$D$2:$D$120, MATCH(Таблица14[[#This Row],[Ф. И. О.]],база!$B$2:$B$100,0)),"")</f>
        <v>0</v>
      </c>
    </row>
    <row r="125" spans="1:41">
      <c r="A125" s="192"/>
      <c r="B125" s="189"/>
      <c r="C125" s="544"/>
      <c r="D125" s="199"/>
      <c r="E125" s="226"/>
      <c r="F125" s="679"/>
      <c r="G125" s="191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113">
        <f t="shared" si="1"/>
        <v>0</v>
      </c>
      <c r="AN125" s="540">
        <f>IF(AO125&lt;=3,(IF(AND(G125="5/24",AM125&gt;2),(AM125*2*база!$M$6*Таблица14[[#This Row],[коэф]]),
IF(AND(G125="4/24",AM125&gt;2),(AM125*2*база!$M$5*Таблица14[[#This Row],[коэф]]),
IF(AND(G125="3/24",AM125&gt;2),(AM125*2*база!$M$4*Таблица14[[#This Row],[коэф]]),
IF(AND(G125="5/16",AM125&gt;2),(AM125*2*база!$L$6*Таблица14[[#This Row],[коэф]]),
IF(AND(G125="4/16",AM125&gt;2),(AM125*2*база!$L$5*Таблица14[[#This Row],[коэф]]),
IF(AND(G125="3/16",AM125&gt;2),(AM125*2*база!$L$4*Таблица14[[#This Row],[коэф]]),
IF(AND(G125="4/4",AM125&gt;2),(AM125*2*база!$I$5*Таблица14[[#This Row],[коэф]]),
IF(AND(G125="3/4",AM125&gt;2),(AM125*2*база!$I$4*Таблица14[[#This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(AM125*2*база!$L$4*Таблица14[[#This Row],[коэф]]))))))))))))),
(IF(AND(G125="5/24",AM125&gt;2),(AM125*2*база!$M$6*Таблица14[[#This Row],[коэф]]),
IF(OR(AND(G125="4/24",AM125&gt;2),AND(G125="3/24",AM125&gt;2)),(AM125*2*база!$M$5*Таблица14[[#This Row],[коэф]]),
IF(AND(G125="5/16",AM125&gt;2),(AM125*2*база!$L$6*Таблица14[[#This Row],[коэф]]),
IF(OR(AND(G125="4/16",AM125&gt;2),AND(G125="3/16",AM125&gt;2)),(AM125*2*база!$L$5*Таблица14[[#This Row],[коэф]]),
IF(OR(AND(G125="4/4",AM125&gt;2),AND(G125="3/4",AM125&gt;2)),(AM125*2*база!$I$5*Таблица14[[#This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(AM125*2*база!$L$5*Таблица14[[#This Row],[коэф]])))))))))))</f>
        <v>0</v>
      </c>
      <c r="AO125" s="114">
        <f>IFERROR(INDEX(база!$D$2:$D$120, MATCH(Таблица14[[#This Row],[Ф. И. О.]],база!$B$2:$B$100,0)),"")</f>
        <v>0</v>
      </c>
    </row>
    <row r="126" spans="1:41">
      <c r="A126" s="192"/>
      <c r="B126" s="223"/>
      <c r="C126" s="544"/>
      <c r="D126" s="199"/>
      <c r="E126" s="224"/>
      <c r="F126" s="679"/>
      <c r="G126" s="225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113">
        <f t="shared" si="1"/>
        <v>0</v>
      </c>
      <c r="AN126" s="540">
        <f>IF(AO126&lt;=3,(IF(AND(G126="5/24",AM126&gt;2),(AM126*2*база!$M$6*Таблица14[[#This Row],[коэф]]),
IF(AND(G126="4/24",AM126&gt;2),(AM126*2*база!$M$5*Таблица14[[#This Row],[коэф]]),
IF(AND(G126="3/24",AM126&gt;2),(AM126*2*база!$M$4*Таблица14[[#This Row],[коэф]]),
IF(AND(G126="5/16",AM126&gt;2),(AM126*2*база!$L$6*Таблица14[[#This Row],[коэф]]),
IF(AND(G126="4/16",AM126&gt;2),(AM126*2*база!$L$5*Таблица14[[#This Row],[коэф]]),
IF(AND(G126="3/16",AM126&gt;2),(AM126*2*база!$L$4*Таблица14[[#This Row],[коэф]]),
IF(AND(G126="4/4",AM126&gt;2),(AM126*2*база!$I$5*Таблица14[[#This Row],[коэф]]),
IF(AND(G126="3/4",AM126&gt;2),(AM126*2*база!$I$4*Таблица14[[#This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(AM126*2*база!$L$4*Таблица14[[#This Row],[коэф]]))))))))))))),
(IF(AND(G126="5/24",AM126&gt;2),(AM126*2*база!$M$6*Таблица14[[#This Row],[коэф]]),
IF(OR(AND(G126="4/24",AM126&gt;2),AND(G126="3/24",AM126&gt;2)),(AM126*2*база!$M$5*Таблица14[[#This Row],[коэф]]),
IF(AND(G126="5/16",AM126&gt;2),(AM126*2*база!$L$6*Таблица14[[#This Row],[коэф]]),
IF(OR(AND(G126="4/16",AM126&gt;2),AND(G126="3/16",AM126&gt;2)),(AM126*2*база!$L$5*Таблица14[[#This Row],[коэф]]),
IF(OR(AND(G126="4/4",AM126&gt;2),AND(G126="3/4",AM126&gt;2)),(AM126*2*база!$I$5*Таблица14[[#This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(AM126*2*база!$L$5*Таблица14[[#This Row],[коэф]])))))))))))</f>
        <v>0</v>
      </c>
      <c r="AO126" s="114">
        <f>IFERROR(INDEX(база!$D$2:$D$120, MATCH(Таблица14[[#This Row],[Ф. И. О.]],база!$B$2:$B$100,0)),"")</f>
        <v>0</v>
      </c>
    </row>
    <row r="127" spans="1:41">
      <c r="A127" s="192"/>
      <c r="B127" s="189"/>
      <c r="C127" s="544"/>
      <c r="D127" s="199"/>
      <c r="E127" s="226"/>
      <c r="F127" s="679"/>
      <c r="G127" s="191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113">
        <f t="shared" si="1"/>
        <v>0</v>
      </c>
      <c r="AN127" s="540">
        <f>IF(AO127&lt;=3,(IF(AND(G127="5/24",AM127&gt;2),(AM127*2*база!$M$6*Таблица14[[#This Row],[коэф]]),
IF(AND(G127="4/24",AM127&gt;2),(AM127*2*база!$M$5*Таблица14[[#This Row],[коэф]]),
IF(AND(G127="3/24",AM127&gt;2),(AM127*2*база!$M$4*Таблица14[[#This Row],[коэф]]),
IF(AND(G127="5/16",AM127&gt;2),(AM127*2*база!$L$6*Таблица14[[#This Row],[коэф]]),
IF(AND(G127="4/16",AM127&gt;2),(AM127*2*база!$L$5*Таблица14[[#This Row],[коэф]]),
IF(AND(G127="3/16",AM127&gt;2),(AM127*2*база!$L$4*Таблица14[[#This Row],[коэф]]),
IF(AND(G127="4/4",AM127&gt;2),(AM127*2*база!$I$5*Таблица14[[#This Row],[коэф]]),
IF(AND(G127="3/4",AM127&gt;2),(AM127*2*база!$I$4*Таблица14[[#This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(AM127*2*база!$L$4*Таблица14[[#This Row],[коэф]]))))))))))))),
(IF(AND(G127="5/24",AM127&gt;2),(AM127*2*база!$M$6*Таблица14[[#This Row],[коэф]]),
IF(OR(AND(G127="4/24",AM127&gt;2),AND(G127="3/24",AM127&gt;2)),(AM127*2*база!$M$5*Таблица14[[#This Row],[коэф]]),
IF(AND(G127="5/16",AM127&gt;2),(AM127*2*база!$L$6*Таблица14[[#This Row],[коэф]]),
IF(OR(AND(G127="4/16",AM127&gt;2),AND(G127="3/16",AM127&gt;2)),(AM127*2*база!$L$5*Таблица14[[#This Row],[коэф]]),
IF(OR(AND(G127="4/4",AM127&gt;2),AND(G127="3/4",AM127&gt;2)),(AM127*2*база!$I$5*Таблица14[[#This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(AM127*2*база!$L$5*Таблица14[[#This Row],[коэф]])))))))))))</f>
        <v>0</v>
      </c>
      <c r="AO127" s="114">
        <f>IFERROR(INDEX(база!$D$2:$D$120, MATCH(Таблица14[[#This Row],[Ф. И. О.]],база!$B$2:$B$100,0)),"")</f>
        <v>0</v>
      </c>
    </row>
    <row r="128" spans="1:41">
      <c r="A128" s="192"/>
      <c r="B128" s="223"/>
      <c r="C128" s="544"/>
      <c r="D128" s="199"/>
      <c r="E128" s="224"/>
      <c r="F128" s="679"/>
      <c r="G128" s="225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113">
        <f t="shared" si="1"/>
        <v>0</v>
      </c>
      <c r="AN128" s="540">
        <f>IF(AO128&lt;=3,(IF(AND(G128="5/24",AM128&gt;2),(AM128*2*база!$M$6*Таблица14[[#This Row],[коэф]]),
IF(AND(G128="4/24",AM128&gt;2),(AM128*2*база!$M$5*Таблица14[[#This Row],[коэф]]),
IF(AND(G128="3/24",AM128&gt;2),(AM128*2*база!$M$4*Таблица14[[#This Row],[коэф]]),
IF(AND(G128="5/16",AM128&gt;2),(AM128*2*база!$L$6*Таблица14[[#This Row],[коэф]]),
IF(AND(G128="4/16",AM128&gt;2),(AM128*2*база!$L$5*Таблица14[[#This Row],[коэф]]),
IF(AND(G128="3/16",AM128&gt;2),(AM128*2*база!$L$4*Таблица14[[#This Row],[коэф]]),
IF(AND(G128="4/4",AM128&gt;2),(AM128*2*база!$I$5*Таблица14[[#This Row],[коэф]]),
IF(AND(G128="3/4",AM128&gt;2),(AM128*2*база!$I$4*Таблица14[[#This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(AM128*2*база!$L$4*Таблица14[[#This Row],[коэф]]))))))))))))),
(IF(AND(G128="5/24",AM128&gt;2),(AM128*2*база!$M$6*Таблица14[[#This Row],[коэф]]),
IF(OR(AND(G128="4/24",AM128&gt;2),AND(G128="3/24",AM128&gt;2)),(AM128*2*база!$M$5*Таблица14[[#This Row],[коэф]]),
IF(AND(G128="5/16",AM128&gt;2),(AM128*2*база!$L$6*Таблица14[[#This Row],[коэф]]),
IF(OR(AND(G128="4/16",AM128&gt;2),AND(G128="3/16",AM128&gt;2)),(AM128*2*база!$L$5*Таблица14[[#This Row],[коэф]]),
IF(OR(AND(G128="4/4",AM128&gt;2),AND(G128="3/4",AM128&gt;2)),(AM128*2*база!$I$5*Таблица14[[#This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(AM128*2*база!$L$5*Таблица14[[#This Row],[коэф]])))))))))))</f>
        <v>0</v>
      </c>
      <c r="AO128" s="114">
        <f>IFERROR(INDEX(база!$D$2:$D$120, MATCH(Таблица14[[#This Row],[Ф. И. О.]],база!$B$2:$B$100,0)),"")</f>
        <v>0</v>
      </c>
    </row>
    <row r="129" spans="1:41">
      <c r="A129" s="192"/>
      <c r="B129" s="189"/>
      <c r="C129" s="544"/>
      <c r="D129" s="199"/>
      <c r="E129" s="226"/>
      <c r="F129" s="679"/>
      <c r="G129" s="191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113">
        <f t="shared" si="1"/>
        <v>0</v>
      </c>
      <c r="AN129" s="540">
        <f>IF(AO129&lt;=3,(IF(AND(G129="5/24",AM129&gt;2),(AM129*2*база!$M$6*Таблица14[[#This Row],[коэф]]),
IF(AND(G129="4/24",AM129&gt;2),(AM129*2*база!$M$5*Таблица14[[#This Row],[коэф]]),
IF(AND(G129="3/24",AM129&gt;2),(AM129*2*база!$M$4*Таблица14[[#This Row],[коэф]]),
IF(AND(G129="5/16",AM129&gt;2),(AM129*2*база!$L$6*Таблица14[[#This Row],[коэф]]),
IF(AND(G129="4/16",AM129&gt;2),(AM129*2*база!$L$5*Таблица14[[#This Row],[коэф]]),
IF(AND(G129="3/16",AM129&gt;2),(AM129*2*база!$L$4*Таблица14[[#This Row],[коэф]]),
IF(AND(G129="4/4",AM129&gt;2),(AM129*2*база!$I$5*Таблица14[[#This Row],[коэф]]),
IF(AND(G129="3/4",AM129&gt;2),(AM129*2*база!$I$4*Таблица14[[#This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(AM129*2*база!$L$4*Таблица14[[#This Row],[коэф]]))))))))))))),
(IF(AND(G129="5/24",AM129&gt;2),(AM129*2*база!$M$6*Таблица14[[#This Row],[коэф]]),
IF(OR(AND(G129="4/24",AM129&gt;2),AND(G129="3/24",AM129&gt;2)),(AM129*2*база!$M$5*Таблица14[[#This Row],[коэф]]),
IF(AND(G129="5/16",AM129&gt;2),(AM129*2*база!$L$6*Таблица14[[#This Row],[коэф]]),
IF(OR(AND(G129="4/16",AM129&gt;2),AND(G129="3/16",AM129&gt;2)),(AM129*2*база!$L$5*Таблица14[[#This Row],[коэф]]),
IF(OR(AND(G129="4/4",AM129&gt;2),AND(G129="3/4",AM129&gt;2)),(AM129*2*база!$I$5*Таблица14[[#This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(AM129*2*база!$L$5*Таблица14[[#This Row],[коэф]])))))))))))</f>
        <v>0</v>
      </c>
      <c r="AO129" s="114">
        <f>IFERROR(INDEX(база!$D$2:$D$120, MATCH(Таблица14[[#This Row],[Ф. И. О.]],база!$B$2:$B$100,0)),"")</f>
        <v>0</v>
      </c>
    </row>
    <row r="130" spans="1:41">
      <c r="A130" s="192"/>
      <c r="B130" s="223"/>
      <c r="C130" s="544"/>
      <c r="D130" s="199"/>
      <c r="E130" s="224"/>
      <c r="F130" s="679"/>
      <c r="G130" s="225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113">
        <f t="shared" si="1"/>
        <v>0</v>
      </c>
      <c r="AN130" s="540">
        <f>IF(AO130&lt;=3,(IF(AND(G130="5/24",AM130&gt;2),(AM130*2*база!$M$6*Таблица14[[#This Row],[коэф]]),
IF(AND(G130="4/24",AM130&gt;2),(AM130*2*база!$M$5*Таблица14[[#This Row],[коэф]]),
IF(AND(G130="3/24",AM130&gt;2),(AM130*2*база!$M$4*Таблица14[[#This Row],[коэф]]),
IF(AND(G130="5/16",AM130&gt;2),(AM130*2*база!$L$6*Таблица14[[#This Row],[коэф]]),
IF(AND(G130="4/16",AM130&gt;2),(AM130*2*база!$L$5*Таблица14[[#This Row],[коэф]]),
IF(AND(G130="3/16",AM130&gt;2),(AM130*2*база!$L$4*Таблица14[[#This Row],[коэф]]),
IF(AND(G130="4/4",AM130&gt;2),(AM130*2*база!$I$5*Таблица14[[#This Row],[коэф]]),
IF(AND(G130="3/4",AM130&gt;2),(AM130*2*база!$I$4*Таблица14[[#This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(AM130*2*база!$L$4*Таблица14[[#This Row],[коэф]]))))))))))))),
(IF(AND(G130="5/24",AM130&gt;2),(AM130*2*база!$M$6*Таблица14[[#This Row],[коэф]]),
IF(OR(AND(G130="4/24",AM130&gt;2),AND(G130="3/24",AM130&gt;2)),(AM130*2*база!$M$5*Таблица14[[#This Row],[коэф]]),
IF(AND(G130="5/16",AM130&gt;2),(AM130*2*база!$L$6*Таблица14[[#This Row],[коэф]]),
IF(OR(AND(G130="4/16",AM130&gt;2),AND(G130="3/16",AM130&gt;2)),(AM130*2*база!$L$5*Таблица14[[#This Row],[коэф]]),
IF(OR(AND(G130="4/4",AM130&gt;2),AND(G130="3/4",AM130&gt;2)),(AM130*2*база!$I$5*Таблица14[[#This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(AM130*2*база!$L$5*Таблица14[[#This Row],[коэф]])))))))))))</f>
        <v>0</v>
      </c>
      <c r="AO130" s="114">
        <f>IFERROR(INDEX(база!$D$2:$D$120, MATCH(Таблица14[[#This Row],[Ф. И. О.]],база!$B$2:$B$100,0)),"")</f>
        <v>0</v>
      </c>
    </row>
    <row r="131" spans="1:41">
      <c r="A131" s="192"/>
      <c r="B131" s="189"/>
      <c r="C131" s="544"/>
      <c r="D131" s="199"/>
      <c r="E131" s="226"/>
      <c r="F131" s="679"/>
      <c r="G131" s="191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113">
        <f t="shared" si="1"/>
        <v>0</v>
      </c>
      <c r="AN131" s="540">
        <f>IF(AO131&lt;=3,(IF(AND(G131="5/24",AM131&gt;2),(AM131*2*база!$M$6*Таблица14[[#This Row],[коэф]]),
IF(AND(G131="4/24",AM131&gt;2),(AM131*2*база!$M$5*Таблица14[[#This Row],[коэф]]),
IF(AND(G131="3/24",AM131&gt;2),(AM131*2*база!$M$4*Таблица14[[#This Row],[коэф]]),
IF(AND(G131="5/16",AM131&gt;2),(AM131*2*база!$L$6*Таблица14[[#This Row],[коэф]]),
IF(AND(G131="4/16",AM131&gt;2),(AM131*2*база!$L$5*Таблица14[[#This Row],[коэф]]),
IF(AND(G131="3/16",AM131&gt;2),(AM131*2*база!$L$4*Таблица14[[#This Row],[коэф]]),
IF(AND(G131="4/4",AM131&gt;2),(AM131*2*база!$I$5*Таблица14[[#This Row],[коэф]]),
IF(AND(G131="3/4",AM131&gt;2),(AM131*2*база!$I$4*Таблица14[[#This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(AM131*2*база!$L$4*Таблица14[[#This Row],[коэф]]))))))))))))),
(IF(AND(G131="5/24",AM131&gt;2),(AM131*2*база!$M$6*Таблица14[[#This Row],[коэф]]),
IF(OR(AND(G131="4/24",AM131&gt;2),AND(G131="3/24",AM131&gt;2)),(AM131*2*база!$M$5*Таблица14[[#This Row],[коэф]]),
IF(AND(G131="5/16",AM131&gt;2),(AM131*2*база!$L$6*Таблица14[[#This Row],[коэф]]),
IF(OR(AND(G131="4/16",AM131&gt;2),AND(G131="3/16",AM131&gt;2)),(AM131*2*база!$L$5*Таблица14[[#This Row],[коэф]]),
IF(OR(AND(G131="4/4",AM131&gt;2),AND(G131="3/4",AM131&gt;2)),(AM131*2*база!$I$5*Таблица14[[#This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(AM131*2*база!$L$5*Таблица14[[#This Row],[коэф]])))))))))))</f>
        <v>0</v>
      </c>
      <c r="AO131" s="114">
        <f>IFERROR(INDEX(база!$D$2:$D$120, MATCH(Таблица14[[#This Row],[Ф. И. О.]],база!$B$2:$B$100,0)),"")</f>
        <v>0</v>
      </c>
    </row>
    <row r="132" spans="1:41">
      <c r="A132" s="192"/>
      <c r="B132" s="223"/>
      <c r="C132" s="544"/>
      <c r="D132" s="199"/>
      <c r="E132" s="224"/>
      <c r="F132" s="679"/>
      <c r="G132" s="225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113">
        <f t="shared" ref="AM132:AM195" si="2">SUM(H132:AL132)</f>
        <v>0</v>
      </c>
      <c r="AN132" s="540">
        <f>IF(AO132&lt;=3,(IF(AND(G132="5/24",AM132&gt;2),(AM132*2*база!$M$6*Таблица14[[#This Row],[коэф]]),
IF(AND(G132="4/24",AM132&gt;2),(AM132*2*база!$M$5*Таблица14[[#This Row],[коэф]]),
IF(AND(G132="3/24",AM132&gt;2),(AM132*2*база!$M$4*Таблица14[[#This Row],[коэф]]),
IF(AND(G132="5/16",AM132&gt;2),(AM132*2*база!$L$6*Таблица14[[#This Row],[коэф]]),
IF(AND(G132="4/16",AM132&gt;2),(AM132*2*база!$L$5*Таблица14[[#This Row],[коэф]]),
IF(AND(G132="3/16",AM132&gt;2),(AM132*2*база!$L$4*Таблица14[[#This Row],[коэф]]),
IF(AND(G132="4/4",AM132&gt;2),(AM132*2*база!$I$5*Таблица14[[#This Row],[коэф]]),
IF(AND(G132="3/4",AM132&gt;2),(AM132*2*база!$I$4*Таблица14[[#This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(AM132*2*база!$L$4*Таблица14[[#This Row],[коэф]]))))))))))))),
(IF(AND(G132="5/24",AM132&gt;2),(AM132*2*база!$M$6*Таблица14[[#This Row],[коэф]]),
IF(OR(AND(G132="4/24",AM132&gt;2),AND(G132="3/24",AM132&gt;2)),(AM132*2*база!$M$5*Таблица14[[#This Row],[коэф]]),
IF(AND(G132="5/16",AM132&gt;2),(AM132*2*база!$L$6*Таблица14[[#This Row],[коэф]]),
IF(OR(AND(G132="4/16",AM132&gt;2),AND(G132="3/16",AM132&gt;2)),(AM132*2*база!$L$5*Таблица14[[#This Row],[коэф]]),
IF(OR(AND(G132="4/4",AM132&gt;2),AND(G132="3/4",AM132&gt;2)),(AM132*2*база!$I$5*Таблица14[[#This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(AM132*2*база!$L$5*Таблица14[[#This Row],[коэф]])))))))))))</f>
        <v>0</v>
      </c>
      <c r="AO132" s="114">
        <f>IFERROR(INDEX(база!$D$2:$D$120, MATCH(Таблица14[[#This Row],[Ф. И. О.]],база!$B$2:$B$100,0)),"")</f>
        <v>0</v>
      </c>
    </row>
    <row r="133" spans="1:41">
      <c r="A133" s="192"/>
      <c r="B133" s="189"/>
      <c r="C133" s="544"/>
      <c r="D133" s="199"/>
      <c r="E133" s="226"/>
      <c r="F133" s="679"/>
      <c r="G133" s="191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113">
        <f t="shared" si="2"/>
        <v>0</v>
      </c>
      <c r="AN133" s="540">
        <f>IF(AO133&lt;=3,(IF(AND(G133="5/24",AM133&gt;2),(AM133*2*база!$M$6*Таблица14[[#This Row],[коэф]]),
IF(AND(G133="4/24",AM133&gt;2),(AM133*2*база!$M$5*Таблица14[[#This Row],[коэф]]),
IF(AND(G133="3/24",AM133&gt;2),(AM133*2*база!$M$4*Таблица14[[#This Row],[коэф]]),
IF(AND(G133="5/16",AM133&gt;2),(AM133*2*база!$L$6*Таблица14[[#This Row],[коэф]]),
IF(AND(G133="4/16",AM133&gt;2),(AM133*2*база!$L$5*Таблица14[[#This Row],[коэф]]),
IF(AND(G133="3/16",AM133&gt;2),(AM133*2*база!$L$4*Таблица14[[#This Row],[коэф]]),
IF(AND(G133="4/4",AM133&gt;2),(AM133*2*база!$I$5*Таблица14[[#This Row],[коэф]]),
IF(AND(G133="3/4",AM133&gt;2),(AM133*2*база!$I$4*Таблица14[[#This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(AM133*2*база!$L$4*Таблица14[[#This Row],[коэф]]))))))))))))),
(IF(AND(G133="5/24",AM133&gt;2),(AM133*2*база!$M$6*Таблица14[[#This Row],[коэф]]),
IF(OR(AND(G133="4/24",AM133&gt;2),AND(G133="3/24",AM133&gt;2)),(AM133*2*база!$M$5*Таблица14[[#This Row],[коэф]]),
IF(AND(G133="5/16",AM133&gt;2),(AM133*2*база!$L$6*Таблица14[[#This Row],[коэф]]),
IF(OR(AND(G133="4/16",AM133&gt;2),AND(G133="3/16",AM133&gt;2)),(AM133*2*база!$L$5*Таблица14[[#This Row],[коэф]]),
IF(OR(AND(G133="4/4",AM133&gt;2),AND(G133="3/4",AM133&gt;2)),(AM133*2*база!$I$5*Таблица14[[#This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(AM133*2*база!$L$5*Таблица14[[#This Row],[коэф]])))))))))))</f>
        <v>0</v>
      </c>
      <c r="AO133" s="114">
        <f>IFERROR(INDEX(база!$D$2:$D$120, MATCH(Таблица14[[#This Row],[Ф. И. О.]],база!$B$2:$B$100,0)),"")</f>
        <v>0</v>
      </c>
    </row>
    <row r="134" spans="1:41">
      <c r="A134" s="192"/>
      <c r="B134" s="223"/>
      <c r="C134" s="544"/>
      <c r="D134" s="199"/>
      <c r="E134" s="224"/>
      <c r="F134" s="679"/>
      <c r="G134" s="225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113">
        <f t="shared" si="2"/>
        <v>0</v>
      </c>
      <c r="AN134" s="540">
        <f>IF(AO134&lt;=3,(IF(AND(G134="5/24",AM134&gt;2),(AM134*2*база!$M$6*Таблица14[[#This Row],[коэф]]),
IF(AND(G134="4/24",AM134&gt;2),(AM134*2*база!$M$5*Таблица14[[#This Row],[коэф]]),
IF(AND(G134="3/24",AM134&gt;2),(AM134*2*база!$M$4*Таблица14[[#This Row],[коэф]]),
IF(AND(G134="5/16",AM134&gt;2),(AM134*2*база!$L$6*Таблица14[[#This Row],[коэф]]),
IF(AND(G134="4/16",AM134&gt;2),(AM134*2*база!$L$5*Таблица14[[#This Row],[коэф]]),
IF(AND(G134="3/16",AM134&gt;2),(AM134*2*база!$L$4*Таблица14[[#This Row],[коэф]]),
IF(AND(G134="4/4",AM134&gt;2),(AM134*2*база!$I$5*Таблица14[[#This Row],[коэф]]),
IF(AND(G134="3/4",AM134&gt;2),(AM134*2*база!$I$4*Таблица14[[#This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(AM134*2*база!$L$4*Таблица14[[#This Row],[коэф]]))))))))))))),
(IF(AND(G134="5/24",AM134&gt;2),(AM134*2*база!$M$6*Таблица14[[#This Row],[коэф]]),
IF(OR(AND(G134="4/24",AM134&gt;2),AND(G134="3/24",AM134&gt;2)),(AM134*2*база!$M$5*Таблица14[[#This Row],[коэф]]),
IF(AND(G134="5/16",AM134&gt;2),(AM134*2*база!$L$6*Таблица14[[#This Row],[коэф]]),
IF(OR(AND(G134="4/16",AM134&gt;2),AND(G134="3/16",AM134&gt;2)),(AM134*2*база!$L$5*Таблица14[[#This Row],[коэф]]),
IF(OR(AND(G134="4/4",AM134&gt;2),AND(G134="3/4",AM134&gt;2)),(AM134*2*база!$I$5*Таблица14[[#This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(AM134*2*база!$L$5*Таблица14[[#This Row],[коэф]])))))))))))</f>
        <v>0</v>
      </c>
      <c r="AO134" s="114">
        <f>IFERROR(INDEX(база!$D$2:$D$120, MATCH(Таблица14[[#This Row],[Ф. И. О.]],база!$B$2:$B$100,0)),"")</f>
        <v>0</v>
      </c>
    </row>
    <row r="135" spans="1:41">
      <c r="A135" s="192"/>
      <c r="B135" s="189"/>
      <c r="C135" s="544"/>
      <c r="D135" s="199"/>
      <c r="E135" s="226"/>
      <c r="F135" s="679"/>
      <c r="G135" s="191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113">
        <f t="shared" si="2"/>
        <v>0</v>
      </c>
      <c r="AN135" s="540">
        <f>IF(AO135&lt;=3,(IF(AND(G135="5/24",AM135&gt;2),(AM135*2*база!$M$6*Таблица14[[#This Row],[коэф]]),
IF(AND(G135="4/24",AM135&gt;2),(AM135*2*база!$M$5*Таблица14[[#This Row],[коэф]]),
IF(AND(G135="3/24",AM135&gt;2),(AM135*2*база!$M$4*Таблица14[[#This Row],[коэф]]),
IF(AND(G135="5/16",AM135&gt;2),(AM135*2*база!$L$6*Таблица14[[#This Row],[коэф]]),
IF(AND(G135="4/16",AM135&gt;2),(AM135*2*база!$L$5*Таблица14[[#This Row],[коэф]]),
IF(AND(G135="3/16",AM135&gt;2),(AM135*2*база!$L$4*Таблица14[[#This Row],[коэф]]),
IF(AND(G135="4/4",AM135&gt;2),(AM135*2*база!$I$5*Таблица14[[#This Row],[коэф]]),
IF(AND(G135="3/4",AM135&gt;2),(AM135*2*база!$I$4*Таблица14[[#This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(AM135*2*база!$L$4*Таблица14[[#This Row],[коэф]]))))))))))))),
(IF(AND(G135="5/24",AM135&gt;2),(AM135*2*база!$M$6*Таблица14[[#This Row],[коэф]]),
IF(OR(AND(G135="4/24",AM135&gt;2),AND(G135="3/24",AM135&gt;2)),(AM135*2*база!$M$5*Таблица14[[#This Row],[коэф]]),
IF(AND(G135="5/16",AM135&gt;2),(AM135*2*база!$L$6*Таблица14[[#This Row],[коэф]]),
IF(OR(AND(G135="4/16",AM135&gt;2),AND(G135="3/16",AM135&gt;2)),(AM135*2*база!$L$5*Таблица14[[#This Row],[коэф]]),
IF(OR(AND(G135="4/4",AM135&gt;2),AND(G135="3/4",AM135&gt;2)),(AM135*2*база!$I$5*Таблица14[[#This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(AM135*2*база!$L$5*Таблица14[[#This Row],[коэф]])))))))))))</f>
        <v>0</v>
      </c>
      <c r="AO135" s="114">
        <f>IFERROR(INDEX(база!$D$2:$D$120, MATCH(Таблица14[[#This Row],[Ф. И. О.]],база!$B$2:$B$100,0)),"")</f>
        <v>0</v>
      </c>
    </row>
    <row r="136" spans="1:41">
      <c r="A136" s="192"/>
      <c r="B136" s="223"/>
      <c r="C136" s="544"/>
      <c r="D136" s="199"/>
      <c r="E136" s="224"/>
      <c r="F136" s="679"/>
      <c r="G136" s="225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113">
        <f t="shared" si="2"/>
        <v>0</v>
      </c>
      <c r="AN136" s="540">
        <f>IF(AO136&lt;=3,(IF(AND(G136="5/24",AM136&gt;2),(AM136*2*база!$M$6*Таблица14[[#This Row],[коэф]]),
IF(AND(G136="4/24",AM136&gt;2),(AM136*2*база!$M$5*Таблица14[[#This Row],[коэф]]),
IF(AND(G136="3/24",AM136&gt;2),(AM136*2*база!$M$4*Таблица14[[#This Row],[коэф]]),
IF(AND(G136="5/16",AM136&gt;2),(AM136*2*база!$L$6*Таблица14[[#This Row],[коэф]]),
IF(AND(G136="4/16",AM136&gt;2),(AM136*2*база!$L$5*Таблица14[[#This Row],[коэф]]),
IF(AND(G136="3/16",AM136&gt;2),(AM136*2*база!$L$4*Таблица14[[#This Row],[коэф]]),
IF(AND(G136="4/4",AM136&gt;2),(AM136*2*база!$I$5*Таблица14[[#This Row],[коэф]]),
IF(AND(G136="3/4",AM136&gt;2),(AM136*2*база!$I$4*Таблица14[[#This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(AM136*2*база!$L$4*Таблица14[[#This Row],[коэф]]))))))))))))),
(IF(AND(G136="5/24",AM136&gt;2),(AM136*2*база!$M$6*Таблица14[[#This Row],[коэф]]),
IF(OR(AND(G136="4/24",AM136&gt;2),AND(G136="3/24",AM136&gt;2)),(AM136*2*база!$M$5*Таблица14[[#This Row],[коэф]]),
IF(AND(G136="5/16",AM136&gt;2),(AM136*2*база!$L$6*Таблица14[[#This Row],[коэф]]),
IF(OR(AND(G136="4/16",AM136&gt;2),AND(G136="3/16",AM136&gt;2)),(AM136*2*база!$L$5*Таблица14[[#This Row],[коэф]]),
IF(OR(AND(G136="4/4",AM136&gt;2),AND(G136="3/4",AM136&gt;2)),(AM136*2*база!$I$5*Таблица14[[#This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(AM136*2*база!$L$5*Таблица14[[#This Row],[коэф]])))))))))))</f>
        <v>0</v>
      </c>
      <c r="AO136" s="114">
        <f>IFERROR(INDEX(база!$D$2:$D$120, MATCH(Таблица14[[#This Row],[Ф. И. О.]],база!$B$2:$B$100,0)),"")</f>
        <v>0</v>
      </c>
    </row>
    <row r="137" spans="1:41">
      <c r="A137" s="192"/>
      <c r="B137" s="189"/>
      <c r="C137" s="544"/>
      <c r="D137" s="199"/>
      <c r="E137" s="226"/>
      <c r="F137" s="679"/>
      <c r="G137" s="191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113">
        <f t="shared" si="2"/>
        <v>0</v>
      </c>
      <c r="AN137" s="540">
        <f>IF(AO137&lt;=3,(IF(AND(G137="5/24",AM137&gt;2),(AM137*2*база!$M$6*Таблица14[[#This Row],[коэф]]),
IF(AND(G137="4/24",AM137&gt;2),(AM137*2*база!$M$5*Таблица14[[#This Row],[коэф]]),
IF(AND(G137="3/24",AM137&gt;2),(AM137*2*база!$M$4*Таблица14[[#This Row],[коэф]]),
IF(AND(G137="5/16",AM137&gt;2),(AM137*2*база!$L$6*Таблица14[[#This Row],[коэф]]),
IF(AND(G137="4/16",AM137&gt;2),(AM137*2*база!$L$5*Таблица14[[#This Row],[коэф]]),
IF(AND(G137="3/16",AM137&gt;2),(AM137*2*база!$L$4*Таблица14[[#This Row],[коэф]]),
IF(AND(G137="4/4",AM137&gt;2),(AM137*2*база!$I$5*Таблица14[[#This Row],[коэф]]),
IF(AND(G137="3/4",AM137&gt;2),(AM137*2*база!$I$4*Таблица14[[#This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(AM137*2*база!$L$4*Таблица14[[#This Row],[коэф]]))))))))))))),
(IF(AND(G137="5/24",AM137&gt;2),(AM137*2*база!$M$6*Таблица14[[#This Row],[коэф]]),
IF(OR(AND(G137="4/24",AM137&gt;2),AND(G137="3/24",AM137&gt;2)),(AM137*2*база!$M$5*Таблица14[[#This Row],[коэф]]),
IF(AND(G137="5/16",AM137&gt;2),(AM137*2*база!$L$6*Таблица14[[#This Row],[коэф]]),
IF(OR(AND(G137="4/16",AM137&gt;2),AND(G137="3/16",AM137&gt;2)),(AM137*2*база!$L$5*Таблица14[[#This Row],[коэф]]),
IF(OR(AND(G137="4/4",AM137&gt;2),AND(G137="3/4",AM137&gt;2)),(AM137*2*база!$I$5*Таблица14[[#This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(AM137*2*база!$L$5*Таблица14[[#This Row],[коэф]])))))))))))</f>
        <v>0</v>
      </c>
      <c r="AO137" s="114">
        <f>IFERROR(INDEX(база!$D$2:$D$120, MATCH(Таблица14[[#This Row],[Ф. И. О.]],база!$B$2:$B$100,0)),"")</f>
        <v>0</v>
      </c>
    </row>
    <row r="138" spans="1:41">
      <c r="A138" s="192"/>
      <c r="B138" s="223"/>
      <c r="C138" s="544"/>
      <c r="D138" s="199"/>
      <c r="E138" s="224"/>
      <c r="F138" s="679"/>
      <c r="G138" s="225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113">
        <f t="shared" si="2"/>
        <v>0</v>
      </c>
      <c r="AN138" s="540">
        <f>IF(AO138&lt;=3,(IF(AND(G138="5/24",AM138&gt;2),(AM138*2*база!$M$6*Таблица14[[#This Row],[коэф]]),
IF(AND(G138="4/24",AM138&gt;2),(AM138*2*база!$M$5*Таблица14[[#This Row],[коэф]]),
IF(AND(G138="3/24",AM138&gt;2),(AM138*2*база!$M$4*Таблица14[[#This Row],[коэф]]),
IF(AND(G138="5/16",AM138&gt;2),(AM138*2*база!$L$6*Таблица14[[#This Row],[коэф]]),
IF(AND(G138="4/16",AM138&gt;2),(AM138*2*база!$L$5*Таблица14[[#This Row],[коэф]]),
IF(AND(G138="3/16",AM138&gt;2),(AM138*2*база!$L$4*Таблица14[[#This Row],[коэф]]),
IF(AND(G138="4/4",AM138&gt;2),(AM138*2*база!$I$5*Таблица14[[#This Row],[коэф]]),
IF(AND(G138="3/4",AM138&gt;2),(AM138*2*база!$I$4*Таблица14[[#This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(AM138*2*база!$L$4*Таблица14[[#This Row],[коэф]]))))))))))))),
(IF(AND(G138="5/24",AM138&gt;2),(AM138*2*база!$M$6*Таблица14[[#This Row],[коэф]]),
IF(OR(AND(G138="4/24",AM138&gt;2),AND(G138="3/24",AM138&gt;2)),(AM138*2*база!$M$5*Таблица14[[#This Row],[коэф]]),
IF(AND(G138="5/16",AM138&gt;2),(AM138*2*база!$L$6*Таблица14[[#This Row],[коэф]]),
IF(OR(AND(G138="4/16",AM138&gt;2),AND(G138="3/16",AM138&gt;2)),(AM138*2*база!$L$5*Таблица14[[#This Row],[коэф]]),
IF(OR(AND(G138="4/4",AM138&gt;2),AND(G138="3/4",AM138&gt;2)),(AM138*2*база!$I$5*Таблица14[[#This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(AM138*2*база!$L$5*Таблица14[[#This Row],[коэф]])))))))))))</f>
        <v>0</v>
      </c>
      <c r="AO138" s="114">
        <f>IFERROR(INDEX(база!$D$2:$D$120, MATCH(Таблица14[[#This Row],[Ф. И. О.]],база!$B$2:$B$100,0)),"")</f>
        <v>0</v>
      </c>
    </row>
    <row r="139" spans="1:41">
      <c r="A139" s="192"/>
      <c r="B139" s="189"/>
      <c r="C139" s="544"/>
      <c r="D139" s="199"/>
      <c r="E139" s="226"/>
      <c r="F139" s="679"/>
      <c r="G139" s="191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113">
        <f t="shared" si="2"/>
        <v>0</v>
      </c>
      <c r="AN139" s="540">
        <f>IF(AO139&lt;=3,(IF(AND(G139="5/24",AM139&gt;2),(AM139*2*база!$M$6*Таблица14[[#This Row],[коэф]]),
IF(AND(G139="4/24",AM139&gt;2),(AM139*2*база!$M$5*Таблица14[[#This Row],[коэф]]),
IF(AND(G139="3/24",AM139&gt;2),(AM139*2*база!$M$4*Таблица14[[#This Row],[коэф]]),
IF(AND(G139="5/16",AM139&gt;2),(AM139*2*база!$L$6*Таблица14[[#This Row],[коэф]]),
IF(AND(G139="4/16",AM139&gt;2),(AM139*2*база!$L$5*Таблица14[[#This Row],[коэф]]),
IF(AND(G139="3/16",AM139&gt;2),(AM139*2*база!$L$4*Таблица14[[#This Row],[коэф]]),
IF(AND(G139="4/4",AM139&gt;2),(AM139*2*база!$I$5*Таблица14[[#This Row],[коэф]]),
IF(AND(G139="3/4",AM139&gt;2),(AM139*2*база!$I$4*Таблица14[[#This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(AM139*2*база!$L$4*Таблица14[[#This Row],[коэф]]))))))))))))),
(IF(AND(G139="5/24",AM139&gt;2),(AM139*2*база!$M$6*Таблица14[[#This Row],[коэф]]),
IF(OR(AND(G139="4/24",AM139&gt;2),AND(G139="3/24",AM139&gt;2)),(AM139*2*база!$M$5*Таблица14[[#This Row],[коэф]]),
IF(AND(G139="5/16",AM139&gt;2),(AM139*2*база!$L$6*Таблица14[[#This Row],[коэф]]),
IF(OR(AND(G139="4/16",AM139&gt;2),AND(G139="3/16",AM139&gt;2)),(AM139*2*база!$L$5*Таблица14[[#This Row],[коэф]]),
IF(OR(AND(G139="4/4",AM139&gt;2),AND(G139="3/4",AM139&gt;2)),(AM139*2*база!$I$5*Таблица14[[#This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(AM139*2*база!$L$5*Таблица14[[#This Row],[коэф]])))))))))))</f>
        <v>0</v>
      </c>
      <c r="AO139" s="114">
        <f>IFERROR(INDEX(база!$D$2:$D$120, MATCH(Таблица14[[#This Row],[Ф. И. О.]],база!$B$2:$B$100,0)),"")</f>
        <v>0</v>
      </c>
    </row>
    <row r="140" spans="1:41">
      <c r="A140" s="192"/>
      <c r="B140" s="223"/>
      <c r="C140" s="544"/>
      <c r="D140" s="199"/>
      <c r="E140" s="224"/>
      <c r="F140" s="679"/>
      <c r="G140" s="225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113">
        <f t="shared" si="2"/>
        <v>0</v>
      </c>
      <c r="AN140" s="540">
        <f>IF(AO140&lt;=3,(IF(AND(G140="5/24",AM140&gt;2),(AM140*2*база!$M$6*Таблица14[[#This Row],[коэф]]),
IF(AND(G140="4/24",AM140&gt;2),(AM140*2*база!$M$5*Таблица14[[#This Row],[коэф]]),
IF(AND(G140="3/24",AM140&gt;2),(AM140*2*база!$M$4*Таблица14[[#This Row],[коэф]]),
IF(AND(G140="5/16",AM140&gt;2),(AM140*2*база!$L$6*Таблица14[[#This Row],[коэф]]),
IF(AND(G140="4/16",AM140&gt;2),(AM140*2*база!$L$5*Таблица14[[#This Row],[коэф]]),
IF(AND(G140="3/16",AM140&gt;2),(AM140*2*база!$L$4*Таблица14[[#This Row],[коэф]]),
IF(AND(G140="4/4",AM140&gt;2),(AM140*2*база!$I$5*Таблица14[[#This Row],[коэф]]),
IF(AND(G140="3/4",AM140&gt;2),(AM140*2*база!$I$4*Таблица14[[#This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(AM140*2*база!$L$4*Таблица14[[#This Row],[коэф]]))))))))))))),
(IF(AND(G140="5/24",AM140&gt;2),(AM140*2*база!$M$6*Таблица14[[#This Row],[коэф]]),
IF(OR(AND(G140="4/24",AM140&gt;2),AND(G140="3/24",AM140&gt;2)),(AM140*2*база!$M$5*Таблица14[[#This Row],[коэф]]),
IF(AND(G140="5/16",AM140&gt;2),(AM140*2*база!$L$6*Таблица14[[#This Row],[коэф]]),
IF(OR(AND(G140="4/16",AM140&gt;2),AND(G140="3/16",AM140&gt;2)),(AM140*2*база!$L$5*Таблица14[[#This Row],[коэф]]),
IF(OR(AND(G140="4/4",AM140&gt;2),AND(G140="3/4",AM140&gt;2)),(AM140*2*база!$I$5*Таблица14[[#This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(AM140*2*база!$L$5*Таблица14[[#This Row],[коэф]])))))))))))</f>
        <v>0</v>
      </c>
      <c r="AO140" s="114">
        <f>IFERROR(INDEX(база!$D$2:$D$120, MATCH(Таблица14[[#This Row],[Ф. И. О.]],база!$B$2:$B$100,0)),"")</f>
        <v>0</v>
      </c>
    </row>
    <row r="141" spans="1:41">
      <c r="A141" s="192"/>
      <c r="B141" s="189"/>
      <c r="C141" s="544"/>
      <c r="D141" s="199"/>
      <c r="E141" s="226"/>
      <c r="F141" s="679"/>
      <c r="G141" s="191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113">
        <f t="shared" si="2"/>
        <v>0</v>
      </c>
      <c r="AN141" s="540">
        <f>IF(AO141&lt;=3,(IF(AND(G141="5/24",AM141&gt;2),(AM141*2*база!$M$6*Таблица14[[#This Row],[коэф]]),
IF(AND(G141="4/24",AM141&gt;2),(AM141*2*база!$M$5*Таблица14[[#This Row],[коэф]]),
IF(AND(G141="3/24",AM141&gt;2),(AM141*2*база!$M$4*Таблица14[[#This Row],[коэф]]),
IF(AND(G141="5/16",AM141&gt;2),(AM141*2*база!$L$6*Таблица14[[#This Row],[коэф]]),
IF(AND(G141="4/16",AM141&gt;2),(AM141*2*база!$L$5*Таблица14[[#This Row],[коэф]]),
IF(AND(G141="3/16",AM141&gt;2),(AM141*2*база!$L$4*Таблица14[[#This Row],[коэф]]),
IF(AND(G141="4/4",AM141&gt;2),(AM141*2*база!$I$5*Таблица14[[#This Row],[коэф]]),
IF(AND(G141="3/4",AM141&gt;2),(AM141*2*база!$I$4*Таблица14[[#This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(AM141*2*база!$L$4*Таблица14[[#This Row],[коэф]]))))))))))))),
(IF(AND(G141="5/24",AM141&gt;2),(AM141*2*база!$M$6*Таблица14[[#This Row],[коэф]]),
IF(OR(AND(G141="4/24",AM141&gt;2),AND(G141="3/24",AM141&gt;2)),(AM141*2*база!$M$5*Таблица14[[#This Row],[коэф]]),
IF(AND(G141="5/16",AM141&gt;2),(AM141*2*база!$L$6*Таблица14[[#This Row],[коэф]]),
IF(OR(AND(G141="4/16",AM141&gt;2),AND(G141="3/16",AM141&gt;2)),(AM141*2*база!$L$5*Таблица14[[#This Row],[коэф]]),
IF(OR(AND(G141="4/4",AM141&gt;2),AND(G141="3/4",AM141&gt;2)),(AM141*2*база!$I$5*Таблица14[[#This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(AM141*2*база!$L$5*Таблица14[[#This Row],[коэф]])))))))))))</f>
        <v>0</v>
      </c>
      <c r="AO141" s="114">
        <f>IFERROR(INDEX(база!$D$2:$D$120, MATCH(Таблица14[[#This Row],[Ф. И. О.]],база!$B$2:$B$100,0)),"")</f>
        <v>0</v>
      </c>
    </row>
    <row r="142" spans="1:41">
      <c r="A142" s="192"/>
      <c r="B142" s="223"/>
      <c r="C142" s="544"/>
      <c r="D142" s="199"/>
      <c r="E142" s="224"/>
      <c r="F142" s="679"/>
      <c r="G142" s="225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113">
        <f t="shared" si="2"/>
        <v>0</v>
      </c>
      <c r="AN142" s="540">
        <f>IF(AO142&lt;=3,(IF(AND(G142="5/24",AM142&gt;2),(AM142*2*база!$M$6*Таблица14[[#This Row],[коэф]]),
IF(AND(G142="4/24",AM142&gt;2),(AM142*2*база!$M$5*Таблица14[[#This Row],[коэф]]),
IF(AND(G142="3/24",AM142&gt;2),(AM142*2*база!$M$4*Таблица14[[#This Row],[коэф]]),
IF(AND(G142="5/16",AM142&gt;2),(AM142*2*база!$L$6*Таблица14[[#This Row],[коэф]]),
IF(AND(G142="4/16",AM142&gt;2),(AM142*2*база!$L$5*Таблица14[[#This Row],[коэф]]),
IF(AND(G142="3/16",AM142&gt;2),(AM142*2*база!$L$4*Таблица14[[#This Row],[коэф]]),
IF(AND(G142="4/4",AM142&gt;2),(AM142*2*база!$I$5*Таблица14[[#This Row],[коэф]]),
IF(AND(G142="3/4",AM142&gt;2),(AM142*2*база!$I$4*Таблица14[[#This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(AM142*2*база!$L$4*Таблица14[[#This Row],[коэф]]))))))))))))),
(IF(AND(G142="5/24",AM142&gt;2),(AM142*2*база!$M$6*Таблица14[[#This Row],[коэф]]),
IF(OR(AND(G142="4/24",AM142&gt;2),AND(G142="3/24",AM142&gt;2)),(AM142*2*база!$M$5*Таблица14[[#This Row],[коэф]]),
IF(AND(G142="5/16",AM142&gt;2),(AM142*2*база!$L$6*Таблица14[[#This Row],[коэф]]),
IF(OR(AND(G142="4/16",AM142&gt;2),AND(G142="3/16",AM142&gt;2)),(AM142*2*база!$L$5*Таблица14[[#This Row],[коэф]]),
IF(OR(AND(G142="4/4",AM142&gt;2),AND(G142="3/4",AM142&gt;2)),(AM142*2*база!$I$5*Таблица14[[#This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(AM142*2*база!$L$5*Таблица14[[#This Row],[коэф]])))))))))))</f>
        <v>0</v>
      </c>
      <c r="AO142" s="114">
        <f>IFERROR(INDEX(база!$D$2:$D$120, MATCH(Таблица14[[#This Row],[Ф. И. О.]],база!$B$2:$B$100,0)),"")</f>
        <v>0</v>
      </c>
    </row>
    <row r="143" spans="1:41">
      <c r="A143" s="192"/>
      <c r="B143" s="189"/>
      <c r="C143" s="544"/>
      <c r="D143" s="199"/>
      <c r="E143" s="226"/>
      <c r="F143" s="679"/>
      <c r="G143" s="191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113">
        <f t="shared" si="2"/>
        <v>0</v>
      </c>
      <c r="AN143" s="540">
        <f>IF(AO143&lt;=3,(IF(AND(G143="5/24",AM143&gt;2),(AM143*2*база!$M$6*Таблица14[[#This Row],[коэф]]),
IF(AND(G143="4/24",AM143&gt;2),(AM143*2*база!$M$5*Таблица14[[#This Row],[коэф]]),
IF(AND(G143="3/24",AM143&gt;2),(AM143*2*база!$M$4*Таблица14[[#This Row],[коэф]]),
IF(AND(G143="5/16",AM143&gt;2),(AM143*2*база!$L$6*Таблица14[[#This Row],[коэф]]),
IF(AND(G143="4/16",AM143&gt;2),(AM143*2*база!$L$5*Таблица14[[#This Row],[коэф]]),
IF(AND(G143="3/16",AM143&gt;2),(AM143*2*база!$L$4*Таблица14[[#This Row],[коэф]]),
IF(AND(G143="4/4",AM143&gt;2),(AM143*2*база!$I$5*Таблица14[[#This Row],[коэф]]),
IF(AND(G143="3/4",AM143&gt;2),(AM143*2*база!$I$4*Таблица14[[#This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(AM143*2*база!$L$4*Таблица14[[#This Row],[коэф]]))))))))))))),
(IF(AND(G143="5/24",AM143&gt;2),(AM143*2*база!$M$6*Таблица14[[#This Row],[коэф]]),
IF(OR(AND(G143="4/24",AM143&gt;2),AND(G143="3/24",AM143&gt;2)),(AM143*2*база!$M$5*Таблица14[[#This Row],[коэф]]),
IF(AND(G143="5/16",AM143&gt;2),(AM143*2*база!$L$6*Таблица14[[#This Row],[коэф]]),
IF(OR(AND(G143="4/16",AM143&gt;2),AND(G143="3/16",AM143&gt;2)),(AM143*2*база!$L$5*Таблица14[[#This Row],[коэф]]),
IF(OR(AND(G143="4/4",AM143&gt;2),AND(G143="3/4",AM143&gt;2)),(AM143*2*база!$I$5*Таблица14[[#This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(AM143*2*база!$L$5*Таблица14[[#This Row],[коэф]])))))))))))</f>
        <v>0</v>
      </c>
      <c r="AO143" s="114">
        <f>IFERROR(INDEX(база!$D$2:$D$120, MATCH(Таблица14[[#This Row],[Ф. И. О.]],база!$B$2:$B$100,0)),"")</f>
        <v>0</v>
      </c>
    </row>
    <row r="144" spans="1:41">
      <c r="A144" s="192"/>
      <c r="B144" s="223"/>
      <c r="C144" s="544"/>
      <c r="D144" s="199"/>
      <c r="E144" s="224"/>
      <c r="F144" s="679"/>
      <c r="G144" s="225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113">
        <f t="shared" si="2"/>
        <v>0</v>
      </c>
      <c r="AN144" s="540">
        <f>IF(AO144&lt;=3,(IF(AND(G144="5/24",AM144&gt;2),(AM144*2*база!$M$6*Таблица14[[#This Row],[коэф]]),
IF(AND(G144="4/24",AM144&gt;2),(AM144*2*база!$M$5*Таблица14[[#This Row],[коэф]]),
IF(AND(G144="3/24",AM144&gt;2),(AM144*2*база!$M$4*Таблица14[[#This Row],[коэф]]),
IF(AND(G144="5/16",AM144&gt;2),(AM144*2*база!$L$6*Таблица14[[#This Row],[коэф]]),
IF(AND(G144="4/16",AM144&gt;2),(AM144*2*база!$L$5*Таблица14[[#This Row],[коэф]]),
IF(AND(G144="3/16",AM144&gt;2),(AM144*2*база!$L$4*Таблица14[[#This Row],[коэф]]),
IF(AND(G144="4/4",AM144&gt;2),(AM144*2*база!$I$5*Таблица14[[#This Row],[коэф]]),
IF(AND(G144="3/4",AM144&gt;2),(AM144*2*база!$I$4*Таблица14[[#This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(AM144*2*база!$L$4*Таблица14[[#This Row],[коэф]]))))))))))))),
(IF(AND(G144="5/24",AM144&gt;2),(AM144*2*база!$M$6*Таблица14[[#This Row],[коэф]]),
IF(OR(AND(G144="4/24",AM144&gt;2),AND(G144="3/24",AM144&gt;2)),(AM144*2*база!$M$5*Таблица14[[#This Row],[коэф]]),
IF(AND(G144="5/16",AM144&gt;2),(AM144*2*база!$L$6*Таблица14[[#This Row],[коэф]]),
IF(OR(AND(G144="4/16",AM144&gt;2),AND(G144="3/16",AM144&gt;2)),(AM144*2*база!$L$5*Таблица14[[#This Row],[коэф]]),
IF(OR(AND(G144="4/4",AM144&gt;2),AND(G144="3/4",AM144&gt;2)),(AM144*2*база!$I$5*Таблица14[[#This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(AM144*2*база!$L$5*Таблица14[[#This Row],[коэф]])))))))))))</f>
        <v>0</v>
      </c>
      <c r="AO144" s="114">
        <f>IFERROR(INDEX(база!$D$2:$D$120, MATCH(Таблица14[[#This Row],[Ф. И. О.]],база!$B$2:$B$100,0)),"")</f>
        <v>0</v>
      </c>
    </row>
    <row r="145" spans="1:41">
      <c r="A145" s="192"/>
      <c r="B145" s="189"/>
      <c r="C145" s="544"/>
      <c r="D145" s="199"/>
      <c r="E145" s="226"/>
      <c r="F145" s="679"/>
      <c r="G145" s="191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113">
        <f t="shared" si="2"/>
        <v>0</v>
      </c>
      <c r="AN145" s="540">
        <f>IF(AO145&lt;=3,(IF(AND(G145="5/24",AM145&gt;2),(AM145*2*база!$M$6*Таблица14[[#This Row],[коэф]]),
IF(AND(G145="4/24",AM145&gt;2),(AM145*2*база!$M$5*Таблица14[[#This Row],[коэф]]),
IF(AND(G145="3/24",AM145&gt;2),(AM145*2*база!$M$4*Таблица14[[#This Row],[коэф]]),
IF(AND(G145="5/16",AM145&gt;2),(AM145*2*база!$L$6*Таблица14[[#This Row],[коэф]]),
IF(AND(G145="4/16",AM145&gt;2),(AM145*2*база!$L$5*Таблица14[[#This Row],[коэф]]),
IF(AND(G145="3/16",AM145&gt;2),(AM145*2*база!$L$4*Таблица14[[#This Row],[коэф]]),
IF(AND(G145="4/4",AM145&gt;2),(AM145*2*база!$I$5*Таблица14[[#This Row],[коэф]]),
IF(AND(G145="3/4",AM145&gt;2),(AM145*2*база!$I$4*Таблица14[[#This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(AM145*2*база!$L$4*Таблица14[[#This Row],[коэф]]))))))))))))),
(IF(AND(G145="5/24",AM145&gt;2),(AM145*2*база!$M$6*Таблица14[[#This Row],[коэф]]),
IF(OR(AND(G145="4/24",AM145&gt;2),AND(G145="3/24",AM145&gt;2)),(AM145*2*база!$M$5*Таблица14[[#This Row],[коэф]]),
IF(AND(G145="5/16",AM145&gt;2),(AM145*2*база!$L$6*Таблица14[[#This Row],[коэф]]),
IF(OR(AND(G145="4/16",AM145&gt;2),AND(G145="3/16",AM145&gt;2)),(AM145*2*база!$L$5*Таблица14[[#This Row],[коэф]]),
IF(OR(AND(G145="4/4",AM145&gt;2),AND(G145="3/4",AM145&gt;2)),(AM145*2*база!$I$5*Таблица14[[#This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(AM145*2*база!$L$5*Таблица14[[#This Row],[коэф]])))))))))))</f>
        <v>0</v>
      </c>
      <c r="AO145" s="114">
        <f>IFERROR(INDEX(база!$D$2:$D$120, MATCH(Таблица14[[#This Row],[Ф. И. О.]],база!$B$2:$B$100,0)),"")</f>
        <v>0</v>
      </c>
    </row>
    <row r="146" spans="1:41">
      <c r="A146" s="192"/>
      <c r="B146" s="223"/>
      <c r="C146" s="544"/>
      <c r="D146" s="199"/>
      <c r="E146" s="224"/>
      <c r="F146" s="679"/>
      <c r="G146" s="225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113">
        <f t="shared" si="2"/>
        <v>0</v>
      </c>
      <c r="AN146" s="540">
        <f>IF(AO146&lt;=3,(IF(AND(G146="5/24",AM146&gt;2),(AM146*2*база!$M$6*Таблица14[[#This Row],[коэф]]),
IF(AND(G146="4/24",AM146&gt;2),(AM146*2*база!$M$5*Таблица14[[#This Row],[коэф]]),
IF(AND(G146="3/24",AM146&gt;2),(AM146*2*база!$M$4*Таблица14[[#This Row],[коэф]]),
IF(AND(G146="5/16",AM146&gt;2),(AM146*2*база!$L$6*Таблица14[[#This Row],[коэф]]),
IF(AND(G146="4/16",AM146&gt;2),(AM146*2*база!$L$5*Таблица14[[#This Row],[коэф]]),
IF(AND(G146="3/16",AM146&gt;2),(AM146*2*база!$L$4*Таблица14[[#This Row],[коэф]]),
IF(AND(G146="4/4",AM146&gt;2),(AM146*2*база!$I$5*Таблица14[[#This Row],[коэф]]),
IF(AND(G146="3/4",AM146&gt;2),(AM146*2*база!$I$4*Таблица14[[#This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(AM146*2*база!$L$4*Таблица14[[#This Row],[коэф]]))))))))))))),
(IF(AND(G146="5/24",AM146&gt;2),(AM146*2*база!$M$6*Таблица14[[#This Row],[коэф]]),
IF(OR(AND(G146="4/24",AM146&gt;2),AND(G146="3/24",AM146&gt;2)),(AM146*2*база!$M$5*Таблица14[[#This Row],[коэф]]),
IF(AND(G146="5/16",AM146&gt;2),(AM146*2*база!$L$6*Таблица14[[#This Row],[коэф]]),
IF(OR(AND(G146="4/16",AM146&gt;2),AND(G146="3/16",AM146&gt;2)),(AM146*2*база!$L$5*Таблица14[[#This Row],[коэф]]),
IF(OR(AND(G146="4/4",AM146&gt;2),AND(G146="3/4",AM146&gt;2)),(AM146*2*база!$I$5*Таблица14[[#This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(AM146*2*база!$L$5*Таблица14[[#This Row],[коэф]])))))))))))</f>
        <v>0</v>
      </c>
      <c r="AO146" s="114">
        <f>IFERROR(INDEX(база!$D$2:$D$120, MATCH(Таблица14[[#This Row],[Ф. И. О.]],база!$B$2:$B$100,0)),"")</f>
        <v>0</v>
      </c>
    </row>
    <row r="147" spans="1:41">
      <c r="A147" s="192"/>
      <c r="B147" s="189"/>
      <c r="C147" s="544"/>
      <c r="D147" s="199"/>
      <c r="E147" s="226"/>
      <c r="F147" s="679"/>
      <c r="G147" s="191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113">
        <f t="shared" si="2"/>
        <v>0</v>
      </c>
      <c r="AN147" s="540">
        <f>IF(AO147&lt;=3,(IF(AND(G147="5/24",AM147&gt;2),(AM147*2*база!$M$6*Таблица14[[#This Row],[коэф]]),
IF(AND(G147="4/24",AM147&gt;2),(AM147*2*база!$M$5*Таблица14[[#This Row],[коэф]]),
IF(AND(G147="3/24",AM147&gt;2),(AM147*2*база!$M$4*Таблица14[[#This Row],[коэф]]),
IF(AND(G147="5/16",AM147&gt;2),(AM147*2*база!$L$6*Таблица14[[#This Row],[коэф]]),
IF(AND(G147="4/16",AM147&gt;2),(AM147*2*база!$L$5*Таблица14[[#This Row],[коэф]]),
IF(AND(G147="3/16",AM147&gt;2),(AM147*2*база!$L$4*Таблица14[[#This Row],[коэф]]),
IF(AND(G147="4/4",AM147&gt;2),(AM147*2*база!$I$5*Таблица14[[#This Row],[коэф]]),
IF(AND(G147="3/4",AM147&gt;2),(AM147*2*база!$I$4*Таблица14[[#This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(AM147*2*база!$L$4*Таблица14[[#This Row],[коэф]]))))))))))))),
(IF(AND(G147="5/24",AM147&gt;2),(AM147*2*база!$M$6*Таблица14[[#This Row],[коэф]]),
IF(OR(AND(G147="4/24",AM147&gt;2),AND(G147="3/24",AM147&gt;2)),(AM147*2*база!$M$5*Таблица14[[#This Row],[коэф]]),
IF(AND(G147="5/16",AM147&gt;2),(AM147*2*база!$L$6*Таблица14[[#This Row],[коэф]]),
IF(OR(AND(G147="4/16",AM147&gt;2),AND(G147="3/16",AM147&gt;2)),(AM147*2*база!$L$5*Таблица14[[#This Row],[коэф]]),
IF(OR(AND(G147="4/4",AM147&gt;2),AND(G147="3/4",AM147&gt;2)),(AM147*2*база!$I$5*Таблица14[[#This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(AM147*2*база!$L$5*Таблица14[[#This Row],[коэф]])))))))))))</f>
        <v>0</v>
      </c>
      <c r="AO147" s="114">
        <f>IFERROR(INDEX(база!$D$2:$D$120, MATCH(Таблица14[[#This Row],[Ф. И. О.]],база!$B$2:$B$100,0)),"")</f>
        <v>0</v>
      </c>
    </row>
    <row r="148" spans="1:41">
      <c r="A148" s="192"/>
      <c r="B148" s="223"/>
      <c r="C148" s="544"/>
      <c r="D148" s="199"/>
      <c r="E148" s="224"/>
      <c r="F148" s="679"/>
      <c r="G148" s="225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113">
        <f t="shared" si="2"/>
        <v>0</v>
      </c>
      <c r="AN148" s="540">
        <f>IF(AO148&lt;=3,(IF(AND(G148="5/24",AM148&gt;2),(AM148*2*база!$M$6*Таблица14[[#This Row],[коэф]]),
IF(AND(G148="4/24",AM148&gt;2),(AM148*2*база!$M$5*Таблица14[[#This Row],[коэф]]),
IF(AND(G148="3/24",AM148&gt;2),(AM148*2*база!$M$4*Таблица14[[#This Row],[коэф]]),
IF(AND(G148="5/16",AM148&gt;2),(AM148*2*база!$L$6*Таблица14[[#This Row],[коэф]]),
IF(AND(G148="4/16",AM148&gt;2),(AM148*2*база!$L$5*Таблица14[[#This Row],[коэф]]),
IF(AND(G148="3/16",AM148&gt;2),(AM148*2*база!$L$4*Таблица14[[#This Row],[коэф]]),
IF(AND(G148="4/4",AM148&gt;2),(AM148*2*база!$I$5*Таблица14[[#This Row],[коэф]]),
IF(AND(G148="3/4",AM148&gt;2),(AM148*2*база!$I$4*Таблица14[[#This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(AM148*2*база!$L$4*Таблица14[[#This Row],[коэф]]))))))))))))),
(IF(AND(G148="5/24",AM148&gt;2),(AM148*2*база!$M$6*Таблица14[[#This Row],[коэф]]),
IF(OR(AND(G148="4/24",AM148&gt;2),AND(G148="3/24",AM148&gt;2)),(AM148*2*база!$M$5*Таблица14[[#This Row],[коэф]]),
IF(AND(G148="5/16",AM148&gt;2),(AM148*2*база!$L$6*Таблица14[[#This Row],[коэф]]),
IF(OR(AND(G148="4/16",AM148&gt;2),AND(G148="3/16",AM148&gt;2)),(AM148*2*база!$L$5*Таблица14[[#This Row],[коэф]]),
IF(OR(AND(G148="4/4",AM148&gt;2),AND(G148="3/4",AM148&gt;2)),(AM148*2*база!$I$5*Таблица14[[#This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(AM148*2*база!$L$5*Таблица14[[#This Row],[коэф]])))))))))))</f>
        <v>0</v>
      </c>
      <c r="AO148" s="114">
        <f>IFERROR(INDEX(база!$D$2:$D$120, MATCH(Таблица14[[#This Row],[Ф. И. О.]],база!$B$2:$B$100,0)),"")</f>
        <v>0</v>
      </c>
    </row>
    <row r="149" spans="1:41">
      <c r="A149" s="192"/>
      <c r="B149" s="189"/>
      <c r="C149" s="544"/>
      <c r="D149" s="199"/>
      <c r="E149" s="226"/>
      <c r="F149" s="679"/>
      <c r="G149" s="191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113">
        <f t="shared" si="2"/>
        <v>0</v>
      </c>
      <c r="AN149" s="540">
        <f>IF(AO149&lt;=3,(IF(AND(G149="5/24",AM149&gt;2),(AM149*2*база!$M$6*Таблица14[[#This Row],[коэф]]),
IF(AND(G149="4/24",AM149&gt;2),(AM149*2*база!$M$5*Таблица14[[#This Row],[коэф]]),
IF(AND(G149="3/24",AM149&gt;2),(AM149*2*база!$M$4*Таблица14[[#This Row],[коэф]]),
IF(AND(G149="5/16",AM149&gt;2),(AM149*2*база!$L$6*Таблица14[[#This Row],[коэф]]),
IF(AND(G149="4/16",AM149&gt;2),(AM149*2*база!$L$5*Таблица14[[#This Row],[коэф]]),
IF(AND(G149="3/16",AM149&gt;2),(AM149*2*база!$L$4*Таблица14[[#This Row],[коэф]]),
IF(AND(G149="4/4",AM149&gt;2),(AM149*2*база!$I$5*Таблица14[[#This Row],[коэф]]),
IF(AND(G149="3/4",AM149&gt;2),(AM149*2*база!$I$4*Таблица14[[#This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(AM149*2*база!$L$4*Таблица14[[#This Row],[коэф]]))))))))))))),
(IF(AND(G149="5/24",AM149&gt;2),(AM149*2*база!$M$6*Таблица14[[#This Row],[коэф]]),
IF(OR(AND(G149="4/24",AM149&gt;2),AND(G149="3/24",AM149&gt;2)),(AM149*2*база!$M$5*Таблица14[[#This Row],[коэф]]),
IF(AND(G149="5/16",AM149&gt;2),(AM149*2*база!$L$6*Таблица14[[#This Row],[коэф]]),
IF(OR(AND(G149="4/16",AM149&gt;2),AND(G149="3/16",AM149&gt;2)),(AM149*2*база!$L$5*Таблица14[[#This Row],[коэф]]),
IF(OR(AND(G149="4/4",AM149&gt;2),AND(G149="3/4",AM149&gt;2)),(AM149*2*база!$I$5*Таблица14[[#This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(AM149*2*база!$L$5*Таблица14[[#This Row],[коэф]])))))))))))</f>
        <v>0</v>
      </c>
      <c r="AO149" s="114">
        <f>IFERROR(INDEX(база!$D$2:$D$120, MATCH(Таблица14[[#This Row],[Ф. И. О.]],база!$B$2:$B$100,0)),"")</f>
        <v>0</v>
      </c>
    </row>
    <row r="150" spans="1:41">
      <c r="A150" s="192"/>
      <c r="B150" s="223"/>
      <c r="C150" s="544"/>
      <c r="D150" s="199"/>
      <c r="E150" s="224"/>
      <c r="F150" s="679"/>
      <c r="G150" s="225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113">
        <f t="shared" si="2"/>
        <v>0</v>
      </c>
      <c r="AN150" s="540">
        <f>IF(AO150&lt;=3,(IF(AND(G150="5/24",AM150&gt;2),(AM150*2*база!$M$6*Таблица14[[#This Row],[коэф]]),
IF(AND(G150="4/24",AM150&gt;2),(AM150*2*база!$M$5*Таблица14[[#This Row],[коэф]]),
IF(AND(G150="3/24",AM150&gt;2),(AM150*2*база!$M$4*Таблица14[[#This Row],[коэф]]),
IF(AND(G150="5/16",AM150&gt;2),(AM150*2*база!$L$6*Таблица14[[#This Row],[коэф]]),
IF(AND(G150="4/16",AM150&gt;2),(AM150*2*база!$L$5*Таблица14[[#This Row],[коэф]]),
IF(AND(G150="3/16",AM150&gt;2),(AM150*2*база!$L$4*Таблица14[[#This Row],[коэф]]),
IF(AND(G150="4/4",AM150&gt;2),(AM150*2*база!$I$5*Таблица14[[#This Row],[коэф]]),
IF(AND(G150="3/4",AM150&gt;2),(AM150*2*база!$I$4*Таблица14[[#This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(AM150*2*база!$L$4*Таблица14[[#This Row],[коэф]]))))))))))))),
(IF(AND(G150="5/24",AM150&gt;2),(AM150*2*база!$M$6*Таблица14[[#This Row],[коэф]]),
IF(OR(AND(G150="4/24",AM150&gt;2),AND(G150="3/24",AM150&gt;2)),(AM150*2*база!$M$5*Таблица14[[#This Row],[коэф]]),
IF(AND(G150="5/16",AM150&gt;2),(AM150*2*база!$L$6*Таблица14[[#This Row],[коэф]]),
IF(OR(AND(G150="4/16",AM150&gt;2),AND(G150="3/16",AM150&gt;2)),(AM150*2*база!$L$5*Таблица14[[#This Row],[коэф]]),
IF(OR(AND(G150="4/4",AM150&gt;2),AND(G150="3/4",AM150&gt;2)),(AM150*2*база!$I$5*Таблица14[[#This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(AM150*2*база!$L$5*Таблица14[[#This Row],[коэф]])))))))))))</f>
        <v>0</v>
      </c>
      <c r="AO150" s="114">
        <f>IFERROR(INDEX(база!$D$2:$D$120, MATCH(Таблица14[[#This Row],[Ф. И. О.]],база!$B$2:$B$100,0)),"")</f>
        <v>0</v>
      </c>
    </row>
    <row r="151" spans="1:41">
      <c r="A151" s="192"/>
      <c r="B151" s="189"/>
      <c r="C151" s="544"/>
      <c r="D151" s="199"/>
      <c r="E151" s="226"/>
      <c r="F151" s="679"/>
      <c r="G151" s="191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113">
        <f t="shared" si="2"/>
        <v>0</v>
      </c>
      <c r="AN151" s="540">
        <f>IF(AO151&lt;=3,(IF(AND(G151="5/24",AM151&gt;2),(AM151*2*база!$M$6*Таблица14[[#This Row],[коэф]]),
IF(AND(G151="4/24",AM151&gt;2),(AM151*2*база!$M$5*Таблица14[[#This Row],[коэф]]),
IF(AND(G151="3/24",AM151&gt;2),(AM151*2*база!$M$4*Таблица14[[#This Row],[коэф]]),
IF(AND(G151="5/16",AM151&gt;2),(AM151*2*база!$L$6*Таблица14[[#This Row],[коэф]]),
IF(AND(G151="4/16",AM151&gt;2),(AM151*2*база!$L$5*Таблица14[[#This Row],[коэф]]),
IF(AND(G151="3/16",AM151&gt;2),(AM151*2*база!$L$4*Таблица14[[#This Row],[коэф]]),
IF(AND(G151="4/4",AM151&gt;2),(AM151*2*база!$I$5*Таблица14[[#This Row],[коэф]]),
IF(AND(G151="3/4",AM151&gt;2),(AM151*2*база!$I$4*Таблица14[[#This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(AM151*2*база!$L$4*Таблица14[[#This Row],[коэф]]))))))))))))),
(IF(AND(G151="5/24",AM151&gt;2),(AM151*2*база!$M$6*Таблица14[[#This Row],[коэф]]),
IF(OR(AND(G151="4/24",AM151&gt;2),AND(G151="3/24",AM151&gt;2)),(AM151*2*база!$M$5*Таблица14[[#This Row],[коэф]]),
IF(AND(G151="5/16",AM151&gt;2),(AM151*2*база!$L$6*Таблица14[[#This Row],[коэф]]),
IF(OR(AND(G151="4/16",AM151&gt;2),AND(G151="3/16",AM151&gt;2)),(AM151*2*база!$L$5*Таблица14[[#This Row],[коэф]]),
IF(OR(AND(G151="4/4",AM151&gt;2),AND(G151="3/4",AM151&gt;2)),(AM151*2*база!$I$5*Таблица14[[#This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(AM151*2*база!$L$5*Таблица14[[#This Row],[коэф]])))))))))))</f>
        <v>0</v>
      </c>
      <c r="AO151" s="114">
        <f>IFERROR(INDEX(база!$D$2:$D$120, MATCH(Таблица14[[#This Row],[Ф. И. О.]],база!$B$2:$B$100,0)),"")</f>
        <v>0</v>
      </c>
    </row>
    <row r="152" spans="1:41">
      <c r="A152" s="192"/>
      <c r="B152" s="223"/>
      <c r="C152" s="544"/>
      <c r="D152" s="199"/>
      <c r="E152" s="224"/>
      <c r="F152" s="679"/>
      <c r="G152" s="225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113">
        <f t="shared" si="2"/>
        <v>0</v>
      </c>
      <c r="AN152" s="540">
        <f>IF(AO152&lt;=3,(IF(AND(G152="5/24",AM152&gt;2),(AM152*2*база!$M$6*Таблица14[[#This Row],[коэф]]),
IF(AND(G152="4/24",AM152&gt;2),(AM152*2*база!$M$5*Таблица14[[#This Row],[коэф]]),
IF(AND(G152="3/24",AM152&gt;2),(AM152*2*база!$M$4*Таблица14[[#This Row],[коэф]]),
IF(AND(G152="5/16",AM152&gt;2),(AM152*2*база!$L$6*Таблица14[[#This Row],[коэф]]),
IF(AND(G152="4/16",AM152&gt;2),(AM152*2*база!$L$5*Таблица14[[#This Row],[коэф]]),
IF(AND(G152="3/16",AM152&gt;2),(AM152*2*база!$L$4*Таблица14[[#This Row],[коэф]]),
IF(AND(G152="4/4",AM152&gt;2),(AM152*2*база!$I$5*Таблица14[[#This Row],[коэф]]),
IF(AND(G152="3/4",AM152&gt;2),(AM152*2*база!$I$4*Таблица14[[#This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(AM152*2*база!$L$4*Таблица14[[#This Row],[коэф]]))))))))))))),
(IF(AND(G152="5/24",AM152&gt;2),(AM152*2*база!$M$6*Таблица14[[#This Row],[коэф]]),
IF(OR(AND(G152="4/24",AM152&gt;2),AND(G152="3/24",AM152&gt;2)),(AM152*2*база!$M$5*Таблица14[[#This Row],[коэф]]),
IF(AND(G152="5/16",AM152&gt;2),(AM152*2*база!$L$6*Таблица14[[#This Row],[коэф]]),
IF(OR(AND(G152="4/16",AM152&gt;2),AND(G152="3/16",AM152&gt;2)),(AM152*2*база!$L$5*Таблица14[[#This Row],[коэф]]),
IF(OR(AND(G152="4/4",AM152&gt;2),AND(G152="3/4",AM152&gt;2)),(AM152*2*база!$I$5*Таблица14[[#This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(AM152*2*база!$L$5*Таблица14[[#This Row],[коэф]])))))))))))</f>
        <v>0</v>
      </c>
      <c r="AO152" s="114">
        <f>IFERROR(INDEX(база!$D$2:$D$120, MATCH(Таблица14[[#This Row],[Ф. И. О.]],база!$B$2:$B$100,0)),"")</f>
        <v>0</v>
      </c>
    </row>
    <row r="153" spans="1:41">
      <c r="A153" s="192"/>
      <c r="B153" s="189"/>
      <c r="C153" s="544"/>
      <c r="D153" s="199"/>
      <c r="E153" s="226"/>
      <c r="F153" s="679"/>
      <c r="G153" s="191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113">
        <f t="shared" si="2"/>
        <v>0</v>
      </c>
      <c r="AN153" s="540">
        <f>IF(AO153&lt;=3,(IF(AND(G153="5/24",AM153&gt;2),(AM153*2*база!$M$6*Таблица14[[#This Row],[коэф]]),
IF(AND(G153="4/24",AM153&gt;2),(AM153*2*база!$M$5*Таблица14[[#This Row],[коэф]]),
IF(AND(G153="3/24",AM153&gt;2),(AM153*2*база!$M$4*Таблица14[[#This Row],[коэф]]),
IF(AND(G153="5/16",AM153&gt;2),(AM153*2*база!$L$6*Таблица14[[#This Row],[коэф]]),
IF(AND(G153="4/16",AM153&gt;2),(AM153*2*база!$L$5*Таблица14[[#This Row],[коэф]]),
IF(AND(G153="3/16",AM153&gt;2),(AM153*2*база!$L$4*Таблица14[[#This Row],[коэф]]),
IF(AND(G153="4/4",AM153&gt;2),(AM153*2*база!$I$5*Таблица14[[#This Row],[коэф]]),
IF(AND(G153="3/4",AM153&gt;2),(AM153*2*база!$I$4*Таблица14[[#This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(AM153*2*база!$L$4*Таблица14[[#This Row],[коэф]]))))))))))))),
(IF(AND(G153="5/24",AM153&gt;2),(AM153*2*база!$M$6*Таблица14[[#This Row],[коэф]]),
IF(OR(AND(G153="4/24",AM153&gt;2),AND(G153="3/24",AM153&gt;2)),(AM153*2*база!$M$5*Таблица14[[#This Row],[коэф]]),
IF(AND(G153="5/16",AM153&gt;2),(AM153*2*база!$L$6*Таблица14[[#This Row],[коэф]]),
IF(OR(AND(G153="4/16",AM153&gt;2),AND(G153="3/16",AM153&gt;2)),(AM153*2*база!$L$5*Таблица14[[#This Row],[коэф]]),
IF(OR(AND(G153="4/4",AM153&gt;2),AND(G153="3/4",AM153&gt;2)),(AM153*2*база!$I$5*Таблица14[[#This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(AM153*2*база!$L$5*Таблица14[[#This Row],[коэф]])))))))))))</f>
        <v>0</v>
      </c>
      <c r="AO153" s="114">
        <f>IFERROR(INDEX(база!$D$2:$D$120, MATCH(Таблица14[[#This Row],[Ф. И. О.]],база!$B$2:$B$100,0)),"")</f>
        <v>0</v>
      </c>
    </row>
    <row r="154" spans="1:41">
      <c r="A154" s="192"/>
      <c r="B154" s="223"/>
      <c r="C154" s="544"/>
      <c r="D154" s="199"/>
      <c r="E154" s="224"/>
      <c r="F154" s="679"/>
      <c r="G154" s="225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113">
        <f t="shared" si="2"/>
        <v>0</v>
      </c>
      <c r="AN154" s="540">
        <f>IF(AO154&lt;=3,(IF(AND(G154="5/24",AM154&gt;2),(AM154*2*база!$M$6*Таблица14[[#This Row],[коэф]]),
IF(AND(G154="4/24",AM154&gt;2),(AM154*2*база!$M$5*Таблица14[[#This Row],[коэф]]),
IF(AND(G154="3/24",AM154&gt;2),(AM154*2*база!$M$4*Таблица14[[#This Row],[коэф]]),
IF(AND(G154="5/16",AM154&gt;2),(AM154*2*база!$L$6*Таблица14[[#This Row],[коэф]]),
IF(AND(G154="4/16",AM154&gt;2),(AM154*2*база!$L$5*Таблица14[[#This Row],[коэф]]),
IF(AND(G154="3/16",AM154&gt;2),(AM154*2*база!$L$4*Таблица14[[#This Row],[коэф]]),
IF(AND(G154="4/4",AM154&gt;2),(AM154*2*база!$I$5*Таблица14[[#This Row],[коэф]]),
IF(AND(G154="3/4",AM154&gt;2),(AM154*2*база!$I$4*Таблица14[[#This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(AM154*2*база!$L$4*Таблица14[[#This Row],[коэф]]))))))))))))),
(IF(AND(G154="5/24",AM154&gt;2),(AM154*2*база!$M$6*Таблица14[[#This Row],[коэф]]),
IF(OR(AND(G154="4/24",AM154&gt;2),AND(G154="3/24",AM154&gt;2)),(AM154*2*база!$M$5*Таблица14[[#This Row],[коэф]]),
IF(AND(G154="5/16",AM154&gt;2),(AM154*2*база!$L$6*Таблица14[[#This Row],[коэф]]),
IF(OR(AND(G154="4/16",AM154&gt;2),AND(G154="3/16",AM154&gt;2)),(AM154*2*база!$L$5*Таблица14[[#This Row],[коэф]]),
IF(OR(AND(G154="4/4",AM154&gt;2),AND(G154="3/4",AM154&gt;2)),(AM154*2*база!$I$5*Таблица14[[#This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(AM154*2*база!$L$5*Таблица14[[#This Row],[коэф]])))))))))))</f>
        <v>0</v>
      </c>
      <c r="AO154" s="114">
        <f>IFERROR(INDEX(база!$D$2:$D$120, MATCH(Таблица14[[#This Row],[Ф. И. О.]],база!$B$2:$B$100,0)),"")</f>
        <v>0</v>
      </c>
    </row>
    <row r="155" spans="1:41">
      <c r="A155" s="192"/>
      <c r="B155" s="189"/>
      <c r="C155" s="544"/>
      <c r="D155" s="199"/>
      <c r="E155" s="226"/>
      <c r="F155" s="679"/>
      <c r="G155" s="191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  <c r="AA155" s="200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113">
        <f t="shared" si="2"/>
        <v>0</v>
      </c>
      <c r="AN155" s="540">
        <f>IF(AO155&lt;=3,(IF(AND(G155="5/24",AM155&gt;2),(AM155*2*база!$M$6*Таблица14[[#This Row],[коэф]]),
IF(AND(G155="4/24",AM155&gt;2),(AM155*2*база!$M$5*Таблица14[[#This Row],[коэф]]),
IF(AND(G155="3/24",AM155&gt;2),(AM155*2*база!$M$4*Таблица14[[#This Row],[коэф]]),
IF(AND(G155="5/16",AM155&gt;2),(AM155*2*база!$L$6*Таблица14[[#This Row],[коэф]]),
IF(AND(G155="4/16",AM155&gt;2),(AM155*2*база!$L$5*Таблица14[[#This Row],[коэф]]),
IF(AND(G155="3/16",AM155&gt;2),(AM155*2*база!$L$4*Таблица14[[#This Row],[коэф]]),
IF(AND(G155="4/4",AM155&gt;2),(AM155*2*база!$I$5*Таблица14[[#This Row],[коэф]]),
IF(AND(G155="3/4",AM155&gt;2),(AM155*2*база!$I$4*Таблица14[[#This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(AM155*2*база!$L$4*Таблица14[[#This Row],[коэф]]))))))))))))),
(IF(AND(G155="5/24",AM155&gt;2),(AM155*2*база!$M$6*Таблица14[[#This Row],[коэф]]),
IF(OR(AND(G155="4/24",AM155&gt;2),AND(G155="3/24",AM155&gt;2)),(AM155*2*база!$M$5*Таблица14[[#This Row],[коэф]]),
IF(AND(G155="5/16",AM155&gt;2),(AM155*2*база!$L$6*Таблица14[[#This Row],[коэф]]),
IF(OR(AND(G155="4/16",AM155&gt;2),AND(G155="3/16",AM155&gt;2)),(AM155*2*база!$L$5*Таблица14[[#This Row],[коэф]]),
IF(OR(AND(G155="4/4",AM155&gt;2),AND(G155="3/4",AM155&gt;2)),(AM155*2*база!$I$5*Таблица14[[#This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(AM155*2*база!$L$5*Таблица14[[#This Row],[коэф]])))))))))))</f>
        <v>0</v>
      </c>
      <c r="AO155" s="114">
        <f>IFERROR(INDEX(база!$D$2:$D$120, MATCH(Таблица14[[#This Row],[Ф. И. О.]],база!$B$2:$B$100,0)),"")</f>
        <v>0</v>
      </c>
    </row>
    <row r="156" spans="1:41">
      <c r="A156" s="192"/>
      <c r="B156" s="223"/>
      <c r="C156" s="544"/>
      <c r="D156" s="199"/>
      <c r="E156" s="224"/>
      <c r="F156" s="679"/>
      <c r="G156" s="225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  <c r="AA156" s="200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113">
        <f t="shared" si="2"/>
        <v>0</v>
      </c>
      <c r="AN156" s="540">
        <f>IF(AO156&lt;=3,(IF(AND(G156="5/24",AM156&gt;2),(AM156*2*база!$M$6*Таблица14[[#This Row],[коэф]]),
IF(AND(G156="4/24",AM156&gt;2),(AM156*2*база!$M$5*Таблица14[[#This Row],[коэф]]),
IF(AND(G156="3/24",AM156&gt;2),(AM156*2*база!$M$4*Таблица14[[#This Row],[коэф]]),
IF(AND(G156="5/16",AM156&gt;2),(AM156*2*база!$L$6*Таблица14[[#This Row],[коэф]]),
IF(AND(G156="4/16",AM156&gt;2),(AM156*2*база!$L$5*Таблица14[[#This Row],[коэф]]),
IF(AND(G156="3/16",AM156&gt;2),(AM156*2*база!$L$4*Таблица14[[#This Row],[коэф]]),
IF(AND(G156="4/4",AM156&gt;2),(AM156*2*база!$I$5*Таблица14[[#This Row],[коэф]]),
IF(AND(G156="3/4",AM156&gt;2),(AM156*2*база!$I$4*Таблица14[[#This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(AM156*2*база!$L$4*Таблица14[[#This Row],[коэф]]))))))))))))),
(IF(AND(G156="5/24",AM156&gt;2),(AM156*2*база!$M$6*Таблица14[[#This Row],[коэф]]),
IF(OR(AND(G156="4/24",AM156&gt;2),AND(G156="3/24",AM156&gt;2)),(AM156*2*база!$M$5*Таблица14[[#This Row],[коэф]]),
IF(AND(G156="5/16",AM156&gt;2),(AM156*2*база!$L$6*Таблица14[[#This Row],[коэф]]),
IF(OR(AND(G156="4/16",AM156&gt;2),AND(G156="3/16",AM156&gt;2)),(AM156*2*база!$L$5*Таблица14[[#This Row],[коэф]]),
IF(OR(AND(G156="4/4",AM156&gt;2),AND(G156="3/4",AM156&gt;2)),(AM156*2*база!$I$5*Таблица14[[#This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(AM156*2*база!$L$5*Таблица14[[#This Row],[коэф]])))))))))))</f>
        <v>0</v>
      </c>
      <c r="AO156" s="114">
        <f>IFERROR(INDEX(база!$D$2:$D$120, MATCH(Таблица14[[#This Row],[Ф. И. О.]],база!$B$2:$B$100,0)),"")</f>
        <v>0</v>
      </c>
    </row>
    <row r="157" spans="1:41">
      <c r="A157" s="192"/>
      <c r="B157" s="189"/>
      <c r="C157" s="544"/>
      <c r="D157" s="199"/>
      <c r="E157" s="226"/>
      <c r="F157" s="679"/>
      <c r="G157" s="191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  <c r="AA157" s="200"/>
      <c r="AB157" s="200"/>
      <c r="AC157" s="200"/>
      <c r="AD157" s="200"/>
      <c r="AE157" s="200"/>
      <c r="AF157" s="200"/>
      <c r="AG157" s="200"/>
      <c r="AH157" s="200"/>
      <c r="AI157" s="200"/>
      <c r="AJ157" s="200"/>
      <c r="AK157" s="200"/>
      <c r="AL157" s="200"/>
      <c r="AM157" s="113">
        <f t="shared" si="2"/>
        <v>0</v>
      </c>
      <c r="AN157" s="540">
        <f>IF(AO157&lt;=3,(IF(AND(G157="5/24",AM157&gt;2),(AM157*2*база!$M$6*Таблица14[[#This Row],[коэф]]),
IF(AND(G157="4/24",AM157&gt;2),(AM157*2*база!$M$5*Таблица14[[#This Row],[коэф]]),
IF(AND(G157="3/24",AM157&gt;2),(AM157*2*база!$M$4*Таблица14[[#This Row],[коэф]]),
IF(AND(G157="5/16",AM157&gt;2),(AM157*2*база!$L$6*Таблица14[[#This Row],[коэф]]),
IF(AND(G157="4/16",AM157&gt;2),(AM157*2*база!$L$5*Таблица14[[#This Row],[коэф]]),
IF(AND(G157="3/16",AM157&gt;2),(AM157*2*база!$L$4*Таблица14[[#This Row],[коэф]]),
IF(AND(G157="4/4",AM157&gt;2),(AM157*2*база!$I$5*Таблица14[[#This Row],[коэф]]),
IF(AND(G157="3/4",AM157&gt;2),(AM157*2*база!$I$4*Таблица14[[#This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(AM157*2*база!$L$4*Таблица14[[#This Row],[коэф]]))))))))))))),
(IF(AND(G157="5/24",AM157&gt;2),(AM157*2*база!$M$6*Таблица14[[#This Row],[коэф]]),
IF(OR(AND(G157="4/24",AM157&gt;2),AND(G157="3/24",AM157&gt;2)),(AM157*2*база!$M$5*Таблица14[[#This Row],[коэф]]),
IF(AND(G157="5/16",AM157&gt;2),(AM157*2*база!$L$6*Таблица14[[#This Row],[коэф]]),
IF(OR(AND(G157="4/16",AM157&gt;2),AND(G157="3/16",AM157&gt;2)),(AM157*2*база!$L$5*Таблица14[[#This Row],[коэф]]),
IF(OR(AND(G157="4/4",AM157&gt;2),AND(G157="3/4",AM157&gt;2)),(AM157*2*база!$I$5*Таблица14[[#This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(AM157*2*база!$L$5*Таблица14[[#This Row],[коэф]])))))))))))</f>
        <v>0</v>
      </c>
      <c r="AO157" s="114">
        <f>IFERROR(INDEX(база!$D$2:$D$120, MATCH(Таблица14[[#This Row],[Ф. И. О.]],база!$B$2:$B$100,0)),"")</f>
        <v>0</v>
      </c>
    </row>
    <row r="158" spans="1:41">
      <c r="A158" s="192"/>
      <c r="B158" s="223"/>
      <c r="C158" s="544"/>
      <c r="D158" s="199"/>
      <c r="E158" s="224"/>
      <c r="F158" s="679"/>
      <c r="G158" s="225"/>
      <c r="H158" s="200"/>
      <c r="I158" s="200"/>
      <c r="J158" s="200"/>
      <c r="K158" s="200"/>
      <c r="L158" s="200"/>
      <c r="M158" s="200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200"/>
      <c r="Y158" s="200"/>
      <c r="Z158" s="200"/>
      <c r="AA158" s="200"/>
      <c r="AB158" s="200"/>
      <c r="AC158" s="200"/>
      <c r="AD158" s="200"/>
      <c r="AE158" s="200"/>
      <c r="AF158" s="200"/>
      <c r="AG158" s="200"/>
      <c r="AH158" s="200"/>
      <c r="AI158" s="200"/>
      <c r="AJ158" s="200"/>
      <c r="AK158" s="200"/>
      <c r="AL158" s="200"/>
      <c r="AM158" s="113">
        <f t="shared" si="2"/>
        <v>0</v>
      </c>
      <c r="AN158" s="540">
        <f>IF(AO158&lt;=3,(IF(AND(G158="5/24",AM158&gt;2),(AM158*2*база!$M$6*Таблица14[[#This Row],[коэф]]),
IF(AND(G158="4/24",AM158&gt;2),(AM158*2*база!$M$5*Таблица14[[#This Row],[коэф]]),
IF(AND(G158="3/24",AM158&gt;2),(AM158*2*база!$M$4*Таблица14[[#This Row],[коэф]]),
IF(AND(G158="5/16",AM158&gt;2),(AM158*2*база!$L$6*Таблица14[[#This Row],[коэф]]),
IF(AND(G158="4/16",AM158&gt;2),(AM158*2*база!$L$5*Таблица14[[#This Row],[коэф]]),
IF(AND(G158="3/16",AM158&gt;2),(AM158*2*база!$L$4*Таблица14[[#This Row],[коэф]]),
IF(AND(G158="4/4",AM158&gt;2),(AM158*2*база!$I$5*Таблица14[[#This Row],[коэф]]),
IF(AND(G158="3/4",AM158&gt;2),(AM158*2*база!$I$4*Таблица14[[#This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(AM158*2*база!$L$4*Таблица14[[#This Row],[коэф]]))))))))))))),
(IF(AND(G158="5/24",AM158&gt;2),(AM158*2*база!$M$6*Таблица14[[#This Row],[коэф]]),
IF(OR(AND(G158="4/24",AM158&gt;2),AND(G158="3/24",AM158&gt;2)),(AM158*2*база!$M$5*Таблица14[[#This Row],[коэф]]),
IF(AND(G158="5/16",AM158&gt;2),(AM158*2*база!$L$6*Таблица14[[#This Row],[коэф]]),
IF(OR(AND(G158="4/16",AM158&gt;2),AND(G158="3/16",AM158&gt;2)),(AM158*2*база!$L$5*Таблица14[[#This Row],[коэф]]),
IF(OR(AND(G158="4/4",AM158&gt;2),AND(G158="3/4",AM158&gt;2)),(AM158*2*база!$I$5*Таблица14[[#This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(AM158*2*база!$L$5*Таблица14[[#This Row],[коэф]])))))))))))</f>
        <v>0</v>
      </c>
      <c r="AO158" s="114">
        <f>IFERROR(INDEX(база!$D$2:$D$120, MATCH(Таблица14[[#This Row],[Ф. И. О.]],база!$B$2:$B$100,0)),"")</f>
        <v>0</v>
      </c>
    </row>
    <row r="159" spans="1:41">
      <c r="A159" s="192"/>
      <c r="B159" s="189"/>
      <c r="C159" s="544"/>
      <c r="D159" s="199"/>
      <c r="E159" s="226"/>
      <c r="F159" s="679"/>
      <c r="G159" s="191"/>
      <c r="H159" s="200"/>
      <c r="I159" s="200"/>
      <c r="J159" s="200"/>
      <c r="K159" s="200"/>
      <c r="L159" s="200"/>
      <c r="M159" s="200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200"/>
      <c r="Y159" s="200"/>
      <c r="Z159" s="200"/>
      <c r="AA159" s="200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113">
        <f t="shared" si="2"/>
        <v>0</v>
      </c>
      <c r="AN159" s="540">
        <f>IF(AO159&lt;=3,(IF(AND(G159="5/24",AM159&gt;2),(AM159*2*база!$M$6*Таблица14[[#This Row],[коэф]]),
IF(AND(G159="4/24",AM159&gt;2),(AM159*2*база!$M$5*Таблица14[[#This Row],[коэф]]),
IF(AND(G159="3/24",AM159&gt;2),(AM159*2*база!$M$4*Таблица14[[#This Row],[коэф]]),
IF(AND(G159="5/16",AM159&gt;2),(AM159*2*база!$L$6*Таблица14[[#This Row],[коэф]]),
IF(AND(G159="4/16",AM159&gt;2),(AM159*2*база!$L$5*Таблица14[[#This Row],[коэф]]),
IF(AND(G159="3/16",AM159&gt;2),(AM159*2*база!$L$4*Таблица14[[#This Row],[коэф]]),
IF(AND(G159="4/4",AM159&gt;2),(AM159*2*база!$I$5*Таблица14[[#This Row],[коэф]]),
IF(AND(G159="3/4",AM159&gt;2),(AM159*2*база!$I$4*Таблица14[[#This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(AM159*2*база!$L$4*Таблица14[[#This Row],[коэф]]))))))))))))),
(IF(AND(G159="5/24",AM159&gt;2),(AM159*2*база!$M$6*Таблица14[[#This Row],[коэф]]),
IF(OR(AND(G159="4/24",AM159&gt;2),AND(G159="3/24",AM159&gt;2)),(AM159*2*база!$M$5*Таблица14[[#This Row],[коэф]]),
IF(AND(G159="5/16",AM159&gt;2),(AM159*2*база!$L$6*Таблица14[[#This Row],[коэф]]),
IF(OR(AND(G159="4/16",AM159&gt;2),AND(G159="3/16",AM159&gt;2)),(AM159*2*база!$L$5*Таблица14[[#This Row],[коэф]]),
IF(OR(AND(G159="4/4",AM159&gt;2),AND(G159="3/4",AM159&gt;2)),(AM159*2*база!$I$5*Таблица14[[#This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(AM159*2*база!$L$5*Таблица14[[#This Row],[коэф]])))))))))))</f>
        <v>0</v>
      </c>
      <c r="AO159" s="114">
        <f>IFERROR(INDEX(база!$D$2:$D$120, MATCH(Таблица14[[#This Row],[Ф. И. О.]],база!$B$2:$B$100,0)),"")</f>
        <v>0</v>
      </c>
    </row>
    <row r="160" spans="1:41">
      <c r="A160" s="192"/>
      <c r="B160" s="223"/>
      <c r="C160" s="544"/>
      <c r="D160" s="199"/>
      <c r="E160" s="224"/>
      <c r="F160" s="679"/>
      <c r="G160" s="225"/>
      <c r="H160" s="200"/>
      <c r="I160" s="200"/>
      <c r="J160" s="200"/>
      <c r="K160" s="200"/>
      <c r="L160" s="200"/>
      <c r="M160" s="200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200"/>
      <c r="Y160" s="200"/>
      <c r="Z160" s="200"/>
      <c r="AA160" s="200"/>
      <c r="AB160" s="200"/>
      <c r="AC160" s="200"/>
      <c r="AD160" s="200"/>
      <c r="AE160" s="200"/>
      <c r="AF160" s="200"/>
      <c r="AG160" s="200"/>
      <c r="AH160" s="200"/>
      <c r="AI160" s="200"/>
      <c r="AJ160" s="200"/>
      <c r="AK160" s="200"/>
      <c r="AL160" s="200"/>
      <c r="AM160" s="113">
        <f t="shared" si="2"/>
        <v>0</v>
      </c>
      <c r="AN160" s="540">
        <f>IF(AO160&lt;=3,(IF(AND(G160="5/24",AM160&gt;2),(AM160*2*база!$M$6*Таблица14[[#This Row],[коэф]]),
IF(AND(G160="4/24",AM160&gt;2),(AM160*2*база!$M$5*Таблица14[[#This Row],[коэф]]),
IF(AND(G160="3/24",AM160&gt;2),(AM160*2*база!$M$4*Таблица14[[#This Row],[коэф]]),
IF(AND(G160="5/16",AM160&gt;2),(AM160*2*база!$L$6*Таблица14[[#This Row],[коэф]]),
IF(AND(G160="4/16",AM160&gt;2),(AM160*2*база!$L$5*Таблица14[[#This Row],[коэф]]),
IF(AND(G160="3/16",AM160&gt;2),(AM160*2*база!$L$4*Таблица14[[#This Row],[коэф]]),
IF(AND(G160="4/4",AM160&gt;2),(AM160*2*база!$I$5*Таблица14[[#This Row],[коэф]]),
IF(AND(G160="3/4",AM160&gt;2),(AM160*2*база!$I$4*Таблица14[[#This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(AM160*2*база!$L$4*Таблица14[[#This Row],[коэф]]))))))))))))),
(IF(AND(G160="5/24",AM160&gt;2),(AM160*2*база!$M$6*Таблица14[[#This Row],[коэф]]),
IF(OR(AND(G160="4/24",AM160&gt;2),AND(G160="3/24",AM160&gt;2)),(AM160*2*база!$M$5*Таблица14[[#This Row],[коэф]]),
IF(AND(G160="5/16",AM160&gt;2),(AM160*2*база!$L$6*Таблица14[[#This Row],[коэф]]),
IF(OR(AND(G160="4/16",AM160&gt;2),AND(G160="3/16",AM160&gt;2)),(AM160*2*база!$L$5*Таблица14[[#This Row],[коэф]]),
IF(OR(AND(G160="4/4",AM160&gt;2),AND(G160="3/4",AM160&gt;2)),(AM160*2*база!$I$5*Таблица14[[#This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(AM160*2*база!$L$5*Таблица14[[#This Row],[коэф]])))))))))))</f>
        <v>0</v>
      </c>
      <c r="AO160" s="114">
        <f>IFERROR(INDEX(база!$D$2:$D$120, MATCH(Таблица14[[#This Row],[Ф. И. О.]],база!$B$2:$B$100,0)),"")</f>
        <v>0</v>
      </c>
    </row>
    <row r="161" spans="1:41">
      <c r="A161" s="192"/>
      <c r="B161" s="189"/>
      <c r="C161" s="544"/>
      <c r="D161" s="199"/>
      <c r="E161" s="226"/>
      <c r="F161" s="679"/>
      <c r="G161" s="191"/>
      <c r="H161" s="200"/>
      <c r="I161" s="200"/>
      <c r="J161" s="200"/>
      <c r="K161" s="200"/>
      <c r="L161" s="200"/>
      <c r="M161" s="200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200"/>
      <c r="Y161" s="200"/>
      <c r="Z161" s="200"/>
      <c r="AA161" s="200"/>
      <c r="AB161" s="200"/>
      <c r="AC161" s="200"/>
      <c r="AD161" s="200"/>
      <c r="AE161" s="200"/>
      <c r="AF161" s="200"/>
      <c r="AG161" s="200"/>
      <c r="AH161" s="200"/>
      <c r="AI161" s="200"/>
      <c r="AJ161" s="200"/>
      <c r="AK161" s="200"/>
      <c r="AL161" s="200"/>
      <c r="AM161" s="113">
        <f t="shared" si="2"/>
        <v>0</v>
      </c>
      <c r="AN161" s="540">
        <f>IF(AO161&lt;=3,(IF(AND(G161="5/24",AM161&gt;2),(AM161*2*база!$M$6*Таблица14[[#This Row],[коэф]]),
IF(AND(G161="4/24",AM161&gt;2),(AM161*2*база!$M$5*Таблица14[[#This Row],[коэф]]),
IF(AND(G161="3/24",AM161&gt;2),(AM161*2*база!$M$4*Таблица14[[#This Row],[коэф]]),
IF(AND(G161="5/16",AM161&gt;2),(AM161*2*база!$L$6*Таблица14[[#This Row],[коэф]]),
IF(AND(G161="4/16",AM161&gt;2),(AM161*2*база!$L$5*Таблица14[[#This Row],[коэф]]),
IF(AND(G161="3/16",AM161&gt;2),(AM161*2*база!$L$4*Таблица14[[#This Row],[коэф]]),
IF(AND(G161="4/4",AM161&gt;2),(AM161*2*база!$I$5*Таблица14[[#This Row],[коэф]]),
IF(AND(G161="3/4",AM161&gt;2),(AM161*2*база!$I$4*Таблица14[[#This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(AM161*2*база!$L$4*Таблица14[[#This Row],[коэф]]))))))))))))),
(IF(AND(G161="5/24",AM161&gt;2),(AM161*2*база!$M$6*Таблица14[[#This Row],[коэф]]),
IF(OR(AND(G161="4/24",AM161&gt;2),AND(G161="3/24",AM161&gt;2)),(AM161*2*база!$M$5*Таблица14[[#This Row],[коэф]]),
IF(AND(G161="5/16",AM161&gt;2),(AM161*2*база!$L$6*Таблица14[[#This Row],[коэф]]),
IF(OR(AND(G161="4/16",AM161&gt;2),AND(G161="3/16",AM161&gt;2)),(AM161*2*база!$L$5*Таблица14[[#This Row],[коэф]]),
IF(OR(AND(G161="4/4",AM161&gt;2),AND(G161="3/4",AM161&gt;2)),(AM161*2*база!$I$5*Таблица14[[#This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(AM161*2*база!$L$5*Таблица14[[#This Row],[коэф]])))))))))))</f>
        <v>0</v>
      </c>
      <c r="AO161" s="114">
        <f>IFERROR(INDEX(база!$D$2:$D$120, MATCH(Таблица14[[#This Row],[Ф. И. О.]],база!$B$2:$B$100,0)),"")</f>
        <v>0</v>
      </c>
    </row>
    <row r="162" spans="1:41">
      <c r="A162" s="192"/>
      <c r="B162" s="223"/>
      <c r="C162" s="544"/>
      <c r="D162" s="199"/>
      <c r="E162" s="224"/>
      <c r="F162" s="679"/>
      <c r="G162" s="225"/>
      <c r="H162" s="200"/>
      <c r="I162" s="200"/>
      <c r="J162" s="200"/>
      <c r="K162" s="200"/>
      <c r="L162" s="200"/>
      <c r="M162" s="200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200"/>
      <c r="Y162" s="200"/>
      <c r="Z162" s="200"/>
      <c r="AA162" s="200"/>
      <c r="AB162" s="200"/>
      <c r="AC162" s="200"/>
      <c r="AD162" s="200"/>
      <c r="AE162" s="200"/>
      <c r="AF162" s="200"/>
      <c r="AG162" s="200"/>
      <c r="AH162" s="200"/>
      <c r="AI162" s="200"/>
      <c r="AJ162" s="200"/>
      <c r="AK162" s="200"/>
      <c r="AL162" s="200"/>
      <c r="AM162" s="113">
        <f t="shared" si="2"/>
        <v>0</v>
      </c>
      <c r="AN162" s="540">
        <f>IF(AO162&lt;=3,(IF(AND(G162="5/24",AM162&gt;2),(AM162*2*база!$M$6*Таблица14[[#This Row],[коэф]]),
IF(AND(G162="4/24",AM162&gt;2),(AM162*2*база!$M$5*Таблица14[[#This Row],[коэф]]),
IF(AND(G162="3/24",AM162&gt;2),(AM162*2*база!$M$4*Таблица14[[#This Row],[коэф]]),
IF(AND(G162="5/16",AM162&gt;2),(AM162*2*база!$L$6*Таблица14[[#This Row],[коэф]]),
IF(AND(G162="4/16",AM162&gt;2),(AM162*2*база!$L$5*Таблица14[[#This Row],[коэф]]),
IF(AND(G162="3/16",AM162&gt;2),(AM162*2*база!$L$4*Таблица14[[#This Row],[коэф]]),
IF(AND(G162="4/4",AM162&gt;2),(AM162*2*база!$I$5*Таблица14[[#This Row],[коэф]]),
IF(AND(G162="3/4",AM162&gt;2),(AM162*2*база!$I$4*Таблица14[[#This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(AM162*2*база!$L$4*Таблица14[[#This Row],[коэф]]))))))))))))),
(IF(AND(G162="5/24",AM162&gt;2),(AM162*2*база!$M$6*Таблица14[[#This Row],[коэф]]),
IF(OR(AND(G162="4/24",AM162&gt;2),AND(G162="3/24",AM162&gt;2)),(AM162*2*база!$M$5*Таблица14[[#This Row],[коэф]]),
IF(AND(G162="5/16",AM162&gt;2),(AM162*2*база!$L$6*Таблица14[[#This Row],[коэф]]),
IF(OR(AND(G162="4/16",AM162&gt;2),AND(G162="3/16",AM162&gt;2)),(AM162*2*база!$L$5*Таблица14[[#This Row],[коэф]]),
IF(OR(AND(G162="4/4",AM162&gt;2),AND(G162="3/4",AM162&gt;2)),(AM162*2*база!$I$5*Таблица14[[#This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(AM162*2*база!$L$5*Таблица14[[#This Row],[коэф]])))))))))))</f>
        <v>0</v>
      </c>
      <c r="AO162" s="114">
        <f>IFERROR(INDEX(база!$D$2:$D$120, MATCH(Таблица14[[#This Row],[Ф. И. О.]],база!$B$2:$B$100,0)),"")</f>
        <v>0</v>
      </c>
    </row>
    <row r="163" spans="1:41">
      <c r="A163" s="192"/>
      <c r="B163" s="189"/>
      <c r="C163" s="544"/>
      <c r="D163" s="199"/>
      <c r="E163" s="226"/>
      <c r="F163" s="679"/>
      <c r="G163" s="191"/>
      <c r="H163" s="200"/>
      <c r="I163" s="200"/>
      <c r="J163" s="200"/>
      <c r="K163" s="200"/>
      <c r="L163" s="200"/>
      <c r="M163" s="200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200"/>
      <c r="Y163" s="200"/>
      <c r="Z163" s="200"/>
      <c r="AA163" s="200"/>
      <c r="AB163" s="200"/>
      <c r="AC163" s="200"/>
      <c r="AD163" s="200"/>
      <c r="AE163" s="200"/>
      <c r="AF163" s="200"/>
      <c r="AG163" s="200"/>
      <c r="AH163" s="200"/>
      <c r="AI163" s="200"/>
      <c r="AJ163" s="200"/>
      <c r="AK163" s="200"/>
      <c r="AL163" s="200"/>
      <c r="AM163" s="113">
        <f t="shared" si="2"/>
        <v>0</v>
      </c>
      <c r="AN163" s="540">
        <f>IF(AO163&lt;=3,(IF(AND(G163="5/24",AM163&gt;2),(AM163*2*база!$M$6*Таблица14[[#This Row],[коэф]]),
IF(AND(G163="4/24",AM163&gt;2),(AM163*2*база!$M$5*Таблица14[[#This Row],[коэф]]),
IF(AND(G163="3/24",AM163&gt;2),(AM163*2*база!$M$4*Таблица14[[#This Row],[коэф]]),
IF(AND(G163="5/16",AM163&gt;2),(AM163*2*база!$L$6*Таблица14[[#This Row],[коэф]]),
IF(AND(G163="4/16",AM163&gt;2),(AM163*2*база!$L$5*Таблица14[[#This Row],[коэф]]),
IF(AND(G163="3/16",AM163&gt;2),(AM163*2*база!$L$4*Таблица14[[#This Row],[коэф]]),
IF(AND(G163="4/4",AM163&gt;2),(AM163*2*база!$I$5*Таблица14[[#This Row],[коэф]]),
IF(AND(G163="3/4",AM163&gt;2),(AM163*2*база!$I$4*Таблица14[[#This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(AM163*2*база!$L$4*Таблица14[[#This Row],[коэф]]))))))))))))),
(IF(AND(G163="5/24",AM163&gt;2),(AM163*2*база!$M$6*Таблица14[[#This Row],[коэф]]),
IF(OR(AND(G163="4/24",AM163&gt;2),AND(G163="3/24",AM163&gt;2)),(AM163*2*база!$M$5*Таблица14[[#This Row],[коэф]]),
IF(AND(G163="5/16",AM163&gt;2),(AM163*2*база!$L$6*Таблица14[[#This Row],[коэф]]),
IF(OR(AND(G163="4/16",AM163&gt;2),AND(G163="3/16",AM163&gt;2)),(AM163*2*база!$L$5*Таблица14[[#This Row],[коэф]]),
IF(OR(AND(G163="4/4",AM163&gt;2),AND(G163="3/4",AM163&gt;2)),(AM163*2*база!$I$5*Таблица14[[#This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(AM163*2*база!$L$5*Таблица14[[#This Row],[коэф]])))))))))))</f>
        <v>0</v>
      </c>
      <c r="AO163" s="114">
        <f>IFERROR(INDEX(база!$D$2:$D$120, MATCH(Таблица14[[#This Row],[Ф. И. О.]],база!$B$2:$B$100,0)),"")</f>
        <v>0</v>
      </c>
    </row>
    <row r="164" spans="1:41">
      <c r="A164" s="192"/>
      <c r="B164" s="223"/>
      <c r="C164" s="544"/>
      <c r="D164" s="199"/>
      <c r="E164" s="224"/>
      <c r="F164" s="651"/>
      <c r="G164" s="225"/>
      <c r="H164" s="200"/>
      <c r="I164" s="200"/>
      <c r="J164" s="200"/>
      <c r="K164" s="200"/>
      <c r="L164" s="200"/>
      <c r="M164" s="200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200"/>
      <c r="Y164" s="200"/>
      <c r="Z164" s="200"/>
      <c r="AA164" s="200"/>
      <c r="AB164" s="200"/>
      <c r="AC164" s="200"/>
      <c r="AD164" s="200"/>
      <c r="AE164" s="200"/>
      <c r="AF164" s="200"/>
      <c r="AG164" s="200"/>
      <c r="AH164" s="200"/>
      <c r="AI164" s="200"/>
      <c r="AJ164" s="200"/>
      <c r="AK164" s="200"/>
      <c r="AL164" s="200"/>
      <c r="AM164" s="113">
        <f t="shared" si="2"/>
        <v>0</v>
      </c>
      <c r="AN164" s="540">
        <f>IF(AO164&lt;=3,(IF(AND(G164="5/24",AM164&gt;2),(AM164*2*база!$M$6*Таблица14[[#This Row],[коэф]]),
IF(AND(G164="4/24",AM164&gt;2),(AM164*2*база!$M$5*Таблица14[[#This Row],[коэф]]),
IF(AND(G164="3/24",AM164&gt;2),(AM164*2*база!$M$4*Таблица14[[#This Row],[коэф]]),
IF(AND(G164="5/16",AM164&gt;2),(AM164*2*база!$L$6*Таблица14[[#This Row],[коэф]]),
IF(AND(G164="4/16",AM164&gt;2),(AM164*2*база!$L$5*Таблица14[[#This Row],[коэф]]),
IF(AND(G164="3/16",AM164&gt;2),(AM164*2*база!$L$4*Таблица14[[#This Row],[коэф]]),
IF(AND(G164="4/4",AM164&gt;2),(AM164*2*база!$I$5*Таблица14[[#This Row],[коэф]]),
IF(AND(G164="3/4",AM164&gt;2),(AM164*2*база!$I$4*Таблица14[[#This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(AM164*2*база!$L$4*Таблица14[[#This Row],[коэф]]))))))))))))),
(IF(AND(G164="5/24",AM164&gt;2),(AM164*2*база!$M$6*Таблица14[[#This Row],[коэф]]),
IF(OR(AND(G164="4/24",AM164&gt;2),AND(G164="3/24",AM164&gt;2)),(AM164*2*база!$M$5*Таблица14[[#This Row],[коэф]]),
IF(AND(G164="5/16",AM164&gt;2),(AM164*2*база!$L$6*Таблица14[[#This Row],[коэф]]),
IF(OR(AND(G164="4/16",AM164&gt;2),AND(G164="3/16",AM164&gt;2)),(AM164*2*база!$L$5*Таблица14[[#This Row],[коэф]]),
IF(OR(AND(G164="4/4",AM164&gt;2),AND(G164="3/4",AM164&gt;2)),(AM164*2*база!$I$5*Таблица14[[#This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(AM164*2*база!$L$5*Таблица14[[#This Row],[коэф]])))))))))))</f>
        <v>0</v>
      </c>
      <c r="AO164" s="114">
        <f>IFERROR(INDEX(база!$D$2:$D$120, MATCH(Таблица14[[#This Row],[Ф. И. О.]],база!$B$2:$B$100,0)),"")</f>
        <v>0</v>
      </c>
    </row>
    <row r="165" spans="1:41">
      <c r="A165" s="192"/>
      <c r="B165" s="189"/>
      <c r="C165" s="544"/>
      <c r="D165" s="199"/>
      <c r="E165" s="226"/>
      <c r="F165" s="651"/>
      <c r="G165" s="191"/>
      <c r="H165" s="200"/>
      <c r="I165" s="200"/>
      <c r="J165" s="200"/>
      <c r="K165" s="200"/>
      <c r="L165" s="200"/>
      <c r="M165" s="200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200"/>
      <c r="Y165" s="200"/>
      <c r="Z165" s="200"/>
      <c r="AA165" s="200"/>
      <c r="AB165" s="200"/>
      <c r="AC165" s="200"/>
      <c r="AD165" s="200"/>
      <c r="AE165" s="200"/>
      <c r="AF165" s="200"/>
      <c r="AG165" s="200"/>
      <c r="AH165" s="200"/>
      <c r="AI165" s="200"/>
      <c r="AJ165" s="200"/>
      <c r="AK165" s="200"/>
      <c r="AL165" s="200"/>
      <c r="AM165" s="113">
        <f t="shared" si="2"/>
        <v>0</v>
      </c>
      <c r="AN165" s="540">
        <f>IF(AO165&lt;=3,(IF(AND(G165="5/24",AM165&gt;2),(AM165*2*база!$M$6*Таблица14[[#This Row],[коэф]]),
IF(AND(G165="4/24",AM165&gt;2),(AM165*2*база!$M$5*Таблица14[[#This Row],[коэф]]),
IF(AND(G165="3/24",AM165&gt;2),(AM165*2*база!$M$4*Таблица14[[#This Row],[коэф]]),
IF(AND(G165="5/16",AM165&gt;2),(AM165*2*база!$L$6*Таблица14[[#This Row],[коэф]]),
IF(AND(G165="4/16",AM165&gt;2),(AM165*2*база!$L$5*Таблица14[[#This Row],[коэф]]),
IF(AND(G165="3/16",AM165&gt;2),(AM165*2*база!$L$4*Таблица14[[#This Row],[коэф]]),
IF(AND(G165="4/4",AM165&gt;2),(AM165*2*база!$I$5*Таблица14[[#This Row],[коэф]]),
IF(AND(G165="3/4",AM165&gt;2),(AM165*2*база!$I$4*Таблица14[[#This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(AM165*2*база!$L$4*Таблица14[[#This Row],[коэф]]))))))))))))),
(IF(AND(G165="5/24",AM165&gt;2),(AM165*2*база!$M$6*Таблица14[[#This Row],[коэф]]),
IF(OR(AND(G165="4/24",AM165&gt;2),AND(G165="3/24",AM165&gt;2)),(AM165*2*база!$M$5*Таблица14[[#This Row],[коэф]]),
IF(AND(G165="5/16",AM165&gt;2),(AM165*2*база!$L$6*Таблица14[[#This Row],[коэф]]),
IF(OR(AND(G165="4/16",AM165&gt;2),AND(G165="3/16",AM165&gt;2)),(AM165*2*база!$L$5*Таблица14[[#This Row],[коэф]]),
IF(OR(AND(G165="4/4",AM165&gt;2),AND(G165="3/4",AM165&gt;2)),(AM165*2*база!$I$5*Таблица14[[#This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(AM165*2*база!$L$5*Таблица14[[#This Row],[коэф]])))))))))))</f>
        <v>0</v>
      </c>
      <c r="AO165" s="114">
        <f>IFERROR(INDEX(база!$D$2:$D$120, MATCH(Таблица14[[#This Row],[Ф. И. О.]],база!$B$2:$B$100,0)),"")</f>
        <v>0</v>
      </c>
    </row>
    <row r="166" spans="1:41">
      <c r="A166" s="192"/>
      <c r="B166" s="223"/>
      <c r="C166" s="544"/>
      <c r="D166" s="199"/>
      <c r="E166" s="224"/>
      <c r="F166" s="651"/>
      <c r="G166" s="225"/>
      <c r="H166" s="200"/>
      <c r="I166" s="200"/>
      <c r="J166" s="200"/>
      <c r="K166" s="200"/>
      <c r="L166" s="200"/>
      <c r="M166" s="200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200"/>
      <c r="Y166" s="200"/>
      <c r="Z166" s="200"/>
      <c r="AA166" s="200"/>
      <c r="AB166" s="200"/>
      <c r="AC166" s="200"/>
      <c r="AD166" s="200"/>
      <c r="AE166" s="200"/>
      <c r="AF166" s="200"/>
      <c r="AG166" s="200"/>
      <c r="AH166" s="200"/>
      <c r="AI166" s="200"/>
      <c r="AJ166" s="200"/>
      <c r="AK166" s="200"/>
      <c r="AL166" s="200"/>
      <c r="AM166" s="113">
        <f t="shared" si="2"/>
        <v>0</v>
      </c>
      <c r="AN166" s="540">
        <f>IF(AO166&lt;=3,(IF(AND(G166="5/24",AM166&gt;2),(AM166*2*база!$M$6*Таблица14[[#This Row],[коэф]]),
IF(AND(G166="4/24",AM166&gt;2),(AM166*2*база!$M$5*Таблица14[[#This Row],[коэф]]),
IF(AND(G166="3/24",AM166&gt;2),(AM166*2*база!$M$4*Таблица14[[#This Row],[коэф]]),
IF(AND(G166="5/16",AM166&gt;2),(AM166*2*база!$L$6*Таблица14[[#This Row],[коэф]]),
IF(AND(G166="4/16",AM166&gt;2),(AM166*2*база!$L$5*Таблица14[[#This Row],[коэф]]),
IF(AND(G166="3/16",AM166&gt;2),(AM166*2*база!$L$4*Таблица14[[#This Row],[коэф]]),
IF(AND(G166="4/4",AM166&gt;2),(AM166*2*база!$I$5*Таблица14[[#This Row],[коэф]]),
IF(AND(G166="3/4",AM166&gt;2),(AM166*2*база!$I$4*Таблица14[[#This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(AM166*2*база!$L$4*Таблица14[[#This Row],[коэф]]))))))))))))),
(IF(AND(G166="5/24",AM166&gt;2),(AM166*2*база!$M$6*Таблица14[[#This Row],[коэф]]),
IF(OR(AND(G166="4/24",AM166&gt;2),AND(G166="3/24",AM166&gt;2)),(AM166*2*база!$M$5*Таблица14[[#This Row],[коэф]]),
IF(AND(G166="5/16",AM166&gt;2),(AM166*2*база!$L$6*Таблица14[[#This Row],[коэф]]),
IF(OR(AND(G166="4/16",AM166&gt;2),AND(G166="3/16",AM166&gt;2)),(AM166*2*база!$L$5*Таблица14[[#This Row],[коэф]]),
IF(OR(AND(G166="4/4",AM166&gt;2),AND(G166="3/4",AM166&gt;2)),(AM166*2*база!$I$5*Таблица14[[#This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(AM166*2*база!$L$5*Таблица14[[#This Row],[коэф]])))))))))))</f>
        <v>0</v>
      </c>
      <c r="AO166" s="114">
        <f>IFERROR(INDEX(база!$D$2:$D$120, MATCH(Таблица14[[#This Row],[Ф. И. О.]],база!$B$2:$B$100,0)),"")</f>
        <v>0</v>
      </c>
    </row>
    <row r="167" spans="1:41">
      <c r="A167" s="192"/>
      <c r="B167" s="189"/>
      <c r="C167" s="544"/>
      <c r="D167" s="199"/>
      <c r="E167" s="226"/>
      <c r="F167" s="651"/>
      <c r="G167" s="191"/>
      <c r="H167" s="200"/>
      <c r="I167" s="200"/>
      <c r="J167" s="200"/>
      <c r="K167" s="200"/>
      <c r="L167" s="200"/>
      <c r="M167" s="200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200"/>
      <c r="Y167" s="200"/>
      <c r="Z167" s="200"/>
      <c r="AA167" s="200"/>
      <c r="AB167" s="200"/>
      <c r="AC167" s="200"/>
      <c r="AD167" s="200"/>
      <c r="AE167" s="200"/>
      <c r="AF167" s="200"/>
      <c r="AG167" s="200"/>
      <c r="AH167" s="200"/>
      <c r="AI167" s="200"/>
      <c r="AJ167" s="200"/>
      <c r="AK167" s="200"/>
      <c r="AL167" s="200"/>
      <c r="AM167" s="113">
        <f t="shared" si="2"/>
        <v>0</v>
      </c>
      <c r="AN167" s="540">
        <f>IF(AO167&lt;=3,(IF(AND(G167="5/24",AM167&gt;2),(AM167*2*база!$M$6*Таблица14[[#This Row],[коэф]]),
IF(AND(G167="4/24",AM167&gt;2),(AM167*2*база!$M$5*Таблица14[[#This Row],[коэф]]),
IF(AND(G167="3/24",AM167&gt;2),(AM167*2*база!$M$4*Таблица14[[#This Row],[коэф]]),
IF(AND(G167="5/16",AM167&gt;2),(AM167*2*база!$L$6*Таблица14[[#This Row],[коэф]]),
IF(AND(G167="4/16",AM167&gt;2),(AM167*2*база!$L$5*Таблица14[[#This Row],[коэф]]),
IF(AND(G167="3/16",AM167&gt;2),(AM167*2*база!$L$4*Таблица14[[#This Row],[коэф]]),
IF(AND(G167="4/4",AM167&gt;2),(AM167*2*база!$I$5*Таблица14[[#This Row],[коэф]]),
IF(AND(G167="3/4",AM167&gt;2),(AM167*2*база!$I$4*Таблица14[[#This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(AM167*2*база!$L$4*Таблица14[[#This Row],[коэф]]))))))))))))),
(IF(AND(G167="5/24",AM167&gt;2),(AM167*2*база!$M$6*Таблица14[[#This Row],[коэф]]),
IF(OR(AND(G167="4/24",AM167&gt;2),AND(G167="3/24",AM167&gt;2)),(AM167*2*база!$M$5*Таблица14[[#This Row],[коэф]]),
IF(AND(G167="5/16",AM167&gt;2),(AM167*2*база!$L$6*Таблица14[[#This Row],[коэф]]),
IF(OR(AND(G167="4/16",AM167&gt;2),AND(G167="3/16",AM167&gt;2)),(AM167*2*база!$L$5*Таблица14[[#This Row],[коэф]]),
IF(OR(AND(G167="4/4",AM167&gt;2),AND(G167="3/4",AM167&gt;2)),(AM167*2*база!$I$5*Таблица14[[#This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(AM167*2*база!$L$5*Таблица14[[#This Row],[коэф]])))))))))))</f>
        <v>0</v>
      </c>
      <c r="AO167" s="114">
        <f>IFERROR(INDEX(база!$D$2:$D$120, MATCH(Таблица14[[#This Row],[Ф. И. О.]],база!$B$2:$B$100,0)),"")</f>
        <v>0</v>
      </c>
    </row>
    <row r="168" spans="1:41">
      <c r="A168" s="192"/>
      <c r="B168" s="223"/>
      <c r="C168" s="544"/>
      <c r="D168" s="199"/>
      <c r="E168" s="224"/>
      <c r="F168" s="651"/>
      <c r="G168" s="225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200"/>
      <c r="Y168" s="200"/>
      <c r="Z168" s="200"/>
      <c r="AA168" s="200"/>
      <c r="AB168" s="200"/>
      <c r="AC168" s="200"/>
      <c r="AD168" s="200"/>
      <c r="AE168" s="200"/>
      <c r="AF168" s="200"/>
      <c r="AG168" s="200"/>
      <c r="AH168" s="200"/>
      <c r="AI168" s="200"/>
      <c r="AJ168" s="200"/>
      <c r="AK168" s="200"/>
      <c r="AL168" s="200"/>
      <c r="AM168" s="113">
        <f t="shared" si="2"/>
        <v>0</v>
      </c>
      <c r="AN168" s="540">
        <f>IF(AO168&lt;=3,(IF(AND(G168="5/24",AM168&gt;2),(AM168*2*база!$M$6*Таблица14[[#This Row],[коэф]]),
IF(AND(G168="4/24",AM168&gt;2),(AM168*2*база!$M$5*Таблица14[[#This Row],[коэф]]),
IF(AND(G168="3/24",AM168&gt;2),(AM168*2*база!$M$4*Таблица14[[#This Row],[коэф]]),
IF(AND(G168="5/16",AM168&gt;2),(AM168*2*база!$L$6*Таблица14[[#This Row],[коэф]]),
IF(AND(G168="4/16",AM168&gt;2),(AM168*2*база!$L$5*Таблица14[[#This Row],[коэф]]),
IF(AND(G168="3/16",AM168&gt;2),(AM168*2*база!$L$4*Таблица14[[#This Row],[коэф]]),
IF(AND(G168="4/4",AM168&gt;2),(AM168*2*база!$I$5*Таблица14[[#This Row],[коэф]]),
IF(AND(G168="3/4",AM168&gt;2),(AM168*2*база!$I$4*Таблица14[[#This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(AM168*2*база!$L$4*Таблица14[[#This Row],[коэф]]))))))))))))),
(IF(AND(G168="5/24",AM168&gt;2),(AM168*2*база!$M$6*Таблица14[[#This Row],[коэф]]),
IF(OR(AND(G168="4/24",AM168&gt;2),AND(G168="3/24",AM168&gt;2)),(AM168*2*база!$M$5*Таблица14[[#This Row],[коэф]]),
IF(AND(G168="5/16",AM168&gt;2),(AM168*2*база!$L$6*Таблица14[[#This Row],[коэф]]),
IF(OR(AND(G168="4/16",AM168&gt;2),AND(G168="3/16",AM168&gt;2)),(AM168*2*база!$L$5*Таблица14[[#This Row],[коэф]]),
IF(OR(AND(G168="4/4",AM168&gt;2),AND(G168="3/4",AM168&gt;2)),(AM168*2*база!$I$5*Таблица14[[#This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(AM168*2*база!$L$5*Таблица14[[#This Row],[коэф]])))))))))))</f>
        <v>0</v>
      </c>
      <c r="AO168" s="114">
        <f>IFERROR(INDEX(база!$D$2:$D$120, MATCH(Таблица14[[#This Row],[Ф. И. О.]],база!$B$2:$B$100,0)),"")</f>
        <v>0</v>
      </c>
    </row>
    <row r="169" spans="1:41">
      <c r="A169" s="192"/>
      <c r="B169" s="189"/>
      <c r="C169" s="544"/>
      <c r="D169" s="199"/>
      <c r="E169" s="226"/>
      <c r="F169" s="651"/>
      <c r="G169" s="191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  <c r="AB169" s="200"/>
      <c r="AC169" s="200"/>
      <c r="AD169" s="200"/>
      <c r="AE169" s="200"/>
      <c r="AF169" s="200"/>
      <c r="AG169" s="200"/>
      <c r="AH169" s="200"/>
      <c r="AI169" s="200"/>
      <c r="AJ169" s="200"/>
      <c r="AK169" s="200"/>
      <c r="AL169" s="200"/>
      <c r="AM169" s="113">
        <f t="shared" si="2"/>
        <v>0</v>
      </c>
      <c r="AN169" s="540">
        <f>IF(AO169&lt;=3,(IF(AND(G169="5/24",AM169&gt;2),(AM169*2*база!$M$6*Таблица14[[#This Row],[коэф]]),
IF(AND(G169="4/24",AM169&gt;2),(AM169*2*база!$M$5*Таблица14[[#This Row],[коэф]]),
IF(AND(G169="3/24",AM169&gt;2),(AM169*2*база!$M$4*Таблица14[[#This Row],[коэф]]),
IF(AND(G169="5/16",AM169&gt;2),(AM169*2*база!$L$6*Таблица14[[#This Row],[коэф]]),
IF(AND(G169="4/16",AM169&gt;2),(AM169*2*база!$L$5*Таблица14[[#This Row],[коэф]]),
IF(AND(G169="3/16",AM169&gt;2),(AM169*2*база!$L$4*Таблица14[[#This Row],[коэф]]),
IF(AND(G169="4/4",AM169&gt;2),(AM169*2*база!$I$5*Таблица14[[#This Row],[коэф]]),
IF(AND(G169="3/4",AM169&gt;2),(AM169*2*база!$I$4*Таблица14[[#This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(AM169*2*база!$L$4*Таблица14[[#This Row],[коэф]]))))))))))))),
(IF(AND(G169="5/24",AM169&gt;2),(AM169*2*база!$M$6*Таблица14[[#This Row],[коэф]]),
IF(OR(AND(G169="4/24",AM169&gt;2),AND(G169="3/24",AM169&gt;2)),(AM169*2*база!$M$5*Таблица14[[#This Row],[коэф]]),
IF(AND(G169="5/16",AM169&gt;2),(AM169*2*база!$L$6*Таблица14[[#This Row],[коэф]]),
IF(OR(AND(G169="4/16",AM169&gt;2),AND(G169="3/16",AM169&gt;2)),(AM169*2*база!$L$5*Таблица14[[#This Row],[коэф]]),
IF(OR(AND(G169="4/4",AM169&gt;2),AND(G169="3/4",AM169&gt;2)),(AM169*2*база!$I$5*Таблица14[[#This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(AM169*2*база!$L$5*Таблица14[[#This Row],[коэф]])))))))))))</f>
        <v>0</v>
      </c>
      <c r="AO169" s="114">
        <f>IFERROR(INDEX(база!$D$2:$D$120, MATCH(Таблица14[[#This Row],[Ф. И. О.]],база!$B$2:$B$100,0)),"")</f>
        <v>0</v>
      </c>
    </row>
    <row r="170" spans="1:41">
      <c r="A170" s="192"/>
      <c r="B170" s="223"/>
      <c r="C170" s="544"/>
      <c r="D170" s="199"/>
      <c r="E170" s="224"/>
      <c r="F170" s="651"/>
      <c r="G170" s="225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  <c r="AA170" s="200"/>
      <c r="AB170" s="200"/>
      <c r="AC170" s="200"/>
      <c r="AD170" s="200"/>
      <c r="AE170" s="200"/>
      <c r="AF170" s="200"/>
      <c r="AG170" s="200"/>
      <c r="AH170" s="200"/>
      <c r="AI170" s="200"/>
      <c r="AJ170" s="200"/>
      <c r="AK170" s="200"/>
      <c r="AL170" s="200"/>
      <c r="AM170" s="113">
        <f t="shared" si="2"/>
        <v>0</v>
      </c>
      <c r="AN170" s="540">
        <f>IF(AO170&lt;=3,(IF(AND(G170="5/24",AM170&gt;2),(AM170*2*база!$M$6*Таблица14[[#This Row],[коэф]]),
IF(AND(G170="4/24",AM170&gt;2),(AM170*2*база!$M$5*Таблица14[[#This Row],[коэф]]),
IF(AND(G170="3/24",AM170&gt;2),(AM170*2*база!$M$4*Таблица14[[#This Row],[коэф]]),
IF(AND(G170="5/16",AM170&gt;2),(AM170*2*база!$L$6*Таблица14[[#This Row],[коэф]]),
IF(AND(G170="4/16",AM170&gt;2),(AM170*2*база!$L$5*Таблица14[[#This Row],[коэф]]),
IF(AND(G170="3/16",AM170&gt;2),(AM170*2*база!$L$4*Таблица14[[#This Row],[коэф]]),
IF(AND(G170="4/4",AM170&gt;2),(AM170*2*база!$I$5*Таблица14[[#This Row],[коэф]]),
IF(AND(G170="3/4",AM170&gt;2),(AM170*2*база!$I$4*Таблица14[[#This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(AM170*2*база!$L$4*Таблица14[[#This Row],[коэф]]))))))))))))),
(IF(AND(G170="5/24",AM170&gt;2),(AM170*2*база!$M$6*Таблица14[[#This Row],[коэф]]),
IF(OR(AND(G170="4/24",AM170&gt;2),AND(G170="3/24",AM170&gt;2)),(AM170*2*база!$M$5*Таблица14[[#This Row],[коэф]]),
IF(AND(G170="5/16",AM170&gt;2),(AM170*2*база!$L$6*Таблица14[[#This Row],[коэф]]),
IF(OR(AND(G170="4/16",AM170&gt;2),AND(G170="3/16",AM170&gt;2)),(AM170*2*база!$L$5*Таблица14[[#This Row],[коэф]]),
IF(OR(AND(G170="4/4",AM170&gt;2),AND(G170="3/4",AM170&gt;2)),(AM170*2*база!$I$5*Таблица14[[#This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(AM170*2*база!$L$5*Таблица14[[#This Row],[коэф]])))))))))))</f>
        <v>0</v>
      </c>
      <c r="AO170" s="114">
        <f>IFERROR(INDEX(база!$D$2:$D$120, MATCH(Таблица14[[#This Row],[Ф. И. О.]],база!$B$2:$B$100,0)),"")</f>
        <v>0</v>
      </c>
    </row>
    <row r="171" spans="1:41">
      <c r="A171" s="192"/>
      <c r="B171" s="189"/>
      <c r="C171" s="544"/>
      <c r="D171" s="199"/>
      <c r="E171" s="226"/>
      <c r="F171" s="651"/>
      <c r="G171" s="191"/>
      <c r="H171" s="200"/>
      <c r="I171" s="200"/>
      <c r="J171" s="200"/>
      <c r="K171" s="200"/>
      <c r="L171" s="200"/>
      <c r="M171" s="200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200"/>
      <c r="Y171" s="200"/>
      <c r="Z171" s="200"/>
      <c r="AA171" s="200"/>
      <c r="AB171" s="200"/>
      <c r="AC171" s="200"/>
      <c r="AD171" s="200"/>
      <c r="AE171" s="200"/>
      <c r="AF171" s="200"/>
      <c r="AG171" s="200"/>
      <c r="AH171" s="200"/>
      <c r="AI171" s="200"/>
      <c r="AJ171" s="200"/>
      <c r="AK171" s="200"/>
      <c r="AL171" s="200"/>
      <c r="AM171" s="113">
        <f t="shared" si="2"/>
        <v>0</v>
      </c>
      <c r="AN171" s="540">
        <f>IF(AO171&lt;=3,(IF(AND(G171="5/24",AM171&gt;2),(AM171*2*база!$M$6*Таблица14[[#This Row],[коэф]]),
IF(AND(G171="4/24",AM171&gt;2),(AM171*2*база!$M$5*Таблица14[[#This Row],[коэф]]),
IF(AND(G171="3/24",AM171&gt;2),(AM171*2*база!$M$4*Таблица14[[#This Row],[коэф]]),
IF(AND(G171="5/16",AM171&gt;2),(AM171*2*база!$L$6*Таблица14[[#This Row],[коэф]]),
IF(AND(G171="4/16",AM171&gt;2),(AM171*2*база!$L$5*Таблица14[[#This Row],[коэф]]),
IF(AND(G171="3/16",AM171&gt;2),(AM171*2*база!$L$4*Таблица14[[#This Row],[коэф]]),
IF(AND(G171="4/4",AM171&gt;2),(AM171*2*база!$I$5*Таблица14[[#This Row],[коэф]]),
IF(AND(G171="3/4",AM171&gt;2),(AM171*2*база!$I$4*Таблица14[[#This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(AM171*2*база!$L$4*Таблица14[[#This Row],[коэф]]))))))))))))),
(IF(AND(G171="5/24",AM171&gt;2),(AM171*2*база!$M$6*Таблица14[[#This Row],[коэф]]),
IF(OR(AND(G171="4/24",AM171&gt;2),AND(G171="3/24",AM171&gt;2)),(AM171*2*база!$M$5*Таблица14[[#This Row],[коэф]]),
IF(AND(G171="5/16",AM171&gt;2),(AM171*2*база!$L$6*Таблица14[[#This Row],[коэф]]),
IF(OR(AND(G171="4/16",AM171&gt;2),AND(G171="3/16",AM171&gt;2)),(AM171*2*база!$L$5*Таблица14[[#This Row],[коэф]]),
IF(OR(AND(G171="4/4",AM171&gt;2),AND(G171="3/4",AM171&gt;2)),(AM171*2*база!$I$5*Таблица14[[#This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(AM171*2*база!$L$5*Таблица14[[#This Row],[коэф]])))))))))))</f>
        <v>0</v>
      </c>
      <c r="AO171" s="114">
        <f>IFERROR(INDEX(база!$D$2:$D$120, MATCH(Таблица14[[#This Row],[Ф. И. О.]],база!$B$2:$B$100,0)),"")</f>
        <v>0</v>
      </c>
    </row>
    <row r="172" spans="1:41">
      <c r="A172" s="192"/>
      <c r="B172" s="223"/>
      <c r="C172" s="544"/>
      <c r="D172" s="199"/>
      <c r="E172" s="224"/>
      <c r="F172" s="651"/>
      <c r="G172" s="225"/>
      <c r="H172" s="200"/>
      <c r="I172" s="200"/>
      <c r="J172" s="200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200"/>
      <c r="Y172" s="200"/>
      <c r="Z172" s="200"/>
      <c r="AA172" s="200"/>
      <c r="AB172" s="200"/>
      <c r="AC172" s="200"/>
      <c r="AD172" s="200"/>
      <c r="AE172" s="200"/>
      <c r="AF172" s="200"/>
      <c r="AG172" s="200"/>
      <c r="AH172" s="200"/>
      <c r="AI172" s="200"/>
      <c r="AJ172" s="200"/>
      <c r="AK172" s="200"/>
      <c r="AL172" s="200"/>
      <c r="AM172" s="113">
        <f t="shared" si="2"/>
        <v>0</v>
      </c>
      <c r="AN172" s="540">
        <f>IF(AO172&lt;=3,(IF(AND(G172="5/24",AM172&gt;2),(AM172*2*база!$M$6*Таблица14[[#This Row],[коэф]]),
IF(AND(G172="4/24",AM172&gt;2),(AM172*2*база!$M$5*Таблица14[[#This Row],[коэф]]),
IF(AND(G172="3/24",AM172&gt;2),(AM172*2*база!$M$4*Таблица14[[#This Row],[коэф]]),
IF(AND(G172="5/16",AM172&gt;2),(AM172*2*база!$L$6*Таблица14[[#This Row],[коэф]]),
IF(AND(G172="4/16",AM172&gt;2),(AM172*2*база!$L$5*Таблица14[[#This Row],[коэф]]),
IF(AND(G172="3/16",AM172&gt;2),(AM172*2*база!$L$4*Таблица14[[#This Row],[коэф]]),
IF(AND(G172="4/4",AM172&gt;2),(AM172*2*база!$I$5*Таблица14[[#This Row],[коэф]]),
IF(AND(G172="3/4",AM172&gt;2),(AM172*2*база!$I$4*Таблица14[[#This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(AM172*2*база!$L$4*Таблица14[[#This Row],[коэф]]))))))))))))),
(IF(AND(G172="5/24",AM172&gt;2),(AM172*2*база!$M$6*Таблица14[[#This Row],[коэф]]),
IF(OR(AND(G172="4/24",AM172&gt;2),AND(G172="3/24",AM172&gt;2)),(AM172*2*база!$M$5*Таблица14[[#This Row],[коэф]]),
IF(AND(G172="5/16",AM172&gt;2),(AM172*2*база!$L$6*Таблица14[[#This Row],[коэф]]),
IF(OR(AND(G172="4/16",AM172&gt;2),AND(G172="3/16",AM172&gt;2)),(AM172*2*база!$L$5*Таблица14[[#This Row],[коэф]]),
IF(OR(AND(G172="4/4",AM172&gt;2),AND(G172="3/4",AM172&gt;2)),(AM172*2*база!$I$5*Таблица14[[#This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(AM172*2*база!$L$5*Таблица14[[#This Row],[коэф]])))))))))))</f>
        <v>0</v>
      </c>
      <c r="AO172" s="114">
        <f>IFERROR(INDEX(база!$D$2:$D$120, MATCH(Таблица14[[#This Row],[Ф. И. О.]],база!$B$2:$B$100,0)),"")</f>
        <v>0</v>
      </c>
    </row>
    <row r="173" spans="1:41">
      <c r="A173" s="192"/>
      <c r="B173" s="189"/>
      <c r="C173" s="544"/>
      <c r="D173" s="199"/>
      <c r="E173" s="226"/>
      <c r="F173" s="651"/>
      <c r="G173" s="191"/>
      <c r="H173" s="200"/>
      <c r="I173" s="200"/>
      <c r="J173" s="200"/>
      <c r="K173" s="200"/>
      <c r="L173" s="200"/>
      <c r="M173" s="200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200"/>
      <c r="Y173" s="200"/>
      <c r="Z173" s="200"/>
      <c r="AA173" s="200"/>
      <c r="AB173" s="200"/>
      <c r="AC173" s="200"/>
      <c r="AD173" s="200"/>
      <c r="AE173" s="200"/>
      <c r="AF173" s="200"/>
      <c r="AG173" s="200"/>
      <c r="AH173" s="200"/>
      <c r="AI173" s="200"/>
      <c r="AJ173" s="200"/>
      <c r="AK173" s="200"/>
      <c r="AL173" s="200"/>
      <c r="AM173" s="113">
        <f t="shared" si="2"/>
        <v>0</v>
      </c>
      <c r="AN173" s="540">
        <f>IF(AO173&lt;=3,(IF(AND(G173="5/24",AM173&gt;2),(AM173*2*база!$M$6*Таблица14[[#This Row],[коэф]]),
IF(AND(G173="4/24",AM173&gt;2),(AM173*2*база!$M$5*Таблица14[[#This Row],[коэф]]),
IF(AND(G173="3/24",AM173&gt;2),(AM173*2*база!$M$4*Таблица14[[#This Row],[коэф]]),
IF(AND(G173="5/16",AM173&gt;2),(AM173*2*база!$L$6*Таблица14[[#This Row],[коэф]]),
IF(AND(G173="4/16",AM173&gt;2),(AM173*2*база!$L$5*Таблица14[[#This Row],[коэф]]),
IF(AND(G173="3/16",AM173&gt;2),(AM173*2*база!$L$4*Таблица14[[#This Row],[коэф]]),
IF(AND(G173="4/4",AM173&gt;2),(AM173*2*база!$I$5*Таблица14[[#This Row],[коэф]]),
IF(AND(G173="3/4",AM173&gt;2),(AM173*2*база!$I$4*Таблица14[[#This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(AM173*2*база!$L$4*Таблица14[[#This Row],[коэф]]))))))))))))),
(IF(AND(G173="5/24",AM173&gt;2),(AM173*2*база!$M$6*Таблица14[[#This Row],[коэф]]),
IF(OR(AND(G173="4/24",AM173&gt;2),AND(G173="3/24",AM173&gt;2)),(AM173*2*база!$M$5*Таблица14[[#This Row],[коэф]]),
IF(AND(G173="5/16",AM173&gt;2),(AM173*2*база!$L$6*Таблица14[[#This Row],[коэф]]),
IF(OR(AND(G173="4/16",AM173&gt;2),AND(G173="3/16",AM173&gt;2)),(AM173*2*база!$L$5*Таблица14[[#This Row],[коэф]]),
IF(OR(AND(G173="4/4",AM173&gt;2),AND(G173="3/4",AM173&gt;2)),(AM173*2*база!$I$5*Таблица14[[#This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(AM173*2*база!$L$5*Таблица14[[#This Row],[коэф]])))))))))))</f>
        <v>0</v>
      </c>
      <c r="AO173" s="114">
        <f>IFERROR(INDEX(база!$D$2:$D$120, MATCH(Таблица14[[#This Row],[Ф. И. О.]],база!$B$2:$B$100,0)),"")</f>
        <v>0</v>
      </c>
    </row>
    <row r="174" spans="1:41">
      <c r="A174" s="192"/>
      <c r="B174" s="223"/>
      <c r="C174" s="544"/>
      <c r="D174" s="199"/>
      <c r="E174" s="224"/>
      <c r="F174" s="651"/>
      <c r="G174" s="225"/>
      <c r="H174" s="200"/>
      <c r="I174" s="200"/>
      <c r="J174" s="200"/>
      <c r="K174" s="200"/>
      <c r="L174" s="200"/>
      <c r="M174" s="200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200"/>
      <c r="Y174" s="200"/>
      <c r="Z174" s="200"/>
      <c r="AA174" s="200"/>
      <c r="AB174" s="200"/>
      <c r="AC174" s="200"/>
      <c r="AD174" s="200"/>
      <c r="AE174" s="200"/>
      <c r="AF174" s="200"/>
      <c r="AG174" s="200"/>
      <c r="AH174" s="200"/>
      <c r="AI174" s="200"/>
      <c r="AJ174" s="200"/>
      <c r="AK174" s="200"/>
      <c r="AL174" s="200"/>
      <c r="AM174" s="113">
        <f t="shared" si="2"/>
        <v>0</v>
      </c>
      <c r="AN174" s="540">
        <f>IF(AO174&lt;=3,(IF(AND(G174="5/24",AM174&gt;2),(AM174*2*база!$M$6*Таблица14[[#This Row],[коэф]]),
IF(AND(G174="4/24",AM174&gt;2),(AM174*2*база!$M$5*Таблица14[[#This Row],[коэф]]),
IF(AND(G174="3/24",AM174&gt;2),(AM174*2*база!$M$4*Таблица14[[#This Row],[коэф]]),
IF(AND(G174="5/16",AM174&gt;2),(AM174*2*база!$L$6*Таблица14[[#This Row],[коэф]]),
IF(AND(G174="4/16",AM174&gt;2),(AM174*2*база!$L$5*Таблица14[[#This Row],[коэф]]),
IF(AND(G174="3/16",AM174&gt;2),(AM174*2*база!$L$4*Таблица14[[#This Row],[коэф]]),
IF(AND(G174="4/4",AM174&gt;2),(AM174*2*база!$I$5*Таблица14[[#This Row],[коэф]]),
IF(AND(G174="3/4",AM174&gt;2),(AM174*2*база!$I$4*Таблица14[[#This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(AM174*2*база!$L$4*Таблица14[[#This Row],[коэф]]))))))))))))),
(IF(AND(G174="5/24",AM174&gt;2),(AM174*2*база!$M$6*Таблица14[[#This Row],[коэф]]),
IF(OR(AND(G174="4/24",AM174&gt;2),AND(G174="3/24",AM174&gt;2)),(AM174*2*база!$M$5*Таблица14[[#This Row],[коэф]]),
IF(AND(G174="5/16",AM174&gt;2),(AM174*2*база!$L$6*Таблица14[[#This Row],[коэф]]),
IF(OR(AND(G174="4/16",AM174&gt;2),AND(G174="3/16",AM174&gt;2)),(AM174*2*база!$L$5*Таблица14[[#This Row],[коэф]]),
IF(OR(AND(G174="4/4",AM174&gt;2),AND(G174="3/4",AM174&gt;2)),(AM174*2*база!$I$5*Таблица14[[#This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(AM174*2*база!$L$5*Таблица14[[#This Row],[коэф]])))))))))))</f>
        <v>0</v>
      </c>
      <c r="AO174" s="114">
        <f>IFERROR(INDEX(база!$D$2:$D$120, MATCH(Таблица14[[#This Row],[Ф. И. О.]],база!$B$2:$B$100,0)),"")</f>
        <v>0</v>
      </c>
    </row>
    <row r="175" spans="1:41">
      <c r="A175" s="192"/>
      <c r="B175" s="189"/>
      <c r="C175" s="544"/>
      <c r="D175" s="199"/>
      <c r="E175" s="226"/>
      <c r="F175" s="651"/>
      <c r="G175" s="191"/>
      <c r="H175" s="200"/>
      <c r="I175" s="200"/>
      <c r="J175" s="200"/>
      <c r="K175" s="200"/>
      <c r="L175" s="200"/>
      <c r="M175" s="200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200"/>
      <c r="Y175" s="200"/>
      <c r="Z175" s="200"/>
      <c r="AA175" s="200"/>
      <c r="AB175" s="200"/>
      <c r="AC175" s="200"/>
      <c r="AD175" s="200"/>
      <c r="AE175" s="200"/>
      <c r="AF175" s="200"/>
      <c r="AG175" s="200"/>
      <c r="AH175" s="200"/>
      <c r="AI175" s="200"/>
      <c r="AJ175" s="200"/>
      <c r="AK175" s="200"/>
      <c r="AL175" s="200"/>
      <c r="AM175" s="113">
        <f t="shared" si="2"/>
        <v>0</v>
      </c>
      <c r="AN175" s="540">
        <f>IF(AO175&lt;=3,(IF(AND(G175="5/24",AM175&gt;2),(AM175*2*база!$M$6*Таблица14[[#This Row],[коэф]]),
IF(AND(G175="4/24",AM175&gt;2),(AM175*2*база!$M$5*Таблица14[[#This Row],[коэф]]),
IF(AND(G175="3/24",AM175&gt;2),(AM175*2*база!$M$4*Таблица14[[#This Row],[коэф]]),
IF(AND(G175="5/16",AM175&gt;2),(AM175*2*база!$L$6*Таблица14[[#This Row],[коэф]]),
IF(AND(G175="4/16",AM175&gt;2),(AM175*2*база!$L$5*Таблица14[[#This Row],[коэф]]),
IF(AND(G175="3/16",AM175&gt;2),(AM175*2*база!$L$4*Таблица14[[#This Row],[коэф]]),
IF(AND(G175="4/4",AM175&gt;2),(AM175*2*база!$I$5*Таблица14[[#This Row],[коэф]]),
IF(AND(G175="3/4",AM175&gt;2),(AM175*2*база!$I$4*Таблица14[[#This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(AM175*2*база!$L$4*Таблица14[[#This Row],[коэф]]))))))))))))),
(IF(AND(G175="5/24",AM175&gt;2),(AM175*2*база!$M$6*Таблица14[[#This Row],[коэф]]),
IF(OR(AND(G175="4/24",AM175&gt;2),AND(G175="3/24",AM175&gt;2)),(AM175*2*база!$M$5*Таблица14[[#This Row],[коэф]]),
IF(AND(G175="5/16",AM175&gt;2),(AM175*2*база!$L$6*Таблица14[[#This Row],[коэф]]),
IF(OR(AND(G175="4/16",AM175&gt;2),AND(G175="3/16",AM175&gt;2)),(AM175*2*база!$L$5*Таблица14[[#This Row],[коэф]]),
IF(OR(AND(G175="4/4",AM175&gt;2),AND(G175="3/4",AM175&gt;2)),(AM175*2*база!$I$5*Таблица14[[#This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(AM175*2*база!$L$5*Таблица14[[#This Row],[коэф]])))))))))))</f>
        <v>0</v>
      </c>
      <c r="AO175" s="114">
        <f>IFERROR(INDEX(база!$D$2:$D$120, MATCH(Таблица14[[#This Row],[Ф. И. О.]],база!$B$2:$B$100,0)),"")</f>
        <v>0</v>
      </c>
    </row>
    <row r="176" spans="1:41">
      <c r="A176" s="192"/>
      <c r="B176" s="223"/>
      <c r="C176" s="544"/>
      <c r="D176" s="199"/>
      <c r="E176" s="224"/>
      <c r="F176" s="651"/>
      <c r="G176" s="225"/>
      <c r="H176" s="200"/>
      <c r="I176" s="200"/>
      <c r="J176" s="200"/>
      <c r="K176" s="200"/>
      <c r="L176" s="200"/>
      <c r="M176" s="200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200"/>
      <c r="Y176" s="200"/>
      <c r="Z176" s="200"/>
      <c r="AA176" s="200"/>
      <c r="AB176" s="200"/>
      <c r="AC176" s="200"/>
      <c r="AD176" s="200"/>
      <c r="AE176" s="200"/>
      <c r="AF176" s="200"/>
      <c r="AG176" s="200"/>
      <c r="AH176" s="200"/>
      <c r="AI176" s="200"/>
      <c r="AJ176" s="200"/>
      <c r="AK176" s="200"/>
      <c r="AL176" s="200"/>
      <c r="AM176" s="113">
        <f t="shared" si="2"/>
        <v>0</v>
      </c>
      <c r="AN176" s="540">
        <f>IF(AO176&lt;=3,(IF(AND(G176="5/24",AM176&gt;2),(AM176*2*база!$M$6*Таблица14[[#This Row],[коэф]]),
IF(AND(G176="4/24",AM176&gt;2),(AM176*2*база!$M$5*Таблица14[[#This Row],[коэф]]),
IF(AND(G176="3/24",AM176&gt;2),(AM176*2*база!$M$4*Таблица14[[#This Row],[коэф]]),
IF(AND(G176="5/16",AM176&gt;2),(AM176*2*база!$L$6*Таблица14[[#This Row],[коэф]]),
IF(AND(G176="4/16",AM176&gt;2),(AM176*2*база!$L$5*Таблица14[[#This Row],[коэф]]),
IF(AND(G176="3/16",AM176&gt;2),(AM176*2*база!$L$4*Таблица14[[#This Row],[коэф]]),
IF(AND(G176="4/4",AM176&gt;2),(AM176*2*база!$I$5*Таблица14[[#This Row],[коэф]]),
IF(AND(G176="3/4",AM176&gt;2),(AM176*2*база!$I$4*Таблица14[[#This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(AM176*2*база!$L$4*Таблица14[[#This Row],[коэф]]))))))))))))),
(IF(AND(G176="5/24",AM176&gt;2),(AM176*2*база!$M$6*Таблица14[[#This Row],[коэф]]),
IF(OR(AND(G176="4/24",AM176&gt;2),AND(G176="3/24",AM176&gt;2)),(AM176*2*база!$M$5*Таблица14[[#This Row],[коэф]]),
IF(AND(G176="5/16",AM176&gt;2),(AM176*2*база!$L$6*Таблица14[[#This Row],[коэф]]),
IF(OR(AND(G176="4/16",AM176&gt;2),AND(G176="3/16",AM176&gt;2)),(AM176*2*база!$L$5*Таблица14[[#This Row],[коэф]]),
IF(OR(AND(G176="4/4",AM176&gt;2),AND(G176="3/4",AM176&gt;2)),(AM176*2*база!$I$5*Таблица14[[#This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(AM176*2*база!$L$5*Таблица14[[#This Row],[коэф]])))))))))))</f>
        <v>0</v>
      </c>
      <c r="AO176" s="114">
        <f>IFERROR(INDEX(база!$D$2:$D$120, MATCH(Таблица14[[#This Row],[Ф. И. О.]],база!$B$2:$B$100,0)),"")</f>
        <v>0</v>
      </c>
    </row>
    <row r="177" spans="1:41">
      <c r="A177" s="192"/>
      <c r="B177" s="189"/>
      <c r="C177" s="544"/>
      <c r="D177" s="199"/>
      <c r="E177" s="226"/>
      <c r="F177" s="651"/>
      <c r="G177" s="191"/>
      <c r="H177" s="200"/>
      <c r="I177" s="200"/>
      <c r="J177" s="200"/>
      <c r="K177" s="200"/>
      <c r="L177" s="200"/>
      <c r="M177" s="200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200"/>
      <c r="Y177" s="200"/>
      <c r="Z177" s="200"/>
      <c r="AA177" s="200"/>
      <c r="AB177" s="200"/>
      <c r="AC177" s="200"/>
      <c r="AD177" s="200"/>
      <c r="AE177" s="200"/>
      <c r="AF177" s="200"/>
      <c r="AG177" s="200"/>
      <c r="AH177" s="200"/>
      <c r="AI177" s="200"/>
      <c r="AJ177" s="200"/>
      <c r="AK177" s="200"/>
      <c r="AL177" s="200"/>
      <c r="AM177" s="113">
        <f t="shared" si="2"/>
        <v>0</v>
      </c>
      <c r="AN177" s="540">
        <f>IF(AO177&lt;=3,(IF(AND(G177="5/24",AM177&gt;2),(AM177*2*база!$M$6*Таблица14[[#This Row],[коэф]]),
IF(AND(G177="4/24",AM177&gt;2),(AM177*2*база!$M$5*Таблица14[[#This Row],[коэф]]),
IF(AND(G177="3/24",AM177&gt;2),(AM177*2*база!$M$4*Таблица14[[#This Row],[коэф]]),
IF(AND(G177="5/16",AM177&gt;2),(AM177*2*база!$L$6*Таблица14[[#This Row],[коэф]]),
IF(AND(G177="4/16",AM177&gt;2),(AM177*2*база!$L$5*Таблица14[[#This Row],[коэф]]),
IF(AND(G177="3/16",AM177&gt;2),(AM177*2*база!$L$4*Таблица14[[#This Row],[коэф]]),
IF(AND(G177="4/4",AM177&gt;2),(AM177*2*база!$I$5*Таблица14[[#This Row],[коэф]]),
IF(AND(G177="3/4",AM177&gt;2),(AM177*2*база!$I$4*Таблица14[[#This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(AM177*2*база!$L$4*Таблица14[[#This Row],[коэф]]))))))))))))),
(IF(AND(G177="5/24",AM177&gt;2),(AM177*2*база!$M$6*Таблица14[[#This Row],[коэф]]),
IF(OR(AND(G177="4/24",AM177&gt;2),AND(G177="3/24",AM177&gt;2)),(AM177*2*база!$M$5*Таблица14[[#This Row],[коэф]]),
IF(AND(G177="5/16",AM177&gt;2),(AM177*2*база!$L$6*Таблица14[[#This Row],[коэф]]),
IF(OR(AND(G177="4/16",AM177&gt;2),AND(G177="3/16",AM177&gt;2)),(AM177*2*база!$L$5*Таблица14[[#This Row],[коэф]]),
IF(OR(AND(G177="4/4",AM177&gt;2),AND(G177="3/4",AM177&gt;2)),(AM177*2*база!$I$5*Таблица14[[#This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(AM177*2*база!$L$5*Таблица14[[#This Row],[коэф]])))))))))))</f>
        <v>0</v>
      </c>
      <c r="AO177" s="114">
        <f>IFERROR(INDEX(база!$D$2:$D$120, MATCH(Таблица14[[#This Row],[Ф. И. О.]],база!$B$2:$B$100,0)),"")</f>
        <v>0</v>
      </c>
    </row>
    <row r="178" spans="1:41">
      <c r="A178" s="192"/>
      <c r="B178" s="223"/>
      <c r="C178" s="544"/>
      <c r="D178" s="199"/>
      <c r="E178" s="224"/>
      <c r="F178" s="651"/>
      <c r="G178" s="225"/>
      <c r="H178" s="200"/>
      <c r="I178" s="200"/>
      <c r="J178" s="200"/>
      <c r="K178" s="200"/>
      <c r="L178" s="200"/>
      <c r="M178" s="200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200"/>
      <c r="Y178" s="200"/>
      <c r="Z178" s="200"/>
      <c r="AA178" s="200"/>
      <c r="AB178" s="200"/>
      <c r="AC178" s="200"/>
      <c r="AD178" s="200"/>
      <c r="AE178" s="200"/>
      <c r="AF178" s="200"/>
      <c r="AG178" s="200"/>
      <c r="AH178" s="200"/>
      <c r="AI178" s="200"/>
      <c r="AJ178" s="200"/>
      <c r="AK178" s="200"/>
      <c r="AL178" s="200"/>
      <c r="AM178" s="113">
        <f t="shared" si="2"/>
        <v>0</v>
      </c>
      <c r="AN178" s="540">
        <f>IF(AO178&lt;=3,(IF(AND(G178="5/24",AM178&gt;2),(AM178*2*база!$M$6*Таблица14[[#This Row],[коэф]]),
IF(AND(G178="4/24",AM178&gt;2),(AM178*2*база!$M$5*Таблица14[[#This Row],[коэф]]),
IF(AND(G178="3/24",AM178&gt;2),(AM178*2*база!$M$4*Таблица14[[#This Row],[коэф]]),
IF(AND(G178="5/16",AM178&gt;2),(AM178*2*база!$L$6*Таблица14[[#This Row],[коэф]]),
IF(AND(G178="4/16",AM178&gt;2),(AM178*2*база!$L$5*Таблица14[[#This Row],[коэф]]),
IF(AND(G178="3/16",AM178&gt;2),(AM178*2*база!$L$4*Таблица14[[#This Row],[коэф]]),
IF(AND(G178="4/4",AM178&gt;2),(AM178*2*база!$I$5*Таблица14[[#This Row],[коэф]]),
IF(AND(G178="3/4",AM178&gt;2),(AM178*2*база!$I$4*Таблица14[[#This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(AM178*2*база!$L$4*Таблица14[[#This Row],[коэф]]))))))))))))),
(IF(AND(G178="5/24",AM178&gt;2),(AM178*2*база!$M$6*Таблица14[[#This Row],[коэф]]),
IF(OR(AND(G178="4/24",AM178&gt;2),AND(G178="3/24",AM178&gt;2)),(AM178*2*база!$M$5*Таблица14[[#This Row],[коэф]]),
IF(AND(G178="5/16",AM178&gt;2),(AM178*2*база!$L$6*Таблица14[[#This Row],[коэф]]),
IF(OR(AND(G178="4/16",AM178&gt;2),AND(G178="3/16",AM178&gt;2)),(AM178*2*база!$L$5*Таблица14[[#This Row],[коэф]]),
IF(OR(AND(G178="4/4",AM178&gt;2),AND(G178="3/4",AM178&gt;2)),(AM178*2*база!$I$5*Таблица14[[#This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(AM178*2*база!$L$5*Таблица14[[#This Row],[коэф]])))))))))))</f>
        <v>0</v>
      </c>
      <c r="AO178" s="114">
        <f>IFERROR(INDEX(база!$D$2:$D$120, MATCH(Таблица14[[#This Row],[Ф. И. О.]],база!$B$2:$B$100,0)),"")</f>
        <v>0</v>
      </c>
    </row>
    <row r="179" spans="1:41">
      <c r="A179" s="192"/>
      <c r="B179" s="189"/>
      <c r="C179" s="544"/>
      <c r="D179" s="199"/>
      <c r="E179" s="226"/>
      <c r="F179" s="651"/>
      <c r="G179" s="191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200"/>
      <c r="Y179" s="200"/>
      <c r="Z179" s="200"/>
      <c r="AA179" s="200"/>
      <c r="AB179" s="200"/>
      <c r="AC179" s="200"/>
      <c r="AD179" s="200"/>
      <c r="AE179" s="200"/>
      <c r="AF179" s="200"/>
      <c r="AG179" s="200"/>
      <c r="AH179" s="200"/>
      <c r="AI179" s="200"/>
      <c r="AJ179" s="200"/>
      <c r="AK179" s="200"/>
      <c r="AL179" s="200"/>
      <c r="AM179" s="113">
        <f t="shared" si="2"/>
        <v>0</v>
      </c>
      <c r="AN179" s="540">
        <f>IF(AO179&lt;=3,(IF(AND(G179="5/24",AM179&gt;2),(AM179*2*база!$M$6*Таблица14[[#This Row],[коэф]]),
IF(AND(G179="4/24",AM179&gt;2),(AM179*2*база!$M$5*Таблица14[[#This Row],[коэф]]),
IF(AND(G179="3/24",AM179&gt;2),(AM179*2*база!$M$4*Таблица14[[#This Row],[коэф]]),
IF(AND(G179="5/16",AM179&gt;2),(AM179*2*база!$L$6*Таблица14[[#This Row],[коэф]]),
IF(AND(G179="4/16",AM179&gt;2),(AM179*2*база!$L$5*Таблица14[[#This Row],[коэф]]),
IF(AND(G179="3/16",AM179&gt;2),(AM179*2*база!$L$4*Таблица14[[#This Row],[коэф]]),
IF(AND(G179="4/4",AM179&gt;2),(AM179*2*база!$I$5*Таблица14[[#This Row],[коэф]]),
IF(AND(G179="3/4",AM179&gt;2),(AM179*2*база!$I$4*Таблица14[[#This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(AM179*2*база!$L$4*Таблица14[[#This Row],[коэф]]))))))))))))),
(IF(AND(G179="5/24",AM179&gt;2),(AM179*2*база!$M$6*Таблица14[[#This Row],[коэф]]),
IF(OR(AND(G179="4/24",AM179&gt;2),AND(G179="3/24",AM179&gt;2)),(AM179*2*база!$M$5*Таблица14[[#This Row],[коэф]]),
IF(AND(G179="5/16",AM179&gt;2),(AM179*2*база!$L$6*Таблица14[[#This Row],[коэф]]),
IF(OR(AND(G179="4/16",AM179&gt;2),AND(G179="3/16",AM179&gt;2)),(AM179*2*база!$L$5*Таблица14[[#This Row],[коэф]]),
IF(OR(AND(G179="4/4",AM179&gt;2),AND(G179="3/4",AM179&gt;2)),(AM179*2*база!$I$5*Таблица14[[#This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(AM179*2*база!$L$5*Таблица14[[#This Row],[коэф]])))))))))))</f>
        <v>0</v>
      </c>
      <c r="AO179" s="114">
        <f>IFERROR(INDEX(база!$D$2:$D$120, MATCH(Таблица14[[#This Row],[Ф. И. О.]],база!$B$2:$B$100,0)),"")</f>
        <v>0</v>
      </c>
    </row>
    <row r="180" spans="1:41">
      <c r="A180" s="192"/>
      <c r="B180" s="223"/>
      <c r="C180" s="544"/>
      <c r="D180" s="199"/>
      <c r="E180" s="224"/>
      <c r="F180" s="651"/>
      <c r="G180" s="225"/>
      <c r="H180" s="200"/>
      <c r="I180" s="200"/>
      <c r="J180" s="200"/>
      <c r="K180" s="200"/>
      <c r="L180" s="200"/>
      <c r="M180" s="200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200"/>
      <c r="Y180" s="200"/>
      <c r="Z180" s="200"/>
      <c r="AA180" s="200"/>
      <c r="AB180" s="200"/>
      <c r="AC180" s="200"/>
      <c r="AD180" s="200"/>
      <c r="AE180" s="200"/>
      <c r="AF180" s="200"/>
      <c r="AG180" s="200"/>
      <c r="AH180" s="200"/>
      <c r="AI180" s="200"/>
      <c r="AJ180" s="200"/>
      <c r="AK180" s="200"/>
      <c r="AL180" s="200"/>
      <c r="AM180" s="113">
        <f t="shared" si="2"/>
        <v>0</v>
      </c>
      <c r="AN180" s="540">
        <f>IF(AO180&lt;=3,(IF(AND(G180="5/24",AM180&gt;2),(AM180*2*база!$M$6*Таблица14[[#This Row],[коэф]]),
IF(AND(G180="4/24",AM180&gt;2),(AM180*2*база!$M$5*Таблица14[[#This Row],[коэф]]),
IF(AND(G180="3/24",AM180&gt;2),(AM180*2*база!$M$4*Таблица14[[#This Row],[коэф]]),
IF(AND(G180="5/16",AM180&gt;2),(AM180*2*база!$L$6*Таблица14[[#This Row],[коэф]]),
IF(AND(G180="4/16",AM180&gt;2),(AM180*2*база!$L$5*Таблица14[[#This Row],[коэф]]),
IF(AND(G180="3/16",AM180&gt;2),(AM180*2*база!$L$4*Таблица14[[#This Row],[коэф]]),
IF(AND(G180="4/4",AM180&gt;2),(AM180*2*база!$I$5*Таблица14[[#This Row],[коэф]]),
IF(AND(G180="3/4",AM180&gt;2),(AM180*2*база!$I$4*Таблица14[[#This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(AM180*2*база!$L$4*Таблица14[[#This Row],[коэф]]))))))))))))),
(IF(AND(G180="5/24",AM180&gt;2),(AM180*2*база!$M$6*Таблица14[[#This Row],[коэф]]),
IF(OR(AND(G180="4/24",AM180&gt;2),AND(G180="3/24",AM180&gt;2)),(AM180*2*база!$M$5*Таблица14[[#This Row],[коэф]]),
IF(AND(G180="5/16",AM180&gt;2),(AM180*2*база!$L$6*Таблица14[[#This Row],[коэф]]),
IF(OR(AND(G180="4/16",AM180&gt;2),AND(G180="3/16",AM180&gt;2)),(AM180*2*база!$L$5*Таблица14[[#This Row],[коэф]]),
IF(OR(AND(G180="4/4",AM180&gt;2),AND(G180="3/4",AM180&gt;2)),(AM180*2*база!$I$5*Таблица14[[#This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(AM180*2*база!$L$5*Таблица14[[#This Row],[коэф]])))))))))))</f>
        <v>0</v>
      </c>
      <c r="AO180" s="114">
        <f>IFERROR(INDEX(база!$D$2:$D$120, MATCH(Таблица14[[#This Row],[Ф. И. О.]],база!$B$2:$B$100,0)),"")</f>
        <v>0</v>
      </c>
    </row>
    <row r="181" spans="1:41">
      <c r="A181" s="192"/>
      <c r="B181" s="189"/>
      <c r="C181" s="544"/>
      <c r="D181" s="199"/>
      <c r="E181" s="226"/>
      <c r="F181" s="651"/>
      <c r="G181" s="191"/>
      <c r="H181" s="200"/>
      <c r="I181" s="200"/>
      <c r="J181" s="200"/>
      <c r="K181" s="200"/>
      <c r="L181" s="200"/>
      <c r="M181" s="200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  <c r="AB181" s="200"/>
      <c r="AC181" s="200"/>
      <c r="AD181" s="200"/>
      <c r="AE181" s="200"/>
      <c r="AF181" s="200"/>
      <c r="AG181" s="200"/>
      <c r="AH181" s="200"/>
      <c r="AI181" s="200"/>
      <c r="AJ181" s="200"/>
      <c r="AK181" s="200"/>
      <c r="AL181" s="200"/>
      <c r="AM181" s="113">
        <f t="shared" si="2"/>
        <v>0</v>
      </c>
      <c r="AN181" s="540">
        <f>IF(AO181&lt;=3,(IF(AND(G181="5/24",AM181&gt;2),(AM181*2*база!$M$6*Таблица14[[#This Row],[коэф]]),
IF(AND(G181="4/24",AM181&gt;2),(AM181*2*база!$M$5*Таблица14[[#This Row],[коэф]]),
IF(AND(G181="3/24",AM181&gt;2),(AM181*2*база!$M$4*Таблица14[[#This Row],[коэф]]),
IF(AND(G181="5/16",AM181&gt;2),(AM181*2*база!$L$6*Таблица14[[#This Row],[коэф]]),
IF(AND(G181="4/16",AM181&gt;2),(AM181*2*база!$L$5*Таблица14[[#This Row],[коэф]]),
IF(AND(G181="3/16",AM181&gt;2),(AM181*2*база!$L$4*Таблица14[[#This Row],[коэф]]),
IF(AND(G181="4/4",AM181&gt;2),(AM181*2*база!$I$5*Таблица14[[#This Row],[коэф]]),
IF(AND(G181="3/4",AM181&gt;2),(AM181*2*база!$I$4*Таблица14[[#This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(AM181*2*база!$L$4*Таблица14[[#This Row],[коэф]]))))))))))))),
(IF(AND(G181="5/24",AM181&gt;2),(AM181*2*база!$M$6*Таблица14[[#This Row],[коэф]]),
IF(OR(AND(G181="4/24",AM181&gt;2),AND(G181="3/24",AM181&gt;2)),(AM181*2*база!$M$5*Таблица14[[#This Row],[коэф]]),
IF(AND(G181="5/16",AM181&gt;2),(AM181*2*база!$L$6*Таблица14[[#This Row],[коэф]]),
IF(OR(AND(G181="4/16",AM181&gt;2),AND(G181="3/16",AM181&gt;2)),(AM181*2*база!$L$5*Таблица14[[#This Row],[коэф]]),
IF(OR(AND(G181="4/4",AM181&gt;2),AND(G181="3/4",AM181&gt;2)),(AM181*2*база!$I$5*Таблица14[[#This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(AM181*2*база!$L$5*Таблица14[[#This Row],[коэф]])))))))))))</f>
        <v>0</v>
      </c>
      <c r="AO181" s="114">
        <f>IFERROR(INDEX(база!$D$2:$D$120, MATCH(Таблица14[[#This Row],[Ф. И. О.]],база!$B$2:$B$100,0)),"")</f>
        <v>0</v>
      </c>
    </row>
    <row r="182" spans="1:41">
      <c r="A182" s="192"/>
      <c r="B182" s="223"/>
      <c r="C182" s="544"/>
      <c r="D182" s="199"/>
      <c r="E182" s="224"/>
      <c r="F182" s="651"/>
      <c r="G182" s="225"/>
      <c r="H182" s="200"/>
      <c r="I182" s="200"/>
      <c r="J182" s="200"/>
      <c r="K182" s="200"/>
      <c r="L182" s="200"/>
      <c r="M182" s="200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200"/>
      <c r="Y182" s="200"/>
      <c r="Z182" s="200"/>
      <c r="AA182" s="200"/>
      <c r="AB182" s="200"/>
      <c r="AC182" s="200"/>
      <c r="AD182" s="200"/>
      <c r="AE182" s="200"/>
      <c r="AF182" s="200"/>
      <c r="AG182" s="200"/>
      <c r="AH182" s="200"/>
      <c r="AI182" s="200"/>
      <c r="AJ182" s="200"/>
      <c r="AK182" s="200"/>
      <c r="AL182" s="200"/>
      <c r="AM182" s="113">
        <f t="shared" si="2"/>
        <v>0</v>
      </c>
      <c r="AN182" s="540">
        <f>IF(AO182&lt;=3,(IF(AND(G182="5/24",AM182&gt;2),(AM182*2*база!$M$6*Таблица14[[#This Row],[коэф]]),
IF(AND(G182="4/24",AM182&gt;2),(AM182*2*база!$M$5*Таблица14[[#This Row],[коэф]]),
IF(AND(G182="3/24",AM182&gt;2),(AM182*2*база!$M$4*Таблица14[[#This Row],[коэф]]),
IF(AND(G182="5/16",AM182&gt;2),(AM182*2*база!$L$6*Таблица14[[#This Row],[коэф]]),
IF(AND(G182="4/16",AM182&gt;2),(AM182*2*база!$L$5*Таблица14[[#This Row],[коэф]]),
IF(AND(G182="3/16",AM182&gt;2),(AM182*2*база!$L$4*Таблица14[[#This Row],[коэф]]),
IF(AND(G182="4/4",AM182&gt;2),(AM182*2*база!$I$5*Таблица14[[#This Row],[коэф]]),
IF(AND(G182="3/4",AM182&gt;2),(AM182*2*база!$I$4*Таблица14[[#This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(AM182*2*база!$L$4*Таблица14[[#This Row],[коэф]]))))))))))))),
(IF(AND(G182="5/24",AM182&gt;2),(AM182*2*база!$M$6*Таблица14[[#This Row],[коэф]]),
IF(OR(AND(G182="4/24",AM182&gt;2),AND(G182="3/24",AM182&gt;2)),(AM182*2*база!$M$5*Таблица14[[#This Row],[коэф]]),
IF(AND(G182="5/16",AM182&gt;2),(AM182*2*база!$L$6*Таблица14[[#This Row],[коэф]]),
IF(OR(AND(G182="4/16",AM182&gt;2),AND(G182="3/16",AM182&gt;2)),(AM182*2*база!$L$5*Таблица14[[#This Row],[коэф]]),
IF(OR(AND(G182="4/4",AM182&gt;2),AND(G182="3/4",AM182&gt;2)),(AM182*2*база!$I$5*Таблица14[[#This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(AM182*2*база!$L$5*Таблица14[[#This Row],[коэф]])))))))))))</f>
        <v>0</v>
      </c>
      <c r="AO182" s="114">
        <f>IFERROR(INDEX(база!$D$2:$D$120, MATCH(Таблица14[[#This Row],[Ф. И. О.]],база!$B$2:$B$100,0)),"")</f>
        <v>0</v>
      </c>
    </row>
    <row r="183" spans="1:41">
      <c r="A183" s="192"/>
      <c r="B183" s="189"/>
      <c r="C183" s="544"/>
      <c r="D183" s="199"/>
      <c r="E183" s="226"/>
      <c r="F183" s="652"/>
      <c r="G183" s="191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200"/>
      <c r="Y183" s="200"/>
      <c r="Z183" s="200"/>
      <c r="AA183" s="200"/>
      <c r="AB183" s="200"/>
      <c r="AC183" s="200"/>
      <c r="AD183" s="200"/>
      <c r="AE183" s="200"/>
      <c r="AF183" s="200"/>
      <c r="AG183" s="200"/>
      <c r="AH183" s="200"/>
      <c r="AI183" s="200"/>
      <c r="AJ183" s="200"/>
      <c r="AK183" s="200"/>
      <c r="AL183" s="200"/>
      <c r="AM183" s="113">
        <f t="shared" si="2"/>
        <v>0</v>
      </c>
      <c r="AN183" s="540">
        <f>IF(AO183&lt;=3,(IF(AND(G183="5/24",AM183&gt;2),(AM183*2*база!$M$6*Таблица14[[#This Row],[коэф]]),
IF(AND(G183="4/24",AM183&gt;2),(AM183*2*база!$M$5*Таблица14[[#This Row],[коэф]]),
IF(AND(G183="3/24",AM183&gt;2),(AM183*2*база!$M$4*Таблица14[[#This Row],[коэф]]),
IF(AND(G183="5/16",AM183&gt;2),(AM183*2*база!$L$6*Таблица14[[#This Row],[коэф]]),
IF(AND(G183="4/16",AM183&gt;2),(AM183*2*база!$L$5*Таблица14[[#This Row],[коэф]]),
IF(AND(G183="3/16",AM183&gt;2),(AM183*2*база!$L$4*Таблица14[[#This Row],[коэф]]),
IF(AND(G183="4/4",AM183&gt;2),(AM183*2*база!$I$5*Таблица14[[#This Row],[коэф]]),
IF(AND(G183="3/4",AM183&gt;2),(AM183*2*база!$I$4*Таблица14[[#This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(AM183*2*база!$L$4*Таблица14[[#This Row],[коэф]]))))))))))))),
(IF(AND(G183="5/24",AM183&gt;2),(AM183*2*база!$M$6*Таблица14[[#This Row],[коэф]]),
IF(OR(AND(G183="4/24",AM183&gt;2),AND(G183="3/24",AM183&gt;2)),(AM183*2*база!$M$5*Таблица14[[#This Row],[коэф]]),
IF(AND(G183="5/16",AM183&gt;2),(AM183*2*база!$L$6*Таблица14[[#This Row],[коэф]]),
IF(OR(AND(G183="4/16",AM183&gt;2),AND(G183="3/16",AM183&gt;2)),(AM183*2*база!$L$5*Таблица14[[#This Row],[коэф]]),
IF(OR(AND(G183="4/4",AM183&gt;2),AND(G183="3/4",AM183&gt;2)),(AM183*2*база!$I$5*Таблица14[[#This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(AM183*2*база!$L$5*Таблица14[[#This Row],[коэф]])))))))))))</f>
        <v>0</v>
      </c>
      <c r="AO183" s="114">
        <f>IFERROR(INDEX(база!$D$2:$D$120, MATCH(Таблица14[[#This Row],[Ф. И. О.]],база!$B$2:$B$100,0)),"")</f>
        <v>0</v>
      </c>
    </row>
    <row r="184" spans="1:41">
      <c r="A184" s="192"/>
      <c r="B184" s="223"/>
      <c r="C184" s="544"/>
      <c r="D184" s="199"/>
      <c r="E184" s="224"/>
      <c r="F184" s="652"/>
      <c r="G184" s="225"/>
      <c r="H184" s="200"/>
      <c r="I184" s="200"/>
      <c r="J184" s="200"/>
      <c r="K184" s="200"/>
      <c r="L184" s="200"/>
      <c r="M184" s="200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200"/>
      <c r="Y184" s="200"/>
      <c r="Z184" s="200"/>
      <c r="AA184" s="200"/>
      <c r="AB184" s="200"/>
      <c r="AC184" s="200"/>
      <c r="AD184" s="200"/>
      <c r="AE184" s="200"/>
      <c r="AF184" s="200"/>
      <c r="AG184" s="200"/>
      <c r="AH184" s="200"/>
      <c r="AI184" s="200"/>
      <c r="AJ184" s="200"/>
      <c r="AK184" s="200"/>
      <c r="AL184" s="200"/>
      <c r="AM184" s="113">
        <f t="shared" si="2"/>
        <v>0</v>
      </c>
      <c r="AN184" s="540">
        <f>IF(AO184&lt;=3,(IF(AND(G184="5/24",AM184&gt;2),(AM184*2*база!$M$6*Таблица14[[#This Row],[коэф]]),
IF(AND(G184="4/24",AM184&gt;2),(AM184*2*база!$M$5*Таблица14[[#This Row],[коэф]]),
IF(AND(G184="3/24",AM184&gt;2),(AM184*2*база!$M$4*Таблица14[[#This Row],[коэф]]),
IF(AND(G184="5/16",AM184&gt;2),(AM184*2*база!$L$6*Таблица14[[#This Row],[коэф]]),
IF(AND(G184="4/16",AM184&gt;2),(AM184*2*база!$L$5*Таблица14[[#This Row],[коэф]]),
IF(AND(G184="3/16",AM184&gt;2),(AM184*2*база!$L$4*Таблица14[[#This Row],[коэф]]),
IF(AND(G184="4/4",AM184&gt;2),(AM184*2*база!$I$5*Таблица14[[#This Row],[коэф]]),
IF(AND(G184="3/4",AM184&gt;2),(AM184*2*база!$I$4*Таблица14[[#This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(AM184*2*база!$L$4*Таблица14[[#This Row],[коэф]]))))))))))))),
(IF(AND(G184="5/24",AM184&gt;2),(AM184*2*база!$M$6*Таблица14[[#This Row],[коэф]]),
IF(OR(AND(G184="4/24",AM184&gt;2),AND(G184="3/24",AM184&gt;2)),(AM184*2*база!$M$5*Таблица14[[#This Row],[коэф]]),
IF(AND(G184="5/16",AM184&gt;2),(AM184*2*база!$L$6*Таблица14[[#This Row],[коэф]]),
IF(OR(AND(G184="4/16",AM184&gt;2),AND(G184="3/16",AM184&gt;2)),(AM184*2*база!$L$5*Таблица14[[#This Row],[коэф]]),
IF(OR(AND(G184="4/4",AM184&gt;2),AND(G184="3/4",AM184&gt;2)),(AM184*2*база!$I$5*Таблица14[[#This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(AM184*2*база!$L$5*Таблица14[[#This Row],[коэф]])))))))))))</f>
        <v>0</v>
      </c>
      <c r="AO184" s="114">
        <f>IFERROR(INDEX(база!$D$2:$D$120, MATCH(Таблица14[[#This Row],[Ф. И. О.]],база!$B$2:$B$100,0)),"")</f>
        <v>0</v>
      </c>
    </row>
    <row r="185" spans="1:41">
      <c r="A185" s="192"/>
      <c r="B185" s="189"/>
      <c r="C185" s="544"/>
      <c r="D185" s="199"/>
      <c r="E185" s="226"/>
      <c r="F185" s="644"/>
      <c r="G185" s="191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  <c r="AA185" s="200"/>
      <c r="AB185" s="200"/>
      <c r="AC185" s="200"/>
      <c r="AD185" s="200"/>
      <c r="AE185" s="200"/>
      <c r="AF185" s="200"/>
      <c r="AG185" s="200"/>
      <c r="AH185" s="200"/>
      <c r="AI185" s="200"/>
      <c r="AJ185" s="200"/>
      <c r="AK185" s="200"/>
      <c r="AL185" s="200"/>
      <c r="AM185" s="113">
        <f t="shared" si="2"/>
        <v>0</v>
      </c>
      <c r="AN185" s="540">
        <f>IF(AO185&lt;=3,(IF(AND(G185="5/24",AM185&gt;2),(AM185*2*база!$M$6*Таблица14[[#This Row],[коэф]]),
IF(AND(G185="4/24",AM185&gt;2),(AM185*2*база!$M$5*Таблица14[[#This Row],[коэф]]),
IF(AND(G185="3/24",AM185&gt;2),(AM185*2*база!$M$4*Таблица14[[#This Row],[коэф]]),
IF(AND(G185="5/16",AM185&gt;2),(AM185*2*база!$L$6*Таблица14[[#This Row],[коэф]]),
IF(AND(G185="4/16",AM185&gt;2),(AM185*2*база!$L$5*Таблица14[[#This Row],[коэф]]),
IF(AND(G185="3/16",AM185&gt;2),(AM185*2*база!$L$4*Таблица14[[#This Row],[коэф]]),
IF(AND(G185="4/4",AM185&gt;2),(AM185*2*база!$I$5*Таблица14[[#This Row],[коэф]]),
IF(AND(G185="3/4",AM185&gt;2),(AM185*2*база!$I$4*Таблица14[[#This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(AM185*2*база!$L$4*Таблица14[[#This Row],[коэф]]))))))))))))),
(IF(AND(G185="5/24",AM185&gt;2),(AM185*2*база!$M$6*Таблица14[[#This Row],[коэф]]),
IF(OR(AND(G185="4/24",AM185&gt;2),AND(G185="3/24",AM185&gt;2)),(AM185*2*база!$M$5*Таблица14[[#This Row],[коэф]]),
IF(AND(G185="5/16",AM185&gt;2),(AM185*2*база!$L$6*Таблица14[[#This Row],[коэф]]),
IF(OR(AND(G185="4/16",AM185&gt;2),AND(G185="3/16",AM185&gt;2)),(AM185*2*база!$L$5*Таблица14[[#This Row],[коэф]]),
IF(OR(AND(G185="4/4",AM185&gt;2),AND(G185="3/4",AM185&gt;2)),(AM185*2*база!$I$5*Таблица14[[#This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(AM185*2*база!$L$5*Таблица14[[#This Row],[коэф]])))))))))))</f>
        <v>0</v>
      </c>
      <c r="AO185" s="114">
        <f>IFERROR(INDEX(база!$D$2:$D$120, MATCH(Таблица14[[#This Row],[Ф. И. О.]],база!$B$2:$B$100,0)),"")</f>
        <v>0</v>
      </c>
    </row>
    <row r="186" spans="1:41">
      <c r="A186" s="192"/>
      <c r="B186" s="223"/>
      <c r="C186" s="544"/>
      <c r="D186" s="199"/>
      <c r="E186" s="224"/>
      <c r="F186" s="644"/>
      <c r="G186" s="225"/>
      <c r="H186" s="200"/>
      <c r="I186" s="200"/>
      <c r="J186" s="200"/>
      <c r="K186" s="200"/>
      <c r="L186" s="200"/>
      <c r="M186" s="200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200"/>
      <c r="Y186" s="200"/>
      <c r="Z186" s="200"/>
      <c r="AA186" s="200"/>
      <c r="AB186" s="200"/>
      <c r="AC186" s="200"/>
      <c r="AD186" s="200"/>
      <c r="AE186" s="200"/>
      <c r="AF186" s="200"/>
      <c r="AG186" s="200"/>
      <c r="AH186" s="200"/>
      <c r="AI186" s="200"/>
      <c r="AJ186" s="200"/>
      <c r="AK186" s="200"/>
      <c r="AL186" s="200"/>
      <c r="AM186" s="113">
        <f t="shared" si="2"/>
        <v>0</v>
      </c>
      <c r="AN186" s="540">
        <f>IF(AO186&lt;=3,(IF(AND(G186="5/24",AM186&gt;2),(AM186*2*база!$M$6*Таблица14[[#This Row],[коэф]]),
IF(AND(G186="4/24",AM186&gt;2),(AM186*2*база!$M$5*Таблица14[[#This Row],[коэф]]),
IF(AND(G186="3/24",AM186&gt;2),(AM186*2*база!$M$4*Таблица14[[#This Row],[коэф]]),
IF(AND(G186="5/16",AM186&gt;2),(AM186*2*база!$L$6*Таблица14[[#This Row],[коэф]]),
IF(AND(G186="4/16",AM186&gt;2),(AM186*2*база!$L$5*Таблица14[[#This Row],[коэф]]),
IF(AND(G186="3/16",AM186&gt;2),(AM186*2*база!$L$4*Таблица14[[#This Row],[коэф]]),
IF(AND(G186="4/4",AM186&gt;2),(AM186*2*база!$I$5*Таблица14[[#This Row],[коэф]]),
IF(AND(G186="3/4",AM186&gt;2),(AM186*2*база!$I$4*Таблица14[[#This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(AM186*2*база!$L$4*Таблица14[[#This Row],[коэф]]))))))))))))),
(IF(AND(G186="5/24",AM186&gt;2),(AM186*2*база!$M$6*Таблица14[[#This Row],[коэф]]),
IF(OR(AND(G186="4/24",AM186&gt;2),AND(G186="3/24",AM186&gt;2)),(AM186*2*база!$M$5*Таблица14[[#This Row],[коэф]]),
IF(AND(G186="5/16",AM186&gt;2),(AM186*2*база!$L$6*Таблица14[[#This Row],[коэф]]),
IF(OR(AND(G186="4/16",AM186&gt;2),AND(G186="3/16",AM186&gt;2)),(AM186*2*база!$L$5*Таблица14[[#This Row],[коэф]]),
IF(OR(AND(G186="4/4",AM186&gt;2),AND(G186="3/4",AM186&gt;2)),(AM186*2*база!$I$5*Таблица14[[#This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(AM186*2*база!$L$5*Таблица14[[#This Row],[коэф]])))))))))))</f>
        <v>0</v>
      </c>
      <c r="AO186" s="114">
        <f>IFERROR(INDEX(база!$D$2:$D$120, MATCH(Таблица14[[#This Row],[Ф. И. О.]],база!$B$2:$B$100,0)),"")</f>
        <v>0</v>
      </c>
    </row>
    <row r="187" spans="1:41">
      <c r="A187" s="192"/>
      <c r="B187" s="189"/>
      <c r="C187" s="544"/>
      <c r="D187" s="199"/>
      <c r="E187" s="226"/>
      <c r="F187" s="644"/>
      <c r="G187" s="191"/>
      <c r="H187" s="200"/>
      <c r="I187" s="200"/>
      <c r="J187" s="200"/>
      <c r="K187" s="200"/>
      <c r="L187" s="200"/>
      <c r="M187" s="200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200"/>
      <c r="Y187" s="200"/>
      <c r="Z187" s="200"/>
      <c r="AA187" s="200"/>
      <c r="AB187" s="200"/>
      <c r="AC187" s="200"/>
      <c r="AD187" s="200"/>
      <c r="AE187" s="200"/>
      <c r="AF187" s="200"/>
      <c r="AG187" s="200"/>
      <c r="AH187" s="200"/>
      <c r="AI187" s="200"/>
      <c r="AJ187" s="200"/>
      <c r="AK187" s="200"/>
      <c r="AL187" s="200"/>
      <c r="AM187" s="113">
        <f t="shared" si="2"/>
        <v>0</v>
      </c>
      <c r="AN187" s="540">
        <f>IF(AO187&lt;=3,(IF(AND(G187="5/24",AM187&gt;2),(AM187*2*база!$M$6*Таблица14[[#This Row],[коэф]]),
IF(AND(G187="4/24",AM187&gt;2),(AM187*2*база!$M$5*Таблица14[[#This Row],[коэф]]),
IF(AND(G187="3/24",AM187&gt;2),(AM187*2*база!$M$4*Таблица14[[#This Row],[коэф]]),
IF(AND(G187="5/16",AM187&gt;2),(AM187*2*база!$L$6*Таблица14[[#This Row],[коэф]]),
IF(AND(G187="4/16",AM187&gt;2),(AM187*2*база!$L$5*Таблица14[[#This Row],[коэф]]),
IF(AND(G187="3/16",AM187&gt;2),(AM187*2*база!$L$4*Таблица14[[#This Row],[коэф]]),
IF(AND(G187="4/4",AM187&gt;2),(AM187*2*база!$I$5*Таблица14[[#This Row],[коэф]]),
IF(AND(G187="3/4",AM187&gt;2),(AM187*2*база!$I$4*Таблица14[[#This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(AM187*2*база!$L$4*Таблица14[[#This Row],[коэф]]))))))))))))),
(IF(AND(G187="5/24",AM187&gt;2),(AM187*2*база!$M$6*Таблица14[[#This Row],[коэф]]),
IF(OR(AND(G187="4/24",AM187&gt;2),AND(G187="3/24",AM187&gt;2)),(AM187*2*база!$M$5*Таблица14[[#This Row],[коэф]]),
IF(AND(G187="5/16",AM187&gt;2),(AM187*2*база!$L$6*Таблица14[[#This Row],[коэф]]),
IF(OR(AND(G187="4/16",AM187&gt;2),AND(G187="3/16",AM187&gt;2)),(AM187*2*база!$L$5*Таблица14[[#This Row],[коэф]]),
IF(OR(AND(G187="4/4",AM187&gt;2),AND(G187="3/4",AM187&gt;2)),(AM187*2*база!$I$5*Таблица14[[#This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(AM187*2*база!$L$5*Таблица14[[#This Row],[коэф]])))))))))))</f>
        <v>0</v>
      </c>
      <c r="AO187" s="114">
        <f>IFERROR(INDEX(база!$D$2:$D$120, MATCH(Таблица14[[#This Row],[Ф. И. О.]],база!$B$2:$B$100,0)),"")</f>
        <v>0</v>
      </c>
    </row>
    <row r="188" spans="1:41">
      <c r="A188" s="192"/>
      <c r="B188" s="223"/>
      <c r="C188" s="544"/>
      <c r="D188" s="199"/>
      <c r="E188" s="224"/>
      <c r="F188" s="644"/>
      <c r="G188" s="225"/>
      <c r="H188" s="200"/>
      <c r="I188" s="200"/>
      <c r="J188" s="200"/>
      <c r="K188" s="200"/>
      <c r="L188" s="200"/>
      <c r="M188" s="200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200"/>
      <c r="Y188" s="200"/>
      <c r="Z188" s="200"/>
      <c r="AA188" s="200"/>
      <c r="AB188" s="200"/>
      <c r="AC188" s="200"/>
      <c r="AD188" s="200"/>
      <c r="AE188" s="200"/>
      <c r="AF188" s="200"/>
      <c r="AG188" s="200"/>
      <c r="AH188" s="200"/>
      <c r="AI188" s="200"/>
      <c r="AJ188" s="200"/>
      <c r="AK188" s="200"/>
      <c r="AL188" s="200"/>
      <c r="AM188" s="113">
        <f t="shared" si="2"/>
        <v>0</v>
      </c>
      <c r="AN188" s="540">
        <f>IF(AO188&lt;=3,(IF(AND(G188="5/24",AM188&gt;2),(AM188*2*база!$M$6*Таблица14[[#This Row],[коэф]]),
IF(AND(G188="4/24",AM188&gt;2),(AM188*2*база!$M$5*Таблица14[[#This Row],[коэф]]),
IF(AND(G188="3/24",AM188&gt;2),(AM188*2*база!$M$4*Таблица14[[#This Row],[коэф]]),
IF(AND(G188="5/16",AM188&gt;2),(AM188*2*база!$L$6*Таблица14[[#This Row],[коэф]]),
IF(AND(G188="4/16",AM188&gt;2),(AM188*2*база!$L$5*Таблица14[[#This Row],[коэф]]),
IF(AND(G188="3/16",AM188&gt;2),(AM188*2*база!$L$4*Таблица14[[#This Row],[коэф]]),
IF(AND(G188="4/4",AM188&gt;2),(AM188*2*база!$I$5*Таблица14[[#This Row],[коэф]]),
IF(AND(G188="3/4",AM188&gt;2),(AM188*2*база!$I$4*Таблица14[[#This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(AM188*2*база!$L$4*Таблица14[[#This Row],[коэф]]))))))))))))),
(IF(AND(G188="5/24",AM188&gt;2),(AM188*2*база!$M$6*Таблица14[[#This Row],[коэф]]),
IF(OR(AND(G188="4/24",AM188&gt;2),AND(G188="3/24",AM188&gt;2)),(AM188*2*база!$M$5*Таблица14[[#This Row],[коэф]]),
IF(AND(G188="5/16",AM188&gt;2),(AM188*2*база!$L$6*Таблица14[[#This Row],[коэф]]),
IF(OR(AND(G188="4/16",AM188&gt;2),AND(G188="3/16",AM188&gt;2)),(AM188*2*база!$L$5*Таблица14[[#This Row],[коэф]]),
IF(OR(AND(G188="4/4",AM188&gt;2),AND(G188="3/4",AM188&gt;2)),(AM188*2*база!$I$5*Таблица14[[#This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(AM188*2*база!$L$5*Таблица14[[#This Row],[коэф]])))))))))))</f>
        <v>0</v>
      </c>
      <c r="AO188" s="114">
        <f>IFERROR(INDEX(база!$D$2:$D$120, MATCH(Таблица14[[#This Row],[Ф. И. О.]],база!$B$2:$B$100,0)),"")</f>
        <v>0</v>
      </c>
    </row>
    <row r="189" spans="1:41">
      <c r="A189" s="192"/>
      <c r="B189" s="189"/>
      <c r="C189" s="544"/>
      <c r="D189" s="199"/>
      <c r="E189" s="226"/>
      <c r="F189" s="644"/>
      <c r="G189" s="191"/>
      <c r="H189" s="200"/>
      <c r="I189" s="200"/>
      <c r="J189" s="200"/>
      <c r="K189" s="200"/>
      <c r="L189" s="200"/>
      <c r="M189" s="200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200"/>
      <c r="Y189" s="200"/>
      <c r="Z189" s="200"/>
      <c r="AA189" s="200"/>
      <c r="AB189" s="200"/>
      <c r="AC189" s="200"/>
      <c r="AD189" s="200"/>
      <c r="AE189" s="200"/>
      <c r="AF189" s="200"/>
      <c r="AG189" s="200"/>
      <c r="AH189" s="200"/>
      <c r="AI189" s="200"/>
      <c r="AJ189" s="200"/>
      <c r="AK189" s="200"/>
      <c r="AL189" s="200"/>
      <c r="AM189" s="113">
        <f t="shared" si="2"/>
        <v>0</v>
      </c>
      <c r="AN189" s="540">
        <f>IF(AO189&lt;=3,(IF(AND(G189="5/24",AM189&gt;2),(AM189*2*база!$M$6*Таблица14[[#This Row],[коэф]]),
IF(AND(G189="4/24",AM189&gt;2),(AM189*2*база!$M$5*Таблица14[[#This Row],[коэф]]),
IF(AND(G189="3/24",AM189&gt;2),(AM189*2*база!$M$4*Таблица14[[#This Row],[коэф]]),
IF(AND(G189="5/16",AM189&gt;2),(AM189*2*база!$L$6*Таблица14[[#This Row],[коэф]]),
IF(AND(G189="4/16",AM189&gt;2),(AM189*2*база!$L$5*Таблица14[[#This Row],[коэф]]),
IF(AND(G189="3/16",AM189&gt;2),(AM189*2*база!$L$4*Таблица14[[#This Row],[коэф]]),
IF(AND(G189="4/4",AM189&gt;2),(AM189*2*база!$I$5*Таблица14[[#This Row],[коэф]]),
IF(AND(G189="3/4",AM189&gt;2),(AM189*2*база!$I$4*Таблица14[[#This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(AM189*2*база!$L$4*Таблица14[[#This Row],[коэф]]))))))))))))),
(IF(AND(G189="5/24",AM189&gt;2),(AM189*2*база!$M$6*Таблица14[[#This Row],[коэф]]),
IF(OR(AND(G189="4/24",AM189&gt;2),AND(G189="3/24",AM189&gt;2)),(AM189*2*база!$M$5*Таблица14[[#This Row],[коэф]]),
IF(AND(G189="5/16",AM189&gt;2),(AM189*2*база!$L$6*Таблица14[[#This Row],[коэф]]),
IF(OR(AND(G189="4/16",AM189&gt;2),AND(G189="3/16",AM189&gt;2)),(AM189*2*база!$L$5*Таблица14[[#This Row],[коэф]]),
IF(OR(AND(G189="4/4",AM189&gt;2),AND(G189="3/4",AM189&gt;2)),(AM189*2*база!$I$5*Таблица14[[#This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(AM189*2*база!$L$5*Таблица14[[#This Row],[коэф]])))))))))))</f>
        <v>0</v>
      </c>
      <c r="AO189" s="114">
        <f>IFERROR(INDEX(база!$D$2:$D$120, MATCH(Таблица14[[#This Row],[Ф. И. О.]],база!$B$2:$B$100,0)),"")</f>
        <v>0</v>
      </c>
    </row>
    <row r="190" spans="1:41">
      <c r="A190" s="192"/>
      <c r="B190" s="223"/>
      <c r="C190" s="544"/>
      <c r="D190" s="199"/>
      <c r="E190" s="224"/>
      <c r="F190" s="644"/>
      <c r="G190" s="225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200"/>
      <c r="Y190" s="200"/>
      <c r="Z190" s="200"/>
      <c r="AA190" s="200"/>
      <c r="AB190" s="200"/>
      <c r="AC190" s="200"/>
      <c r="AD190" s="200"/>
      <c r="AE190" s="200"/>
      <c r="AF190" s="200"/>
      <c r="AG190" s="200"/>
      <c r="AH190" s="200"/>
      <c r="AI190" s="200"/>
      <c r="AJ190" s="200"/>
      <c r="AK190" s="200"/>
      <c r="AL190" s="200"/>
      <c r="AM190" s="113">
        <f t="shared" si="2"/>
        <v>0</v>
      </c>
      <c r="AN190" s="540">
        <f>IF(AO190&lt;=3,(IF(AND(G190="5/24",AM190&gt;2),(AM190*2*база!$M$6*Таблица14[[#This Row],[коэф]]),
IF(AND(G190="4/24",AM190&gt;2),(AM190*2*база!$M$5*Таблица14[[#This Row],[коэф]]),
IF(AND(G190="3/24",AM190&gt;2),(AM190*2*база!$M$4*Таблица14[[#This Row],[коэф]]),
IF(AND(G190="5/16",AM190&gt;2),(AM190*2*база!$L$6*Таблица14[[#This Row],[коэф]]),
IF(AND(G190="4/16",AM190&gt;2),(AM190*2*база!$L$5*Таблица14[[#This Row],[коэф]]),
IF(AND(G190="3/16",AM190&gt;2),(AM190*2*база!$L$4*Таблица14[[#This Row],[коэф]]),
IF(AND(G190="4/4",AM190&gt;2),(AM190*2*база!$I$5*Таблица14[[#This Row],[коэф]]),
IF(AND(G190="3/4",AM190&gt;2),(AM190*2*база!$I$4*Таблица14[[#This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(AM190*2*база!$L$4*Таблица14[[#This Row],[коэф]]))))))))))))),
(IF(AND(G190="5/24",AM190&gt;2),(AM190*2*база!$M$6*Таблица14[[#This Row],[коэф]]),
IF(OR(AND(G190="4/24",AM190&gt;2),AND(G190="3/24",AM190&gt;2)),(AM190*2*база!$M$5*Таблица14[[#This Row],[коэф]]),
IF(AND(G190="5/16",AM190&gt;2),(AM190*2*база!$L$6*Таблица14[[#This Row],[коэф]]),
IF(OR(AND(G190="4/16",AM190&gt;2),AND(G190="3/16",AM190&gt;2)),(AM190*2*база!$L$5*Таблица14[[#This Row],[коэф]]),
IF(OR(AND(G190="4/4",AM190&gt;2),AND(G190="3/4",AM190&gt;2)),(AM190*2*база!$I$5*Таблица14[[#This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(AM190*2*база!$L$5*Таблица14[[#This Row],[коэф]])))))))))))</f>
        <v>0</v>
      </c>
      <c r="AO190" s="114">
        <f>IFERROR(INDEX(база!$D$2:$D$120, MATCH(Таблица14[[#This Row],[Ф. И. О.]],база!$B$2:$B$100,0)),"")</f>
        <v>0</v>
      </c>
    </row>
    <row r="191" spans="1:41">
      <c r="A191" s="192"/>
      <c r="B191" s="189"/>
      <c r="C191" s="544"/>
      <c r="D191" s="199"/>
      <c r="E191" s="226"/>
      <c r="F191" s="644"/>
      <c r="G191" s="191"/>
      <c r="H191" s="200"/>
      <c r="I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200"/>
      <c r="Y191" s="200"/>
      <c r="Z191" s="200"/>
      <c r="AA191" s="200"/>
      <c r="AB191" s="200"/>
      <c r="AC191" s="200"/>
      <c r="AD191" s="200"/>
      <c r="AE191" s="200"/>
      <c r="AF191" s="200"/>
      <c r="AG191" s="200"/>
      <c r="AH191" s="200"/>
      <c r="AI191" s="200"/>
      <c r="AJ191" s="200"/>
      <c r="AK191" s="200"/>
      <c r="AL191" s="200"/>
      <c r="AM191" s="113">
        <f t="shared" si="2"/>
        <v>0</v>
      </c>
      <c r="AN191" s="540">
        <f>IF(AO191&lt;=3,(IF(AND(G191="5/24",AM191&gt;2),(AM191*2*база!$M$6*Таблица14[[#This Row],[коэф]]),
IF(AND(G191="4/24",AM191&gt;2),(AM191*2*база!$M$5*Таблица14[[#This Row],[коэф]]),
IF(AND(G191="3/24",AM191&gt;2),(AM191*2*база!$M$4*Таблица14[[#This Row],[коэф]]),
IF(AND(G191="5/16",AM191&gt;2),(AM191*2*база!$L$6*Таблица14[[#This Row],[коэф]]),
IF(AND(G191="4/16",AM191&gt;2),(AM191*2*база!$L$5*Таблица14[[#This Row],[коэф]]),
IF(AND(G191="3/16",AM191&gt;2),(AM191*2*база!$L$4*Таблица14[[#This Row],[коэф]]),
IF(AND(G191="4/4",AM191&gt;2),(AM191*2*база!$I$5*Таблица14[[#This Row],[коэф]]),
IF(AND(G191="3/4",AM191&gt;2),(AM191*2*база!$I$4*Таблица14[[#This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(AM191*2*база!$L$4*Таблица14[[#This Row],[коэф]]))))))))))))),
(IF(AND(G191="5/24",AM191&gt;2),(AM191*2*база!$M$6*Таблица14[[#This Row],[коэф]]),
IF(OR(AND(G191="4/24",AM191&gt;2),AND(G191="3/24",AM191&gt;2)),(AM191*2*база!$M$5*Таблица14[[#This Row],[коэф]]),
IF(AND(G191="5/16",AM191&gt;2),(AM191*2*база!$L$6*Таблица14[[#This Row],[коэф]]),
IF(OR(AND(G191="4/16",AM191&gt;2),AND(G191="3/16",AM191&gt;2)),(AM191*2*база!$L$5*Таблица14[[#This Row],[коэф]]),
IF(OR(AND(G191="4/4",AM191&gt;2),AND(G191="3/4",AM191&gt;2)),(AM191*2*база!$I$5*Таблица14[[#This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(AM191*2*база!$L$5*Таблица14[[#This Row],[коэф]])))))))))))</f>
        <v>0</v>
      </c>
      <c r="AO191" s="114">
        <f>IFERROR(INDEX(база!$D$2:$D$120, MATCH(Таблица14[[#This Row],[Ф. И. О.]],база!$B$2:$B$100,0)),"")</f>
        <v>0</v>
      </c>
    </row>
    <row r="192" spans="1:41">
      <c r="A192" s="192"/>
      <c r="B192" s="223"/>
      <c r="C192" s="544"/>
      <c r="D192" s="199"/>
      <c r="E192" s="224"/>
      <c r="F192" s="644"/>
      <c r="G192" s="225"/>
      <c r="H192" s="200"/>
      <c r="I192" s="200"/>
      <c r="J192" s="200"/>
      <c r="K192" s="200"/>
      <c r="L192" s="200"/>
      <c r="M192" s="200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200"/>
      <c r="Y192" s="200"/>
      <c r="Z192" s="200"/>
      <c r="AA192" s="200"/>
      <c r="AB192" s="200"/>
      <c r="AC192" s="200"/>
      <c r="AD192" s="200"/>
      <c r="AE192" s="200"/>
      <c r="AF192" s="200"/>
      <c r="AG192" s="200"/>
      <c r="AH192" s="200"/>
      <c r="AI192" s="200"/>
      <c r="AJ192" s="200"/>
      <c r="AK192" s="200"/>
      <c r="AL192" s="200"/>
      <c r="AM192" s="113">
        <f t="shared" si="2"/>
        <v>0</v>
      </c>
      <c r="AN192" s="540">
        <f>IF(AO192&lt;=3,(IF(AND(G192="5/24",AM192&gt;2),(AM192*2*база!$M$6*Таблица14[[#This Row],[коэф]]),
IF(AND(G192="4/24",AM192&gt;2),(AM192*2*база!$M$5*Таблица14[[#This Row],[коэф]]),
IF(AND(G192="3/24",AM192&gt;2),(AM192*2*база!$M$4*Таблица14[[#This Row],[коэф]]),
IF(AND(G192="5/16",AM192&gt;2),(AM192*2*база!$L$6*Таблица14[[#This Row],[коэф]]),
IF(AND(G192="4/16",AM192&gt;2),(AM192*2*база!$L$5*Таблица14[[#This Row],[коэф]]),
IF(AND(G192="3/16",AM192&gt;2),(AM192*2*база!$L$4*Таблица14[[#This Row],[коэф]]),
IF(AND(G192="4/4",AM192&gt;2),(AM192*2*база!$I$5*Таблица14[[#This Row],[коэф]]),
IF(AND(G192="3/4",AM192&gt;2),(AM192*2*база!$I$4*Таблица14[[#This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(AM192*2*база!$L$4*Таблица14[[#This Row],[коэф]]))))))))))))),
(IF(AND(G192="5/24",AM192&gt;2),(AM192*2*база!$M$6*Таблица14[[#This Row],[коэф]]),
IF(OR(AND(G192="4/24",AM192&gt;2),AND(G192="3/24",AM192&gt;2)),(AM192*2*база!$M$5*Таблица14[[#This Row],[коэф]]),
IF(AND(G192="5/16",AM192&gt;2),(AM192*2*база!$L$6*Таблица14[[#This Row],[коэф]]),
IF(OR(AND(G192="4/16",AM192&gt;2),AND(G192="3/16",AM192&gt;2)),(AM192*2*база!$L$5*Таблица14[[#This Row],[коэф]]),
IF(OR(AND(G192="4/4",AM192&gt;2),AND(G192="3/4",AM192&gt;2)),(AM192*2*база!$I$5*Таблица14[[#This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(AM192*2*база!$L$5*Таблица14[[#This Row],[коэф]])))))))))))</f>
        <v>0</v>
      </c>
      <c r="AO192" s="114">
        <f>IFERROR(INDEX(база!$D$2:$D$120, MATCH(Таблица14[[#This Row],[Ф. И. О.]],база!$B$2:$B$100,0)),"")</f>
        <v>0</v>
      </c>
    </row>
    <row r="193" spans="1:41">
      <c r="A193" s="192"/>
      <c r="B193" s="189"/>
      <c r="C193" s="544"/>
      <c r="D193" s="199"/>
      <c r="E193" s="226"/>
      <c r="F193" s="644"/>
      <c r="G193" s="191"/>
      <c r="H193" s="200"/>
      <c r="I193" s="200"/>
      <c r="J193" s="200"/>
      <c r="K193" s="200"/>
      <c r="L193" s="200"/>
      <c r="M193" s="200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200"/>
      <c r="Y193" s="200"/>
      <c r="Z193" s="200"/>
      <c r="AA193" s="200"/>
      <c r="AB193" s="200"/>
      <c r="AC193" s="200"/>
      <c r="AD193" s="200"/>
      <c r="AE193" s="200"/>
      <c r="AF193" s="200"/>
      <c r="AG193" s="200"/>
      <c r="AH193" s="200"/>
      <c r="AI193" s="200"/>
      <c r="AJ193" s="200"/>
      <c r="AK193" s="200"/>
      <c r="AL193" s="200"/>
      <c r="AM193" s="113">
        <f t="shared" si="2"/>
        <v>0</v>
      </c>
      <c r="AN193" s="540">
        <f>IF(AO193&lt;=3,(IF(AND(G193="5/24",AM193&gt;2),(AM193*2*база!$M$6*Таблица14[[#This Row],[коэф]]),
IF(AND(G193="4/24",AM193&gt;2),(AM193*2*база!$M$5*Таблица14[[#This Row],[коэф]]),
IF(AND(G193="3/24",AM193&gt;2),(AM193*2*база!$M$4*Таблица14[[#This Row],[коэф]]),
IF(AND(G193="5/16",AM193&gt;2),(AM193*2*база!$L$6*Таблица14[[#This Row],[коэф]]),
IF(AND(G193="4/16",AM193&gt;2),(AM193*2*база!$L$5*Таблица14[[#This Row],[коэф]]),
IF(AND(G193="3/16",AM193&gt;2),(AM193*2*база!$L$4*Таблица14[[#This Row],[коэф]]),
IF(AND(G193="4/4",AM193&gt;2),(AM193*2*база!$I$5*Таблица14[[#This Row],[коэф]]),
IF(AND(G193="3/4",AM193&gt;2),(AM193*2*база!$I$4*Таблица14[[#This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(AM193*2*база!$L$4*Таблица14[[#This Row],[коэф]]))))))))))))),
(IF(AND(G193="5/24",AM193&gt;2),(AM193*2*база!$M$6*Таблица14[[#This Row],[коэф]]),
IF(OR(AND(G193="4/24",AM193&gt;2),AND(G193="3/24",AM193&gt;2)),(AM193*2*база!$M$5*Таблица14[[#This Row],[коэф]]),
IF(AND(G193="5/16",AM193&gt;2),(AM193*2*база!$L$6*Таблица14[[#This Row],[коэф]]),
IF(OR(AND(G193="4/16",AM193&gt;2),AND(G193="3/16",AM193&gt;2)),(AM193*2*база!$L$5*Таблица14[[#This Row],[коэф]]),
IF(OR(AND(G193="4/4",AM193&gt;2),AND(G193="3/4",AM193&gt;2)),(AM193*2*база!$I$5*Таблица14[[#This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(AM193*2*база!$L$5*Таблица14[[#This Row],[коэф]])))))))))))</f>
        <v>0</v>
      </c>
      <c r="AO193" s="114">
        <f>IFERROR(INDEX(база!$D$2:$D$120, MATCH(Таблица14[[#This Row],[Ф. И. О.]],база!$B$2:$B$100,0)),"")</f>
        <v>0</v>
      </c>
    </row>
    <row r="194" spans="1:41">
      <c r="A194" s="192"/>
      <c r="B194" s="223"/>
      <c r="C194" s="544"/>
      <c r="D194" s="199"/>
      <c r="E194" s="224"/>
      <c r="F194" s="679"/>
      <c r="G194" s="225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200"/>
      <c r="Y194" s="200"/>
      <c r="Z194" s="200"/>
      <c r="AA194" s="200"/>
      <c r="AB194" s="200"/>
      <c r="AC194" s="200"/>
      <c r="AD194" s="200"/>
      <c r="AE194" s="200"/>
      <c r="AF194" s="200"/>
      <c r="AG194" s="200"/>
      <c r="AH194" s="200"/>
      <c r="AI194" s="200"/>
      <c r="AJ194" s="200"/>
      <c r="AK194" s="200"/>
      <c r="AL194" s="200"/>
      <c r="AM194" s="113">
        <f t="shared" si="2"/>
        <v>0</v>
      </c>
      <c r="AN194" s="540">
        <f>IF(AO194&lt;=3,(IF(AND(G194="5/24",AM194&gt;2),(AM194*2*база!$M$6*Таблица14[[#This Row],[коэф]]),
IF(AND(G194="4/24",AM194&gt;2),(AM194*2*база!$M$5*Таблица14[[#This Row],[коэф]]),
IF(AND(G194="3/24",AM194&gt;2),(AM194*2*база!$M$4*Таблица14[[#This Row],[коэф]]),
IF(AND(G194="5/16",AM194&gt;2),(AM194*2*база!$L$6*Таблица14[[#This Row],[коэф]]),
IF(AND(G194="4/16",AM194&gt;2),(AM194*2*база!$L$5*Таблица14[[#This Row],[коэф]]),
IF(AND(G194="3/16",AM194&gt;2),(AM194*2*база!$L$4*Таблица14[[#This Row],[коэф]]),
IF(AND(G194="4/4",AM194&gt;2),(AM194*2*база!$I$5*Таблица14[[#This Row],[коэф]]),
IF(AND(G194="3/4",AM194&gt;2),(AM194*2*база!$I$4*Таблица14[[#This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(AM194*2*база!$L$4*Таблица14[[#This Row],[коэф]]))))))))))))),
(IF(AND(G194="5/24",AM194&gt;2),(AM194*2*база!$M$6*Таблица14[[#This Row],[коэф]]),
IF(OR(AND(G194="4/24",AM194&gt;2),AND(G194="3/24",AM194&gt;2)),(AM194*2*база!$M$5*Таблица14[[#This Row],[коэф]]),
IF(AND(G194="5/16",AM194&gt;2),(AM194*2*база!$L$6*Таблица14[[#This Row],[коэф]]),
IF(OR(AND(G194="4/16",AM194&gt;2),AND(G194="3/16",AM194&gt;2)),(AM194*2*база!$L$5*Таблица14[[#This Row],[коэф]]),
IF(OR(AND(G194="4/4",AM194&gt;2),AND(G194="3/4",AM194&gt;2)),(AM194*2*база!$I$5*Таблица14[[#This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(AM194*2*база!$L$5*Таблица14[[#This Row],[коэф]])))))))))))</f>
        <v>0</v>
      </c>
      <c r="AO194" s="114">
        <f>IFERROR(INDEX(база!$D$2:$D$120, MATCH(Таблица14[[#This Row],[Ф. И. О.]],база!$B$2:$B$100,0)),"")</f>
        <v>0</v>
      </c>
    </row>
    <row r="195" spans="1:41">
      <c r="A195" s="192"/>
      <c r="B195" s="189"/>
      <c r="C195" s="544"/>
      <c r="D195" s="199"/>
      <c r="E195" s="226"/>
      <c r="F195" s="679"/>
      <c r="G195" s="191"/>
      <c r="H195" s="200"/>
      <c r="I195" s="200"/>
      <c r="J195" s="200"/>
      <c r="K195" s="200"/>
      <c r="L195" s="200"/>
      <c r="M195" s="200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200"/>
      <c r="Y195" s="200"/>
      <c r="Z195" s="200"/>
      <c r="AA195" s="200"/>
      <c r="AB195" s="200"/>
      <c r="AC195" s="200"/>
      <c r="AD195" s="200"/>
      <c r="AE195" s="200"/>
      <c r="AF195" s="200"/>
      <c r="AG195" s="200"/>
      <c r="AH195" s="200"/>
      <c r="AI195" s="200"/>
      <c r="AJ195" s="200"/>
      <c r="AK195" s="200"/>
      <c r="AL195" s="200"/>
      <c r="AM195" s="113">
        <f t="shared" si="2"/>
        <v>0</v>
      </c>
      <c r="AN195" s="540">
        <f>IF(AO195&lt;=3,(IF(AND(G195="5/24",AM195&gt;2),(AM195*2*база!$M$6*Таблица14[[#This Row],[коэф]]),
IF(AND(G195="4/24",AM195&gt;2),(AM195*2*база!$M$5*Таблица14[[#This Row],[коэф]]),
IF(AND(G195="3/24",AM195&gt;2),(AM195*2*база!$M$4*Таблица14[[#This Row],[коэф]]),
IF(AND(G195="5/16",AM195&gt;2),(AM195*2*база!$L$6*Таблица14[[#This Row],[коэф]]),
IF(AND(G195="4/16",AM195&gt;2),(AM195*2*база!$L$5*Таблица14[[#This Row],[коэф]]),
IF(AND(G195="3/16",AM195&gt;2),(AM195*2*база!$L$4*Таблица14[[#This Row],[коэф]]),
IF(AND(G195="4/4",AM195&gt;2),(AM195*2*база!$I$5*Таблица14[[#This Row],[коэф]]),
IF(AND(G195="3/4",AM195&gt;2),(AM195*2*база!$I$4*Таблица14[[#This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(AM195*2*база!$L$4*Таблица14[[#This Row],[коэф]]))))))))))))),
(IF(AND(G195="5/24",AM195&gt;2),(AM195*2*база!$M$6*Таблица14[[#This Row],[коэф]]),
IF(OR(AND(G195="4/24",AM195&gt;2),AND(G195="3/24",AM195&gt;2)),(AM195*2*база!$M$5*Таблица14[[#This Row],[коэф]]),
IF(AND(G195="5/16",AM195&gt;2),(AM195*2*база!$L$6*Таблица14[[#This Row],[коэф]]),
IF(OR(AND(G195="4/16",AM195&gt;2),AND(G195="3/16",AM195&gt;2)),(AM195*2*база!$L$5*Таблица14[[#This Row],[коэф]]),
IF(OR(AND(G195="4/4",AM195&gt;2),AND(G195="3/4",AM195&gt;2)),(AM195*2*база!$I$5*Таблица14[[#This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(AM195*2*база!$L$5*Таблица14[[#This Row],[коэф]])))))))))))</f>
        <v>0</v>
      </c>
      <c r="AO195" s="114">
        <f>IFERROR(INDEX(база!$D$2:$D$120, MATCH(Таблица14[[#This Row],[Ф. И. О.]],база!$B$2:$B$100,0)),"")</f>
        <v>0</v>
      </c>
    </row>
    <row r="196" spans="1:41">
      <c r="A196" s="192"/>
      <c r="B196" s="223"/>
      <c r="C196" s="544"/>
      <c r="D196" s="199"/>
      <c r="E196" s="224"/>
      <c r="F196" s="679"/>
      <c r="G196" s="225"/>
      <c r="H196" s="200"/>
      <c r="I196" s="200"/>
      <c r="J196" s="200"/>
      <c r="K196" s="200"/>
      <c r="L196" s="200"/>
      <c r="M196" s="200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200"/>
      <c r="Y196" s="200"/>
      <c r="Z196" s="200"/>
      <c r="AA196" s="200"/>
      <c r="AB196" s="200"/>
      <c r="AC196" s="200"/>
      <c r="AD196" s="200"/>
      <c r="AE196" s="200"/>
      <c r="AF196" s="200"/>
      <c r="AG196" s="200"/>
      <c r="AH196" s="200"/>
      <c r="AI196" s="200"/>
      <c r="AJ196" s="200"/>
      <c r="AK196" s="200"/>
      <c r="AL196" s="200"/>
      <c r="AM196" s="113">
        <f t="shared" ref="AM196:AM259" si="3">SUM(H196:AL196)</f>
        <v>0</v>
      </c>
      <c r="AN196" s="540">
        <f>IF(AO196&lt;=3,(IF(AND(G196="5/24",AM196&gt;2),(AM196*2*база!$M$6*Таблица14[[#This Row],[коэф]]),
IF(AND(G196="4/24",AM196&gt;2),(AM196*2*база!$M$5*Таблица14[[#This Row],[коэф]]),
IF(AND(G196="3/24",AM196&gt;2),(AM196*2*база!$M$4*Таблица14[[#This Row],[коэф]]),
IF(AND(G196="5/16",AM196&gt;2),(AM196*2*база!$L$6*Таблица14[[#This Row],[коэф]]),
IF(AND(G196="4/16",AM196&gt;2),(AM196*2*база!$L$5*Таблица14[[#This Row],[коэф]]),
IF(AND(G196="3/16",AM196&gt;2),(AM196*2*база!$L$4*Таблица14[[#This Row],[коэф]]),
IF(AND(G196="4/4",AM196&gt;2),(AM196*2*база!$I$5*Таблица14[[#This Row],[коэф]]),
IF(AND(G196="3/4",AM196&gt;2),(AM196*2*база!$I$4*Таблица14[[#This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(AM196*2*база!$L$4*Таблица14[[#This Row],[коэф]]))))))))))))),
(IF(AND(G196="5/24",AM196&gt;2),(AM196*2*база!$M$6*Таблица14[[#This Row],[коэф]]),
IF(OR(AND(G196="4/24",AM196&gt;2),AND(G196="3/24",AM196&gt;2)),(AM196*2*база!$M$5*Таблица14[[#This Row],[коэф]]),
IF(AND(G196="5/16",AM196&gt;2),(AM196*2*база!$L$6*Таблица14[[#This Row],[коэф]]),
IF(OR(AND(G196="4/16",AM196&gt;2),AND(G196="3/16",AM196&gt;2)),(AM196*2*база!$L$5*Таблица14[[#This Row],[коэф]]),
IF(OR(AND(G196="4/4",AM196&gt;2),AND(G196="3/4",AM196&gt;2)),(AM196*2*база!$I$5*Таблица14[[#This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(AM196*2*база!$L$5*Таблица14[[#This Row],[коэф]])))))))))))</f>
        <v>0</v>
      </c>
      <c r="AO196" s="114">
        <f>IFERROR(INDEX(база!$D$2:$D$120, MATCH(Таблица14[[#This Row],[Ф. И. О.]],база!$B$2:$B$100,0)),"")</f>
        <v>0</v>
      </c>
    </row>
    <row r="197" spans="1:41">
      <c r="A197" s="192"/>
      <c r="B197" s="189"/>
      <c r="C197" s="544"/>
      <c r="D197" s="199"/>
      <c r="E197" s="226"/>
      <c r="F197" s="679"/>
      <c r="G197" s="191"/>
      <c r="H197" s="200"/>
      <c r="I197" s="200"/>
      <c r="J197" s="200"/>
      <c r="K197" s="200"/>
      <c r="L197" s="200"/>
      <c r="M197" s="200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200"/>
      <c r="Y197" s="200"/>
      <c r="Z197" s="200"/>
      <c r="AA197" s="200"/>
      <c r="AB197" s="200"/>
      <c r="AC197" s="200"/>
      <c r="AD197" s="200"/>
      <c r="AE197" s="200"/>
      <c r="AF197" s="200"/>
      <c r="AG197" s="200"/>
      <c r="AH197" s="200"/>
      <c r="AI197" s="200"/>
      <c r="AJ197" s="200"/>
      <c r="AK197" s="200"/>
      <c r="AL197" s="200"/>
      <c r="AM197" s="113">
        <f t="shared" si="3"/>
        <v>0</v>
      </c>
      <c r="AN197" s="540">
        <f>IF(AO197&lt;=3,(IF(AND(G197="5/24",AM197&gt;2),(AM197*2*база!$M$6*Таблица14[[#This Row],[коэф]]),
IF(AND(G197="4/24",AM197&gt;2),(AM197*2*база!$M$5*Таблица14[[#This Row],[коэф]]),
IF(AND(G197="3/24",AM197&gt;2),(AM197*2*база!$M$4*Таблица14[[#This Row],[коэф]]),
IF(AND(G197="5/16",AM197&gt;2),(AM197*2*база!$L$6*Таблица14[[#This Row],[коэф]]),
IF(AND(G197="4/16",AM197&gt;2),(AM197*2*база!$L$5*Таблица14[[#This Row],[коэф]]),
IF(AND(G197="3/16",AM197&gt;2),(AM197*2*база!$L$4*Таблица14[[#This Row],[коэф]]),
IF(AND(G197="4/4",AM197&gt;2),(AM197*2*база!$I$5*Таблица14[[#This Row],[коэф]]),
IF(AND(G197="3/4",AM197&gt;2),(AM197*2*база!$I$4*Таблица14[[#This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(AM197*2*база!$L$4*Таблица14[[#This Row],[коэф]]))))))))))))),
(IF(AND(G197="5/24",AM197&gt;2),(AM197*2*база!$M$6*Таблица14[[#This Row],[коэф]]),
IF(OR(AND(G197="4/24",AM197&gt;2),AND(G197="3/24",AM197&gt;2)),(AM197*2*база!$M$5*Таблица14[[#This Row],[коэф]]),
IF(AND(G197="5/16",AM197&gt;2),(AM197*2*база!$L$6*Таблица14[[#This Row],[коэф]]),
IF(OR(AND(G197="4/16",AM197&gt;2),AND(G197="3/16",AM197&gt;2)),(AM197*2*база!$L$5*Таблица14[[#This Row],[коэф]]),
IF(OR(AND(G197="4/4",AM197&gt;2),AND(G197="3/4",AM197&gt;2)),(AM197*2*база!$I$5*Таблица14[[#This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(AM197*2*база!$L$5*Таблица14[[#This Row],[коэф]])))))))))))</f>
        <v>0</v>
      </c>
      <c r="AO197" s="114">
        <f>IFERROR(INDEX(база!$D$2:$D$120, MATCH(Таблица14[[#This Row],[Ф. И. О.]],база!$B$2:$B$100,0)),"")</f>
        <v>0</v>
      </c>
    </row>
    <row r="198" spans="1:41">
      <c r="A198" s="192"/>
      <c r="B198" s="223"/>
      <c r="C198" s="544"/>
      <c r="D198" s="199"/>
      <c r="E198" s="224"/>
      <c r="F198" s="679"/>
      <c r="G198" s="225"/>
      <c r="H198" s="200"/>
      <c r="I198" s="200"/>
      <c r="J198" s="200"/>
      <c r="K198" s="200"/>
      <c r="L198" s="200"/>
      <c r="M198" s="200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200"/>
      <c r="Y198" s="200"/>
      <c r="Z198" s="200"/>
      <c r="AA198" s="200"/>
      <c r="AB198" s="200"/>
      <c r="AC198" s="200"/>
      <c r="AD198" s="200"/>
      <c r="AE198" s="200"/>
      <c r="AF198" s="200"/>
      <c r="AG198" s="200"/>
      <c r="AH198" s="200"/>
      <c r="AI198" s="200"/>
      <c r="AJ198" s="200"/>
      <c r="AK198" s="200"/>
      <c r="AL198" s="200"/>
      <c r="AM198" s="113">
        <f t="shared" si="3"/>
        <v>0</v>
      </c>
      <c r="AN198" s="540">
        <f>IF(AO198&lt;=3,(IF(AND(G198="5/24",AM198&gt;2),(AM198*2*база!$M$6*Таблица14[[#This Row],[коэф]]),
IF(AND(G198="4/24",AM198&gt;2),(AM198*2*база!$M$5*Таблица14[[#This Row],[коэф]]),
IF(AND(G198="3/24",AM198&gt;2),(AM198*2*база!$M$4*Таблица14[[#This Row],[коэф]]),
IF(AND(G198="5/16",AM198&gt;2),(AM198*2*база!$L$6*Таблица14[[#This Row],[коэф]]),
IF(AND(G198="4/16",AM198&gt;2),(AM198*2*база!$L$5*Таблица14[[#This Row],[коэф]]),
IF(AND(G198="3/16",AM198&gt;2),(AM198*2*база!$L$4*Таблица14[[#This Row],[коэф]]),
IF(AND(G198="4/4",AM198&gt;2),(AM198*2*база!$I$5*Таблица14[[#This Row],[коэф]]),
IF(AND(G198="3/4",AM198&gt;2),(AM198*2*база!$I$4*Таблица14[[#This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(AM198*2*база!$L$4*Таблица14[[#This Row],[коэф]]))))))))))))),
(IF(AND(G198="5/24",AM198&gt;2),(AM198*2*база!$M$6*Таблица14[[#This Row],[коэф]]),
IF(OR(AND(G198="4/24",AM198&gt;2),AND(G198="3/24",AM198&gt;2)),(AM198*2*база!$M$5*Таблица14[[#This Row],[коэф]]),
IF(AND(G198="5/16",AM198&gt;2),(AM198*2*база!$L$6*Таблица14[[#This Row],[коэф]]),
IF(OR(AND(G198="4/16",AM198&gt;2),AND(G198="3/16",AM198&gt;2)),(AM198*2*база!$L$5*Таблица14[[#This Row],[коэф]]),
IF(OR(AND(G198="4/4",AM198&gt;2),AND(G198="3/4",AM198&gt;2)),(AM198*2*база!$I$5*Таблица14[[#This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(AM198*2*база!$L$5*Таблица14[[#This Row],[коэф]])))))))))))</f>
        <v>0</v>
      </c>
      <c r="AO198" s="114">
        <f>IFERROR(INDEX(база!$D$2:$D$120, MATCH(Таблица14[[#This Row],[Ф. И. О.]],база!$B$2:$B$100,0)),"")</f>
        <v>0</v>
      </c>
    </row>
    <row r="199" spans="1:41">
      <c r="A199" s="192"/>
      <c r="B199" s="189"/>
      <c r="C199" s="544"/>
      <c r="D199" s="199"/>
      <c r="E199" s="226"/>
      <c r="F199" s="679"/>
      <c r="G199" s="191"/>
      <c r="H199" s="200"/>
      <c r="I199" s="200"/>
      <c r="J199" s="200"/>
      <c r="K199" s="200"/>
      <c r="L199" s="200"/>
      <c r="M199" s="200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200"/>
      <c r="Y199" s="200"/>
      <c r="Z199" s="200"/>
      <c r="AA199" s="200"/>
      <c r="AB199" s="200"/>
      <c r="AC199" s="200"/>
      <c r="AD199" s="200"/>
      <c r="AE199" s="200"/>
      <c r="AF199" s="200"/>
      <c r="AG199" s="200"/>
      <c r="AH199" s="200"/>
      <c r="AI199" s="200"/>
      <c r="AJ199" s="200"/>
      <c r="AK199" s="200"/>
      <c r="AL199" s="200"/>
      <c r="AM199" s="113">
        <f t="shared" si="3"/>
        <v>0</v>
      </c>
      <c r="AN199" s="540">
        <f>IF(AO199&lt;=3,(IF(AND(G199="5/24",AM199&gt;2),(AM199*2*база!$M$6*Таблица14[[#This Row],[коэф]]),
IF(AND(G199="4/24",AM199&gt;2),(AM199*2*база!$M$5*Таблица14[[#This Row],[коэф]]),
IF(AND(G199="3/24",AM199&gt;2),(AM199*2*база!$M$4*Таблица14[[#This Row],[коэф]]),
IF(AND(G199="5/16",AM199&gt;2),(AM199*2*база!$L$6*Таблица14[[#This Row],[коэф]]),
IF(AND(G199="4/16",AM199&gt;2),(AM199*2*база!$L$5*Таблица14[[#This Row],[коэф]]),
IF(AND(G199="3/16",AM199&gt;2),(AM199*2*база!$L$4*Таблица14[[#This Row],[коэф]]),
IF(AND(G199="4/4",AM199&gt;2),(AM199*2*база!$I$5*Таблица14[[#This Row],[коэф]]),
IF(AND(G199="3/4",AM199&gt;2),(AM199*2*база!$I$4*Таблица14[[#This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(AM199*2*база!$L$4*Таблица14[[#This Row],[коэф]]))))))))))))),
(IF(AND(G199="5/24",AM199&gt;2),(AM199*2*база!$M$6*Таблица14[[#This Row],[коэф]]),
IF(OR(AND(G199="4/24",AM199&gt;2),AND(G199="3/24",AM199&gt;2)),(AM199*2*база!$M$5*Таблица14[[#This Row],[коэф]]),
IF(AND(G199="5/16",AM199&gt;2),(AM199*2*база!$L$6*Таблица14[[#This Row],[коэф]]),
IF(OR(AND(G199="4/16",AM199&gt;2),AND(G199="3/16",AM199&gt;2)),(AM199*2*база!$L$5*Таблица14[[#This Row],[коэф]]),
IF(OR(AND(G199="4/4",AM199&gt;2),AND(G199="3/4",AM199&gt;2)),(AM199*2*база!$I$5*Таблица14[[#This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(AM199*2*база!$L$5*Таблица14[[#This Row],[коэф]])))))))))))</f>
        <v>0</v>
      </c>
      <c r="AO199" s="114">
        <f>IFERROR(INDEX(база!$D$2:$D$120, MATCH(Таблица14[[#This Row],[Ф. И. О.]],база!$B$2:$B$100,0)),"")</f>
        <v>0</v>
      </c>
    </row>
    <row r="200" spans="1:41">
      <c r="A200" s="192"/>
      <c r="B200" s="223"/>
      <c r="C200" s="544"/>
      <c r="D200" s="199"/>
      <c r="E200" s="224"/>
      <c r="F200" s="679"/>
      <c r="G200" s="225"/>
      <c r="H200" s="200"/>
      <c r="I200" s="200"/>
      <c r="J200" s="200"/>
      <c r="K200" s="200"/>
      <c r="L200" s="200"/>
      <c r="M200" s="200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200"/>
      <c r="Y200" s="200"/>
      <c r="Z200" s="200"/>
      <c r="AA200" s="200"/>
      <c r="AB200" s="200"/>
      <c r="AC200" s="200"/>
      <c r="AD200" s="200"/>
      <c r="AE200" s="200"/>
      <c r="AF200" s="200"/>
      <c r="AG200" s="200"/>
      <c r="AH200" s="200"/>
      <c r="AI200" s="200"/>
      <c r="AJ200" s="200"/>
      <c r="AK200" s="200"/>
      <c r="AL200" s="200"/>
      <c r="AM200" s="113">
        <f t="shared" si="3"/>
        <v>0</v>
      </c>
      <c r="AN200" s="540">
        <f>IF(AO200&lt;=3,(IF(AND(G200="5/24",AM200&gt;2),(AM200*2*база!$M$6*Таблица14[[#This Row],[коэф]]),
IF(AND(G200="4/24",AM200&gt;2),(AM200*2*база!$M$5*Таблица14[[#This Row],[коэф]]),
IF(AND(G200="3/24",AM200&gt;2),(AM200*2*база!$M$4*Таблица14[[#This Row],[коэф]]),
IF(AND(G200="5/16",AM200&gt;2),(AM200*2*база!$L$6*Таблица14[[#This Row],[коэф]]),
IF(AND(G200="4/16",AM200&gt;2),(AM200*2*база!$L$5*Таблица14[[#This Row],[коэф]]),
IF(AND(G200="3/16",AM200&gt;2),(AM200*2*база!$L$4*Таблица14[[#This Row],[коэф]]),
IF(AND(G200="4/4",AM200&gt;2),(AM200*2*база!$I$5*Таблица14[[#This Row],[коэф]]),
IF(AND(G200="3/4",AM200&gt;2),(AM200*2*база!$I$4*Таблица14[[#This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(AM200*2*база!$L$4*Таблица14[[#This Row],[коэф]]))))))))))))),
(IF(AND(G200="5/24",AM200&gt;2),(AM200*2*база!$M$6*Таблица14[[#This Row],[коэф]]),
IF(OR(AND(G200="4/24",AM200&gt;2),AND(G200="3/24",AM200&gt;2)),(AM200*2*база!$M$5*Таблица14[[#This Row],[коэф]]),
IF(AND(G200="5/16",AM200&gt;2),(AM200*2*база!$L$6*Таблица14[[#This Row],[коэф]]),
IF(OR(AND(G200="4/16",AM200&gt;2),AND(G200="3/16",AM200&gt;2)),(AM200*2*база!$L$5*Таблица14[[#This Row],[коэф]]),
IF(OR(AND(G200="4/4",AM200&gt;2),AND(G200="3/4",AM200&gt;2)),(AM200*2*база!$I$5*Таблица14[[#This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(AM200*2*база!$L$5*Таблица14[[#This Row],[коэф]])))))))))))</f>
        <v>0</v>
      </c>
      <c r="AO200" s="114">
        <f>IFERROR(INDEX(база!$D$2:$D$120, MATCH(Таблица14[[#This Row],[Ф. И. О.]],база!$B$2:$B$100,0)),"")</f>
        <v>0</v>
      </c>
    </row>
    <row r="201" spans="1:41">
      <c r="A201" s="192"/>
      <c r="B201" s="189"/>
      <c r="C201" s="544"/>
      <c r="D201" s="199"/>
      <c r="E201" s="226"/>
      <c r="F201" s="679"/>
      <c r="G201" s="191"/>
      <c r="H201" s="200"/>
      <c r="I201" s="200"/>
      <c r="J201" s="200"/>
      <c r="K201" s="200"/>
      <c r="L201" s="200"/>
      <c r="M201" s="200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200"/>
      <c r="Y201" s="200"/>
      <c r="Z201" s="200"/>
      <c r="AA201" s="200"/>
      <c r="AB201" s="200"/>
      <c r="AC201" s="200"/>
      <c r="AD201" s="200"/>
      <c r="AE201" s="200"/>
      <c r="AF201" s="200"/>
      <c r="AG201" s="200"/>
      <c r="AH201" s="200"/>
      <c r="AI201" s="200"/>
      <c r="AJ201" s="200"/>
      <c r="AK201" s="200"/>
      <c r="AL201" s="200"/>
      <c r="AM201" s="113">
        <f t="shared" si="3"/>
        <v>0</v>
      </c>
      <c r="AN201" s="540">
        <f>IF(AO201&lt;=3,(IF(AND(G201="5/24",AM201&gt;2),(AM201*2*база!$M$6*Таблица14[[#This Row],[коэф]]),
IF(AND(G201="4/24",AM201&gt;2),(AM201*2*база!$M$5*Таблица14[[#This Row],[коэф]]),
IF(AND(G201="3/24",AM201&gt;2),(AM201*2*база!$M$4*Таблица14[[#This Row],[коэф]]),
IF(AND(G201="5/16",AM201&gt;2),(AM201*2*база!$L$6*Таблица14[[#This Row],[коэф]]),
IF(AND(G201="4/16",AM201&gt;2),(AM201*2*база!$L$5*Таблица14[[#This Row],[коэф]]),
IF(AND(G201="3/16",AM201&gt;2),(AM201*2*база!$L$4*Таблица14[[#This Row],[коэф]]),
IF(AND(G201="4/4",AM201&gt;2),(AM201*2*база!$I$5*Таблица14[[#This Row],[коэф]]),
IF(AND(G201="3/4",AM201&gt;2),(AM201*2*база!$I$4*Таблица14[[#This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(AM201*2*база!$L$4*Таблица14[[#This Row],[коэф]]))))))))))))),
(IF(AND(G201="5/24",AM201&gt;2),(AM201*2*база!$M$6*Таблица14[[#This Row],[коэф]]),
IF(OR(AND(G201="4/24",AM201&gt;2),AND(G201="3/24",AM201&gt;2)),(AM201*2*база!$M$5*Таблица14[[#This Row],[коэф]]),
IF(AND(G201="5/16",AM201&gt;2),(AM201*2*база!$L$6*Таблица14[[#This Row],[коэф]]),
IF(OR(AND(G201="4/16",AM201&gt;2),AND(G201="3/16",AM201&gt;2)),(AM201*2*база!$L$5*Таблица14[[#This Row],[коэф]]),
IF(OR(AND(G201="4/4",AM201&gt;2),AND(G201="3/4",AM201&gt;2)),(AM201*2*база!$I$5*Таблица14[[#This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(AM201*2*база!$L$5*Таблица14[[#This Row],[коэф]])))))))))))</f>
        <v>0</v>
      </c>
      <c r="AO201" s="114">
        <f>IFERROR(INDEX(база!$D$2:$D$120, MATCH(Таблица14[[#This Row],[Ф. И. О.]],база!$B$2:$B$100,0)),"")</f>
        <v>0</v>
      </c>
    </row>
    <row r="202" spans="1:41">
      <c r="A202" s="192"/>
      <c r="B202" s="223"/>
      <c r="C202" s="544"/>
      <c r="D202" s="199"/>
      <c r="E202" s="224"/>
      <c r="F202" s="679"/>
      <c r="G202" s="225"/>
      <c r="H202" s="200"/>
      <c r="I202" s="200"/>
      <c r="J202" s="200"/>
      <c r="K202" s="200"/>
      <c r="L202" s="200"/>
      <c r="M202" s="200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200"/>
      <c r="Y202" s="200"/>
      <c r="Z202" s="200"/>
      <c r="AA202" s="200"/>
      <c r="AB202" s="200"/>
      <c r="AC202" s="200"/>
      <c r="AD202" s="200"/>
      <c r="AE202" s="200"/>
      <c r="AF202" s="200"/>
      <c r="AG202" s="200"/>
      <c r="AH202" s="200"/>
      <c r="AI202" s="200"/>
      <c r="AJ202" s="200"/>
      <c r="AK202" s="200"/>
      <c r="AL202" s="200"/>
      <c r="AM202" s="113">
        <f t="shared" si="3"/>
        <v>0</v>
      </c>
      <c r="AN202" s="540">
        <f>IF(AO202&lt;=3,(IF(AND(G202="5/24",AM202&gt;2),(AM202*2*база!$M$6*Таблица14[[#This Row],[коэф]]),
IF(AND(G202="4/24",AM202&gt;2),(AM202*2*база!$M$5*Таблица14[[#This Row],[коэф]]),
IF(AND(G202="3/24",AM202&gt;2),(AM202*2*база!$M$4*Таблица14[[#This Row],[коэф]]),
IF(AND(G202="5/16",AM202&gt;2),(AM202*2*база!$L$6*Таблица14[[#This Row],[коэф]]),
IF(AND(G202="4/16",AM202&gt;2),(AM202*2*база!$L$5*Таблица14[[#This Row],[коэф]]),
IF(AND(G202="3/16",AM202&gt;2),(AM202*2*база!$L$4*Таблица14[[#This Row],[коэф]]),
IF(AND(G202="4/4",AM202&gt;2),(AM202*2*база!$I$5*Таблица14[[#This Row],[коэф]]),
IF(AND(G202="3/4",AM202&gt;2),(AM202*2*база!$I$4*Таблица14[[#This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(AM202*2*база!$L$4*Таблица14[[#This Row],[коэф]]))))))))))))),
(IF(AND(G202="5/24",AM202&gt;2),(AM202*2*база!$M$6*Таблица14[[#This Row],[коэф]]),
IF(OR(AND(G202="4/24",AM202&gt;2),AND(G202="3/24",AM202&gt;2)),(AM202*2*база!$M$5*Таблица14[[#This Row],[коэф]]),
IF(AND(G202="5/16",AM202&gt;2),(AM202*2*база!$L$6*Таблица14[[#This Row],[коэф]]),
IF(OR(AND(G202="4/16",AM202&gt;2),AND(G202="3/16",AM202&gt;2)),(AM202*2*база!$L$5*Таблица14[[#This Row],[коэф]]),
IF(OR(AND(G202="4/4",AM202&gt;2),AND(G202="3/4",AM202&gt;2)),(AM202*2*база!$I$5*Таблица14[[#This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(AM202*2*база!$L$5*Таблица14[[#This Row],[коэф]])))))))))))</f>
        <v>0</v>
      </c>
      <c r="AO202" s="114">
        <f>IFERROR(INDEX(база!$D$2:$D$120, MATCH(Таблица14[[#This Row],[Ф. И. О.]],база!$B$2:$B$100,0)),"")</f>
        <v>0</v>
      </c>
    </row>
    <row r="203" spans="1:41">
      <c r="A203" s="192"/>
      <c r="B203" s="189"/>
      <c r="C203" s="544"/>
      <c r="D203" s="199"/>
      <c r="E203" s="226"/>
      <c r="F203" s="679"/>
      <c r="G203" s="191"/>
      <c r="H203" s="200"/>
      <c r="I203" s="200"/>
      <c r="J203" s="200"/>
      <c r="K203" s="200"/>
      <c r="L203" s="200"/>
      <c r="M203" s="200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200"/>
      <c r="Y203" s="200"/>
      <c r="Z203" s="200"/>
      <c r="AA203" s="200"/>
      <c r="AB203" s="200"/>
      <c r="AC203" s="200"/>
      <c r="AD203" s="200"/>
      <c r="AE203" s="200"/>
      <c r="AF203" s="200"/>
      <c r="AG203" s="200"/>
      <c r="AH203" s="200"/>
      <c r="AI203" s="200"/>
      <c r="AJ203" s="200"/>
      <c r="AK203" s="200"/>
      <c r="AL203" s="200"/>
      <c r="AM203" s="113">
        <f t="shared" si="3"/>
        <v>0</v>
      </c>
      <c r="AN203" s="540">
        <f>IF(AO203&lt;=3,(IF(AND(G203="5/24",AM203&gt;2),(AM203*2*база!$M$6*Таблица14[[#This Row],[коэф]]),
IF(AND(G203="4/24",AM203&gt;2),(AM203*2*база!$M$5*Таблица14[[#This Row],[коэф]]),
IF(AND(G203="3/24",AM203&gt;2),(AM203*2*база!$M$4*Таблица14[[#This Row],[коэф]]),
IF(AND(G203="5/16",AM203&gt;2),(AM203*2*база!$L$6*Таблица14[[#This Row],[коэф]]),
IF(AND(G203="4/16",AM203&gt;2),(AM203*2*база!$L$5*Таблица14[[#This Row],[коэф]]),
IF(AND(G203="3/16",AM203&gt;2),(AM203*2*база!$L$4*Таблица14[[#This Row],[коэф]]),
IF(AND(G203="4/4",AM203&gt;2),(AM203*2*база!$I$5*Таблица14[[#This Row],[коэф]]),
IF(AND(G203="3/4",AM203&gt;2),(AM203*2*база!$I$4*Таблица14[[#This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(AM203*2*база!$L$4*Таблица14[[#This Row],[коэф]]))))))))))))),
(IF(AND(G203="5/24",AM203&gt;2),(AM203*2*база!$M$6*Таблица14[[#This Row],[коэф]]),
IF(OR(AND(G203="4/24",AM203&gt;2),AND(G203="3/24",AM203&gt;2)),(AM203*2*база!$M$5*Таблица14[[#This Row],[коэф]]),
IF(AND(G203="5/16",AM203&gt;2),(AM203*2*база!$L$6*Таблица14[[#This Row],[коэф]]),
IF(OR(AND(G203="4/16",AM203&gt;2),AND(G203="3/16",AM203&gt;2)),(AM203*2*база!$L$5*Таблица14[[#This Row],[коэф]]),
IF(OR(AND(G203="4/4",AM203&gt;2),AND(G203="3/4",AM203&gt;2)),(AM203*2*база!$I$5*Таблица14[[#This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(AM203*2*база!$L$5*Таблица14[[#This Row],[коэф]])))))))))))</f>
        <v>0</v>
      </c>
      <c r="AO203" s="114">
        <f>IFERROR(INDEX(база!$D$2:$D$120, MATCH(Таблица14[[#This Row],[Ф. И. О.]],база!$B$2:$B$100,0)),"")</f>
        <v>0</v>
      </c>
    </row>
    <row r="204" spans="1:41">
      <c r="A204" s="192"/>
      <c r="B204" s="223"/>
      <c r="C204" s="544"/>
      <c r="D204" s="199"/>
      <c r="E204" s="224"/>
      <c r="F204" s="679"/>
      <c r="G204" s="225"/>
      <c r="H204" s="200"/>
      <c r="I204" s="200"/>
      <c r="J204" s="200"/>
      <c r="K204" s="200"/>
      <c r="L204" s="200"/>
      <c r="M204" s="200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200"/>
      <c r="Y204" s="200"/>
      <c r="Z204" s="200"/>
      <c r="AA204" s="200"/>
      <c r="AB204" s="200"/>
      <c r="AC204" s="200"/>
      <c r="AD204" s="200"/>
      <c r="AE204" s="200"/>
      <c r="AF204" s="200"/>
      <c r="AG204" s="200"/>
      <c r="AH204" s="200"/>
      <c r="AI204" s="200"/>
      <c r="AJ204" s="200"/>
      <c r="AK204" s="200"/>
      <c r="AL204" s="200"/>
      <c r="AM204" s="113">
        <f t="shared" si="3"/>
        <v>0</v>
      </c>
      <c r="AN204" s="540">
        <f>IF(AO204&lt;=3,(IF(AND(G204="5/24",AM204&gt;2),(AM204*2*база!$M$6*Таблица14[[#This Row],[коэф]]),
IF(AND(G204="4/24",AM204&gt;2),(AM204*2*база!$M$5*Таблица14[[#This Row],[коэф]]),
IF(AND(G204="3/24",AM204&gt;2),(AM204*2*база!$M$4*Таблица14[[#This Row],[коэф]]),
IF(AND(G204="5/16",AM204&gt;2),(AM204*2*база!$L$6*Таблица14[[#This Row],[коэф]]),
IF(AND(G204="4/16",AM204&gt;2),(AM204*2*база!$L$5*Таблица14[[#This Row],[коэф]]),
IF(AND(G204="3/16",AM204&gt;2),(AM204*2*база!$L$4*Таблица14[[#This Row],[коэф]]),
IF(AND(G204="4/4",AM204&gt;2),(AM204*2*база!$I$5*Таблица14[[#This Row],[коэф]]),
IF(AND(G204="3/4",AM204&gt;2),(AM204*2*база!$I$4*Таблица14[[#This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(AM204*2*база!$L$4*Таблица14[[#This Row],[коэф]]))))))))))))),
(IF(AND(G204="5/24",AM204&gt;2),(AM204*2*база!$M$6*Таблица14[[#This Row],[коэф]]),
IF(OR(AND(G204="4/24",AM204&gt;2),AND(G204="3/24",AM204&gt;2)),(AM204*2*база!$M$5*Таблица14[[#This Row],[коэф]]),
IF(AND(G204="5/16",AM204&gt;2),(AM204*2*база!$L$6*Таблица14[[#This Row],[коэф]]),
IF(OR(AND(G204="4/16",AM204&gt;2),AND(G204="3/16",AM204&gt;2)),(AM204*2*база!$L$5*Таблица14[[#This Row],[коэф]]),
IF(OR(AND(G204="4/4",AM204&gt;2),AND(G204="3/4",AM204&gt;2)),(AM204*2*база!$I$5*Таблица14[[#This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(AM204*2*база!$L$5*Таблица14[[#This Row],[коэф]])))))))))))</f>
        <v>0</v>
      </c>
      <c r="AO204" s="114">
        <f>IFERROR(INDEX(база!$D$2:$D$120, MATCH(Таблица14[[#This Row],[Ф. И. О.]],база!$B$2:$B$100,0)),"")</f>
        <v>0</v>
      </c>
    </row>
    <row r="205" spans="1:41">
      <c r="A205" s="192"/>
      <c r="B205" s="189"/>
      <c r="C205" s="544"/>
      <c r="D205" s="199"/>
      <c r="E205" s="226"/>
      <c r="F205" s="679"/>
      <c r="G205" s="191"/>
      <c r="H205" s="200"/>
      <c r="I205" s="200"/>
      <c r="J205" s="200"/>
      <c r="K205" s="200"/>
      <c r="L205" s="200"/>
      <c r="M205" s="200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200"/>
      <c r="Y205" s="200"/>
      <c r="Z205" s="200"/>
      <c r="AA205" s="200"/>
      <c r="AB205" s="200"/>
      <c r="AC205" s="200"/>
      <c r="AD205" s="200"/>
      <c r="AE205" s="200"/>
      <c r="AF205" s="200"/>
      <c r="AG205" s="200"/>
      <c r="AH205" s="200"/>
      <c r="AI205" s="200"/>
      <c r="AJ205" s="200"/>
      <c r="AK205" s="200"/>
      <c r="AL205" s="200"/>
      <c r="AM205" s="113">
        <f t="shared" si="3"/>
        <v>0</v>
      </c>
      <c r="AN205" s="540">
        <f>IF(AO205&lt;=3,(IF(AND(G205="5/24",AM205&gt;2),(AM205*2*база!$M$6*Таблица14[[#This Row],[коэф]]),
IF(AND(G205="4/24",AM205&gt;2),(AM205*2*база!$M$5*Таблица14[[#This Row],[коэф]]),
IF(AND(G205="3/24",AM205&gt;2),(AM205*2*база!$M$4*Таблица14[[#This Row],[коэф]]),
IF(AND(G205="5/16",AM205&gt;2),(AM205*2*база!$L$6*Таблица14[[#This Row],[коэф]]),
IF(AND(G205="4/16",AM205&gt;2),(AM205*2*база!$L$5*Таблица14[[#This Row],[коэф]]),
IF(AND(G205="3/16",AM205&gt;2),(AM205*2*база!$L$4*Таблица14[[#This Row],[коэф]]),
IF(AND(G205="4/4",AM205&gt;2),(AM205*2*база!$I$5*Таблица14[[#This Row],[коэф]]),
IF(AND(G205="3/4",AM205&gt;2),(AM205*2*база!$I$4*Таблица14[[#This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(AM205*2*база!$L$4*Таблица14[[#This Row],[коэф]]))))))))))))),
(IF(AND(G205="5/24",AM205&gt;2),(AM205*2*база!$M$6*Таблица14[[#This Row],[коэф]]),
IF(OR(AND(G205="4/24",AM205&gt;2),AND(G205="3/24",AM205&gt;2)),(AM205*2*база!$M$5*Таблица14[[#This Row],[коэф]]),
IF(AND(G205="5/16",AM205&gt;2),(AM205*2*база!$L$6*Таблица14[[#This Row],[коэф]]),
IF(OR(AND(G205="4/16",AM205&gt;2),AND(G205="3/16",AM205&gt;2)),(AM205*2*база!$L$5*Таблица14[[#This Row],[коэф]]),
IF(OR(AND(G205="4/4",AM205&gt;2),AND(G205="3/4",AM205&gt;2)),(AM205*2*база!$I$5*Таблица14[[#This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(AM205*2*база!$L$5*Таблица14[[#This Row],[коэф]])))))))))))</f>
        <v>0</v>
      </c>
      <c r="AO205" s="114">
        <f>IFERROR(INDEX(база!$D$2:$D$120, MATCH(Таблица14[[#This Row],[Ф. И. О.]],база!$B$2:$B$100,0)),"")</f>
        <v>0</v>
      </c>
    </row>
    <row r="206" spans="1:41">
      <c r="A206" s="192"/>
      <c r="B206" s="223"/>
      <c r="C206" s="544"/>
      <c r="D206" s="199"/>
      <c r="E206" s="224"/>
      <c r="F206" s="679"/>
      <c r="G206" s="225"/>
      <c r="H206" s="200"/>
      <c r="I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200"/>
      <c r="Y206" s="200"/>
      <c r="Z206" s="200"/>
      <c r="AA206" s="200"/>
      <c r="AB206" s="200"/>
      <c r="AC206" s="200"/>
      <c r="AD206" s="200"/>
      <c r="AE206" s="200"/>
      <c r="AF206" s="200"/>
      <c r="AG206" s="200"/>
      <c r="AH206" s="200"/>
      <c r="AI206" s="200"/>
      <c r="AJ206" s="200"/>
      <c r="AK206" s="200"/>
      <c r="AL206" s="200"/>
      <c r="AM206" s="113">
        <f t="shared" si="3"/>
        <v>0</v>
      </c>
      <c r="AN206" s="540">
        <f>IF(AO206&lt;=3,(IF(AND(G206="5/24",AM206&gt;2),(AM206*2*база!$M$6*Таблица14[[#This Row],[коэф]]),
IF(AND(G206="4/24",AM206&gt;2),(AM206*2*база!$M$5*Таблица14[[#This Row],[коэф]]),
IF(AND(G206="3/24",AM206&gt;2),(AM206*2*база!$M$4*Таблица14[[#This Row],[коэф]]),
IF(AND(G206="5/16",AM206&gt;2),(AM206*2*база!$L$6*Таблица14[[#This Row],[коэф]]),
IF(AND(G206="4/16",AM206&gt;2),(AM206*2*база!$L$5*Таблица14[[#This Row],[коэф]]),
IF(AND(G206="3/16",AM206&gt;2),(AM206*2*база!$L$4*Таблица14[[#This Row],[коэф]]),
IF(AND(G206="4/4",AM206&gt;2),(AM206*2*база!$I$5*Таблица14[[#This Row],[коэф]]),
IF(AND(G206="3/4",AM206&gt;2),(AM206*2*база!$I$4*Таблица14[[#This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(AM206*2*база!$L$4*Таблица14[[#This Row],[коэф]]))))))))))))),
(IF(AND(G206="5/24",AM206&gt;2),(AM206*2*база!$M$6*Таблица14[[#This Row],[коэф]]),
IF(OR(AND(G206="4/24",AM206&gt;2),AND(G206="3/24",AM206&gt;2)),(AM206*2*база!$M$5*Таблица14[[#This Row],[коэф]]),
IF(AND(G206="5/16",AM206&gt;2),(AM206*2*база!$L$6*Таблица14[[#This Row],[коэф]]),
IF(OR(AND(G206="4/16",AM206&gt;2),AND(G206="3/16",AM206&gt;2)),(AM206*2*база!$L$5*Таблица14[[#This Row],[коэф]]),
IF(OR(AND(G206="4/4",AM206&gt;2),AND(G206="3/4",AM206&gt;2)),(AM206*2*база!$I$5*Таблица14[[#This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(AM206*2*база!$L$5*Таблица14[[#This Row],[коэф]])))))))))))</f>
        <v>0</v>
      </c>
      <c r="AO206" s="114">
        <f>IFERROR(INDEX(база!$D$2:$D$120, MATCH(Таблица14[[#This Row],[Ф. И. О.]],база!$B$2:$B$100,0)),"")</f>
        <v>0</v>
      </c>
    </row>
    <row r="207" spans="1:41">
      <c r="A207" s="192"/>
      <c r="B207" s="189"/>
      <c r="C207" s="544"/>
      <c r="D207" s="199"/>
      <c r="E207" s="226"/>
      <c r="F207" s="679"/>
      <c r="G207" s="191"/>
      <c r="H207" s="200"/>
      <c r="I207" s="200"/>
      <c r="J207" s="200"/>
      <c r="K207" s="200"/>
      <c r="L207" s="200"/>
      <c r="M207" s="200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200"/>
      <c r="Y207" s="200"/>
      <c r="Z207" s="200"/>
      <c r="AA207" s="200"/>
      <c r="AB207" s="200"/>
      <c r="AC207" s="200"/>
      <c r="AD207" s="200"/>
      <c r="AE207" s="200"/>
      <c r="AF207" s="200"/>
      <c r="AG207" s="200"/>
      <c r="AH207" s="200"/>
      <c r="AI207" s="200"/>
      <c r="AJ207" s="200"/>
      <c r="AK207" s="200"/>
      <c r="AL207" s="200"/>
      <c r="AM207" s="113">
        <f t="shared" si="3"/>
        <v>0</v>
      </c>
      <c r="AN207" s="540">
        <f>IF(AO207&lt;=3,(IF(AND(G207="5/24",AM207&gt;2),(AM207*2*база!$M$6*Таблица14[[#This Row],[коэф]]),
IF(AND(G207="4/24",AM207&gt;2),(AM207*2*база!$M$5*Таблица14[[#This Row],[коэф]]),
IF(AND(G207="3/24",AM207&gt;2),(AM207*2*база!$M$4*Таблица14[[#This Row],[коэф]]),
IF(AND(G207="5/16",AM207&gt;2),(AM207*2*база!$L$6*Таблица14[[#This Row],[коэф]]),
IF(AND(G207="4/16",AM207&gt;2),(AM207*2*база!$L$5*Таблица14[[#This Row],[коэф]]),
IF(AND(G207="3/16",AM207&gt;2),(AM207*2*база!$L$4*Таблица14[[#This Row],[коэф]]),
IF(AND(G207="4/4",AM207&gt;2),(AM207*2*база!$I$5*Таблица14[[#This Row],[коэф]]),
IF(AND(G207="3/4",AM207&gt;2),(AM207*2*база!$I$4*Таблица14[[#This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(AM207*2*база!$L$4*Таблица14[[#This Row],[коэф]]))))))))))))),
(IF(AND(G207="5/24",AM207&gt;2),(AM207*2*база!$M$6*Таблица14[[#This Row],[коэф]]),
IF(OR(AND(G207="4/24",AM207&gt;2),AND(G207="3/24",AM207&gt;2)),(AM207*2*база!$M$5*Таблица14[[#This Row],[коэф]]),
IF(AND(G207="5/16",AM207&gt;2),(AM207*2*база!$L$6*Таблица14[[#This Row],[коэф]]),
IF(OR(AND(G207="4/16",AM207&gt;2),AND(G207="3/16",AM207&gt;2)),(AM207*2*база!$L$5*Таблица14[[#This Row],[коэф]]),
IF(OR(AND(G207="4/4",AM207&gt;2),AND(G207="3/4",AM207&gt;2)),(AM207*2*база!$I$5*Таблица14[[#This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(AM207*2*база!$L$5*Таблица14[[#This Row],[коэф]])))))))))))</f>
        <v>0</v>
      </c>
      <c r="AO207" s="114">
        <f>IFERROR(INDEX(база!$D$2:$D$120, MATCH(Таблица14[[#This Row],[Ф. И. О.]],база!$B$2:$B$100,0)),"")</f>
        <v>0</v>
      </c>
    </row>
    <row r="208" spans="1:41">
      <c r="A208" s="192"/>
      <c r="B208" s="223"/>
      <c r="C208" s="544"/>
      <c r="D208" s="199"/>
      <c r="E208" s="224"/>
      <c r="F208" s="679"/>
      <c r="G208" s="225"/>
      <c r="H208" s="200"/>
      <c r="I208" s="200"/>
      <c r="J208" s="200"/>
      <c r="K208" s="200"/>
      <c r="L208" s="200"/>
      <c r="M208" s="200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200"/>
      <c r="Y208" s="200"/>
      <c r="Z208" s="200"/>
      <c r="AA208" s="200"/>
      <c r="AB208" s="200"/>
      <c r="AC208" s="200"/>
      <c r="AD208" s="200"/>
      <c r="AE208" s="200"/>
      <c r="AF208" s="200"/>
      <c r="AG208" s="200"/>
      <c r="AH208" s="200"/>
      <c r="AI208" s="200"/>
      <c r="AJ208" s="200"/>
      <c r="AK208" s="200"/>
      <c r="AL208" s="200"/>
      <c r="AM208" s="113">
        <f t="shared" si="3"/>
        <v>0</v>
      </c>
      <c r="AN208" s="540">
        <f>IF(AO208&lt;=3,(IF(AND(G208="5/24",AM208&gt;2),(AM208*2*база!$M$6*Таблица14[[#This Row],[коэф]]),
IF(AND(G208="4/24",AM208&gt;2),(AM208*2*база!$M$5*Таблица14[[#This Row],[коэф]]),
IF(AND(G208="3/24",AM208&gt;2),(AM208*2*база!$M$4*Таблица14[[#This Row],[коэф]]),
IF(AND(G208="5/16",AM208&gt;2),(AM208*2*база!$L$6*Таблица14[[#This Row],[коэф]]),
IF(AND(G208="4/16",AM208&gt;2),(AM208*2*база!$L$5*Таблица14[[#This Row],[коэф]]),
IF(AND(G208="3/16",AM208&gt;2),(AM208*2*база!$L$4*Таблица14[[#This Row],[коэф]]),
IF(AND(G208="4/4",AM208&gt;2),(AM208*2*база!$I$5*Таблица14[[#This Row],[коэф]]),
IF(AND(G208="3/4",AM208&gt;2),(AM208*2*база!$I$4*Таблица14[[#This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(AM208*2*база!$L$4*Таблица14[[#This Row],[коэф]]))))))))))))),
(IF(AND(G208="5/24",AM208&gt;2),(AM208*2*база!$M$6*Таблица14[[#This Row],[коэф]]),
IF(OR(AND(G208="4/24",AM208&gt;2),AND(G208="3/24",AM208&gt;2)),(AM208*2*база!$M$5*Таблица14[[#This Row],[коэф]]),
IF(AND(G208="5/16",AM208&gt;2),(AM208*2*база!$L$6*Таблица14[[#This Row],[коэф]]),
IF(OR(AND(G208="4/16",AM208&gt;2),AND(G208="3/16",AM208&gt;2)),(AM208*2*база!$L$5*Таблица14[[#This Row],[коэф]]),
IF(OR(AND(G208="4/4",AM208&gt;2),AND(G208="3/4",AM208&gt;2)),(AM208*2*база!$I$5*Таблица14[[#This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(AM208*2*база!$L$5*Таблица14[[#This Row],[коэф]])))))))))))</f>
        <v>0</v>
      </c>
      <c r="AO208" s="114">
        <f>IFERROR(INDEX(база!$D$2:$D$120, MATCH(Таблица14[[#This Row],[Ф. И. О.]],база!$B$2:$B$100,0)),"")</f>
        <v>0</v>
      </c>
    </row>
    <row r="209" spans="1:41">
      <c r="A209" s="192"/>
      <c r="B209" s="189"/>
      <c r="C209" s="544"/>
      <c r="D209" s="199"/>
      <c r="E209" s="226"/>
      <c r="F209" s="679"/>
      <c r="G209" s="191"/>
      <c r="H209" s="200"/>
      <c r="I209" s="200"/>
      <c r="J209" s="200"/>
      <c r="K209" s="200"/>
      <c r="L209" s="200"/>
      <c r="M209" s="200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200"/>
      <c r="Y209" s="200"/>
      <c r="Z209" s="200"/>
      <c r="AA209" s="200"/>
      <c r="AB209" s="200"/>
      <c r="AC209" s="200"/>
      <c r="AD209" s="200"/>
      <c r="AE209" s="200"/>
      <c r="AF209" s="200"/>
      <c r="AG209" s="200"/>
      <c r="AH209" s="200"/>
      <c r="AI209" s="200"/>
      <c r="AJ209" s="200"/>
      <c r="AK209" s="200"/>
      <c r="AL209" s="200"/>
      <c r="AM209" s="113">
        <f t="shared" si="3"/>
        <v>0</v>
      </c>
      <c r="AN209" s="540">
        <f>IF(AO209&lt;=3,(IF(AND(G209="5/24",AM209&gt;2),(AM209*2*база!$M$6*Таблица14[[#This Row],[коэф]]),
IF(AND(G209="4/24",AM209&gt;2),(AM209*2*база!$M$5*Таблица14[[#This Row],[коэф]]),
IF(AND(G209="3/24",AM209&gt;2),(AM209*2*база!$M$4*Таблица14[[#This Row],[коэф]]),
IF(AND(G209="5/16",AM209&gt;2),(AM209*2*база!$L$6*Таблица14[[#This Row],[коэф]]),
IF(AND(G209="4/16",AM209&gt;2),(AM209*2*база!$L$5*Таблица14[[#This Row],[коэф]]),
IF(AND(G209="3/16",AM209&gt;2),(AM209*2*база!$L$4*Таблица14[[#This Row],[коэф]]),
IF(AND(G209="4/4",AM209&gt;2),(AM209*2*база!$I$5*Таблица14[[#This Row],[коэф]]),
IF(AND(G209="3/4",AM209&gt;2),(AM209*2*база!$I$4*Таблица14[[#This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(AM209*2*база!$L$4*Таблица14[[#This Row],[коэф]]))))))))))))),
(IF(AND(G209="5/24",AM209&gt;2),(AM209*2*база!$M$6*Таблица14[[#This Row],[коэф]]),
IF(OR(AND(G209="4/24",AM209&gt;2),AND(G209="3/24",AM209&gt;2)),(AM209*2*база!$M$5*Таблица14[[#This Row],[коэф]]),
IF(AND(G209="5/16",AM209&gt;2),(AM209*2*база!$L$6*Таблица14[[#This Row],[коэф]]),
IF(OR(AND(G209="4/16",AM209&gt;2),AND(G209="3/16",AM209&gt;2)),(AM209*2*база!$L$5*Таблица14[[#This Row],[коэф]]),
IF(OR(AND(G209="4/4",AM209&gt;2),AND(G209="3/4",AM209&gt;2)),(AM209*2*база!$I$5*Таблица14[[#This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(AM209*2*база!$L$5*Таблица14[[#This Row],[коэф]])))))))))))</f>
        <v>0</v>
      </c>
      <c r="AO209" s="114">
        <f>IFERROR(INDEX(база!$D$2:$D$120, MATCH(Таблица14[[#This Row],[Ф. И. О.]],база!$B$2:$B$100,0)),"")</f>
        <v>0</v>
      </c>
    </row>
    <row r="210" spans="1:41">
      <c r="A210" s="192"/>
      <c r="B210" s="223"/>
      <c r="C210" s="544"/>
      <c r="D210" s="199"/>
      <c r="E210" s="224"/>
      <c r="F210" s="679"/>
      <c r="G210" s="225"/>
      <c r="H210" s="200"/>
      <c r="I210" s="200"/>
      <c r="J210" s="200"/>
      <c r="K210" s="200"/>
      <c r="L210" s="200"/>
      <c r="M210" s="200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200"/>
      <c r="Y210" s="200"/>
      <c r="Z210" s="200"/>
      <c r="AA210" s="200"/>
      <c r="AB210" s="200"/>
      <c r="AC210" s="200"/>
      <c r="AD210" s="200"/>
      <c r="AE210" s="200"/>
      <c r="AF210" s="200"/>
      <c r="AG210" s="200"/>
      <c r="AH210" s="200"/>
      <c r="AI210" s="200"/>
      <c r="AJ210" s="200"/>
      <c r="AK210" s="200"/>
      <c r="AL210" s="200"/>
      <c r="AM210" s="113">
        <f t="shared" si="3"/>
        <v>0</v>
      </c>
      <c r="AN210" s="540">
        <f>IF(AO210&lt;=3,(IF(AND(G210="5/24",AM210&gt;2),(AM210*2*база!$M$6*Таблица14[[#This Row],[коэф]]),
IF(AND(G210="4/24",AM210&gt;2),(AM210*2*база!$M$5*Таблица14[[#This Row],[коэф]]),
IF(AND(G210="3/24",AM210&gt;2),(AM210*2*база!$M$4*Таблица14[[#This Row],[коэф]]),
IF(AND(G210="5/16",AM210&gt;2),(AM210*2*база!$L$6*Таблица14[[#This Row],[коэф]]),
IF(AND(G210="4/16",AM210&gt;2),(AM210*2*база!$L$5*Таблица14[[#This Row],[коэф]]),
IF(AND(G210="3/16",AM210&gt;2),(AM210*2*база!$L$4*Таблица14[[#This Row],[коэф]]),
IF(AND(G210="4/4",AM210&gt;2),(AM210*2*база!$I$5*Таблица14[[#This Row],[коэф]]),
IF(AND(G210="3/4",AM210&gt;2),(AM210*2*база!$I$4*Таблица14[[#This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(AM210*2*база!$L$4*Таблица14[[#This Row],[коэф]]))))))))))))),
(IF(AND(G210="5/24",AM210&gt;2),(AM210*2*база!$M$6*Таблица14[[#This Row],[коэф]]),
IF(OR(AND(G210="4/24",AM210&gt;2),AND(G210="3/24",AM210&gt;2)),(AM210*2*база!$M$5*Таблица14[[#This Row],[коэф]]),
IF(AND(G210="5/16",AM210&gt;2),(AM210*2*база!$L$6*Таблица14[[#This Row],[коэф]]),
IF(OR(AND(G210="4/16",AM210&gt;2),AND(G210="3/16",AM210&gt;2)),(AM210*2*база!$L$5*Таблица14[[#This Row],[коэф]]),
IF(OR(AND(G210="4/4",AM210&gt;2),AND(G210="3/4",AM210&gt;2)),(AM210*2*база!$I$5*Таблица14[[#This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(AM210*2*база!$L$5*Таблица14[[#This Row],[коэф]])))))))))))</f>
        <v>0</v>
      </c>
      <c r="AO210" s="114">
        <f>IFERROR(INDEX(база!$D$2:$D$120, MATCH(Таблица14[[#This Row],[Ф. И. О.]],база!$B$2:$B$100,0)),"")</f>
        <v>0</v>
      </c>
    </row>
    <row r="211" spans="1:41">
      <c r="A211" s="192"/>
      <c r="B211" s="189"/>
      <c r="C211" s="544"/>
      <c r="D211" s="199"/>
      <c r="E211" s="226"/>
      <c r="F211" s="679"/>
      <c r="G211" s="191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200"/>
      <c r="Y211" s="200"/>
      <c r="Z211" s="200"/>
      <c r="AA211" s="200"/>
      <c r="AB211" s="200"/>
      <c r="AC211" s="200"/>
      <c r="AD211" s="200"/>
      <c r="AE211" s="200"/>
      <c r="AF211" s="200"/>
      <c r="AG211" s="200"/>
      <c r="AH211" s="200"/>
      <c r="AI211" s="200"/>
      <c r="AJ211" s="200"/>
      <c r="AK211" s="200"/>
      <c r="AL211" s="200"/>
      <c r="AM211" s="113">
        <f t="shared" si="3"/>
        <v>0</v>
      </c>
      <c r="AN211" s="540">
        <f>IF(AO211&lt;=3,(IF(AND(G211="5/24",AM211&gt;2),(AM211*2*база!$M$6*Таблица14[[#This Row],[коэф]]),
IF(AND(G211="4/24",AM211&gt;2),(AM211*2*база!$M$5*Таблица14[[#This Row],[коэф]]),
IF(AND(G211="3/24",AM211&gt;2),(AM211*2*база!$M$4*Таблица14[[#This Row],[коэф]]),
IF(AND(G211="5/16",AM211&gt;2),(AM211*2*база!$L$6*Таблица14[[#This Row],[коэф]]),
IF(AND(G211="4/16",AM211&gt;2),(AM211*2*база!$L$5*Таблица14[[#This Row],[коэф]]),
IF(AND(G211="3/16",AM211&gt;2),(AM211*2*база!$L$4*Таблица14[[#This Row],[коэф]]),
IF(AND(G211="4/4",AM211&gt;2),(AM211*2*база!$I$5*Таблица14[[#This Row],[коэф]]),
IF(AND(G211="3/4",AM211&gt;2),(AM211*2*база!$I$4*Таблица14[[#This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(AM211*2*база!$L$4*Таблица14[[#This Row],[коэф]]))))))))))))),
(IF(AND(G211="5/24",AM211&gt;2),(AM211*2*база!$M$6*Таблица14[[#This Row],[коэф]]),
IF(OR(AND(G211="4/24",AM211&gt;2),AND(G211="3/24",AM211&gt;2)),(AM211*2*база!$M$5*Таблица14[[#This Row],[коэф]]),
IF(AND(G211="5/16",AM211&gt;2),(AM211*2*база!$L$6*Таблица14[[#This Row],[коэф]]),
IF(OR(AND(G211="4/16",AM211&gt;2),AND(G211="3/16",AM211&gt;2)),(AM211*2*база!$L$5*Таблица14[[#This Row],[коэф]]),
IF(OR(AND(G211="4/4",AM211&gt;2),AND(G211="3/4",AM211&gt;2)),(AM211*2*база!$I$5*Таблица14[[#This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(AM211*2*база!$L$5*Таблица14[[#This Row],[коэф]])))))))))))</f>
        <v>0</v>
      </c>
      <c r="AO211" s="114">
        <f>IFERROR(INDEX(база!$D$2:$D$120, MATCH(Таблица14[[#This Row],[Ф. И. О.]],база!$B$2:$B$100,0)),"")</f>
        <v>0</v>
      </c>
    </row>
    <row r="212" spans="1:41">
      <c r="A212" s="192"/>
      <c r="B212" s="223"/>
      <c r="C212" s="544"/>
      <c r="D212" s="199"/>
      <c r="E212" s="224"/>
      <c r="F212" s="679"/>
      <c r="G212" s="225"/>
      <c r="H212" s="200"/>
      <c r="I212" s="200"/>
      <c r="J212" s="200"/>
      <c r="K212" s="200"/>
      <c r="L212" s="200"/>
      <c r="M212" s="200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200"/>
      <c r="Y212" s="200"/>
      <c r="Z212" s="200"/>
      <c r="AA212" s="200"/>
      <c r="AB212" s="200"/>
      <c r="AC212" s="200"/>
      <c r="AD212" s="200"/>
      <c r="AE212" s="200"/>
      <c r="AF212" s="200"/>
      <c r="AG212" s="200"/>
      <c r="AH212" s="200"/>
      <c r="AI212" s="200"/>
      <c r="AJ212" s="200"/>
      <c r="AK212" s="200"/>
      <c r="AL212" s="200"/>
      <c r="AM212" s="113">
        <f t="shared" si="3"/>
        <v>0</v>
      </c>
      <c r="AN212" s="540">
        <f>IF(AO212&lt;=3,(IF(AND(G212="5/24",AM212&gt;2),(AM212*2*база!$M$6*Таблица14[[#This Row],[коэф]]),
IF(AND(G212="4/24",AM212&gt;2),(AM212*2*база!$M$5*Таблица14[[#This Row],[коэф]]),
IF(AND(G212="3/24",AM212&gt;2),(AM212*2*база!$M$4*Таблица14[[#This Row],[коэф]]),
IF(AND(G212="5/16",AM212&gt;2),(AM212*2*база!$L$6*Таблица14[[#This Row],[коэф]]),
IF(AND(G212="4/16",AM212&gt;2),(AM212*2*база!$L$5*Таблица14[[#This Row],[коэф]]),
IF(AND(G212="3/16",AM212&gt;2),(AM212*2*база!$L$4*Таблица14[[#This Row],[коэф]]),
IF(AND(G212="4/4",AM212&gt;2),(AM212*2*база!$I$5*Таблица14[[#This Row],[коэф]]),
IF(AND(G212="3/4",AM212&gt;2),(AM212*2*база!$I$4*Таблица14[[#This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(AM212*2*база!$L$4*Таблица14[[#This Row],[коэф]]))))))))))))),
(IF(AND(G212="5/24",AM212&gt;2),(AM212*2*база!$M$6*Таблица14[[#This Row],[коэф]]),
IF(OR(AND(G212="4/24",AM212&gt;2),AND(G212="3/24",AM212&gt;2)),(AM212*2*база!$M$5*Таблица14[[#This Row],[коэф]]),
IF(AND(G212="5/16",AM212&gt;2),(AM212*2*база!$L$6*Таблица14[[#This Row],[коэф]]),
IF(OR(AND(G212="4/16",AM212&gt;2),AND(G212="3/16",AM212&gt;2)),(AM212*2*база!$L$5*Таблица14[[#This Row],[коэф]]),
IF(OR(AND(G212="4/4",AM212&gt;2),AND(G212="3/4",AM212&gt;2)),(AM212*2*база!$I$5*Таблица14[[#This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(AM212*2*база!$L$5*Таблица14[[#This Row],[коэф]])))))))))))</f>
        <v>0</v>
      </c>
      <c r="AO212" s="114">
        <f>IFERROR(INDEX(база!$D$2:$D$120, MATCH(Таблица14[[#This Row],[Ф. И. О.]],база!$B$2:$B$100,0)),"")</f>
        <v>0</v>
      </c>
    </row>
    <row r="213" spans="1:41">
      <c r="A213" s="192"/>
      <c r="B213" s="189"/>
      <c r="C213" s="544"/>
      <c r="D213" s="199"/>
      <c r="E213" s="226"/>
      <c r="F213" s="679"/>
      <c r="G213" s="191"/>
      <c r="H213" s="200"/>
      <c r="I213" s="200"/>
      <c r="J213" s="200"/>
      <c r="K213" s="200"/>
      <c r="L213" s="200"/>
      <c r="M213" s="200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200"/>
      <c r="Y213" s="200"/>
      <c r="Z213" s="200"/>
      <c r="AA213" s="200"/>
      <c r="AB213" s="200"/>
      <c r="AC213" s="200"/>
      <c r="AD213" s="200"/>
      <c r="AE213" s="200"/>
      <c r="AF213" s="200"/>
      <c r="AG213" s="200"/>
      <c r="AH213" s="200"/>
      <c r="AI213" s="200"/>
      <c r="AJ213" s="200"/>
      <c r="AK213" s="200"/>
      <c r="AL213" s="200"/>
      <c r="AM213" s="113">
        <f t="shared" si="3"/>
        <v>0</v>
      </c>
      <c r="AN213" s="540">
        <f>IF(AO213&lt;=3,(IF(AND(G213="5/24",AM213&gt;2),(AM213*2*база!$M$6*Таблица14[[#This Row],[коэф]]),
IF(AND(G213="4/24",AM213&gt;2),(AM213*2*база!$M$5*Таблица14[[#This Row],[коэф]]),
IF(AND(G213="3/24",AM213&gt;2),(AM213*2*база!$M$4*Таблица14[[#This Row],[коэф]]),
IF(AND(G213="5/16",AM213&gt;2),(AM213*2*база!$L$6*Таблица14[[#This Row],[коэф]]),
IF(AND(G213="4/16",AM213&gt;2),(AM213*2*база!$L$5*Таблица14[[#This Row],[коэф]]),
IF(AND(G213="3/16",AM213&gt;2),(AM213*2*база!$L$4*Таблица14[[#This Row],[коэф]]),
IF(AND(G213="4/4",AM213&gt;2),(AM213*2*база!$I$5*Таблица14[[#This Row],[коэф]]),
IF(AND(G213="3/4",AM213&gt;2),(AM213*2*база!$I$4*Таблица14[[#This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(AM213*2*база!$L$4*Таблица14[[#This Row],[коэф]]))))))))))))),
(IF(AND(G213="5/24",AM213&gt;2),(AM213*2*база!$M$6*Таблица14[[#This Row],[коэф]]),
IF(OR(AND(G213="4/24",AM213&gt;2),AND(G213="3/24",AM213&gt;2)),(AM213*2*база!$M$5*Таблица14[[#This Row],[коэф]]),
IF(AND(G213="5/16",AM213&gt;2),(AM213*2*база!$L$6*Таблица14[[#This Row],[коэф]]),
IF(OR(AND(G213="4/16",AM213&gt;2),AND(G213="3/16",AM213&gt;2)),(AM213*2*база!$L$5*Таблица14[[#This Row],[коэф]]),
IF(OR(AND(G213="4/4",AM213&gt;2),AND(G213="3/4",AM213&gt;2)),(AM213*2*база!$I$5*Таблица14[[#This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(AM213*2*база!$L$5*Таблица14[[#This Row],[коэф]])))))))))))</f>
        <v>0</v>
      </c>
      <c r="AO213" s="114">
        <f>IFERROR(INDEX(база!$D$2:$D$120, MATCH(Таблица14[[#This Row],[Ф. И. О.]],база!$B$2:$B$100,0)),"")</f>
        <v>0</v>
      </c>
    </row>
    <row r="214" spans="1:41">
      <c r="A214" s="192"/>
      <c r="B214" s="223"/>
      <c r="C214" s="544"/>
      <c r="D214" s="199"/>
      <c r="E214" s="224"/>
      <c r="F214" s="679"/>
      <c r="G214" s="225"/>
      <c r="H214" s="200"/>
      <c r="I214" s="200"/>
      <c r="J214" s="200"/>
      <c r="K214" s="200"/>
      <c r="L214" s="200"/>
      <c r="M214" s="200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200"/>
      <c r="Y214" s="200"/>
      <c r="Z214" s="200"/>
      <c r="AA214" s="200"/>
      <c r="AB214" s="200"/>
      <c r="AC214" s="200"/>
      <c r="AD214" s="200"/>
      <c r="AE214" s="200"/>
      <c r="AF214" s="200"/>
      <c r="AG214" s="200"/>
      <c r="AH214" s="200"/>
      <c r="AI214" s="200"/>
      <c r="AJ214" s="200"/>
      <c r="AK214" s="200"/>
      <c r="AL214" s="200"/>
      <c r="AM214" s="113">
        <f t="shared" si="3"/>
        <v>0</v>
      </c>
      <c r="AN214" s="540">
        <f>IF(AO214&lt;=3,(IF(AND(G214="5/24",AM214&gt;2),(AM214*2*база!$M$6*Таблица14[[#This Row],[коэф]]),
IF(AND(G214="4/24",AM214&gt;2),(AM214*2*база!$M$5*Таблица14[[#This Row],[коэф]]),
IF(AND(G214="3/24",AM214&gt;2),(AM214*2*база!$M$4*Таблица14[[#This Row],[коэф]]),
IF(AND(G214="5/16",AM214&gt;2),(AM214*2*база!$L$6*Таблица14[[#This Row],[коэф]]),
IF(AND(G214="4/16",AM214&gt;2),(AM214*2*база!$L$5*Таблица14[[#This Row],[коэф]]),
IF(AND(G214="3/16",AM214&gt;2),(AM214*2*база!$L$4*Таблица14[[#This Row],[коэф]]),
IF(AND(G214="4/4",AM214&gt;2),(AM214*2*база!$I$5*Таблица14[[#This Row],[коэф]]),
IF(AND(G214="3/4",AM214&gt;2),(AM214*2*база!$I$4*Таблица14[[#This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(AM214*2*база!$L$4*Таблица14[[#This Row],[коэф]]))))))))))))),
(IF(AND(G214="5/24",AM214&gt;2),(AM214*2*база!$M$6*Таблица14[[#This Row],[коэф]]),
IF(OR(AND(G214="4/24",AM214&gt;2),AND(G214="3/24",AM214&gt;2)),(AM214*2*база!$M$5*Таблица14[[#This Row],[коэф]]),
IF(AND(G214="5/16",AM214&gt;2),(AM214*2*база!$L$6*Таблица14[[#This Row],[коэф]]),
IF(OR(AND(G214="4/16",AM214&gt;2),AND(G214="3/16",AM214&gt;2)),(AM214*2*база!$L$5*Таблица14[[#This Row],[коэф]]),
IF(OR(AND(G214="4/4",AM214&gt;2),AND(G214="3/4",AM214&gt;2)),(AM214*2*база!$I$5*Таблица14[[#This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(AM214*2*база!$L$5*Таблица14[[#This Row],[коэф]])))))))))))</f>
        <v>0</v>
      </c>
      <c r="AO214" s="114">
        <f>IFERROR(INDEX(база!$D$2:$D$120, MATCH(Таблица14[[#This Row],[Ф. И. О.]],база!$B$2:$B$100,0)),"")</f>
        <v>0</v>
      </c>
    </row>
    <row r="215" spans="1:41">
      <c r="A215" s="192"/>
      <c r="B215" s="189"/>
      <c r="C215" s="544"/>
      <c r="D215" s="199"/>
      <c r="E215" s="226"/>
      <c r="F215" s="679"/>
      <c r="G215" s="191"/>
      <c r="H215" s="200"/>
      <c r="I215" s="200"/>
      <c r="J215" s="200"/>
      <c r="K215" s="200"/>
      <c r="L215" s="200"/>
      <c r="M215" s="200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200"/>
      <c r="Y215" s="200"/>
      <c r="Z215" s="200"/>
      <c r="AA215" s="200"/>
      <c r="AB215" s="200"/>
      <c r="AC215" s="200"/>
      <c r="AD215" s="200"/>
      <c r="AE215" s="200"/>
      <c r="AF215" s="200"/>
      <c r="AG215" s="200"/>
      <c r="AH215" s="200"/>
      <c r="AI215" s="200"/>
      <c r="AJ215" s="200"/>
      <c r="AK215" s="200"/>
      <c r="AL215" s="200"/>
      <c r="AM215" s="113">
        <f t="shared" si="3"/>
        <v>0</v>
      </c>
      <c r="AN215" s="540">
        <f>IF(AO215&lt;=3,(IF(AND(G215="5/24",AM215&gt;2),(AM215*2*база!$M$6*Таблица14[[#This Row],[коэф]]),
IF(AND(G215="4/24",AM215&gt;2),(AM215*2*база!$M$5*Таблица14[[#This Row],[коэф]]),
IF(AND(G215="3/24",AM215&gt;2),(AM215*2*база!$M$4*Таблица14[[#This Row],[коэф]]),
IF(AND(G215="5/16",AM215&gt;2),(AM215*2*база!$L$6*Таблица14[[#This Row],[коэф]]),
IF(AND(G215="4/16",AM215&gt;2),(AM215*2*база!$L$5*Таблица14[[#This Row],[коэф]]),
IF(AND(G215="3/16",AM215&gt;2),(AM215*2*база!$L$4*Таблица14[[#This Row],[коэф]]),
IF(AND(G215="4/4",AM215&gt;2),(AM215*2*база!$I$5*Таблица14[[#This Row],[коэф]]),
IF(AND(G215="3/4",AM215&gt;2),(AM215*2*база!$I$4*Таблица14[[#This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(AM215*2*база!$L$4*Таблица14[[#This Row],[коэф]]))))))))))))),
(IF(AND(G215="5/24",AM215&gt;2),(AM215*2*база!$M$6*Таблица14[[#This Row],[коэф]]),
IF(OR(AND(G215="4/24",AM215&gt;2),AND(G215="3/24",AM215&gt;2)),(AM215*2*база!$M$5*Таблица14[[#This Row],[коэф]]),
IF(AND(G215="5/16",AM215&gt;2),(AM215*2*база!$L$6*Таблица14[[#This Row],[коэф]]),
IF(OR(AND(G215="4/16",AM215&gt;2),AND(G215="3/16",AM215&gt;2)),(AM215*2*база!$L$5*Таблица14[[#This Row],[коэф]]),
IF(OR(AND(G215="4/4",AM215&gt;2),AND(G215="3/4",AM215&gt;2)),(AM215*2*база!$I$5*Таблица14[[#This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(AM215*2*база!$L$5*Таблица14[[#This Row],[коэф]])))))))))))</f>
        <v>0</v>
      </c>
      <c r="AO215" s="114">
        <f>IFERROR(INDEX(база!$D$2:$D$120, MATCH(Таблица14[[#This Row],[Ф. И. О.]],база!$B$2:$B$100,0)),"")</f>
        <v>0</v>
      </c>
    </row>
    <row r="216" spans="1:41">
      <c r="A216" s="192"/>
      <c r="B216" s="223"/>
      <c r="C216" s="544"/>
      <c r="D216" s="199"/>
      <c r="E216" s="224"/>
      <c r="F216" s="679"/>
      <c r="G216" s="225"/>
      <c r="H216" s="200"/>
      <c r="I216" s="200"/>
      <c r="J216" s="200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200"/>
      <c r="Y216" s="200"/>
      <c r="Z216" s="200"/>
      <c r="AA216" s="200"/>
      <c r="AB216" s="200"/>
      <c r="AC216" s="200"/>
      <c r="AD216" s="200"/>
      <c r="AE216" s="200"/>
      <c r="AF216" s="200"/>
      <c r="AG216" s="200"/>
      <c r="AH216" s="200"/>
      <c r="AI216" s="200"/>
      <c r="AJ216" s="200"/>
      <c r="AK216" s="200"/>
      <c r="AL216" s="200"/>
      <c r="AM216" s="113">
        <f t="shared" si="3"/>
        <v>0</v>
      </c>
      <c r="AN216" s="540">
        <f>IF(AO216&lt;=3,(IF(AND(G216="5/24",AM216&gt;2),(AM216*2*база!$M$6*Таблица14[[#This Row],[коэф]]),
IF(AND(G216="4/24",AM216&gt;2),(AM216*2*база!$M$5*Таблица14[[#This Row],[коэф]]),
IF(AND(G216="3/24",AM216&gt;2),(AM216*2*база!$M$4*Таблица14[[#This Row],[коэф]]),
IF(AND(G216="5/16",AM216&gt;2),(AM216*2*база!$L$6*Таблица14[[#This Row],[коэф]]),
IF(AND(G216="4/16",AM216&gt;2),(AM216*2*база!$L$5*Таблица14[[#This Row],[коэф]]),
IF(AND(G216="3/16",AM216&gt;2),(AM216*2*база!$L$4*Таблица14[[#This Row],[коэф]]),
IF(AND(G216="4/4",AM216&gt;2),(AM216*2*база!$I$5*Таблица14[[#This Row],[коэф]]),
IF(AND(G216="3/4",AM216&gt;2),(AM216*2*база!$I$4*Таблица14[[#This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(AM216*2*база!$L$4*Таблица14[[#This Row],[коэф]]))))))))))))),
(IF(AND(G216="5/24",AM216&gt;2),(AM216*2*база!$M$6*Таблица14[[#This Row],[коэф]]),
IF(OR(AND(G216="4/24",AM216&gt;2),AND(G216="3/24",AM216&gt;2)),(AM216*2*база!$M$5*Таблица14[[#This Row],[коэф]]),
IF(AND(G216="5/16",AM216&gt;2),(AM216*2*база!$L$6*Таблица14[[#This Row],[коэф]]),
IF(OR(AND(G216="4/16",AM216&gt;2),AND(G216="3/16",AM216&gt;2)),(AM216*2*база!$L$5*Таблица14[[#This Row],[коэф]]),
IF(OR(AND(G216="4/4",AM216&gt;2),AND(G216="3/4",AM216&gt;2)),(AM216*2*база!$I$5*Таблица14[[#This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(AM216*2*база!$L$5*Таблица14[[#This Row],[коэф]])))))))))))</f>
        <v>0</v>
      </c>
      <c r="AO216" s="114">
        <f>IFERROR(INDEX(база!$D$2:$D$120, MATCH(Таблица14[[#This Row],[Ф. И. О.]],база!$B$2:$B$100,0)),"")</f>
        <v>0</v>
      </c>
    </row>
    <row r="217" spans="1:41">
      <c r="A217" s="192"/>
      <c r="B217" s="189"/>
      <c r="C217" s="544"/>
      <c r="D217" s="199"/>
      <c r="E217" s="226"/>
      <c r="F217" s="679"/>
      <c r="G217" s="191"/>
      <c r="H217" s="200"/>
      <c r="I217" s="200"/>
      <c r="J217" s="200"/>
      <c r="K217" s="200"/>
      <c r="L217" s="200"/>
      <c r="M217" s="200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200"/>
      <c r="Y217" s="200"/>
      <c r="Z217" s="200"/>
      <c r="AA217" s="200"/>
      <c r="AB217" s="200"/>
      <c r="AC217" s="200"/>
      <c r="AD217" s="200"/>
      <c r="AE217" s="200"/>
      <c r="AF217" s="200"/>
      <c r="AG217" s="200"/>
      <c r="AH217" s="200"/>
      <c r="AI217" s="200"/>
      <c r="AJ217" s="200"/>
      <c r="AK217" s="200"/>
      <c r="AL217" s="200"/>
      <c r="AM217" s="113">
        <f t="shared" si="3"/>
        <v>0</v>
      </c>
      <c r="AN217" s="540">
        <f>IF(AO217&lt;=3,(IF(AND(G217="5/24",AM217&gt;2),(AM217*2*база!$M$6*Таблица14[[#This Row],[коэф]]),
IF(AND(G217="4/24",AM217&gt;2),(AM217*2*база!$M$5*Таблица14[[#This Row],[коэф]]),
IF(AND(G217="3/24",AM217&gt;2),(AM217*2*база!$M$4*Таблица14[[#This Row],[коэф]]),
IF(AND(G217="5/16",AM217&gt;2),(AM217*2*база!$L$6*Таблица14[[#This Row],[коэф]]),
IF(AND(G217="4/16",AM217&gt;2),(AM217*2*база!$L$5*Таблица14[[#This Row],[коэф]]),
IF(AND(G217="3/16",AM217&gt;2),(AM217*2*база!$L$4*Таблица14[[#This Row],[коэф]]),
IF(AND(G217="4/4",AM217&gt;2),(AM217*2*база!$I$5*Таблица14[[#This Row],[коэф]]),
IF(AND(G217="3/4",AM217&gt;2),(AM217*2*база!$I$4*Таблица14[[#This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(AM217*2*база!$L$4*Таблица14[[#This Row],[коэф]]))))))))))))),
(IF(AND(G217="5/24",AM217&gt;2),(AM217*2*база!$M$6*Таблица14[[#This Row],[коэф]]),
IF(OR(AND(G217="4/24",AM217&gt;2),AND(G217="3/24",AM217&gt;2)),(AM217*2*база!$M$5*Таблица14[[#This Row],[коэф]]),
IF(AND(G217="5/16",AM217&gt;2),(AM217*2*база!$L$6*Таблица14[[#This Row],[коэф]]),
IF(OR(AND(G217="4/16",AM217&gt;2),AND(G217="3/16",AM217&gt;2)),(AM217*2*база!$L$5*Таблица14[[#This Row],[коэф]]),
IF(OR(AND(G217="4/4",AM217&gt;2),AND(G217="3/4",AM217&gt;2)),(AM217*2*база!$I$5*Таблица14[[#This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(AM217*2*база!$L$5*Таблица14[[#This Row],[коэф]])))))))))))</f>
        <v>0</v>
      </c>
      <c r="AO217" s="114">
        <f>IFERROR(INDEX(база!$D$2:$D$120, MATCH(Таблица14[[#This Row],[Ф. И. О.]],база!$B$2:$B$100,0)),"")</f>
        <v>0</v>
      </c>
    </row>
    <row r="218" spans="1:41">
      <c r="A218" s="192"/>
      <c r="B218" s="223"/>
      <c r="C218" s="544"/>
      <c r="D218" s="199"/>
      <c r="E218" s="224"/>
      <c r="F218" s="679"/>
      <c r="G218" s="225"/>
      <c r="H218" s="200"/>
      <c r="I218" s="200"/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200"/>
      <c r="Y218" s="200"/>
      <c r="Z218" s="200"/>
      <c r="AA218" s="200"/>
      <c r="AB218" s="200"/>
      <c r="AC218" s="200"/>
      <c r="AD218" s="200"/>
      <c r="AE218" s="200"/>
      <c r="AF218" s="200"/>
      <c r="AG218" s="200"/>
      <c r="AH218" s="200"/>
      <c r="AI218" s="200"/>
      <c r="AJ218" s="200"/>
      <c r="AK218" s="200"/>
      <c r="AL218" s="200"/>
      <c r="AM218" s="113">
        <f t="shared" si="3"/>
        <v>0</v>
      </c>
      <c r="AN218" s="540">
        <f>IF(AO218&lt;=3,(IF(AND(G218="5/24",AM218&gt;2),(AM218*2*база!$M$6*Таблица14[[#This Row],[коэф]]),
IF(AND(G218="4/24",AM218&gt;2),(AM218*2*база!$M$5*Таблица14[[#This Row],[коэф]]),
IF(AND(G218="3/24",AM218&gt;2),(AM218*2*база!$M$4*Таблица14[[#This Row],[коэф]]),
IF(AND(G218="5/16",AM218&gt;2),(AM218*2*база!$L$6*Таблица14[[#This Row],[коэф]]),
IF(AND(G218="4/16",AM218&gt;2),(AM218*2*база!$L$5*Таблица14[[#This Row],[коэф]]),
IF(AND(G218="3/16",AM218&gt;2),(AM218*2*база!$L$4*Таблица14[[#This Row],[коэф]]),
IF(AND(G218="4/4",AM218&gt;2),(AM218*2*база!$I$5*Таблица14[[#This Row],[коэф]]),
IF(AND(G218="3/4",AM218&gt;2),(AM218*2*база!$I$4*Таблица14[[#This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(AM218*2*база!$L$4*Таблица14[[#This Row],[коэф]]))))))))))))),
(IF(AND(G218="5/24",AM218&gt;2),(AM218*2*база!$M$6*Таблица14[[#This Row],[коэф]]),
IF(OR(AND(G218="4/24",AM218&gt;2),AND(G218="3/24",AM218&gt;2)),(AM218*2*база!$M$5*Таблица14[[#This Row],[коэф]]),
IF(AND(G218="5/16",AM218&gt;2),(AM218*2*база!$L$6*Таблица14[[#This Row],[коэф]]),
IF(OR(AND(G218="4/16",AM218&gt;2),AND(G218="3/16",AM218&gt;2)),(AM218*2*база!$L$5*Таблица14[[#This Row],[коэф]]),
IF(OR(AND(G218="4/4",AM218&gt;2),AND(G218="3/4",AM218&gt;2)),(AM218*2*база!$I$5*Таблица14[[#This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(AM218*2*база!$L$5*Таблица14[[#This Row],[коэф]])))))))))))</f>
        <v>0</v>
      </c>
      <c r="AO218" s="114">
        <f>IFERROR(INDEX(база!$D$2:$D$120, MATCH(Таблица14[[#This Row],[Ф. И. О.]],база!$B$2:$B$100,0)),"")</f>
        <v>0</v>
      </c>
    </row>
    <row r="219" spans="1:41">
      <c r="A219" s="192"/>
      <c r="B219" s="189"/>
      <c r="C219" s="544"/>
      <c r="D219" s="199"/>
      <c r="E219" s="226"/>
      <c r="F219" s="679"/>
      <c r="G219" s="191"/>
      <c r="H219" s="200"/>
      <c r="I219" s="200"/>
      <c r="J219" s="200"/>
      <c r="K219" s="200"/>
      <c r="L219" s="200"/>
      <c r="M219" s="200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200"/>
      <c r="Y219" s="200"/>
      <c r="Z219" s="200"/>
      <c r="AA219" s="200"/>
      <c r="AB219" s="200"/>
      <c r="AC219" s="200"/>
      <c r="AD219" s="200"/>
      <c r="AE219" s="200"/>
      <c r="AF219" s="200"/>
      <c r="AG219" s="200"/>
      <c r="AH219" s="200"/>
      <c r="AI219" s="200"/>
      <c r="AJ219" s="200"/>
      <c r="AK219" s="200"/>
      <c r="AL219" s="200"/>
      <c r="AM219" s="113">
        <f t="shared" si="3"/>
        <v>0</v>
      </c>
      <c r="AN219" s="540">
        <f>IF(AO219&lt;=3,(IF(AND(G219="5/24",AM219&gt;2),(AM219*2*база!$M$6*Таблица14[[#This Row],[коэф]]),
IF(AND(G219="4/24",AM219&gt;2),(AM219*2*база!$M$5*Таблица14[[#This Row],[коэф]]),
IF(AND(G219="3/24",AM219&gt;2),(AM219*2*база!$M$4*Таблица14[[#This Row],[коэф]]),
IF(AND(G219="5/16",AM219&gt;2),(AM219*2*база!$L$6*Таблица14[[#This Row],[коэф]]),
IF(AND(G219="4/16",AM219&gt;2),(AM219*2*база!$L$5*Таблица14[[#This Row],[коэф]]),
IF(AND(G219="3/16",AM219&gt;2),(AM219*2*база!$L$4*Таблица14[[#This Row],[коэф]]),
IF(AND(G219="4/4",AM219&gt;2),(AM219*2*база!$I$5*Таблица14[[#This Row],[коэф]]),
IF(AND(G219="3/4",AM219&gt;2),(AM219*2*база!$I$4*Таблица14[[#This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(AM219*2*база!$L$4*Таблица14[[#This Row],[коэф]]))))))))))))),
(IF(AND(G219="5/24",AM219&gt;2),(AM219*2*база!$M$6*Таблица14[[#This Row],[коэф]]),
IF(OR(AND(G219="4/24",AM219&gt;2),AND(G219="3/24",AM219&gt;2)),(AM219*2*база!$M$5*Таблица14[[#This Row],[коэф]]),
IF(AND(G219="5/16",AM219&gt;2),(AM219*2*база!$L$6*Таблица14[[#This Row],[коэф]]),
IF(OR(AND(G219="4/16",AM219&gt;2),AND(G219="3/16",AM219&gt;2)),(AM219*2*база!$L$5*Таблица14[[#This Row],[коэф]]),
IF(OR(AND(G219="4/4",AM219&gt;2),AND(G219="3/4",AM219&gt;2)),(AM219*2*база!$I$5*Таблица14[[#This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(AM219*2*база!$L$5*Таблица14[[#This Row],[коэф]])))))))))))</f>
        <v>0</v>
      </c>
      <c r="AO219" s="114">
        <f>IFERROR(INDEX(база!$D$2:$D$120, MATCH(Таблица14[[#This Row],[Ф. И. О.]],база!$B$2:$B$100,0)),"")</f>
        <v>0</v>
      </c>
    </row>
    <row r="220" spans="1:41">
      <c r="A220" s="192"/>
      <c r="B220" s="223"/>
      <c r="C220" s="544"/>
      <c r="D220" s="199"/>
      <c r="E220" s="224"/>
      <c r="F220" s="679"/>
      <c r="G220" s="225"/>
      <c r="H220" s="200"/>
      <c r="I220" s="200"/>
      <c r="J220" s="200"/>
      <c r="K220" s="200"/>
      <c r="L220" s="200"/>
      <c r="M220" s="200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200"/>
      <c r="Y220" s="200"/>
      <c r="Z220" s="200"/>
      <c r="AA220" s="200"/>
      <c r="AB220" s="200"/>
      <c r="AC220" s="200"/>
      <c r="AD220" s="200"/>
      <c r="AE220" s="200"/>
      <c r="AF220" s="200"/>
      <c r="AG220" s="200"/>
      <c r="AH220" s="200"/>
      <c r="AI220" s="200"/>
      <c r="AJ220" s="200"/>
      <c r="AK220" s="200"/>
      <c r="AL220" s="200"/>
      <c r="AM220" s="113">
        <f t="shared" si="3"/>
        <v>0</v>
      </c>
      <c r="AN220" s="540">
        <f>IF(AO220&lt;=3,(IF(AND(G220="5/24",AM220&gt;2),(AM220*2*база!$M$6*Таблица14[[#This Row],[коэф]]),
IF(AND(G220="4/24",AM220&gt;2),(AM220*2*база!$M$5*Таблица14[[#This Row],[коэф]]),
IF(AND(G220="3/24",AM220&gt;2),(AM220*2*база!$M$4*Таблица14[[#This Row],[коэф]]),
IF(AND(G220="5/16",AM220&gt;2),(AM220*2*база!$L$6*Таблица14[[#This Row],[коэф]]),
IF(AND(G220="4/16",AM220&gt;2),(AM220*2*база!$L$5*Таблица14[[#This Row],[коэф]]),
IF(AND(G220="3/16",AM220&gt;2),(AM220*2*база!$L$4*Таблица14[[#This Row],[коэф]]),
IF(AND(G220="4/4",AM220&gt;2),(AM220*2*база!$I$5*Таблица14[[#This Row],[коэф]]),
IF(AND(G220="3/4",AM220&gt;2),(AM220*2*база!$I$4*Таблица14[[#This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(AM220*2*база!$L$4*Таблица14[[#This Row],[коэф]]))))))))))))),
(IF(AND(G220="5/24",AM220&gt;2),(AM220*2*база!$M$6*Таблица14[[#This Row],[коэф]]),
IF(OR(AND(G220="4/24",AM220&gt;2),AND(G220="3/24",AM220&gt;2)),(AM220*2*база!$M$5*Таблица14[[#This Row],[коэф]]),
IF(AND(G220="5/16",AM220&gt;2),(AM220*2*база!$L$6*Таблица14[[#This Row],[коэф]]),
IF(OR(AND(G220="4/16",AM220&gt;2),AND(G220="3/16",AM220&gt;2)),(AM220*2*база!$L$5*Таблица14[[#This Row],[коэф]]),
IF(OR(AND(G220="4/4",AM220&gt;2),AND(G220="3/4",AM220&gt;2)),(AM220*2*база!$I$5*Таблица14[[#This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(AM220*2*база!$L$5*Таблица14[[#This Row],[коэф]])))))))))))</f>
        <v>0</v>
      </c>
      <c r="AO220" s="114">
        <f>IFERROR(INDEX(база!$D$2:$D$120, MATCH(Таблица14[[#This Row],[Ф. И. О.]],база!$B$2:$B$100,0)),"")</f>
        <v>0</v>
      </c>
    </row>
    <row r="221" spans="1:41">
      <c r="A221" s="192"/>
      <c r="B221" s="189"/>
      <c r="C221" s="544"/>
      <c r="D221" s="199"/>
      <c r="E221" s="226"/>
      <c r="F221" s="679"/>
      <c r="G221" s="191"/>
      <c r="H221" s="200"/>
      <c r="I221" s="200"/>
      <c r="J221" s="200"/>
      <c r="K221" s="200"/>
      <c r="L221" s="200"/>
      <c r="M221" s="200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200"/>
      <c r="Y221" s="200"/>
      <c r="Z221" s="200"/>
      <c r="AA221" s="200"/>
      <c r="AB221" s="200"/>
      <c r="AC221" s="200"/>
      <c r="AD221" s="200"/>
      <c r="AE221" s="200"/>
      <c r="AF221" s="200"/>
      <c r="AG221" s="200"/>
      <c r="AH221" s="200"/>
      <c r="AI221" s="200"/>
      <c r="AJ221" s="200"/>
      <c r="AK221" s="200"/>
      <c r="AL221" s="200"/>
      <c r="AM221" s="113">
        <f t="shared" si="3"/>
        <v>0</v>
      </c>
      <c r="AN221" s="540">
        <f>IF(AO221&lt;=3,(IF(AND(G221="5/24",AM221&gt;2),(AM221*2*база!$M$6*Таблица14[[#This Row],[коэф]]),
IF(AND(G221="4/24",AM221&gt;2),(AM221*2*база!$M$5*Таблица14[[#This Row],[коэф]]),
IF(AND(G221="3/24",AM221&gt;2),(AM221*2*база!$M$4*Таблица14[[#This Row],[коэф]]),
IF(AND(G221="5/16",AM221&gt;2),(AM221*2*база!$L$6*Таблица14[[#This Row],[коэф]]),
IF(AND(G221="4/16",AM221&gt;2),(AM221*2*база!$L$5*Таблица14[[#This Row],[коэф]]),
IF(AND(G221="3/16",AM221&gt;2),(AM221*2*база!$L$4*Таблица14[[#This Row],[коэф]]),
IF(AND(G221="4/4",AM221&gt;2),(AM221*2*база!$I$5*Таблица14[[#This Row],[коэф]]),
IF(AND(G221="3/4",AM221&gt;2),(AM221*2*база!$I$4*Таблица14[[#This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(AM221*2*база!$L$4*Таблица14[[#This Row],[коэф]]))))))))))))),
(IF(AND(G221="5/24",AM221&gt;2),(AM221*2*база!$M$6*Таблица14[[#This Row],[коэф]]),
IF(OR(AND(G221="4/24",AM221&gt;2),AND(G221="3/24",AM221&gt;2)),(AM221*2*база!$M$5*Таблица14[[#This Row],[коэф]]),
IF(AND(G221="5/16",AM221&gt;2),(AM221*2*база!$L$6*Таблица14[[#This Row],[коэф]]),
IF(OR(AND(G221="4/16",AM221&gt;2),AND(G221="3/16",AM221&gt;2)),(AM221*2*база!$L$5*Таблица14[[#This Row],[коэф]]),
IF(OR(AND(G221="4/4",AM221&gt;2),AND(G221="3/4",AM221&gt;2)),(AM221*2*база!$I$5*Таблица14[[#This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(AM221*2*база!$L$5*Таблица14[[#This Row],[коэф]])))))))))))</f>
        <v>0</v>
      </c>
      <c r="AO221" s="114">
        <f>IFERROR(INDEX(база!$D$2:$D$120, MATCH(Таблица14[[#This Row],[Ф. И. О.]],база!$B$2:$B$100,0)),"")</f>
        <v>0</v>
      </c>
    </row>
    <row r="222" spans="1:41">
      <c r="A222" s="192"/>
      <c r="B222" s="223"/>
      <c r="C222" s="544"/>
      <c r="D222" s="199"/>
      <c r="E222" s="224"/>
      <c r="F222" s="679"/>
      <c r="G222" s="225"/>
      <c r="H222" s="200"/>
      <c r="I222" s="200"/>
      <c r="J222" s="200"/>
      <c r="K222" s="200"/>
      <c r="L222" s="200"/>
      <c r="M222" s="200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200"/>
      <c r="Y222" s="200"/>
      <c r="Z222" s="200"/>
      <c r="AA222" s="200"/>
      <c r="AB222" s="200"/>
      <c r="AC222" s="200"/>
      <c r="AD222" s="200"/>
      <c r="AE222" s="200"/>
      <c r="AF222" s="200"/>
      <c r="AG222" s="200"/>
      <c r="AH222" s="200"/>
      <c r="AI222" s="200"/>
      <c r="AJ222" s="200"/>
      <c r="AK222" s="200"/>
      <c r="AL222" s="200"/>
      <c r="AM222" s="113">
        <f t="shared" si="3"/>
        <v>0</v>
      </c>
      <c r="AN222" s="540">
        <f>IF(AO222&lt;=3,(IF(AND(G222="5/24",AM222&gt;2),(AM222*2*база!$M$6*Таблица14[[#This Row],[коэф]]),
IF(AND(G222="4/24",AM222&gt;2),(AM222*2*база!$M$5*Таблица14[[#This Row],[коэф]]),
IF(AND(G222="3/24",AM222&gt;2),(AM222*2*база!$M$4*Таблица14[[#This Row],[коэф]]),
IF(AND(G222="5/16",AM222&gt;2),(AM222*2*база!$L$6*Таблица14[[#This Row],[коэф]]),
IF(AND(G222="4/16",AM222&gt;2),(AM222*2*база!$L$5*Таблица14[[#This Row],[коэф]]),
IF(AND(G222="3/16",AM222&gt;2),(AM222*2*база!$L$4*Таблица14[[#This Row],[коэф]]),
IF(AND(G222="4/4",AM222&gt;2),(AM222*2*база!$I$5*Таблица14[[#This Row],[коэф]]),
IF(AND(G222="3/4",AM222&gt;2),(AM222*2*база!$I$4*Таблица14[[#This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(AM222*2*база!$L$4*Таблица14[[#This Row],[коэф]]))))))))))))),
(IF(AND(G222="5/24",AM222&gt;2),(AM222*2*база!$M$6*Таблица14[[#This Row],[коэф]]),
IF(OR(AND(G222="4/24",AM222&gt;2),AND(G222="3/24",AM222&gt;2)),(AM222*2*база!$M$5*Таблица14[[#This Row],[коэф]]),
IF(AND(G222="5/16",AM222&gt;2),(AM222*2*база!$L$6*Таблица14[[#This Row],[коэф]]),
IF(OR(AND(G222="4/16",AM222&gt;2),AND(G222="3/16",AM222&gt;2)),(AM222*2*база!$L$5*Таблица14[[#This Row],[коэф]]),
IF(OR(AND(G222="4/4",AM222&gt;2),AND(G222="3/4",AM222&gt;2)),(AM222*2*база!$I$5*Таблица14[[#This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(AM222*2*база!$L$5*Таблица14[[#This Row],[коэф]])))))))))))</f>
        <v>0</v>
      </c>
      <c r="AO222" s="114">
        <f>IFERROR(INDEX(база!$D$2:$D$120, MATCH(Таблица14[[#This Row],[Ф. И. О.]],база!$B$2:$B$100,0)),"")</f>
        <v>0</v>
      </c>
    </row>
    <row r="223" spans="1:41">
      <c r="A223" s="192"/>
      <c r="B223" s="189"/>
      <c r="C223" s="544"/>
      <c r="D223" s="199"/>
      <c r="E223" s="226"/>
      <c r="F223" s="679"/>
      <c r="G223" s="191"/>
      <c r="H223" s="200"/>
      <c r="I223" s="200"/>
      <c r="J223" s="200"/>
      <c r="K223" s="200"/>
      <c r="L223" s="200"/>
      <c r="M223" s="200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200"/>
      <c r="Y223" s="200"/>
      <c r="Z223" s="200"/>
      <c r="AA223" s="200"/>
      <c r="AB223" s="200"/>
      <c r="AC223" s="200"/>
      <c r="AD223" s="200"/>
      <c r="AE223" s="200"/>
      <c r="AF223" s="200"/>
      <c r="AG223" s="200"/>
      <c r="AH223" s="200"/>
      <c r="AI223" s="200"/>
      <c r="AJ223" s="200"/>
      <c r="AK223" s="200"/>
      <c r="AL223" s="200"/>
      <c r="AM223" s="113">
        <f t="shared" si="3"/>
        <v>0</v>
      </c>
      <c r="AN223" s="540">
        <f>IF(AO223&lt;=3,(IF(AND(G223="5/24",AM223&gt;2),(AM223*2*база!$M$6*Таблица14[[#This Row],[коэф]]),
IF(AND(G223="4/24",AM223&gt;2),(AM223*2*база!$M$5*Таблица14[[#This Row],[коэф]]),
IF(AND(G223="3/24",AM223&gt;2),(AM223*2*база!$M$4*Таблица14[[#This Row],[коэф]]),
IF(AND(G223="5/16",AM223&gt;2),(AM223*2*база!$L$6*Таблица14[[#This Row],[коэф]]),
IF(AND(G223="4/16",AM223&gt;2),(AM223*2*база!$L$5*Таблица14[[#This Row],[коэф]]),
IF(AND(G223="3/16",AM223&gt;2),(AM223*2*база!$L$4*Таблица14[[#This Row],[коэф]]),
IF(AND(G223="4/4",AM223&gt;2),(AM223*2*база!$I$5*Таблица14[[#This Row],[коэф]]),
IF(AND(G223="3/4",AM223&gt;2),(AM223*2*база!$I$4*Таблица14[[#This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(AM223*2*база!$L$4*Таблица14[[#This Row],[коэф]]))))))))))))),
(IF(AND(G223="5/24",AM223&gt;2),(AM223*2*база!$M$6*Таблица14[[#This Row],[коэф]]),
IF(OR(AND(G223="4/24",AM223&gt;2),AND(G223="3/24",AM223&gt;2)),(AM223*2*база!$M$5*Таблица14[[#This Row],[коэф]]),
IF(AND(G223="5/16",AM223&gt;2),(AM223*2*база!$L$6*Таблица14[[#This Row],[коэф]]),
IF(OR(AND(G223="4/16",AM223&gt;2),AND(G223="3/16",AM223&gt;2)),(AM223*2*база!$L$5*Таблица14[[#This Row],[коэф]]),
IF(OR(AND(G223="4/4",AM223&gt;2),AND(G223="3/4",AM223&gt;2)),(AM223*2*база!$I$5*Таблица14[[#This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(AM223*2*база!$L$5*Таблица14[[#This Row],[коэф]])))))))))))</f>
        <v>0</v>
      </c>
      <c r="AO223" s="114">
        <f>IFERROR(INDEX(база!$D$2:$D$120, MATCH(Таблица14[[#This Row],[Ф. И. О.]],база!$B$2:$B$100,0)),"")</f>
        <v>0</v>
      </c>
    </row>
    <row r="224" spans="1:41">
      <c r="A224" s="192"/>
      <c r="B224" s="223"/>
      <c r="C224" s="544"/>
      <c r="D224" s="199"/>
      <c r="E224" s="224"/>
      <c r="F224" s="679"/>
      <c r="G224" s="225"/>
      <c r="H224" s="200"/>
      <c r="I224" s="200"/>
      <c r="J224" s="200"/>
      <c r="K224" s="200"/>
      <c r="L224" s="200"/>
      <c r="M224" s="200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200"/>
      <c r="Y224" s="200"/>
      <c r="Z224" s="200"/>
      <c r="AA224" s="200"/>
      <c r="AB224" s="200"/>
      <c r="AC224" s="200"/>
      <c r="AD224" s="200"/>
      <c r="AE224" s="200"/>
      <c r="AF224" s="200"/>
      <c r="AG224" s="200"/>
      <c r="AH224" s="200"/>
      <c r="AI224" s="200"/>
      <c r="AJ224" s="200"/>
      <c r="AK224" s="200"/>
      <c r="AL224" s="200"/>
      <c r="AM224" s="113">
        <f t="shared" si="3"/>
        <v>0</v>
      </c>
      <c r="AN224" s="540">
        <f>IF(AO224&lt;=3,(IF(AND(G224="5/24",AM224&gt;2),(AM224*2*база!$M$6*Таблица14[[#This Row],[коэф]]),
IF(AND(G224="4/24",AM224&gt;2),(AM224*2*база!$M$5*Таблица14[[#This Row],[коэф]]),
IF(AND(G224="3/24",AM224&gt;2),(AM224*2*база!$M$4*Таблица14[[#This Row],[коэф]]),
IF(AND(G224="5/16",AM224&gt;2),(AM224*2*база!$L$6*Таблица14[[#This Row],[коэф]]),
IF(AND(G224="4/16",AM224&gt;2),(AM224*2*база!$L$5*Таблица14[[#This Row],[коэф]]),
IF(AND(G224="3/16",AM224&gt;2),(AM224*2*база!$L$4*Таблица14[[#This Row],[коэф]]),
IF(AND(G224="4/4",AM224&gt;2),(AM224*2*база!$I$5*Таблица14[[#This Row],[коэф]]),
IF(AND(G224="3/4",AM224&gt;2),(AM224*2*база!$I$4*Таблица14[[#This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(AM224*2*база!$L$4*Таблица14[[#This Row],[коэф]]))))))))))))),
(IF(AND(G224="5/24",AM224&gt;2),(AM224*2*база!$M$6*Таблица14[[#This Row],[коэф]]),
IF(OR(AND(G224="4/24",AM224&gt;2),AND(G224="3/24",AM224&gt;2)),(AM224*2*база!$M$5*Таблица14[[#This Row],[коэф]]),
IF(AND(G224="5/16",AM224&gt;2),(AM224*2*база!$L$6*Таблица14[[#This Row],[коэф]]),
IF(OR(AND(G224="4/16",AM224&gt;2),AND(G224="3/16",AM224&gt;2)),(AM224*2*база!$L$5*Таблица14[[#This Row],[коэф]]),
IF(OR(AND(G224="4/4",AM224&gt;2),AND(G224="3/4",AM224&gt;2)),(AM224*2*база!$I$5*Таблица14[[#This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(AM224*2*база!$L$5*Таблица14[[#This Row],[коэф]])))))))))))</f>
        <v>0</v>
      </c>
      <c r="AO224" s="114">
        <f>IFERROR(INDEX(база!$D$2:$D$120, MATCH(Таблица14[[#This Row],[Ф. И. О.]],база!$B$2:$B$100,0)),"")</f>
        <v>0</v>
      </c>
    </row>
    <row r="225" spans="1:41">
      <c r="A225" s="192"/>
      <c r="B225" s="189"/>
      <c r="C225" s="544"/>
      <c r="D225" s="199"/>
      <c r="E225" s="226"/>
      <c r="F225" s="679"/>
      <c r="G225" s="191"/>
      <c r="H225" s="200"/>
      <c r="I225" s="200"/>
      <c r="J225" s="200"/>
      <c r="K225" s="200"/>
      <c r="L225" s="200"/>
      <c r="M225" s="200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200"/>
      <c r="Y225" s="200"/>
      <c r="Z225" s="200"/>
      <c r="AA225" s="200"/>
      <c r="AB225" s="200"/>
      <c r="AC225" s="200"/>
      <c r="AD225" s="200"/>
      <c r="AE225" s="200"/>
      <c r="AF225" s="200"/>
      <c r="AG225" s="200"/>
      <c r="AH225" s="200"/>
      <c r="AI225" s="200"/>
      <c r="AJ225" s="200"/>
      <c r="AK225" s="200"/>
      <c r="AL225" s="200"/>
      <c r="AM225" s="113">
        <f t="shared" si="3"/>
        <v>0</v>
      </c>
      <c r="AN225" s="540">
        <f>IF(AO225&lt;=3,(IF(AND(G225="5/24",AM225&gt;2),(AM225*2*база!$M$6*Таблица14[[#This Row],[коэф]]),
IF(AND(G225="4/24",AM225&gt;2),(AM225*2*база!$M$5*Таблица14[[#This Row],[коэф]]),
IF(AND(G225="3/24",AM225&gt;2),(AM225*2*база!$M$4*Таблица14[[#This Row],[коэф]]),
IF(AND(G225="5/16",AM225&gt;2),(AM225*2*база!$L$6*Таблица14[[#This Row],[коэф]]),
IF(AND(G225="4/16",AM225&gt;2),(AM225*2*база!$L$5*Таблица14[[#This Row],[коэф]]),
IF(AND(G225="3/16",AM225&gt;2),(AM225*2*база!$L$4*Таблица14[[#This Row],[коэф]]),
IF(AND(G225="4/4",AM225&gt;2),(AM225*2*база!$I$5*Таблица14[[#This Row],[коэф]]),
IF(AND(G225="3/4",AM225&gt;2),(AM225*2*база!$I$4*Таблица14[[#This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(AM225*2*база!$L$4*Таблица14[[#This Row],[коэф]]))))))))))))),
(IF(AND(G225="5/24",AM225&gt;2),(AM225*2*база!$M$6*Таблица14[[#This Row],[коэф]]),
IF(OR(AND(G225="4/24",AM225&gt;2),AND(G225="3/24",AM225&gt;2)),(AM225*2*база!$M$5*Таблица14[[#This Row],[коэф]]),
IF(AND(G225="5/16",AM225&gt;2),(AM225*2*база!$L$6*Таблица14[[#This Row],[коэф]]),
IF(OR(AND(G225="4/16",AM225&gt;2),AND(G225="3/16",AM225&gt;2)),(AM225*2*база!$L$5*Таблица14[[#This Row],[коэф]]),
IF(OR(AND(G225="4/4",AM225&gt;2),AND(G225="3/4",AM225&gt;2)),(AM225*2*база!$I$5*Таблица14[[#This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(AM225*2*база!$L$5*Таблица14[[#This Row],[коэф]])))))))))))</f>
        <v>0</v>
      </c>
      <c r="AO225" s="114">
        <f>IFERROR(INDEX(база!$D$2:$D$120, MATCH(Таблица14[[#This Row],[Ф. И. О.]],база!$B$2:$B$100,0)),"")</f>
        <v>0</v>
      </c>
    </row>
    <row r="226" spans="1:41">
      <c r="A226" s="192"/>
      <c r="B226" s="223"/>
      <c r="C226" s="544"/>
      <c r="D226" s="199"/>
      <c r="E226" s="224"/>
      <c r="F226" s="679"/>
      <c r="G226" s="225"/>
      <c r="H226" s="200"/>
      <c r="I226" s="200"/>
      <c r="J226" s="200"/>
      <c r="K226" s="200"/>
      <c r="L226" s="200"/>
      <c r="M226" s="200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200"/>
      <c r="Y226" s="200"/>
      <c r="Z226" s="200"/>
      <c r="AA226" s="200"/>
      <c r="AB226" s="200"/>
      <c r="AC226" s="200"/>
      <c r="AD226" s="200"/>
      <c r="AE226" s="200"/>
      <c r="AF226" s="200"/>
      <c r="AG226" s="200"/>
      <c r="AH226" s="200"/>
      <c r="AI226" s="200"/>
      <c r="AJ226" s="200"/>
      <c r="AK226" s="200"/>
      <c r="AL226" s="200"/>
      <c r="AM226" s="113">
        <f t="shared" si="3"/>
        <v>0</v>
      </c>
      <c r="AN226" s="540">
        <f>IF(AO226&lt;=3,(IF(AND(G226="5/24",AM226&gt;2),(AM226*2*база!$M$6*Таблица14[[#This Row],[коэф]]),
IF(AND(G226="4/24",AM226&gt;2),(AM226*2*база!$M$5*Таблица14[[#This Row],[коэф]]),
IF(AND(G226="3/24",AM226&gt;2),(AM226*2*база!$M$4*Таблица14[[#This Row],[коэф]]),
IF(AND(G226="5/16",AM226&gt;2),(AM226*2*база!$L$6*Таблица14[[#This Row],[коэф]]),
IF(AND(G226="4/16",AM226&gt;2),(AM226*2*база!$L$5*Таблица14[[#This Row],[коэф]]),
IF(AND(G226="3/16",AM226&gt;2),(AM226*2*база!$L$4*Таблица14[[#This Row],[коэф]]),
IF(AND(G226="4/4",AM226&gt;2),(AM226*2*база!$I$5*Таблица14[[#This Row],[коэф]]),
IF(AND(G226="3/4",AM226&gt;2),(AM226*2*база!$I$4*Таблица14[[#This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(AM226*2*база!$L$4*Таблица14[[#This Row],[коэф]]))))))))))))),
(IF(AND(G226="5/24",AM226&gt;2),(AM226*2*база!$M$6*Таблица14[[#This Row],[коэф]]),
IF(OR(AND(G226="4/24",AM226&gt;2),AND(G226="3/24",AM226&gt;2)),(AM226*2*база!$M$5*Таблица14[[#This Row],[коэф]]),
IF(AND(G226="5/16",AM226&gt;2),(AM226*2*база!$L$6*Таблица14[[#This Row],[коэф]]),
IF(OR(AND(G226="4/16",AM226&gt;2),AND(G226="3/16",AM226&gt;2)),(AM226*2*база!$L$5*Таблица14[[#This Row],[коэф]]),
IF(OR(AND(G226="4/4",AM226&gt;2),AND(G226="3/4",AM226&gt;2)),(AM226*2*база!$I$5*Таблица14[[#This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(AM226*2*база!$L$5*Таблица14[[#This Row],[коэф]])))))))))))</f>
        <v>0</v>
      </c>
      <c r="AO226" s="114">
        <f>IFERROR(INDEX(база!$D$2:$D$120, MATCH(Таблица14[[#This Row],[Ф. И. О.]],база!$B$2:$B$100,0)),"")</f>
        <v>0</v>
      </c>
    </row>
    <row r="227" spans="1:41">
      <c r="A227" s="192"/>
      <c r="B227" s="189"/>
      <c r="C227" s="544"/>
      <c r="D227" s="199"/>
      <c r="E227" s="226"/>
      <c r="F227" s="679"/>
      <c r="G227" s="191"/>
      <c r="H227" s="200"/>
      <c r="I227" s="200"/>
      <c r="J227" s="200"/>
      <c r="K227" s="200"/>
      <c r="L227" s="200"/>
      <c r="M227" s="200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200"/>
      <c r="Y227" s="200"/>
      <c r="Z227" s="200"/>
      <c r="AA227" s="200"/>
      <c r="AB227" s="200"/>
      <c r="AC227" s="200"/>
      <c r="AD227" s="200"/>
      <c r="AE227" s="200"/>
      <c r="AF227" s="200"/>
      <c r="AG227" s="200"/>
      <c r="AH227" s="200"/>
      <c r="AI227" s="200"/>
      <c r="AJ227" s="200"/>
      <c r="AK227" s="200"/>
      <c r="AL227" s="200"/>
      <c r="AM227" s="113">
        <f t="shared" si="3"/>
        <v>0</v>
      </c>
      <c r="AN227" s="540">
        <f>IF(AO227&lt;=3,(IF(AND(G227="5/24",AM227&gt;2),(AM227*2*база!$M$6*Таблица14[[#This Row],[коэф]]),
IF(AND(G227="4/24",AM227&gt;2),(AM227*2*база!$M$5*Таблица14[[#This Row],[коэф]]),
IF(AND(G227="3/24",AM227&gt;2),(AM227*2*база!$M$4*Таблица14[[#This Row],[коэф]]),
IF(AND(G227="5/16",AM227&gt;2),(AM227*2*база!$L$6*Таблица14[[#This Row],[коэф]]),
IF(AND(G227="4/16",AM227&gt;2),(AM227*2*база!$L$5*Таблица14[[#This Row],[коэф]]),
IF(AND(G227="3/16",AM227&gt;2),(AM227*2*база!$L$4*Таблица14[[#This Row],[коэф]]),
IF(AND(G227="4/4",AM227&gt;2),(AM227*2*база!$I$5*Таблица14[[#This Row],[коэф]]),
IF(AND(G227="3/4",AM227&gt;2),(AM227*2*база!$I$4*Таблица14[[#This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(AM227*2*база!$L$4*Таблица14[[#This Row],[коэф]]))))))))))))),
(IF(AND(G227="5/24",AM227&gt;2),(AM227*2*база!$M$6*Таблица14[[#This Row],[коэф]]),
IF(OR(AND(G227="4/24",AM227&gt;2),AND(G227="3/24",AM227&gt;2)),(AM227*2*база!$M$5*Таблица14[[#This Row],[коэф]]),
IF(AND(G227="5/16",AM227&gt;2),(AM227*2*база!$L$6*Таблица14[[#This Row],[коэф]]),
IF(OR(AND(G227="4/16",AM227&gt;2),AND(G227="3/16",AM227&gt;2)),(AM227*2*база!$L$5*Таблица14[[#This Row],[коэф]]),
IF(OR(AND(G227="4/4",AM227&gt;2),AND(G227="3/4",AM227&gt;2)),(AM227*2*база!$I$5*Таблица14[[#This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(AM227*2*база!$L$5*Таблица14[[#This Row],[коэф]])))))))))))</f>
        <v>0</v>
      </c>
      <c r="AO227" s="114">
        <f>IFERROR(INDEX(база!$D$2:$D$120, MATCH(Таблица14[[#This Row],[Ф. И. О.]],база!$B$2:$B$100,0)),"")</f>
        <v>0</v>
      </c>
    </row>
    <row r="228" spans="1:41">
      <c r="A228" s="192"/>
      <c r="B228" s="223"/>
      <c r="C228" s="544"/>
      <c r="D228" s="199"/>
      <c r="E228" s="224"/>
      <c r="F228" s="679"/>
      <c r="G228" s="225"/>
      <c r="H228" s="200"/>
      <c r="I228" s="200"/>
      <c r="J228" s="200"/>
      <c r="K228" s="200"/>
      <c r="L228" s="200"/>
      <c r="M228" s="200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200"/>
      <c r="Y228" s="200"/>
      <c r="Z228" s="200"/>
      <c r="AA228" s="200"/>
      <c r="AB228" s="200"/>
      <c r="AC228" s="200"/>
      <c r="AD228" s="200"/>
      <c r="AE228" s="200"/>
      <c r="AF228" s="200"/>
      <c r="AG228" s="200"/>
      <c r="AH228" s="200"/>
      <c r="AI228" s="200"/>
      <c r="AJ228" s="200"/>
      <c r="AK228" s="200"/>
      <c r="AL228" s="200"/>
      <c r="AM228" s="113">
        <f t="shared" si="3"/>
        <v>0</v>
      </c>
      <c r="AN228" s="540">
        <f>IF(AO228&lt;=3,(IF(AND(G228="5/24",AM228&gt;2),(AM228*2*база!$M$6*Таблица14[[#This Row],[коэф]]),
IF(AND(G228="4/24",AM228&gt;2),(AM228*2*база!$M$5*Таблица14[[#This Row],[коэф]]),
IF(AND(G228="3/24",AM228&gt;2),(AM228*2*база!$M$4*Таблица14[[#This Row],[коэф]]),
IF(AND(G228="5/16",AM228&gt;2),(AM228*2*база!$L$6*Таблица14[[#This Row],[коэф]]),
IF(AND(G228="4/16",AM228&gt;2),(AM228*2*база!$L$5*Таблица14[[#This Row],[коэф]]),
IF(AND(G228="3/16",AM228&gt;2),(AM228*2*база!$L$4*Таблица14[[#This Row],[коэф]]),
IF(AND(G228="4/4",AM228&gt;2),(AM228*2*база!$I$5*Таблица14[[#This Row],[коэф]]),
IF(AND(G228="3/4",AM228&gt;2),(AM228*2*база!$I$4*Таблица14[[#This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(AM228*2*база!$L$4*Таблица14[[#This Row],[коэф]]))))))))))))),
(IF(AND(G228="5/24",AM228&gt;2),(AM228*2*база!$M$6*Таблица14[[#This Row],[коэф]]),
IF(OR(AND(G228="4/24",AM228&gt;2),AND(G228="3/24",AM228&gt;2)),(AM228*2*база!$M$5*Таблица14[[#This Row],[коэф]]),
IF(AND(G228="5/16",AM228&gt;2),(AM228*2*база!$L$6*Таблица14[[#This Row],[коэф]]),
IF(OR(AND(G228="4/16",AM228&gt;2),AND(G228="3/16",AM228&gt;2)),(AM228*2*база!$L$5*Таблица14[[#This Row],[коэф]]),
IF(OR(AND(G228="4/4",AM228&gt;2),AND(G228="3/4",AM228&gt;2)),(AM228*2*база!$I$5*Таблица14[[#This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(AM228*2*база!$L$5*Таблица14[[#This Row],[коэф]])))))))))))</f>
        <v>0</v>
      </c>
      <c r="AO228" s="114">
        <f>IFERROR(INDEX(база!$D$2:$D$120, MATCH(Таблица14[[#This Row],[Ф. И. О.]],база!$B$2:$B$100,0)),"")</f>
        <v>0</v>
      </c>
    </row>
    <row r="229" spans="1:41">
      <c r="A229" s="192"/>
      <c r="B229" s="189"/>
      <c r="C229" s="544"/>
      <c r="D229" s="199"/>
      <c r="E229" s="226"/>
      <c r="F229" s="679"/>
      <c r="G229" s="191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  <c r="AA229" s="200"/>
      <c r="AB229" s="200"/>
      <c r="AC229" s="200"/>
      <c r="AD229" s="200"/>
      <c r="AE229" s="200"/>
      <c r="AF229" s="200"/>
      <c r="AG229" s="200"/>
      <c r="AH229" s="200"/>
      <c r="AI229" s="200"/>
      <c r="AJ229" s="200"/>
      <c r="AK229" s="200"/>
      <c r="AL229" s="200"/>
      <c r="AM229" s="113">
        <f t="shared" si="3"/>
        <v>0</v>
      </c>
      <c r="AN229" s="540">
        <f>IF(AO229&lt;=3,(IF(AND(G229="5/24",AM229&gt;2),(AM229*2*база!$M$6*Таблица14[[#This Row],[коэф]]),
IF(AND(G229="4/24",AM229&gt;2),(AM229*2*база!$M$5*Таблица14[[#This Row],[коэф]]),
IF(AND(G229="3/24",AM229&gt;2),(AM229*2*база!$M$4*Таблица14[[#This Row],[коэф]]),
IF(AND(G229="5/16",AM229&gt;2),(AM229*2*база!$L$6*Таблица14[[#This Row],[коэф]]),
IF(AND(G229="4/16",AM229&gt;2),(AM229*2*база!$L$5*Таблица14[[#This Row],[коэф]]),
IF(AND(G229="3/16",AM229&gt;2),(AM229*2*база!$L$4*Таблица14[[#This Row],[коэф]]),
IF(AND(G229="4/4",AM229&gt;2),(AM229*2*база!$I$5*Таблица14[[#This Row],[коэф]]),
IF(AND(G229="3/4",AM229&gt;2),(AM229*2*база!$I$4*Таблица14[[#This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(AM229*2*база!$L$4*Таблица14[[#This Row],[коэф]]))))))))))))),
(IF(AND(G229="5/24",AM229&gt;2),(AM229*2*база!$M$6*Таблица14[[#This Row],[коэф]]),
IF(OR(AND(G229="4/24",AM229&gt;2),AND(G229="3/24",AM229&gt;2)),(AM229*2*база!$M$5*Таблица14[[#This Row],[коэф]]),
IF(AND(G229="5/16",AM229&gt;2),(AM229*2*база!$L$6*Таблица14[[#This Row],[коэф]]),
IF(OR(AND(G229="4/16",AM229&gt;2),AND(G229="3/16",AM229&gt;2)),(AM229*2*база!$L$5*Таблица14[[#This Row],[коэф]]),
IF(OR(AND(G229="4/4",AM229&gt;2),AND(G229="3/4",AM229&gt;2)),(AM229*2*база!$I$5*Таблица14[[#This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(AM229*2*база!$L$5*Таблица14[[#This Row],[коэф]])))))))))))</f>
        <v>0</v>
      </c>
      <c r="AO229" s="114">
        <f>IFERROR(INDEX(база!$D$2:$D$120, MATCH(Таблица14[[#This Row],[Ф. И. О.]],база!$B$2:$B$100,0)),"")</f>
        <v>0</v>
      </c>
    </row>
    <row r="230" spans="1:41">
      <c r="A230" s="192"/>
      <c r="B230" s="223"/>
      <c r="C230" s="544"/>
      <c r="D230" s="199"/>
      <c r="E230" s="224"/>
      <c r="F230" s="679"/>
      <c r="G230" s="225"/>
      <c r="H230" s="200"/>
      <c r="I230" s="200"/>
      <c r="J230" s="200"/>
      <c r="K230" s="200"/>
      <c r="L230" s="200"/>
      <c r="M230" s="200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200"/>
      <c r="Y230" s="200"/>
      <c r="Z230" s="200"/>
      <c r="AA230" s="200"/>
      <c r="AB230" s="200"/>
      <c r="AC230" s="200"/>
      <c r="AD230" s="200"/>
      <c r="AE230" s="200"/>
      <c r="AF230" s="200"/>
      <c r="AG230" s="200"/>
      <c r="AH230" s="200"/>
      <c r="AI230" s="200"/>
      <c r="AJ230" s="200"/>
      <c r="AK230" s="200"/>
      <c r="AL230" s="200"/>
      <c r="AM230" s="113">
        <f t="shared" si="3"/>
        <v>0</v>
      </c>
      <c r="AN230" s="540">
        <f>IF(AO230&lt;=3,(IF(AND(G230="5/24",AM230&gt;2),(AM230*2*база!$M$6*Таблица14[[#This Row],[коэф]]),
IF(AND(G230="4/24",AM230&gt;2),(AM230*2*база!$M$5*Таблица14[[#This Row],[коэф]]),
IF(AND(G230="3/24",AM230&gt;2),(AM230*2*база!$M$4*Таблица14[[#This Row],[коэф]]),
IF(AND(G230="5/16",AM230&gt;2),(AM230*2*база!$L$6*Таблица14[[#This Row],[коэф]]),
IF(AND(G230="4/16",AM230&gt;2),(AM230*2*база!$L$5*Таблица14[[#This Row],[коэф]]),
IF(AND(G230="3/16",AM230&gt;2),(AM230*2*база!$L$4*Таблица14[[#This Row],[коэф]]),
IF(AND(G230="4/4",AM230&gt;2),(AM230*2*база!$I$5*Таблица14[[#This Row],[коэф]]),
IF(AND(G230="3/4",AM230&gt;2),(AM230*2*база!$I$4*Таблица14[[#This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(AM230*2*база!$L$4*Таблица14[[#This Row],[коэф]]))))))))))))),
(IF(AND(G230="5/24",AM230&gt;2),(AM230*2*база!$M$6*Таблица14[[#This Row],[коэф]]),
IF(OR(AND(G230="4/24",AM230&gt;2),AND(G230="3/24",AM230&gt;2)),(AM230*2*база!$M$5*Таблица14[[#This Row],[коэф]]),
IF(AND(G230="5/16",AM230&gt;2),(AM230*2*база!$L$6*Таблица14[[#This Row],[коэф]]),
IF(OR(AND(G230="4/16",AM230&gt;2),AND(G230="3/16",AM230&gt;2)),(AM230*2*база!$L$5*Таблица14[[#This Row],[коэф]]),
IF(OR(AND(G230="4/4",AM230&gt;2),AND(G230="3/4",AM230&gt;2)),(AM230*2*база!$I$5*Таблица14[[#This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(AM230*2*база!$L$5*Таблица14[[#This Row],[коэф]])))))))))))</f>
        <v>0</v>
      </c>
      <c r="AO230" s="114">
        <f>IFERROR(INDEX(база!$D$2:$D$120, MATCH(Таблица14[[#This Row],[Ф. И. О.]],база!$B$2:$B$100,0)),"")</f>
        <v>0</v>
      </c>
    </row>
    <row r="231" spans="1:41">
      <c r="A231" s="192"/>
      <c r="B231" s="189"/>
      <c r="C231" s="544"/>
      <c r="D231" s="199"/>
      <c r="E231" s="226"/>
      <c r="F231" s="679"/>
      <c r="G231" s="191"/>
      <c r="H231" s="200"/>
      <c r="I231" s="200"/>
      <c r="J231" s="200"/>
      <c r="K231" s="200"/>
      <c r="L231" s="200"/>
      <c r="M231" s="200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200"/>
      <c r="Y231" s="200"/>
      <c r="Z231" s="200"/>
      <c r="AA231" s="200"/>
      <c r="AB231" s="200"/>
      <c r="AC231" s="200"/>
      <c r="AD231" s="200"/>
      <c r="AE231" s="200"/>
      <c r="AF231" s="200"/>
      <c r="AG231" s="200"/>
      <c r="AH231" s="200"/>
      <c r="AI231" s="200"/>
      <c r="AJ231" s="200"/>
      <c r="AK231" s="200"/>
      <c r="AL231" s="200"/>
      <c r="AM231" s="113">
        <f t="shared" si="3"/>
        <v>0</v>
      </c>
      <c r="AN231" s="540">
        <f>IF(AO231&lt;=3,(IF(AND(G231="5/24",AM231&gt;2),(AM231*2*база!$M$6*Таблица14[[#This Row],[коэф]]),
IF(AND(G231="4/24",AM231&gt;2),(AM231*2*база!$M$5*Таблица14[[#This Row],[коэф]]),
IF(AND(G231="3/24",AM231&gt;2),(AM231*2*база!$M$4*Таблица14[[#This Row],[коэф]]),
IF(AND(G231="5/16",AM231&gt;2),(AM231*2*база!$L$6*Таблица14[[#This Row],[коэф]]),
IF(AND(G231="4/16",AM231&gt;2),(AM231*2*база!$L$5*Таблица14[[#This Row],[коэф]]),
IF(AND(G231="3/16",AM231&gt;2),(AM231*2*база!$L$4*Таблица14[[#This Row],[коэф]]),
IF(AND(G231="4/4",AM231&gt;2),(AM231*2*база!$I$5*Таблица14[[#This Row],[коэф]]),
IF(AND(G231="3/4",AM231&gt;2),(AM231*2*база!$I$4*Таблица14[[#This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(AM231*2*база!$L$4*Таблица14[[#This Row],[коэф]]))))))))))))),
(IF(AND(G231="5/24",AM231&gt;2),(AM231*2*база!$M$6*Таблица14[[#This Row],[коэф]]),
IF(OR(AND(G231="4/24",AM231&gt;2),AND(G231="3/24",AM231&gt;2)),(AM231*2*база!$M$5*Таблица14[[#This Row],[коэф]]),
IF(AND(G231="5/16",AM231&gt;2),(AM231*2*база!$L$6*Таблица14[[#This Row],[коэф]]),
IF(OR(AND(G231="4/16",AM231&gt;2),AND(G231="3/16",AM231&gt;2)),(AM231*2*база!$L$5*Таблица14[[#This Row],[коэф]]),
IF(OR(AND(G231="4/4",AM231&gt;2),AND(G231="3/4",AM231&gt;2)),(AM231*2*база!$I$5*Таблица14[[#This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(AM231*2*база!$L$5*Таблица14[[#This Row],[коэф]])))))))))))</f>
        <v>0</v>
      </c>
      <c r="AO231" s="114">
        <f>IFERROR(INDEX(база!$D$2:$D$120, MATCH(Таблица14[[#This Row],[Ф. И. О.]],база!$B$2:$B$100,0)),"")</f>
        <v>0</v>
      </c>
    </row>
    <row r="232" spans="1:41">
      <c r="A232" s="192"/>
      <c r="B232" s="223"/>
      <c r="C232" s="544"/>
      <c r="D232" s="199"/>
      <c r="E232" s="224"/>
      <c r="F232" s="679"/>
      <c r="G232" s="225"/>
      <c r="H232" s="200"/>
      <c r="I232" s="200"/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  <c r="AA232" s="200"/>
      <c r="AB232" s="200"/>
      <c r="AC232" s="200"/>
      <c r="AD232" s="200"/>
      <c r="AE232" s="200"/>
      <c r="AF232" s="200"/>
      <c r="AG232" s="200"/>
      <c r="AH232" s="200"/>
      <c r="AI232" s="200"/>
      <c r="AJ232" s="200"/>
      <c r="AK232" s="200"/>
      <c r="AL232" s="200"/>
      <c r="AM232" s="113">
        <f t="shared" si="3"/>
        <v>0</v>
      </c>
      <c r="AN232" s="540">
        <f>IF(AO232&lt;=3,(IF(AND(G232="5/24",AM232&gt;2),(AM232*2*база!$M$6*Таблица14[[#This Row],[коэф]]),
IF(AND(G232="4/24",AM232&gt;2),(AM232*2*база!$M$5*Таблица14[[#This Row],[коэф]]),
IF(AND(G232="3/24",AM232&gt;2),(AM232*2*база!$M$4*Таблица14[[#This Row],[коэф]]),
IF(AND(G232="5/16",AM232&gt;2),(AM232*2*база!$L$6*Таблица14[[#This Row],[коэф]]),
IF(AND(G232="4/16",AM232&gt;2),(AM232*2*база!$L$5*Таблица14[[#This Row],[коэф]]),
IF(AND(G232="3/16",AM232&gt;2),(AM232*2*база!$L$4*Таблица14[[#This Row],[коэф]]),
IF(AND(G232="4/4",AM232&gt;2),(AM232*2*база!$I$5*Таблица14[[#This Row],[коэф]]),
IF(AND(G232="3/4",AM232&gt;2),(AM232*2*база!$I$4*Таблица14[[#This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(AM232*2*база!$L$4*Таблица14[[#This Row],[коэф]]))))))))))))),
(IF(AND(G232="5/24",AM232&gt;2),(AM232*2*база!$M$6*Таблица14[[#This Row],[коэф]]),
IF(OR(AND(G232="4/24",AM232&gt;2),AND(G232="3/24",AM232&gt;2)),(AM232*2*база!$M$5*Таблица14[[#This Row],[коэф]]),
IF(AND(G232="5/16",AM232&gt;2),(AM232*2*база!$L$6*Таблица14[[#This Row],[коэф]]),
IF(OR(AND(G232="4/16",AM232&gt;2),AND(G232="3/16",AM232&gt;2)),(AM232*2*база!$L$5*Таблица14[[#This Row],[коэф]]),
IF(OR(AND(G232="4/4",AM232&gt;2),AND(G232="3/4",AM232&gt;2)),(AM232*2*база!$I$5*Таблица14[[#This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(AM232*2*база!$L$5*Таблица14[[#This Row],[коэф]])))))))))))</f>
        <v>0</v>
      </c>
      <c r="AO232" s="114">
        <f>IFERROR(INDEX(база!$D$2:$D$120, MATCH(Таблица14[[#This Row],[Ф. И. О.]],база!$B$2:$B$100,0)),"")</f>
        <v>0</v>
      </c>
    </row>
    <row r="233" spans="1:41">
      <c r="A233" s="192"/>
      <c r="B233" s="189"/>
      <c r="C233" s="544"/>
      <c r="D233" s="199"/>
      <c r="E233" s="226"/>
      <c r="F233" s="679"/>
      <c r="G233" s="191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200"/>
      <c r="Y233" s="200"/>
      <c r="Z233" s="200"/>
      <c r="AA233" s="200"/>
      <c r="AB233" s="200"/>
      <c r="AC233" s="200"/>
      <c r="AD233" s="200"/>
      <c r="AE233" s="200"/>
      <c r="AF233" s="200"/>
      <c r="AG233" s="200"/>
      <c r="AH233" s="200"/>
      <c r="AI233" s="200"/>
      <c r="AJ233" s="200"/>
      <c r="AK233" s="200"/>
      <c r="AL233" s="200"/>
      <c r="AM233" s="113">
        <f t="shared" si="3"/>
        <v>0</v>
      </c>
      <c r="AN233" s="540">
        <f>IF(AO233&lt;=3,(IF(AND(G233="5/24",AM233&gt;2),(AM233*2*база!$M$6*Таблица14[[#This Row],[коэф]]),
IF(AND(G233="4/24",AM233&gt;2),(AM233*2*база!$M$5*Таблица14[[#This Row],[коэф]]),
IF(AND(G233="3/24",AM233&gt;2),(AM233*2*база!$M$4*Таблица14[[#This Row],[коэф]]),
IF(AND(G233="5/16",AM233&gt;2),(AM233*2*база!$L$6*Таблица14[[#This Row],[коэф]]),
IF(AND(G233="4/16",AM233&gt;2),(AM233*2*база!$L$5*Таблица14[[#This Row],[коэф]]),
IF(AND(G233="3/16",AM233&gt;2),(AM233*2*база!$L$4*Таблица14[[#This Row],[коэф]]),
IF(AND(G233="4/4",AM233&gt;2),(AM233*2*база!$I$5*Таблица14[[#This Row],[коэф]]),
IF(AND(G233="3/4",AM233&gt;2),(AM233*2*база!$I$4*Таблица14[[#This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(AM233*2*база!$L$4*Таблица14[[#This Row],[коэф]]))))))))))))),
(IF(AND(G233="5/24",AM233&gt;2),(AM233*2*база!$M$6*Таблица14[[#This Row],[коэф]]),
IF(OR(AND(G233="4/24",AM233&gt;2),AND(G233="3/24",AM233&gt;2)),(AM233*2*база!$M$5*Таблица14[[#This Row],[коэф]]),
IF(AND(G233="5/16",AM233&gt;2),(AM233*2*база!$L$6*Таблица14[[#This Row],[коэф]]),
IF(OR(AND(G233="4/16",AM233&gt;2),AND(G233="3/16",AM233&gt;2)),(AM233*2*база!$L$5*Таблица14[[#This Row],[коэф]]),
IF(OR(AND(G233="4/4",AM233&gt;2),AND(G233="3/4",AM233&gt;2)),(AM233*2*база!$I$5*Таблица14[[#This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(AM233*2*база!$L$5*Таблица14[[#This Row],[коэф]])))))))))))</f>
        <v>0</v>
      </c>
      <c r="AO233" s="114">
        <f>IFERROR(INDEX(база!$D$2:$D$120, MATCH(Таблица14[[#This Row],[Ф. И. О.]],база!$B$2:$B$100,0)),"")</f>
        <v>0</v>
      </c>
    </row>
    <row r="234" spans="1:41">
      <c r="A234" s="192"/>
      <c r="B234" s="223"/>
      <c r="C234" s="544"/>
      <c r="D234" s="199"/>
      <c r="E234" s="224"/>
      <c r="F234" s="679"/>
      <c r="G234" s="225"/>
      <c r="H234" s="200"/>
      <c r="I234" s="200"/>
      <c r="J234" s="200"/>
      <c r="K234" s="200"/>
      <c r="L234" s="200"/>
      <c r="M234" s="200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200"/>
      <c r="Y234" s="200"/>
      <c r="Z234" s="200"/>
      <c r="AA234" s="200"/>
      <c r="AB234" s="200"/>
      <c r="AC234" s="200"/>
      <c r="AD234" s="200"/>
      <c r="AE234" s="200"/>
      <c r="AF234" s="200"/>
      <c r="AG234" s="200"/>
      <c r="AH234" s="200"/>
      <c r="AI234" s="200"/>
      <c r="AJ234" s="200"/>
      <c r="AK234" s="200"/>
      <c r="AL234" s="200"/>
      <c r="AM234" s="113">
        <f t="shared" si="3"/>
        <v>0</v>
      </c>
      <c r="AN234" s="540">
        <f>IF(AO234&lt;=3,(IF(AND(G234="5/24",AM234&gt;2),(AM234*2*база!$M$6*Таблица14[[#This Row],[коэф]]),
IF(AND(G234="4/24",AM234&gt;2),(AM234*2*база!$M$5*Таблица14[[#This Row],[коэф]]),
IF(AND(G234="3/24",AM234&gt;2),(AM234*2*база!$M$4*Таблица14[[#This Row],[коэф]]),
IF(AND(G234="5/16",AM234&gt;2),(AM234*2*база!$L$6*Таблица14[[#This Row],[коэф]]),
IF(AND(G234="4/16",AM234&gt;2),(AM234*2*база!$L$5*Таблица14[[#This Row],[коэф]]),
IF(AND(G234="3/16",AM234&gt;2),(AM234*2*база!$L$4*Таблица14[[#This Row],[коэф]]),
IF(AND(G234="4/4",AM234&gt;2),(AM234*2*база!$I$5*Таблица14[[#This Row],[коэф]]),
IF(AND(G234="3/4",AM234&gt;2),(AM234*2*база!$I$4*Таблица14[[#This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(AM234*2*база!$L$4*Таблица14[[#This Row],[коэф]]))))))))))))),
(IF(AND(G234="5/24",AM234&gt;2),(AM234*2*база!$M$6*Таблица14[[#This Row],[коэф]]),
IF(OR(AND(G234="4/24",AM234&gt;2),AND(G234="3/24",AM234&gt;2)),(AM234*2*база!$M$5*Таблица14[[#This Row],[коэф]]),
IF(AND(G234="5/16",AM234&gt;2),(AM234*2*база!$L$6*Таблица14[[#This Row],[коэф]]),
IF(OR(AND(G234="4/16",AM234&gt;2),AND(G234="3/16",AM234&gt;2)),(AM234*2*база!$L$5*Таблица14[[#This Row],[коэф]]),
IF(OR(AND(G234="4/4",AM234&gt;2),AND(G234="3/4",AM234&gt;2)),(AM234*2*база!$I$5*Таблица14[[#This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(AM234*2*база!$L$5*Таблица14[[#This Row],[коэф]])))))))))))</f>
        <v>0</v>
      </c>
      <c r="AO234" s="114">
        <f>IFERROR(INDEX(база!$D$2:$D$120, MATCH(Таблица14[[#This Row],[Ф. И. О.]],база!$B$2:$B$100,0)),"")</f>
        <v>0</v>
      </c>
    </row>
    <row r="235" spans="1:41">
      <c r="A235" s="192"/>
      <c r="B235" s="189"/>
      <c r="C235" s="544"/>
      <c r="D235" s="199"/>
      <c r="E235" s="226"/>
      <c r="F235" s="679"/>
      <c r="G235" s="191"/>
      <c r="H235" s="200"/>
      <c r="I235" s="200"/>
      <c r="J235" s="200"/>
      <c r="K235" s="200"/>
      <c r="L235" s="200"/>
      <c r="M235" s="200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200"/>
      <c r="Y235" s="200"/>
      <c r="Z235" s="200"/>
      <c r="AA235" s="200"/>
      <c r="AB235" s="200"/>
      <c r="AC235" s="200"/>
      <c r="AD235" s="200"/>
      <c r="AE235" s="200"/>
      <c r="AF235" s="200"/>
      <c r="AG235" s="200"/>
      <c r="AH235" s="200"/>
      <c r="AI235" s="200"/>
      <c r="AJ235" s="200"/>
      <c r="AK235" s="200"/>
      <c r="AL235" s="200"/>
      <c r="AM235" s="113">
        <f t="shared" si="3"/>
        <v>0</v>
      </c>
      <c r="AN235" s="540">
        <f>IF(AO235&lt;=3,(IF(AND(G235="5/24",AM235&gt;2),(AM235*2*база!$M$6*Таблица14[[#This Row],[коэф]]),
IF(AND(G235="4/24",AM235&gt;2),(AM235*2*база!$M$5*Таблица14[[#This Row],[коэф]]),
IF(AND(G235="3/24",AM235&gt;2),(AM235*2*база!$M$4*Таблица14[[#This Row],[коэф]]),
IF(AND(G235="5/16",AM235&gt;2),(AM235*2*база!$L$6*Таблица14[[#This Row],[коэф]]),
IF(AND(G235="4/16",AM235&gt;2),(AM235*2*база!$L$5*Таблица14[[#This Row],[коэф]]),
IF(AND(G235="3/16",AM235&gt;2),(AM235*2*база!$L$4*Таблица14[[#This Row],[коэф]]),
IF(AND(G235="4/4",AM235&gt;2),(AM235*2*база!$I$5*Таблица14[[#This Row],[коэф]]),
IF(AND(G235="3/4",AM235&gt;2),(AM235*2*база!$I$4*Таблица14[[#This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(AM235*2*база!$L$4*Таблица14[[#This Row],[коэф]]))))))))))))),
(IF(AND(G235="5/24",AM235&gt;2),(AM235*2*база!$M$6*Таблица14[[#This Row],[коэф]]),
IF(OR(AND(G235="4/24",AM235&gt;2),AND(G235="3/24",AM235&gt;2)),(AM235*2*база!$M$5*Таблица14[[#This Row],[коэф]]),
IF(AND(G235="5/16",AM235&gt;2),(AM235*2*база!$L$6*Таблица14[[#This Row],[коэф]]),
IF(OR(AND(G235="4/16",AM235&gt;2),AND(G235="3/16",AM235&gt;2)),(AM235*2*база!$L$5*Таблица14[[#This Row],[коэф]]),
IF(OR(AND(G235="4/4",AM235&gt;2),AND(G235="3/4",AM235&gt;2)),(AM235*2*база!$I$5*Таблица14[[#This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(AM235*2*база!$L$5*Таблица14[[#This Row],[коэф]])))))))))))</f>
        <v>0</v>
      </c>
      <c r="AO235" s="114">
        <f>IFERROR(INDEX(база!$D$2:$D$120, MATCH(Таблица14[[#This Row],[Ф. И. О.]],база!$B$2:$B$100,0)),"")</f>
        <v>0</v>
      </c>
    </row>
    <row r="236" spans="1:41">
      <c r="A236" s="192"/>
      <c r="B236" s="223"/>
      <c r="C236" s="544"/>
      <c r="D236" s="199"/>
      <c r="E236" s="224"/>
      <c r="F236" s="679"/>
      <c r="G236" s="225"/>
      <c r="H236" s="200"/>
      <c r="I236" s="200"/>
      <c r="J236" s="200"/>
      <c r="K236" s="200"/>
      <c r="L236" s="200"/>
      <c r="M236" s="200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200"/>
      <c r="Y236" s="200"/>
      <c r="Z236" s="200"/>
      <c r="AA236" s="200"/>
      <c r="AB236" s="200"/>
      <c r="AC236" s="200"/>
      <c r="AD236" s="200"/>
      <c r="AE236" s="200"/>
      <c r="AF236" s="200"/>
      <c r="AG236" s="200"/>
      <c r="AH236" s="200"/>
      <c r="AI236" s="200"/>
      <c r="AJ236" s="200"/>
      <c r="AK236" s="200"/>
      <c r="AL236" s="200"/>
      <c r="AM236" s="113">
        <f t="shared" si="3"/>
        <v>0</v>
      </c>
      <c r="AN236" s="540">
        <f>IF(AO236&lt;=3,(IF(AND(G236="5/24",AM236&gt;2),(AM236*2*база!$M$6*Таблица14[[#This Row],[коэф]]),
IF(AND(G236="4/24",AM236&gt;2),(AM236*2*база!$M$5*Таблица14[[#This Row],[коэф]]),
IF(AND(G236="3/24",AM236&gt;2),(AM236*2*база!$M$4*Таблица14[[#This Row],[коэф]]),
IF(AND(G236="5/16",AM236&gt;2),(AM236*2*база!$L$6*Таблица14[[#This Row],[коэф]]),
IF(AND(G236="4/16",AM236&gt;2),(AM236*2*база!$L$5*Таблица14[[#This Row],[коэф]]),
IF(AND(G236="3/16",AM236&gt;2),(AM236*2*база!$L$4*Таблица14[[#This Row],[коэф]]),
IF(AND(G236="4/4",AM236&gt;2),(AM236*2*база!$I$5*Таблица14[[#This Row],[коэф]]),
IF(AND(G236="3/4",AM236&gt;2),(AM236*2*база!$I$4*Таблица14[[#This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(AM236*2*база!$L$4*Таблица14[[#This Row],[коэф]]))))))))))))),
(IF(AND(G236="5/24",AM236&gt;2),(AM236*2*база!$M$6*Таблица14[[#This Row],[коэф]]),
IF(OR(AND(G236="4/24",AM236&gt;2),AND(G236="3/24",AM236&gt;2)),(AM236*2*база!$M$5*Таблица14[[#This Row],[коэф]]),
IF(AND(G236="5/16",AM236&gt;2),(AM236*2*база!$L$6*Таблица14[[#This Row],[коэф]]),
IF(OR(AND(G236="4/16",AM236&gt;2),AND(G236="3/16",AM236&gt;2)),(AM236*2*база!$L$5*Таблица14[[#This Row],[коэф]]),
IF(OR(AND(G236="4/4",AM236&gt;2),AND(G236="3/4",AM236&gt;2)),(AM236*2*база!$I$5*Таблица14[[#This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(AM236*2*база!$L$5*Таблица14[[#This Row],[коэф]])))))))))))</f>
        <v>0</v>
      </c>
      <c r="AO236" s="114">
        <f>IFERROR(INDEX(база!$D$2:$D$120, MATCH(Таблица14[[#This Row],[Ф. И. О.]],база!$B$2:$B$100,0)),"")</f>
        <v>0</v>
      </c>
    </row>
    <row r="237" spans="1:41">
      <c r="A237" s="192"/>
      <c r="B237" s="189"/>
      <c r="C237" s="544"/>
      <c r="D237" s="199"/>
      <c r="E237" s="226"/>
      <c r="F237" s="679"/>
      <c r="G237" s="191"/>
      <c r="H237" s="200"/>
      <c r="I237" s="200"/>
      <c r="J237" s="200"/>
      <c r="K237" s="200"/>
      <c r="L237" s="200"/>
      <c r="M237" s="200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200"/>
      <c r="Y237" s="200"/>
      <c r="Z237" s="200"/>
      <c r="AA237" s="200"/>
      <c r="AB237" s="200"/>
      <c r="AC237" s="200"/>
      <c r="AD237" s="200"/>
      <c r="AE237" s="200"/>
      <c r="AF237" s="200"/>
      <c r="AG237" s="200"/>
      <c r="AH237" s="200"/>
      <c r="AI237" s="200"/>
      <c r="AJ237" s="200"/>
      <c r="AK237" s="200"/>
      <c r="AL237" s="200"/>
      <c r="AM237" s="113">
        <f t="shared" si="3"/>
        <v>0</v>
      </c>
      <c r="AN237" s="540">
        <f>IF(AO237&lt;=3,(IF(AND(G237="5/24",AM237&gt;2),(AM237*2*база!$M$6*Таблица14[[#This Row],[коэф]]),
IF(AND(G237="4/24",AM237&gt;2),(AM237*2*база!$M$5*Таблица14[[#This Row],[коэф]]),
IF(AND(G237="3/24",AM237&gt;2),(AM237*2*база!$M$4*Таблица14[[#This Row],[коэф]]),
IF(AND(G237="5/16",AM237&gt;2),(AM237*2*база!$L$6*Таблица14[[#This Row],[коэф]]),
IF(AND(G237="4/16",AM237&gt;2),(AM237*2*база!$L$5*Таблица14[[#This Row],[коэф]]),
IF(AND(G237="3/16",AM237&gt;2),(AM237*2*база!$L$4*Таблица14[[#This Row],[коэф]]),
IF(AND(G237="4/4",AM237&gt;2),(AM237*2*база!$I$5*Таблица14[[#This Row],[коэф]]),
IF(AND(G237="3/4",AM237&gt;2),(AM237*2*база!$I$4*Таблица14[[#This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(AM237*2*база!$L$4*Таблица14[[#This Row],[коэф]]))))))))))))),
(IF(AND(G237="5/24",AM237&gt;2),(AM237*2*база!$M$6*Таблица14[[#This Row],[коэф]]),
IF(OR(AND(G237="4/24",AM237&gt;2),AND(G237="3/24",AM237&gt;2)),(AM237*2*база!$M$5*Таблица14[[#This Row],[коэф]]),
IF(AND(G237="5/16",AM237&gt;2),(AM237*2*база!$L$6*Таблица14[[#This Row],[коэф]]),
IF(OR(AND(G237="4/16",AM237&gt;2),AND(G237="3/16",AM237&gt;2)),(AM237*2*база!$L$5*Таблица14[[#This Row],[коэф]]),
IF(OR(AND(G237="4/4",AM237&gt;2),AND(G237="3/4",AM237&gt;2)),(AM237*2*база!$I$5*Таблица14[[#This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(AM237*2*база!$L$5*Таблица14[[#This Row],[коэф]])))))))))))</f>
        <v>0</v>
      </c>
      <c r="AO237" s="114">
        <f>IFERROR(INDEX(база!$D$2:$D$120, MATCH(Таблица14[[#This Row],[Ф. И. О.]],база!$B$2:$B$100,0)),"")</f>
        <v>0</v>
      </c>
    </row>
    <row r="238" spans="1:41">
      <c r="A238" s="192"/>
      <c r="B238" s="223"/>
      <c r="C238" s="544"/>
      <c r="D238" s="199"/>
      <c r="E238" s="224"/>
      <c r="F238" s="679"/>
      <c r="G238" s="225"/>
      <c r="H238" s="200"/>
      <c r="I238" s="200"/>
      <c r="J238" s="200"/>
      <c r="K238" s="200"/>
      <c r="L238" s="200"/>
      <c r="M238" s="200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200"/>
      <c r="Y238" s="200"/>
      <c r="Z238" s="200"/>
      <c r="AA238" s="200"/>
      <c r="AB238" s="200"/>
      <c r="AC238" s="200"/>
      <c r="AD238" s="200"/>
      <c r="AE238" s="200"/>
      <c r="AF238" s="200"/>
      <c r="AG238" s="200"/>
      <c r="AH238" s="200"/>
      <c r="AI238" s="200"/>
      <c r="AJ238" s="200"/>
      <c r="AK238" s="200"/>
      <c r="AL238" s="200"/>
      <c r="AM238" s="113">
        <f t="shared" si="3"/>
        <v>0</v>
      </c>
      <c r="AN238" s="540">
        <f>IF(AO238&lt;=3,(IF(AND(G238="5/24",AM238&gt;2),(AM238*2*база!$M$6*Таблица14[[#This Row],[коэф]]),
IF(AND(G238="4/24",AM238&gt;2),(AM238*2*база!$M$5*Таблица14[[#This Row],[коэф]]),
IF(AND(G238="3/24",AM238&gt;2),(AM238*2*база!$M$4*Таблица14[[#This Row],[коэф]]),
IF(AND(G238="5/16",AM238&gt;2),(AM238*2*база!$L$6*Таблица14[[#This Row],[коэф]]),
IF(AND(G238="4/16",AM238&gt;2),(AM238*2*база!$L$5*Таблица14[[#This Row],[коэф]]),
IF(AND(G238="3/16",AM238&gt;2),(AM238*2*база!$L$4*Таблица14[[#This Row],[коэф]]),
IF(AND(G238="4/4",AM238&gt;2),(AM238*2*база!$I$5*Таблица14[[#This Row],[коэф]]),
IF(AND(G238="3/4",AM238&gt;2),(AM238*2*база!$I$4*Таблица14[[#This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(AM238*2*база!$L$4*Таблица14[[#This Row],[коэф]]))))))))))))),
(IF(AND(G238="5/24",AM238&gt;2),(AM238*2*база!$M$6*Таблица14[[#This Row],[коэф]]),
IF(OR(AND(G238="4/24",AM238&gt;2),AND(G238="3/24",AM238&gt;2)),(AM238*2*база!$M$5*Таблица14[[#This Row],[коэф]]),
IF(AND(G238="5/16",AM238&gt;2),(AM238*2*база!$L$6*Таблица14[[#This Row],[коэф]]),
IF(OR(AND(G238="4/16",AM238&gt;2),AND(G238="3/16",AM238&gt;2)),(AM238*2*база!$L$5*Таблица14[[#This Row],[коэф]]),
IF(OR(AND(G238="4/4",AM238&gt;2),AND(G238="3/4",AM238&gt;2)),(AM238*2*база!$I$5*Таблица14[[#This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(AM238*2*база!$L$5*Таблица14[[#This Row],[коэф]])))))))))))</f>
        <v>0</v>
      </c>
      <c r="AO238" s="114">
        <f>IFERROR(INDEX(база!$D$2:$D$120, MATCH(Таблица14[[#This Row],[Ф. И. О.]],база!$B$2:$B$100,0)),"")</f>
        <v>0</v>
      </c>
    </row>
    <row r="239" spans="1:41">
      <c r="A239" s="192"/>
      <c r="B239" s="189"/>
      <c r="C239" s="544"/>
      <c r="D239" s="199"/>
      <c r="E239" s="226"/>
      <c r="F239" s="679"/>
      <c r="G239" s="191"/>
      <c r="H239" s="200"/>
      <c r="I239" s="200"/>
      <c r="J239" s="200"/>
      <c r="K239" s="200"/>
      <c r="L239" s="200"/>
      <c r="M239" s="200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200"/>
      <c r="Y239" s="200"/>
      <c r="Z239" s="200"/>
      <c r="AA239" s="200"/>
      <c r="AB239" s="200"/>
      <c r="AC239" s="200"/>
      <c r="AD239" s="200"/>
      <c r="AE239" s="200"/>
      <c r="AF239" s="200"/>
      <c r="AG239" s="200"/>
      <c r="AH239" s="200"/>
      <c r="AI239" s="200"/>
      <c r="AJ239" s="200"/>
      <c r="AK239" s="200"/>
      <c r="AL239" s="200"/>
      <c r="AM239" s="113">
        <f t="shared" si="3"/>
        <v>0</v>
      </c>
      <c r="AN239" s="540">
        <f>IF(AO239&lt;=3,(IF(AND(G239="5/24",AM239&gt;2),(AM239*2*база!$M$6*Таблица14[[#This Row],[коэф]]),
IF(AND(G239="4/24",AM239&gt;2),(AM239*2*база!$M$5*Таблица14[[#This Row],[коэф]]),
IF(AND(G239="3/24",AM239&gt;2),(AM239*2*база!$M$4*Таблица14[[#This Row],[коэф]]),
IF(AND(G239="5/16",AM239&gt;2),(AM239*2*база!$L$6*Таблица14[[#This Row],[коэф]]),
IF(AND(G239="4/16",AM239&gt;2),(AM239*2*база!$L$5*Таблица14[[#This Row],[коэф]]),
IF(AND(G239="3/16",AM239&gt;2),(AM239*2*база!$L$4*Таблица14[[#This Row],[коэф]]),
IF(AND(G239="4/4",AM239&gt;2),(AM239*2*база!$I$5*Таблица14[[#This Row],[коэф]]),
IF(AND(G239="3/4",AM239&gt;2),(AM239*2*база!$I$4*Таблица14[[#This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(AM239*2*база!$L$4*Таблица14[[#This Row],[коэф]]))))))))))))),
(IF(AND(G239="5/24",AM239&gt;2),(AM239*2*база!$M$6*Таблица14[[#This Row],[коэф]]),
IF(OR(AND(G239="4/24",AM239&gt;2),AND(G239="3/24",AM239&gt;2)),(AM239*2*база!$M$5*Таблица14[[#This Row],[коэф]]),
IF(AND(G239="5/16",AM239&gt;2),(AM239*2*база!$L$6*Таблица14[[#This Row],[коэф]]),
IF(OR(AND(G239="4/16",AM239&gt;2),AND(G239="3/16",AM239&gt;2)),(AM239*2*база!$L$5*Таблица14[[#This Row],[коэф]]),
IF(OR(AND(G239="4/4",AM239&gt;2),AND(G239="3/4",AM239&gt;2)),(AM239*2*база!$I$5*Таблица14[[#This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(AM239*2*база!$L$5*Таблица14[[#This Row],[коэф]])))))))))))</f>
        <v>0</v>
      </c>
      <c r="AO239" s="114">
        <f>IFERROR(INDEX(база!$D$2:$D$120, MATCH(Таблица14[[#This Row],[Ф. И. О.]],база!$B$2:$B$100,0)),"")</f>
        <v>0</v>
      </c>
    </row>
    <row r="240" spans="1:41">
      <c r="A240" s="192"/>
      <c r="B240" s="223"/>
      <c r="C240" s="544"/>
      <c r="D240" s="199"/>
      <c r="E240" s="224"/>
      <c r="F240" s="679"/>
      <c r="G240" s="225"/>
      <c r="H240" s="200"/>
      <c r="I240" s="200"/>
      <c r="J240" s="200"/>
      <c r="K240" s="200"/>
      <c r="L240" s="200"/>
      <c r="M240" s="200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200"/>
      <c r="Y240" s="200"/>
      <c r="Z240" s="200"/>
      <c r="AA240" s="200"/>
      <c r="AB240" s="200"/>
      <c r="AC240" s="200"/>
      <c r="AD240" s="200"/>
      <c r="AE240" s="200"/>
      <c r="AF240" s="200"/>
      <c r="AG240" s="200"/>
      <c r="AH240" s="200"/>
      <c r="AI240" s="200"/>
      <c r="AJ240" s="200"/>
      <c r="AK240" s="200"/>
      <c r="AL240" s="200"/>
      <c r="AM240" s="113">
        <f t="shared" si="3"/>
        <v>0</v>
      </c>
      <c r="AN240" s="540">
        <f>IF(AO240&lt;=3,(IF(AND(G240="5/24",AM240&gt;2),(AM240*2*база!$M$6*Таблица14[[#This Row],[коэф]]),
IF(AND(G240="4/24",AM240&gt;2),(AM240*2*база!$M$5*Таблица14[[#This Row],[коэф]]),
IF(AND(G240="3/24",AM240&gt;2),(AM240*2*база!$M$4*Таблица14[[#This Row],[коэф]]),
IF(AND(G240="5/16",AM240&gt;2),(AM240*2*база!$L$6*Таблица14[[#This Row],[коэф]]),
IF(AND(G240="4/16",AM240&gt;2),(AM240*2*база!$L$5*Таблица14[[#This Row],[коэф]]),
IF(AND(G240="3/16",AM240&gt;2),(AM240*2*база!$L$4*Таблица14[[#This Row],[коэф]]),
IF(AND(G240="4/4",AM240&gt;2),(AM240*2*база!$I$5*Таблица14[[#This Row],[коэф]]),
IF(AND(G240="3/4",AM240&gt;2),(AM240*2*база!$I$4*Таблица14[[#This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(AM240*2*база!$L$4*Таблица14[[#This Row],[коэф]]))))))))))))),
(IF(AND(G240="5/24",AM240&gt;2),(AM240*2*база!$M$6*Таблица14[[#This Row],[коэф]]),
IF(OR(AND(G240="4/24",AM240&gt;2),AND(G240="3/24",AM240&gt;2)),(AM240*2*база!$M$5*Таблица14[[#This Row],[коэф]]),
IF(AND(G240="5/16",AM240&gt;2),(AM240*2*база!$L$6*Таблица14[[#This Row],[коэф]]),
IF(OR(AND(G240="4/16",AM240&gt;2),AND(G240="3/16",AM240&gt;2)),(AM240*2*база!$L$5*Таблица14[[#This Row],[коэф]]),
IF(OR(AND(G240="4/4",AM240&gt;2),AND(G240="3/4",AM240&gt;2)),(AM240*2*база!$I$5*Таблица14[[#This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(AM240*2*база!$L$5*Таблица14[[#This Row],[коэф]])))))))))))</f>
        <v>0</v>
      </c>
      <c r="AO240" s="114">
        <f>IFERROR(INDEX(база!$D$2:$D$120, MATCH(Таблица14[[#This Row],[Ф. И. О.]],база!$B$2:$B$100,0)),"")</f>
        <v>0</v>
      </c>
    </row>
    <row r="241" spans="1:41">
      <c r="A241" s="192"/>
      <c r="B241" s="189"/>
      <c r="C241" s="544"/>
      <c r="D241" s="199"/>
      <c r="E241" s="226"/>
      <c r="F241" s="679"/>
      <c r="G241" s="191"/>
      <c r="H241" s="200"/>
      <c r="I241" s="200"/>
      <c r="J241" s="200"/>
      <c r="K241" s="200"/>
      <c r="L241" s="200"/>
      <c r="M241" s="200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200"/>
      <c r="Y241" s="200"/>
      <c r="Z241" s="200"/>
      <c r="AA241" s="200"/>
      <c r="AB241" s="200"/>
      <c r="AC241" s="200"/>
      <c r="AD241" s="200"/>
      <c r="AE241" s="200"/>
      <c r="AF241" s="200"/>
      <c r="AG241" s="200"/>
      <c r="AH241" s="200"/>
      <c r="AI241" s="200"/>
      <c r="AJ241" s="200"/>
      <c r="AK241" s="200"/>
      <c r="AL241" s="200"/>
      <c r="AM241" s="113">
        <f t="shared" si="3"/>
        <v>0</v>
      </c>
      <c r="AN241" s="540">
        <f>IF(AO241&lt;=3,(IF(AND(G241="5/24",AM241&gt;2),(AM241*2*база!$M$6*Таблица14[[#This Row],[коэф]]),
IF(AND(G241="4/24",AM241&gt;2),(AM241*2*база!$M$5*Таблица14[[#This Row],[коэф]]),
IF(AND(G241="3/24",AM241&gt;2),(AM241*2*база!$M$4*Таблица14[[#This Row],[коэф]]),
IF(AND(G241="5/16",AM241&gt;2),(AM241*2*база!$L$6*Таблица14[[#This Row],[коэф]]),
IF(AND(G241="4/16",AM241&gt;2),(AM241*2*база!$L$5*Таблица14[[#This Row],[коэф]]),
IF(AND(G241="3/16",AM241&gt;2),(AM241*2*база!$L$4*Таблица14[[#This Row],[коэф]]),
IF(AND(G241="4/4",AM241&gt;2),(AM241*2*база!$I$5*Таблица14[[#This Row],[коэф]]),
IF(AND(G241="3/4",AM241&gt;2),(AM241*2*база!$I$4*Таблица14[[#This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(AM241*2*база!$L$4*Таблица14[[#This Row],[коэф]]))))))))))))),
(IF(AND(G241="5/24",AM241&gt;2),(AM241*2*база!$M$6*Таблица14[[#This Row],[коэф]]),
IF(OR(AND(G241="4/24",AM241&gt;2),AND(G241="3/24",AM241&gt;2)),(AM241*2*база!$M$5*Таблица14[[#This Row],[коэф]]),
IF(AND(G241="5/16",AM241&gt;2),(AM241*2*база!$L$6*Таблица14[[#This Row],[коэф]]),
IF(OR(AND(G241="4/16",AM241&gt;2),AND(G241="3/16",AM241&gt;2)),(AM241*2*база!$L$5*Таблица14[[#This Row],[коэф]]),
IF(OR(AND(G241="4/4",AM241&gt;2),AND(G241="3/4",AM241&gt;2)),(AM241*2*база!$I$5*Таблица14[[#This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(AM241*2*база!$L$5*Таблица14[[#This Row],[коэф]])))))))))))</f>
        <v>0</v>
      </c>
      <c r="AO241" s="114">
        <f>IFERROR(INDEX(база!$D$2:$D$120, MATCH(Таблица14[[#This Row],[Ф. И. О.]],база!$B$2:$B$100,0)),"")</f>
        <v>0</v>
      </c>
    </row>
    <row r="242" spans="1:41">
      <c r="A242" s="192"/>
      <c r="B242" s="223"/>
      <c r="C242" s="544"/>
      <c r="D242" s="199"/>
      <c r="E242" s="224"/>
      <c r="F242" s="679"/>
      <c r="G242" s="225"/>
      <c r="H242" s="200"/>
      <c r="I242" s="200"/>
      <c r="J242" s="200"/>
      <c r="K242" s="200"/>
      <c r="L242" s="200"/>
      <c r="M242" s="200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200"/>
      <c r="Y242" s="200"/>
      <c r="Z242" s="200"/>
      <c r="AA242" s="200"/>
      <c r="AB242" s="200"/>
      <c r="AC242" s="200"/>
      <c r="AD242" s="200"/>
      <c r="AE242" s="200"/>
      <c r="AF242" s="200"/>
      <c r="AG242" s="200"/>
      <c r="AH242" s="200"/>
      <c r="AI242" s="200"/>
      <c r="AJ242" s="200"/>
      <c r="AK242" s="200"/>
      <c r="AL242" s="200"/>
      <c r="AM242" s="113">
        <f t="shared" si="3"/>
        <v>0</v>
      </c>
      <c r="AN242" s="540">
        <f>IF(AO242&lt;=3,(IF(AND(G242="5/24",AM242&gt;2),(AM242*2*база!$M$6*Таблица14[[#This Row],[коэф]]),
IF(AND(G242="4/24",AM242&gt;2),(AM242*2*база!$M$5*Таблица14[[#This Row],[коэф]]),
IF(AND(G242="3/24",AM242&gt;2),(AM242*2*база!$M$4*Таблица14[[#This Row],[коэф]]),
IF(AND(G242="5/16",AM242&gt;2),(AM242*2*база!$L$6*Таблица14[[#This Row],[коэф]]),
IF(AND(G242="4/16",AM242&gt;2),(AM242*2*база!$L$5*Таблица14[[#This Row],[коэф]]),
IF(AND(G242="3/16",AM242&gt;2),(AM242*2*база!$L$4*Таблица14[[#This Row],[коэф]]),
IF(AND(G242="4/4",AM242&gt;2),(AM242*2*база!$I$5*Таблица14[[#This Row],[коэф]]),
IF(AND(G242="3/4",AM242&gt;2),(AM242*2*база!$I$4*Таблица14[[#This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(AM242*2*база!$L$4*Таблица14[[#This Row],[коэф]]))))))))))))),
(IF(AND(G242="5/24",AM242&gt;2),(AM242*2*база!$M$6*Таблица14[[#This Row],[коэф]]),
IF(OR(AND(G242="4/24",AM242&gt;2),AND(G242="3/24",AM242&gt;2)),(AM242*2*база!$M$5*Таблица14[[#This Row],[коэф]]),
IF(AND(G242="5/16",AM242&gt;2),(AM242*2*база!$L$6*Таблица14[[#This Row],[коэф]]),
IF(OR(AND(G242="4/16",AM242&gt;2),AND(G242="3/16",AM242&gt;2)),(AM242*2*база!$L$5*Таблица14[[#This Row],[коэф]]),
IF(OR(AND(G242="4/4",AM242&gt;2),AND(G242="3/4",AM242&gt;2)),(AM242*2*база!$I$5*Таблица14[[#This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(AM242*2*база!$L$5*Таблица14[[#This Row],[коэф]])))))))))))</f>
        <v>0</v>
      </c>
      <c r="AO242" s="114">
        <f>IFERROR(INDEX(база!$D$2:$D$120, MATCH(Таблица14[[#This Row],[Ф. И. О.]],база!$B$2:$B$100,0)),"")</f>
        <v>0</v>
      </c>
    </row>
    <row r="243" spans="1:41">
      <c r="A243" s="192"/>
      <c r="B243" s="189"/>
      <c r="C243" s="544"/>
      <c r="D243" s="199"/>
      <c r="E243" s="226"/>
      <c r="F243" s="679"/>
      <c r="G243" s="191"/>
      <c r="H243" s="200"/>
      <c r="I243" s="200"/>
      <c r="J243" s="200"/>
      <c r="K243" s="200"/>
      <c r="L243" s="200"/>
      <c r="M243" s="200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200"/>
      <c r="Y243" s="200"/>
      <c r="Z243" s="200"/>
      <c r="AA243" s="200"/>
      <c r="AB243" s="200"/>
      <c r="AC243" s="200"/>
      <c r="AD243" s="200"/>
      <c r="AE243" s="200"/>
      <c r="AF243" s="200"/>
      <c r="AG243" s="200"/>
      <c r="AH243" s="200"/>
      <c r="AI243" s="200"/>
      <c r="AJ243" s="200"/>
      <c r="AK243" s="200"/>
      <c r="AL243" s="200"/>
      <c r="AM243" s="113">
        <f t="shared" si="3"/>
        <v>0</v>
      </c>
      <c r="AN243" s="540">
        <f>IF(AO243&lt;=3,(IF(AND(G243="5/24",AM243&gt;2),(AM243*2*база!$M$6*Таблица14[[#This Row],[коэф]]),
IF(AND(G243="4/24",AM243&gt;2),(AM243*2*база!$M$5*Таблица14[[#This Row],[коэф]]),
IF(AND(G243="3/24",AM243&gt;2),(AM243*2*база!$M$4*Таблица14[[#This Row],[коэф]]),
IF(AND(G243="5/16",AM243&gt;2),(AM243*2*база!$L$6*Таблица14[[#This Row],[коэф]]),
IF(AND(G243="4/16",AM243&gt;2),(AM243*2*база!$L$5*Таблица14[[#This Row],[коэф]]),
IF(AND(G243="3/16",AM243&gt;2),(AM243*2*база!$L$4*Таблица14[[#This Row],[коэф]]),
IF(AND(G243="4/4",AM243&gt;2),(AM243*2*база!$I$5*Таблица14[[#This Row],[коэф]]),
IF(AND(G243="3/4",AM243&gt;2),(AM243*2*база!$I$4*Таблица14[[#This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(AM243*2*база!$L$4*Таблица14[[#This Row],[коэф]]))))))))))))),
(IF(AND(G243="5/24",AM243&gt;2),(AM243*2*база!$M$6*Таблица14[[#This Row],[коэф]]),
IF(OR(AND(G243="4/24",AM243&gt;2),AND(G243="3/24",AM243&gt;2)),(AM243*2*база!$M$5*Таблица14[[#This Row],[коэф]]),
IF(AND(G243="5/16",AM243&gt;2),(AM243*2*база!$L$6*Таблица14[[#This Row],[коэф]]),
IF(OR(AND(G243="4/16",AM243&gt;2),AND(G243="3/16",AM243&gt;2)),(AM243*2*база!$L$5*Таблица14[[#This Row],[коэф]]),
IF(OR(AND(G243="4/4",AM243&gt;2),AND(G243="3/4",AM243&gt;2)),(AM243*2*база!$I$5*Таблица14[[#This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(AM243*2*база!$L$5*Таблица14[[#This Row],[коэф]])))))))))))</f>
        <v>0</v>
      </c>
      <c r="AO243" s="114">
        <f>IFERROR(INDEX(база!$D$2:$D$120, MATCH(Таблица14[[#This Row],[Ф. И. О.]],база!$B$2:$B$100,0)),"")</f>
        <v>0</v>
      </c>
    </row>
    <row r="244" spans="1:41">
      <c r="A244" s="192"/>
      <c r="B244" s="223"/>
      <c r="C244" s="544"/>
      <c r="D244" s="199"/>
      <c r="E244" s="224"/>
      <c r="F244" s="679"/>
      <c r="G244" s="225"/>
      <c r="H244" s="200"/>
      <c r="I244" s="200"/>
      <c r="J244" s="200"/>
      <c r="K244" s="200"/>
      <c r="L244" s="200"/>
      <c r="M244" s="200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200"/>
      <c r="Y244" s="200"/>
      <c r="Z244" s="200"/>
      <c r="AA244" s="200"/>
      <c r="AB244" s="200"/>
      <c r="AC244" s="200"/>
      <c r="AD244" s="200"/>
      <c r="AE244" s="200"/>
      <c r="AF244" s="200"/>
      <c r="AG244" s="200"/>
      <c r="AH244" s="200"/>
      <c r="AI244" s="200"/>
      <c r="AJ244" s="200"/>
      <c r="AK244" s="200"/>
      <c r="AL244" s="200"/>
      <c r="AM244" s="113">
        <f t="shared" si="3"/>
        <v>0</v>
      </c>
      <c r="AN244" s="540">
        <f>IF(AO244&lt;=3,(IF(AND(G244="5/24",AM244&gt;2),(AM244*2*база!$M$6*Таблица14[[#This Row],[коэф]]),
IF(AND(G244="4/24",AM244&gt;2),(AM244*2*база!$M$5*Таблица14[[#This Row],[коэф]]),
IF(AND(G244="3/24",AM244&gt;2),(AM244*2*база!$M$4*Таблица14[[#This Row],[коэф]]),
IF(AND(G244="5/16",AM244&gt;2),(AM244*2*база!$L$6*Таблица14[[#This Row],[коэф]]),
IF(AND(G244="4/16",AM244&gt;2),(AM244*2*база!$L$5*Таблица14[[#This Row],[коэф]]),
IF(AND(G244="3/16",AM244&gt;2),(AM244*2*база!$L$4*Таблица14[[#This Row],[коэф]]),
IF(AND(G244="4/4",AM244&gt;2),(AM244*2*база!$I$5*Таблица14[[#This Row],[коэф]]),
IF(AND(G244="3/4",AM244&gt;2),(AM244*2*база!$I$4*Таблица14[[#This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(AM244*2*база!$L$4*Таблица14[[#This Row],[коэф]]))))))))))))),
(IF(AND(G244="5/24",AM244&gt;2),(AM244*2*база!$M$6*Таблица14[[#This Row],[коэф]]),
IF(OR(AND(G244="4/24",AM244&gt;2),AND(G244="3/24",AM244&gt;2)),(AM244*2*база!$M$5*Таблица14[[#This Row],[коэф]]),
IF(AND(G244="5/16",AM244&gt;2),(AM244*2*база!$L$6*Таблица14[[#This Row],[коэф]]),
IF(OR(AND(G244="4/16",AM244&gt;2),AND(G244="3/16",AM244&gt;2)),(AM244*2*база!$L$5*Таблица14[[#This Row],[коэф]]),
IF(OR(AND(G244="4/4",AM244&gt;2),AND(G244="3/4",AM244&gt;2)),(AM244*2*база!$I$5*Таблица14[[#This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(AM244*2*база!$L$5*Таблица14[[#This Row],[коэф]])))))))))))</f>
        <v>0</v>
      </c>
      <c r="AO244" s="114">
        <f>IFERROR(INDEX(база!$D$2:$D$120, MATCH(Таблица14[[#This Row],[Ф. И. О.]],база!$B$2:$B$100,0)),"")</f>
        <v>0</v>
      </c>
    </row>
    <row r="245" spans="1:41">
      <c r="A245" s="192"/>
      <c r="B245" s="189"/>
      <c r="C245" s="544"/>
      <c r="D245" s="199"/>
      <c r="E245" s="226"/>
      <c r="F245" s="679"/>
      <c r="G245" s="191"/>
      <c r="H245" s="200"/>
      <c r="I245" s="200"/>
      <c r="J245" s="200"/>
      <c r="K245" s="200"/>
      <c r="L245" s="200"/>
      <c r="M245" s="200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200"/>
      <c r="Y245" s="200"/>
      <c r="Z245" s="200"/>
      <c r="AA245" s="200"/>
      <c r="AB245" s="200"/>
      <c r="AC245" s="200"/>
      <c r="AD245" s="200"/>
      <c r="AE245" s="200"/>
      <c r="AF245" s="200"/>
      <c r="AG245" s="200"/>
      <c r="AH245" s="200"/>
      <c r="AI245" s="200"/>
      <c r="AJ245" s="200"/>
      <c r="AK245" s="200"/>
      <c r="AL245" s="200"/>
      <c r="AM245" s="113">
        <f t="shared" si="3"/>
        <v>0</v>
      </c>
      <c r="AN245" s="540">
        <f>IF(AO245&lt;=3,(IF(AND(G245="5/24",AM245&gt;2),(AM245*2*база!$M$6*Таблица14[[#This Row],[коэф]]),
IF(AND(G245="4/24",AM245&gt;2),(AM245*2*база!$M$5*Таблица14[[#This Row],[коэф]]),
IF(AND(G245="3/24",AM245&gt;2),(AM245*2*база!$M$4*Таблица14[[#This Row],[коэф]]),
IF(AND(G245="5/16",AM245&gt;2),(AM245*2*база!$L$6*Таблица14[[#This Row],[коэф]]),
IF(AND(G245="4/16",AM245&gt;2),(AM245*2*база!$L$5*Таблица14[[#This Row],[коэф]]),
IF(AND(G245="3/16",AM245&gt;2),(AM245*2*база!$L$4*Таблица14[[#This Row],[коэф]]),
IF(AND(G245="4/4",AM245&gt;2),(AM245*2*база!$I$5*Таблица14[[#This Row],[коэф]]),
IF(AND(G245="3/4",AM245&gt;2),(AM245*2*база!$I$4*Таблица14[[#This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(AM245*2*база!$L$4*Таблица14[[#This Row],[коэф]]))))))))))))),
(IF(AND(G245="5/24",AM245&gt;2),(AM245*2*база!$M$6*Таблица14[[#This Row],[коэф]]),
IF(OR(AND(G245="4/24",AM245&gt;2),AND(G245="3/24",AM245&gt;2)),(AM245*2*база!$M$5*Таблица14[[#This Row],[коэф]]),
IF(AND(G245="5/16",AM245&gt;2),(AM245*2*база!$L$6*Таблица14[[#This Row],[коэф]]),
IF(OR(AND(G245="4/16",AM245&gt;2),AND(G245="3/16",AM245&gt;2)),(AM245*2*база!$L$5*Таблица14[[#This Row],[коэф]]),
IF(OR(AND(G245="4/4",AM245&gt;2),AND(G245="3/4",AM245&gt;2)),(AM245*2*база!$I$5*Таблица14[[#This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(AM245*2*база!$L$5*Таблица14[[#This Row],[коэф]])))))))))))</f>
        <v>0</v>
      </c>
      <c r="AO245" s="114">
        <f>IFERROR(INDEX(база!$D$2:$D$120, MATCH(Таблица14[[#This Row],[Ф. И. О.]],база!$B$2:$B$100,0)),"")</f>
        <v>0</v>
      </c>
    </row>
    <row r="246" spans="1:41">
      <c r="A246" s="192"/>
      <c r="B246" s="223"/>
      <c r="C246" s="544"/>
      <c r="D246" s="199"/>
      <c r="E246" s="224"/>
      <c r="F246" s="679"/>
      <c r="G246" s="225"/>
      <c r="H246" s="200"/>
      <c r="I246" s="200"/>
      <c r="J246" s="200"/>
      <c r="K246" s="200"/>
      <c r="L246" s="200"/>
      <c r="M246" s="200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200"/>
      <c r="Y246" s="200"/>
      <c r="Z246" s="200"/>
      <c r="AA246" s="200"/>
      <c r="AB246" s="200"/>
      <c r="AC246" s="200"/>
      <c r="AD246" s="200"/>
      <c r="AE246" s="200"/>
      <c r="AF246" s="200"/>
      <c r="AG246" s="200"/>
      <c r="AH246" s="200"/>
      <c r="AI246" s="200"/>
      <c r="AJ246" s="200"/>
      <c r="AK246" s="200"/>
      <c r="AL246" s="200"/>
      <c r="AM246" s="113">
        <f t="shared" si="3"/>
        <v>0</v>
      </c>
      <c r="AN246" s="540">
        <f>IF(AO246&lt;=3,(IF(AND(G246="5/24",AM246&gt;2),(AM246*2*база!$M$6*Таблица14[[#This Row],[коэф]]),
IF(AND(G246="4/24",AM246&gt;2),(AM246*2*база!$M$5*Таблица14[[#This Row],[коэф]]),
IF(AND(G246="3/24",AM246&gt;2),(AM246*2*база!$M$4*Таблица14[[#This Row],[коэф]]),
IF(AND(G246="5/16",AM246&gt;2),(AM246*2*база!$L$6*Таблица14[[#This Row],[коэф]]),
IF(AND(G246="4/16",AM246&gt;2),(AM246*2*база!$L$5*Таблица14[[#This Row],[коэф]]),
IF(AND(G246="3/16",AM246&gt;2),(AM246*2*база!$L$4*Таблица14[[#This Row],[коэф]]),
IF(AND(G246="4/4",AM246&gt;2),(AM246*2*база!$I$5*Таблица14[[#This Row],[коэф]]),
IF(AND(G246="3/4",AM246&gt;2),(AM246*2*база!$I$4*Таблица14[[#This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(AM246*2*база!$L$4*Таблица14[[#This Row],[коэф]]))))))))))))),
(IF(AND(G246="5/24",AM246&gt;2),(AM246*2*база!$M$6*Таблица14[[#This Row],[коэф]]),
IF(OR(AND(G246="4/24",AM246&gt;2),AND(G246="3/24",AM246&gt;2)),(AM246*2*база!$M$5*Таблица14[[#This Row],[коэф]]),
IF(AND(G246="5/16",AM246&gt;2),(AM246*2*база!$L$6*Таблица14[[#This Row],[коэф]]),
IF(OR(AND(G246="4/16",AM246&gt;2),AND(G246="3/16",AM246&gt;2)),(AM246*2*база!$L$5*Таблица14[[#This Row],[коэф]]),
IF(OR(AND(G246="4/4",AM246&gt;2),AND(G246="3/4",AM246&gt;2)),(AM246*2*база!$I$5*Таблица14[[#This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(AM246*2*база!$L$5*Таблица14[[#This Row],[коэф]])))))))))))</f>
        <v>0</v>
      </c>
      <c r="AO246" s="114">
        <f>IFERROR(INDEX(база!$D$2:$D$120, MATCH(Таблица14[[#This Row],[Ф. И. О.]],база!$B$2:$B$100,0)),"")</f>
        <v>0</v>
      </c>
    </row>
    <row r="247" spans="1:41">
      <c r="A247" s="192"/>
      <c r="B247" s="189"/>
      <c r="C247" s="544"/>
      <c r="D247" s="199"/>
      <c r="E247" s="226"/>
      <c r="F247" s="679"/>
      <c r="G247" s="191"/>
      <c r="H247" s="200"/>
      <c r="I247" s="200"/>
      <c r="J247" s="200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200"/>
      <c r="Z247" s="200"/>
      <c r="AA247" s="200"/>
      <c r="AB247" s="200"/>
      <c r="AC247" s="200"/>
      <c r="AD247" s="200"/>
      <c r="AE247" s="200"/>
      <c r="AF247" s="200"/>
      <c r="AG247" s="200"/>
      <c r="AH247" s="200"/>
      <c r="AI247" s="200"/>
      <c r="AJ247" s="200"/>
      <c r="AK247" s="200"/>
      <c r="AL247" s="200"/>
      <c r="AM247" s="113">
        <f t="shared" si="3"/>
        <v>0</v>
      </c>
      <c r="AN247" s="540">
        <f>IF(AO247&lt;=3,(IF(AND(G247="5/24",AM247&gt;2),(AM247*2*база!$M$6*Таблица14[[#This Row],[коэф]]),
IF(AND(G247="4/24",AM247&gt;2),(AM247*2*база!$M$5*Таблица14[[#This Row],[коэф]]),
IF(AND(G247="3/24",AM247&gt;2),(AM247*2*база!$M$4*Таблица14[[#This Row],[коэф]]),
IF(AND(G247="5/16",AM247&gt;2),(AM247*2*база!$L$6*Таблица14[[#This Row],[коэф]]),
IF(AND(G247="4/16",AM247&gt;2),(AM247*2*база!$L$5*Таблица14[[#This Row],[коэф]]),
IF(AND(G247="3/16",AM247&gt;2),(AM247*2*база!$L$4*Таблица14[[#This Row],[коэф]]),
IF(AND(G247="4/4",AM247&gt;2),(AM247*2*база!$I$5*Таблица14[[#This Row],[коэф]]),
IF(AND(G247="3/4",AM247&gt;2),(AM247*2*база!$I$4*Таблица14[[#This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(AM247*2*база!$L$4*Таблица14[[#This Row],[коэф]]))))))))))))),
(IF(AND(G247="5/24",AM247&gt;2),(AM247*2*база!$M$6*Таблица14[[#This Row],[коэф]]),
IF(OR(AND(G247="4/24",AM247&gt;2),AND(G247="3/24",AM247&gt;2)),(AM247*2*база!$M$5*Таблица14[[#This Row],[коэф]]),
IF(AND(G247="5/16",AM247&gt;2),(AM247*2*база!$L$6*Таблица14[[#This Row],[коэф]]),
IF(OR(AND(G247="4/16",AM247&gt;2),AND(G247="3/16",AM247&gt;2)),(AM247*2*база!$L$5*Таблица14[[#This Row],[коэф]]),
IF(OR(AND(G247="4/4",AM247&gt;2),AND(G247="3/4",AM247&gt;2)),(AM247*2*база!$I$5*Таблица14[[#This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(AM247*2*база!$L$5*Таблица14[[#This Row],[коэф]])))))))))))</f>
        <v>0</v>
      </c>
      <c r="AO247" s="114">
        <f>IFERROR(INDEX(база!$D$2:$D$120, MATCH(Таблица14[[#This Row],[Ф. И. О.]],база!$B$2:$B$100,0)),"")</f>
        <v>0</v>
      </c>
    </row>
    <row r="248" spans="1:41">
      <c r="A248" s="192"/>
      <c r="B248" s="223"/>
      <c r="C248" s="544"/>
      <c r="D248" s="199"/>
      <c r="E248" s="224"/>
      <c r="F248" s="679"/>
      <c r="G248" s="225"/>
      <c r="H248" s="200"/>
      <c r="I248" s="200"/>
      <c r="J248" s="200"/>
      <c r="K248" s="200"/>
      <c r="L248" s="200"/>
      <c r="M248" s="200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200"/>
      <c r="Y248" s="200"/>
      <c r="Z248" s="200"/>
      <c r="AA248" s="200"/>
      <c r="AB248" s="200"/>
      <c r="AC248" s="200"/>
      <c r="AD248" s="200"/>
      <c r="AE248" s="200"/>
      <c r="AF248" s="200"/>
      <c r="AG248" s="200"/>
      <c r="AH248" s="200"/>
      <c r="AI248" s="200"/>
      <c r="AJ248" s="200"/>
      <c r="AK248" s="200"/>
      <c r="AL248" s="200"/>
      <c r="AM248" s="113">
        <f t="shared" si="3"/>
        <v>0</v>
      </c>
      <c r="AN248" s="540">
        <f>IF(AO248&lt;=3,(IF(AND(G248="5/24",AM248&gt;2),(AM248*2*база!$M$6*Таблица14[[#This Row],[коэф]]),
IF(AND(G248="4/24",AM248&gt;2),(AM248*2*база!$M$5*Таблица14[[#This Row],[коэф]]),
IF(AND(G248="3/24",AM248&gt;2),(AM248*2*база!$M$4*Таблица14[[#This Row],[коэф]]),
IF(AND(G248="5/16",AM248&gt;2),(AM248*2*база!$L$6*Таблица14[[#This Row],[коэф]]),
IF(AND(G248="4/16",AM248&gt;2),(AM248*2*база!$L$5*Таблица14[[#This Row],[коэф]]),
IF(AND(G248="3/16",AM248&gt;2),(AM248*2*база!$L$4*Таблица14[[#This Row],[коэф]]),
IF(AND(G248="4/4",AM248&gt;2),(AM248*2*база!$I$5*Таблица14[[#This Row],[коэф]]),
IF(AND(G248="3/4",AM248&gt;2),(AM248*2*база!$I$4*Таблица14[[#This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(AM248*2*база!$L$4*Таблица14[[#This Row],[коэф]]))))))))))))),
(IF(AND(G248="5/24",AM248&gt;2),(AM248*2*база!$M$6*Таблица14[[#This Row],[коэф]]),
IF(OR(AND(G248="4/24",AM248&gt;2),AND(G248="3/24",AM248&gt;2)),(AM248*2*база!$M$5*Таблица14[[#This Row],[коэф]]),
IF(AND(G248="5/16",AM248&gt;2),(AM248*2*база!$L$6*Таблица14[[#This Row],[коэф]]),
IF(OR(AND(G248="4/16",AM248&gt;2),AND(G248="3/16",AM248&gt;2)),(AM248*2*база!$L$5*Таблица14[[#This Row],[коэф]]),
IF(OR(AND(G248="4/4",AM248&gt;2),AND(G248="3/4",AM248&gt;2)),(AM248*2*база!$I$5*Таблица14[[#This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(AM248*2*база!$L$5*Таблица14[[#This Row],[коэф]])))))))))))</f>
        <v>0</v>
      </c>
      <c r="AO248" s="114">
        <f>IFERROR(INDEX(база!$D$2:$D$120, MATCH(Таблица14[[#This Row],[Ф. И. О.]],база!$B$2:$B$100,0)),"")</f>
        <v>0</v>
      </c>
    </row>
    <row r="249" spans="1:41">
      <c r="A249" s="192"/>
      <c r="B249" s="189"/>
      <c r="C249" s="544"/>
      <c r="D249" s="199"/>
      <c r="E249" s="226"/>
      <c r="F249" s="679"/>
      <c r="G249" s="191"/>
      <c r="H249" s="200"/>
      <c r="I249" s="200"/>
      <c r="J249" s="200"/>
      <c r="K249" s="200"/>
      <c r="L249" s="200"/>
      <c r="M249" s="200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200"/>
      <c r="Y249" s="200"/>
      <c r="Z249" s="200"/>
      <c r="AA249" s="200"/>
      <c r="AB249" s="200"/>
      <c r="AC249" s="200"/>
      <c r="AD249" s="200"/>
      <c r="AE249" s="200"/>
      <c r="AF249" s="200"/>
      <c r="AG249" s="200"/>
      <c r="AH249" s="200"/>
      <c r="AI249" s="200"/>
      <c r="AJ249" s="200"/>
      <c r="AK249" s="200"/>
      <c r="AL249" s="200"/>
      <c r="AM249" s="113">
        <f t="shared" si="3"/>
        <v>0</v>
      </c>
      <c r="AN249" s="540">
        <f>IF(AO249&lt;=3,(IF(AND(G249="5/24",AM249&gt;2),(AM249*2*база!$M$6*Таблица14[[#This Row],[коэф]]),
IF(AND(G249="4/24",AM249&gt;2),(AM249*2*база!$M$5*Таблица14[[#This Row],[коэф]]),
IF(AND(G249="3/24",AM249&gt;2),(AM249*2*база!$M$4*Таблица14[[#This Row],[коэф]]),
IF(AND(G249="5/16",AM249&gt;2),(AM249*2*база!$L$6*Таблица14[[#This Row],[коэф]]),
IF(AND(G249="4/16",AM249&gt;2),(AM249*2*база!$L$5*Таблица14[[#This Row],[коэф]]),
IF(AND(G249="3/16",AM249&gt;2),(AM249*2*база!$L$4*Таблица14[[#This Row],[коэф]]),
IF(AND(G249="4/4",AM249&gt;2),(AM249*2*база!$I$5*Таблица14[[#This Row],[коэф]]),
IF(AND(G249="3/4",AM249&gt;2),(AM249*2*база!$I$4*Таблица14[[#This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(AM249*2*база!$L$4*Таблица14[[#This Row],[коэф]]))))))))))))),
(IF(AND(G249="5/24",AM249&gt;2),(AM249*2*база!$M$6*Таблица14[[#This Row],[коэф]]),
IF(OR(AND(G249="4/24",AM249&gt;2),AND(G249="3/24",AM249&gt;2)),(AM249*2*база!$M$5*Таблица14[[#This Row],[коэф]]),
IF(AND(G249="5/16",AM249&gt;2),(AM249*2*база!$L$6*Таблица14[[#This Row],[коэф]]),
IF(OR(AND(G249="4/16",AM249&gt;2),AND(G249="3/16",AM249&gt;2)),(AM249*2*база!$L$5*Таблица14[[#This Row],[коэф]]),
IF(OR(AND(G249="4/4",AM249&gt;2),AND(G249="3/4",AM249&gt;2)),(AM249*2*база!$I$5*Таблица14[[#This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(AM249*2*база!$L$5*Таблица14[[#This Row],[коэф]])))))))))))</f>
        <v>0</v>
      </c>
      <c r="AO249" s="114">
        <f>IFERROR(INDEX(база!$D$2:$D$120, MATCH(Таблица14[[#This Row],[Ф. И. О.]],база!$B$2:$B$100,0)),"")</f>
        <v>0</v>
      </c>
    </row>
    <row r="250" spans="1:41">
      <c r="A250" s="192"/>
      <c r="B250" s="223"/>
      <c r="C250" s="544"/>
      <c r="D250" s="199"/>
      <c r="E250" s="224"/>
      <c r="F250" s="679"/>
      <c r="G250" s="225"/>
      <c r="H250" s="200"/>
      <c r="I250" s="200"/>
      <c r="J250" s="200"/>
      <c r="K250" s="200"/>
      <c r="L250" s="200"/>
      <c r="M250" s="200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200"/>
      <c r="Y250" s="200"/>
      <c r="Z250" s="200"/>
      <c r="AA250" s="200"/>
      <c r="AB250" s="200"/>
      <c r="AC250" s="200"/>
      <c r="AD250" s="200"/>
      <c r="AE250" s="200"/>
      <c r="AF250" s="200"/>
      <c r="AG250" s="200"/>
      <c r="AH250" s="200"/>
      <c r="AI250" s="200"/>
      <c r="AJ250" s="200"/>
      <c r="AK250" s="200"/>
      <c r="AL250" s="200"/>
      <c r="AM250" s="113">
        <f t="shared" si="3"/>
        <v>0</v>
      </c>
      <c r="AN250" s="540">
        <f>IF(AO250&lt;=3,(IF(AND(G250="5/24",AM250&gt;2),(AM250*2*база!$M$6*Таблица14[[#This Row],[коэф]]),
IF(AND(G250="4/24",AM250&gt;2),(AM250*2*база!$M$5*Таблица14[[#This Row],[коэф]]),
IF(AND(G250="3/24",AM250&gt;2),(AM250*2*база!$M$4*Таблица14[[#This Row],[коэф]]),
IF(AND(G250="5/16",AM250&gt;2),(AM250*2*база!$L$6*Таблица14[[#This Row],[коэф]]),
IF(AND(G250="4/16",AM250&gt;2),(AM250*2*база!$L$5*Таблица14[[#This Row],[коэф]]),
IF(AND(G250="3/16",AM250&gt;2),(AM250*2*база!$L$4*Таблица14[[#This Row],[коэф]]),
IF(AND(G250="4/4",AM250&gt;2),(AM250*2*база!$I$5*Таблица14[[#This Row],[коэф]]),
IF(AND(G250="3/4",AM250&gt;2),(AM250*2*база!$I$4*Таблица14[[#This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(AM250*2*база!$L$4*Таблица14[[#This Row],[коэф]]))))))))))))),
(IF(AND(G250="5/24",AM250&gt;2),(AM250*2*база!$M$6*Таблица14[[#This Row],[коэф]]),
IF(OR(AND(G250="4/24",AM250&gt;2),AND(G250="3/24",AM250&gt;2)),(AM250*2*база!$M$5*Таблица14[[#This Row],[коэф]]),
IF(AND(G250="5/16",AM250&gt;2),(AM250*2*база!$L$6*Таблица14[[#This Row],[коэф]]),
IF(OR(AND(G250="4/16",AM250&gt;2),AND(G250="3/16",AM250&gt;2)),(AM250*2*база!$L$5*Таблица14[[#This Row],[коэф]]),
IF(OR(AND(G250="4/4",AM250&gt;2),AND(G250="3/4",AM250&gt;2)),(AM250*2*база!$I$5*Таблица14[[#This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(AM250*2*база!$L$5*Таблица14[[#This Row],[коэф]])))))))))))</f>
        <v>0</v>
      </c>
      <c r="AO250" s="114">
        <f>IFERROR(INDEX(база!$D$2:$D$120, MATCH(Таблица14[[#This Row],[Ф. И. О.]],база!$B$2:$B$100,0)),"")</f>
        <v>0</v>
      </c>
    </row>
    <row r="251" spans="1:41">
      <c r="A251" s="192"/>
      <c r="B251" s="189"/>
      <c r="C251" s="544"/>
      <c r="D251" s="199"/>
      <c r="E251" s="226"/>
      <c r="F251" s="679"/>
      <c r="G251" s="191"/>
      <c r="H251" s="200"/>
      <c r="I251" s="200"/>
      <c r="J251" s="200"/>
      <c r="K251" s="200"/>
      <c r="L251" s="200"/>
      <c r="M251" s="200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200"/>
      <c r="Y251" s="200"/>
      <c r="Z251" s="200"/>
      <c r="AA251" s="200"/>
      <c r="AB251" s="200"/>
      <c r="AC251" s="200"/>
      <c r="AD251" s="200"/>
      <c r="AE251" s="200"/>
      <c r="AF251" s="200"/>
      <c r="AG251" s="200"/>
      <c r="AH251" s="200"/>
      <c r="AI251" s="200"/>
      <c r="AJ251" s="200"/>
      <c r="AK251" s="200"/>
      <c r="AL251" s="200"/>
      <c r="AM251" s="113">
        <f t="shared" si="3"/>
        <v>0</v>
      </c>
      <c r="AN251" s="540">
        <f>IF(AO251&lt;=3,(IF(AND(G251="5/24",AM251&gt;2),(AM251*2*база!$M$6*Таблица14[[#This Row],[коэф]]),
IF(AND(G251="4/24",AM251&gt;2),(AM251*2*база!$M$5*Таблица14[[#This Row],[коэф]]),
IF(AND(G251="3/24",AM251&gt;2),(AM251*2*база!$M$4*Таблица14[[#This Row],[коэф]]),
IF(AND(G251="5/16",AM251&gt;2),(AM251*2*база!$L$6*Таблица14[[#This Row],[коэф]]),
IF(AND(G251="4/16",AM251&gt;2),(AM251*2*база!$L$5*Таблица14[[#This Row],[коэф]]),
IF(AND(G251="3/16",AM251&gt;2),(AM251*2*база!$L$4*Таблица14[[#This Row],[коэф]]),
IF(AND(G251="4/4",AM251&gt;2),(AM251*2*база!$I$5*Таблица14[[#This Row],[коэф]]),
IF(AND(G251="3/4",AM251&gt;2),(AM251*2*база!$I$4*Таблица14[[#This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(AM251*2*база!$L$4*Таблица14[[#This Row],[коэф]]))))))))))))),
(IF(AND(G251="5/24",AM251&gt;2),(AM251*2*база!$M$6*Таблица14[[#This Row],[коэф]]),
IF(OR(AND(G251="4/24",AM251&gt;2),AND(G251="3/24",AM251&gt;2)),(AM251*2*база!$M$5*Таблица14[[#This Row],[коэф]]),
IF(AND(G251="5/16",AM251&gt;2),(AM251*2*база!$L$6*Таблица14[[#This Row],[коэф]]),
IF(OR(AND(G251="4/16",AM251&gt;2),AND(G251="3/16",AM251&gt;2)),(AM251*2*база!$L$5*Таблица14[[#This Row],[коэф]]),
IF(OR(AND(G251="4/4",AM251&gt;2),AND(G251="3/4",AM251&gt;2)),(AM251*2*база!$I$5*Таблица14[[#This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(AM251*2*база!$L$5*Таблица14[[#This Row],[коэф]])))))))))))</f>
        <v>0</v>
      </c>
      <c r="AO251" s="114">
        <f>IFERROR(INDEX(база!$D$2:$D$120, MATCH(Таблица14[[#This Row],[Ф. И. О.]],база!$B$2:$B$100,0)),"")</f>
        <v>0</v>
      </c>
    </row>
    <row r="252" spans="1:41">
      <c r="A252" s="192"/>
      <c r="B252" s="223"/>
      <c r="C252" s="544"/>
      <c r="D252" s="199"/>
      <c r="E252" s="224"/>
      <c r="F252" s="679"/>
      <c r="G252" s="225"/>
      <c r="H252" s="200"/>
      <c r="I252" s="200"/>
      <c r="J252" s="200"/>
      <c r="K252" s="200"/>
      <c r="L252" s="200"/>
      <c r="M252" s="200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200"/>
      <c r="Y252" s="200"/>
      <c r="Z252" s="200"/>
      <c r="AA252" s="200"/>
      <c r="AB252" s="200"/>
      <c r="AC252" s="200"/>
      <c r="AD252" s="200"/>
      <c r="AE252" s="200"/>
      <c r="AF252" s="200"/>
      <c r="AG252" s="200"/>
      <c r="AH252" s="200"/>
      <c r="AI252" s="200"/>
      <c r="AJ252" s="200"/>
      <c r="AK252" s="200"/>
      <c r="AL252" s="200"/>
      <c r="AM252" s="113">
        <f t="shared" si="3"/>
        <v>0</v>
      </c>
      <c r="AN252" s="540">
        <f>IF(AO252&lt;=3,(IF(AND(G252="5/24",AM252&gt;2),(AM252*2*база!$M$6*Таблица14[[#This Row],[коэф]]),
IF(AND(G252="4/24",AM252&gt;2),(AM252*2*база!$M$5*Таблица14[[#This Row],[коэф]]),
IF(AND(G252="3/24",AM252&gt;2),(AM252*2*база!$M$4*Таблица14[[#This Row],[коэф]]),
IF(AND(G252="5/16",AM252&gt;2),(AM252*2*база!$L$6*Таблица14[[#This Row],[коэф]]),
IF(AND(G252="4/16",AM252&gt;2),(AM252*2*база!$L$5*Таблица14[[#This Row],[коэф]]),
IF(AND(G252="3/16",AM252&gt;2),(AM252*2*база!$L$4*Таблица14[[#This Row],[коэф]]),
IF(AND(G252="4/4",AM252&gt;2),(AM252*2*база!$I$5*Таблица14[[#This Row],[коэф]]),
IF(AND(G252="3/4",AM252&gt;2),(AM252*2*база!$I$4*Таблица14[[#This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(AM252*2*база!$L$4*Таблица14[[#This Row],[коэф]]))))))))))))),
(IF(AND(G252="5/24",AM252&gt;2),(AM252*2*база!$M$6*Таблица14[[#This Row],[коэф]]),
IF(OR(AND(G252="4/24",AM252&gt;2),AND(G252="3/24",AM252&gt;2)),(AM252*2*база!$M$5*Таблица14[[#This Row],[коэф]]),
IF(AND(G252="5/16",AM252&gt;2),(AM252*2*база!$L$6*Таблица14[[#This Row],[коэф]]),
IF(OR(AND(G252="4/16",AM252&gt;2),AND(G252="3/16",AM252&gt;2)),(AM252*2*база!$L$5*Таблица14[[#This Row],[коэф]]),
IF(OR(AND(G252="4/4",AM252&gt;2),AND(G252="3/4",AM252&gt;2)),(AM252*2*база!$I$5*Таблица14[[#This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(AM252*2*база!$L$5*Таблица14[[#This Row],[коэф]])))))))))))</f>
        <v>0</v>
      </c>
      <c r="AO252" s="114">
        <f>IFERROR(INDEX(база!$D$2:$D$120, MATCH(Таблица14[[#This Row],[Ф. И. О.]],база!$B$2:$B$100,0)),"")</f>
        <v>0</v>
      </c>
    </row>
    <row r="253" spans="1:41">
      <c r="A253" s="192"/>
      <c r="B253" s="189"/>
      <c r="C253" s="544"/>
      <c r="D253" s="199"/>
      <c r="E253" s="226"/>
      <c r="F253" s="679"/>
      <c r="G253" s="191"/>
      <c r="H253" s="200"/>
      <c r="I253" s="200"/>
      <c r="J253" s="200"/>
      <c r="K253" s="200"/>
      <c r="L253" s="200"/>
      <c r="M253" s="200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200"/>
      <c r="Y253" s="200"/>
      <c r="Z253" s="200"/>
      <c r="AA253" s="200"/>
      <c r="AB253" s="200"/>
      <c r="AC253" s="200"/>
      <c r="AD253" s="200"/>
      <c r="AE253" s="200"/>
      <c r="AF253" s="200"/>
      <c r="AG253" s="200"/>
      <c r="AH253" s="200"/>
      <c r="AI253" s="200"/>
      <c r="AJ253" s="200"/>
      <c r="AK253" s="200"/>
      <c r="AL253" s="200"/>
      <c r="AM253" s="113">
        <f t="shared" si="3"/>
        <v>0</v>
      </c>
      <c r="AN253" s="540">
        <f>IF(AO253&lt;=3,(IF(AND(G253="5/24",AM253&gt;2),(AM253*2*база!$M$6*Таблица14[[#This Row],[коэф]]),
IF(AND(G253="4/24",AM253&gt;2),(AM253*2*база!$M$5*Таблица14[[#This Row],[коэф]]),
IF(AND(G253="3/24",AM253&gt;2),(AM253*2*база!$M$4*Таблица14[[#This Row],[коэф]]),
IF(AND(G253="5/16",AM253&gt;2),(AM253*2*база!$L$6*Таблица14[[#This Row],[коэф]]),
IF(AND(G253="4/16",AM253&gt;2),(AM253*2*база!$L$5*Таблица14[[#This Row],[коэф]]),
IF(AND(G253="3/16",AM253&gt;2),(AM253*2*база!$L$4*Таблица14[[#This Row],[коэф]]),
IF(AND(G253="4/4",AM253&gt;2),(AM253*2*база!$I$5*Таблица14[[#This Row],[коэф]]),
IF(AND(G253="3/4",AM253&gt;2),(AM253*2*база!$I$4*Таблица14[[#This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(AM253*2*база!$L$4*Таблица14[[#This Row],[коэф]]))))))))))))),
(IF(AND(G253="5/24",AM253&gt;2),(AM253*2*база!$M$6*Таблица14[[#This Row],[коэф]]),
IF(OR(AND(G253="4/24",AM253&gt;2),AND(G253="3/24",AM253&gt;2)),(AM253*2*база!$M$5*Таблица14[[#This Row],[коэф]]),
IF(AND(G253="5/16",AM253&gt;2),(AM253*2*база!$L$6*Таблица14[[#This Row],[коэф]]),
IF(OR(AND(G253="4/16",AM253&gt;2),AND(G253="3/16",AM253&gt;2)),(AM253*2*база!$L$5*Таблица14[[#This Row],[коэф]]),
IF(OR(AND(G253="4/4",AM253&gt;2),AND(G253="3/4",AM253&gt;2)),(AM253*2*база!$I$5*Таблица14[[#This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(AM253*2*база!$L$5*Таблица14[[#This Row],[коэф]])))))))))))</f>
        <v>0</v>
      </c>
      <c r="AO253" s="114">
        <f>IFERROR(INDEX(база!$D$2:$D$120, MATCH(Таблица14[[#This Row],[Ф. И. О.]],база!$B$2:$B$100,0)),"")</f>
        <v>0</v>
      </c>
    </row>
    <row r="254" spans="1:41">
      <c r="A254" s="192"/>
      <c r="B254" s="223"/>
      <c r="C254" s="544"/>
      <c r="D254" s="199"/>
      <c r="E254" s="224"/>
      <c r="F254" s="679"/>
      <c r="G254" s="225"/>
      <c r="H254" s="200"/>
      <c r="I254" s="200"/>
      <c r="J254" s="200"/>
      <c r="K254" s="200"/>
      <c r="L254" s="200"/>
      <c r="M254" s="200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200"/>
      <c r="Y254" s="200"/>
      <c r="Z254" s="200"/>
      <c r="AA254" s="200"/>
      <c r="AB254" s="200"/>
      <c r="AC254" s="200"/>
      <c r="AD254" s="200"/>
      <c r="AE254" s="200"/>
      <c r="AF254" s="200"/>
      <c r="AG254" s="200"/>
      <c r="AH254" s="200"/>
      <c r="AI254" s="200"/>
      <c r="AJ254" s="200"/>
      <c r="AK254" s="200"/>
      <c r="AL254" s="200"/>
      <c r="AM254" s="113">
        <f t="shared" si="3"/>
        <v>0</v>
      </c>
      <c r="AN254" s="540">
        <f>IF(AO254&lt;=3,(IF(AND(G254="5/24",AM254&gt;2),(AM254*2*база!$M$6*Таблица14[[#This Row],[коэф]]),
IF(AND(G254="4/24",AM254&gt;2),(AM254*2*база!$M$5*Таблица14[[#This Row],[коэф]]),
IF(AND(G254="3/24",AM254&gt;2),(AM254*2*база!$M$4*Таблица14[[#This Row],[коэф]]),
IF(AND(G254="5/16",AM254&gt;2),(AM254*2*база!$L$6*Таблица14[[#This Row],[коэф]]),
IF(AND(G254="4/16",AM254&gt;2),(AM254*2*база!$L$5*Таблица14[[#This Row],[коэф]]),
IF(AND(G254="3/16",AM254&gt;2),(AM254*2*база!$L$4*Таблица14[[#This Row],[коэф]]),
IF(AND(G254="4/4",AM254&gt;2),(AM254*2*база!$I$5*Таблица14[[#This Row],[коэф]]),
IF(AND(G254="3/4",AM254&gt;2),(AM254*2*база!$I$4*Таблица14[[#This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(AM254*2*база!$L$4*Таблица14[[#This Row],[коэф]]))))))))))))),
(IF(AND(G254="5/24",AM254&gt;2),(AM254*2*база!$M$6*Таблица14[[#This Row],[коэф]]),
IF(OR(AND(G254="4/24",AM254&gt;2),AND(G254="3/24",AM254&gt;2)),(AM254*2*база!$M$5*Таблица14[[#This Row],[коэф]]),
IF(AND(G254="5/16",AM254&gt;2),(AM254*2*база!$L$6*Таблица14[[#This Row],[коэф]]),
IF(OR(AND(G254="4/16",AM254&gt;2),AND(G254="3/16",AM254&gt;2)),(AM254*2*база!$L$5*Таблица14[[#This Row],[коэф]]),
IF(OR(AND(G254="4/4",AM254&gt;2),AND(G254="3/4",AM254&gt;2)),(AM254*2*база!$I$5*Таблица14[[#This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(AM254*2*база!$L$5*Таблица14[[#This Row],[коэф]])))))))))))</f>
        <v>0</v>
      </c>
      <c r="AO254" s="114">
        <f>IFERROR(INDEX(база!$D$2:$D$120, MATCH(Таблица14[[#This Row],[Ф. И. О.]],база!$B$2:$B$100,0)),"")</f>
        <v>0</v>
      </c>
    </row>
    <row r="255" spans="1:41">
      <c r="A255" s="192"/>
      <c r="B255" s="189"/>
      <c r="C255" s="544"/>
      <c r="D255" s="199"/>
      <c r="E255" s="226"/>
      <c r="F255" s="679"/>
      <c r="G255" s="191"/>
      <c r="H255" s="200"/>
      <c r="I255" s="200"/>
      <c r="J255" s="200"/>
      <c r="K255" s="200"/>
      <c r="L255" s="200"/>
      <c r="M255" s="200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200"/>
      <c r="Y255" s="200"/>
      <c r="Z255" s="200"/>
      <c r="AA255" s="200"/>
      <c r="AB255" s="200"/>
      <c r="AC255" s="200"/>
      <c r="AD255" s="200"/>
      <c r="AE255" s="200"/>
      <c r="AF255" s="200"/>
      <c r="AG255" s="200"/>
      <c r="AH255" s="200"/>
      <c r="AI255" s="200"/>
      <c r="AJ255" s="200"/>
      <c r="AK255" s="200"/>
      <c r="AL255" s="200"/>
      <c r="AM255" s="113">
        <f t="shared" si="3"/>
        <v>0</v>
      </c>
      <c r="AN255" s="540">
        <f>IF(AO255&lt;=3,(IF(AND(G255="5/24",AM255&gt;2),(AM255*2*база!$M$6*Таблица14[[#This Row],[коэф]]),
IF(AND(G255="4/24",AM255&gt;2),(AM255*2*база!$M$5*Таблица14[[#This Row],[коэф]]),
IF(AND(G255="3/24",AM255&gt;2),(AM255*2*база!$M$4*Таблица14[[#This Row],[коэф]]),
IF(AND(G255="5/16",AM255&gt;2),(AM255*2*база!$L$6*Таблица14[[#This Row],[коэф]]),
IF(AND(G255="4/16",AM255&gt;2),(AM255*2*база!$L$5*Таблица14[[#This Row],[коэф]]),
IF(AND(G255="3/16",AM255&gt;2),(AM255*2*база!$L$4*Таблица14[[#This Row],[коэф]]),
IF(AND(G255="4/4",AM255&gt;2),(AM255*2*база!$I$5*Таблица14[[#This Row],[коэф]]),
IF(AND(G255="3/4",AM255&gt;2),(AM255*2*база!$I$4*Таблица14[[#This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(AM255*2*база!$L$4*Таблица14[[#This Row],[коэф]]))))))))))))),
(IF(AND(G255="5/24",AM255&gt;2),(AM255*2*база!$M$6*Таблица14[[#This Row],[коэф]]),
IF(OR(AND(G255="4/24",AM255&gt;2),AND(G255="3/24",AM255&gt;2)),(AM255*2*база!$M$5*Таблица14[[#This Row],[коэф]]),
IF(AND(G255="5/16",AM255&gt;2),(AM255*2*база!$L$6*Таблица14[[#This Row],[коэф]]),
IF(OR(AND(G255="4/16",AM255&gt;2),AND(G255="3/16",AM255&gt;2)),(AM255*2*база!$L$5*Таблица14[[#This Row],[коэф]]),
IF(OR(AND(G255="4/4",AM255&gt;2),AND(G255="3/4",AM255&gt;2)),(AM255*2*база!$I$5*Таблица14[[#This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(AM255*2*база!$L$5*Таблица14[[#This Row],[коэф]])))))))))))</f>
        <v>0</v>
      </c>
      <c r="AO255" s="114">
        <f>IFERROR(INDEX(база!$D$2:$D$120, MATCH(Таблица14[[#This Row],[Ф. И. О.]],база!$B$2:$B$100,0)),"")</f>
        <v>0</v>
      </c>
    </row>
    <row r="256" spans="1:41">
      <c r="A256" s="192"/>
      <c r="B256" s="223"/>
      <c r="C256" s="544"/>
      <c r="D256" s="199"/>
      <c r="E256" s="224"/>
      <c r="F256" s="679"/>
      <c r="G256" s="225"/>
      <c r="H256" s="200"/>
      <c r="I256" s="200"/>
      <c r="J256" s="200"/>
      <c r="K256" s="200"/>
      <c r="L256" s="200"/>
      <c r="M256" s="200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200"/>
      <c r="Y256" s="200"/>
      <c r="Z256" s="200"/>
      <c r="AA256" s="200"/>
      <c r="AB256" s="200"/>
      <c r="AC256" s="200"/>
      <c r="AD256" s="200"/>
      <c r="AE256" s="200"/>
      <c r="AF256" s="200"/>
      <c r="AG256" s="200"/>
      <c r="AH256" s="200"/>
      <c r="AI256" s="200"/>
      <c r="AJ256" s="200"/>
      <c r="AK256" s="200"/>
      <c r="AL256" s="200"/>
      <c r="AM256" s="113">
        <f t="shared" si="3"/>
        <v>0</v>
      </c>
      <c r="AN256" s="540">
        <f>IF(AO256&lt;=3,(IF(AND(G256="5/24",AM256&gt;2),(AM256*2*база!$M$6*Таблица14[[#This Row],[коэф]]),
IF(AND(G256="4/24",AM256&gt;2),(AM256*2*база!$M$5*Таблица14[[#This Row],[коэф]]),
IF(AND(G256="3/24",AM256&gt;2),(AM256*2*база!$M$4*Таблица14[[#This Row],[коэф]]),
IF(AND(G256="5/16",AM256&gt;2),(AM256*2*база!$L$6*Таблица14[[#This Row],[коэф]]),
IF(AND(G256="4/16",AM256&gt;2),(AM256*2*база!$L$5*Таблица14[[#This Row],[коэф]]),
IF(AND(G256="3/16",AM256&gt;2),(AM256*2*база!$L$4*Таблица14[[#This Row],[коэф]]),
IF(AND(G256="4/4",AM256&gt;2),(AM256*2*база!$I$5*Таблица14[[#This Row],[коэф]]),
IF(AND(G256="3/4",AM256&gt;2),(AM256*2*база!$I$4*Таблица14[[#This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(AM256*2*база!$L$4*Таблица14[[#This Row],[коэф]]))))))))))))),
(IF(AND(G256="5/24",AM256&gt;2),(AM256*2*база!$M$6*Таблица14[[#This Row],[коэф]]),
IF(OR(AND(G256="4/24",AM256&gt;2),AND(G256="3/24",AM256&gt;2)),(AM256*2*база!$M$5*Таблица14[[#This Row],[коэф]]),
IF(AND(G256="5/16",AM256&gt;2),(AM256*2*база!$L$6*Таблица14[[#This Row],[коэф]]),
IF(OR(AND(G256="4/16",AM256&gt;2),AND(G256="3/16",AM256&gt;2)),(AM256*2*база!$L$5*Таблица14[[#This Row],[коэф]]),
IF(OR(AND(G256="4/4",AM256&gt;2),AND(G256="3/4",AM256&gt;2)),(AM256*2*база!$I$5*Таблица14[[#This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(AM256*2*база!$L$5*Таблица14[[#This Row],[коэф]])))))))))))</f>
        <v>0</v>
      </c>
      <c r="AO256" s="114">
        <f>IFERROR(INDEX(база!$D$2:$D$120, MATCH(Таблица14[[#This Row],[Ф. И. О.]],база!$B$2:$B$100,0)),"")</f>
        <v>0</v>
      </c>
    </row>
    <row r="257" spans="1:41">
      <c r="A257" s="192"/>
      <c r="B257" s="189"/>
      <c r="C257" s="544"/>
      <c r="D257" s="199"/>
      <c r="E257" s="226"/>
      <c r="F257" s="679"/>
      <c r="G257" s="191"/>
      <c r="H257" s="200"/>
      <c r="I257" s="200"/>
      <c r="J257" s="200"/>
      <c r="K257" s="200"/>
      <c r="L257" s="200"/>
      <c r="M257" s="200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200"/>
      <c r="Y257" s="200"/>
      <c r="Z257" s="200"/>
      <c r="AA257" s="200"/>
      <c r="AB257" s="200"/>
      <c r="AC257" s="200"/>
      <c r="AD257" s="200"/>
      <c r="AE257" s="200"/>
      <c r="AF257" s="200"/>
      <c r="AG257" s="200"/>
      <c r="AH257" s="200"/>
      <c r="AI257" s="200"/>
      <c r="AJ257" s="200"/>
      <c r="AK257" s="200"/>
      <c r="AL257" s="200"/>
      <c r="AM257" s="113">
        <f t="shared" si="3"/>
        <v>0</v>
      </c>
      <c r="AN257" s="540">
        <f>IF(AO257&lt;=3,(IF(AND(G257="5/24",AM257&gt;2),(AM257*2*база!$M$6*Таблица14[[#This Row],[коэф]]),
IF(AND(G257="4/24",AM257&gt;2),(AM257*2*база!$M$5*Таблица14[[#This Row],[коэф]]),
IF(AND(G257="3/24",AM257&gt;2),(AM257*2*база!$M$4*Таблица14[[#This Row],[коэф]]),
IF(AND(G257="5/16",AM257&gt;2),(AM257*2*база!$L$6*Таблица14[[#This Row],[коэф]]),
IF(AND(G257="4/16",AM257&gt;2),(AM257*2*база!$L$5*Таблица14[[#This Row],[коэф]]),
IF(AND(G257="3/16",AM257&gt;2),(AM257*2*база!$L$4*Таблица14[[#This Row],[коэф]]),
IF(AND(G257="4/4",AM257&gt;2),(AM257*2*база!$I$5*Таблица14[[#This Row],[коэф]]),
IF(AND(G257="3/4",AM257&gt;2),(AM257*2*база!$I$4*Таблица14[[#This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(AM257*2*база!$L$4*Таблица14[[#This Row],[коэф]]))))))))))))),
(IF(AND(G257="5/24",AM257&gt;2),(AM257*2*база!$M$6*Таблица14[[#This Row],[коэф]]),
IF(OR(AND(G257="4/24",AM257&gt;2),AND(G257="3/24",AM257&gt;2)),(AM257*2*база!$M$5*Таблица14[[#This Row],[коэф]]),
IF(AND(G257="5/16",AM257&gt;2),(AM257*2*база!$L$6*Таблица14[[#This Row],[коэф]]),
IF(OR(AND(G257="4/16",AM257&gt;2),AND(G257="3/16",AM257&gt;2)),(AM257*2*база!$L$5*Таблица14[[#This Row],[коэф]]),
IF(OR(AND(G257="4/4",AM257&gt;2),AND(G257="3/4",AM257&gt;2)),(AM257*2*база!$I$5*Таблица14[[#This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(AM257*2*база!$L$5*Таблица14[[#This Row],[коэф]])))))))))))</f>
        <v>0</v>
      </c>
      <c r="AO257" s="114">
        <f>IFERROR(INDEX(база!$D$2:$D$120, MATCH(Таблица14[[#This Row],[Ф. И. О.]],база!$B$2:$B$100,0)),"")</f>
        <v>0</v>
      </c>
    </row>
    <row r="258" spans="1:41">
      <c r="A258" s="192"/>
      <c r="B258" s="223"/>
      <c r="C258" s="544"/>
      <c r="D258" s="199"/>
      <c r="E258" s="224"/>
      <c r="F258" s="679"/>
      <c r="G258" s="225"/>
      <c r="H258" s="200"/>
      <c r="I258" s="200"/>
      <c r="J258" s="200"/>
      <c r="K258" s="200"/>
      <c r="L258" s="200"/>
      <c r="M258" s="200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200"/>
      <c r="Y258" s="200"/>
      <c r="Z258" s="200"/>
      <c r="AA258" s="200"/>
      <c r="AB258" s="200"/>
      <c r="AC258" s="200"/>
      <c r="AD258" s="200"/>
      <c r="AE258" s="200"/>
      <c r="AF258" s="200"/>
      <c r="AG258" s="200"/>
      <c r="AH258" s="200"/>
      <c r="AI258" s="200"/>
      <c r="AJ258" s="200"/>
      <c r="AK258" s="200"/>
      <c r="AL258" s="200"/>
      <c r="AM258" s="113">
        <f t="shared" si="3"/>
        <v>0</v>
      </c>
      <c r="AN258" s="540">
        <f>IF(AO258&lt;=3,(IF(AND(G258="5/24",AM258&gt;2),(AM258*2*база!$M$6*Таблица14[[#This Row],[коэф]]),
IF(AND(G258="4/24",AM258&gt;2),(AM258*2*база!$M$5*Таблица14[[#This Row],[коэф]]),
IF(AND(G258="3/24",AM258&gt;2),(AM258*2*база!$M$4*Таблица14[[#This Row],[коэф]]),
IF(AND(G258="5/16",AM258&gt;2),(AM258*2*база!$L$6*Таблица14[[#This Row],[коэф]]),
IF(AND(G258="4/16",AM258&gt;2),(AM258*2*база!$L$5*Таблица14[[#This Row],[коэф]]),
IF(AND(G258="3/16",AM258&gt;2),(AM258*2*база!$L$4*Таблица14[[#This Row],[коэф]]),
IF(AND(G258="4/4",AM258&gt;2),(AM258*2*база!$I$5*Таблица14[[#This Row],[коэф]]),
IF(AND(G258="3/4",AM258&gt;2),(AM258*2*база!$I$4*Таблица14[[#This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(AM258*2*база!$L$4*Таблица14[[#This Row],[коэф]]))))))))))))),
(IF(AND(G258="5/24",AM258&gt;2),(AM258*2*база!$M$6*Таблица14[[#This Row],[коэф]]),
IF(OR(AND(G258="4/24",AM258&gt;2),AND(G258="3/24",AM258&gt;2)),(AM258*2*база!$M$5*Таблица14[[#This Row],[коэф]]),
IF(AND(G258="5/16",AM258&gt;2),(AM258*2*база!$L$6*Таблица14[[#This Row],[коэф]]),
IF(OR(AND(G258="4/16",AM258&gt;2),AND(G258="3/16",AM258&gt;2)),(AM258*2*база!$L$5*Таблица14[[#This Row],[коэф]]),
IF(OR(AND(G258="4/4",AM258&gt;2),AND(G258="3/4",AM258&gt;2)),(AM258*2*база!$I$5*Таблица14[[#This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(AM258*2*база!$L$5*Таблица14[[#This Row],[коэф]])))))))))))</f>
        <v>0</v>
      </c>
      <c r="AO258" s="114">
        <f>IFERROR(INDEX(база!$D$2:$D$120, MATCH(Таблица14[[#This Row],[Ф. И. О.]],база!$B$2:$B$100,0)),"")</f>
        <v>0</v>
      </c>
    </row>
    <row r="259" spans="1:41">
      <c r="A259" s="192"/>
      <c r="B259" s="189"/>
      <c r="C259" s="544"/>
      <c r="D259" s="199"/>
      <c r="E259" s="226"/>
      <c r="F259" s="679"/>
      <c r="G259" s="191"/>
      <c r="H259" s="200"/>
      <c r="I259" s="200"/>
      <c r="J259" s="200"/>
      <c r="K259" s="200"/>
      <c r="L259" s="200"/>
      <c r="M259" s="200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200"/>
      <c r="Y259" s="200"/>
      <c r="Z259" s="200"/>
      <c r="AA259" s="200"/>
      <c r="AB259" s="200"/>
      <c r="AC259" s="200"/>
      <c r="AD259" s="200"/>
      <c r="AE259" s="200"/>
      <c r="AF259" s="200"/>
      <c r="AG259" s="200"/>
      <c r="AH259" s="200"/>
      <c r="AI259" s="200"/>
      <c r="AJ259" s="200"/>
      <c r="AK259" s="200"/>
      <c r="AL259" s="200"/>
      <c r="AM259" s="113">
        <f t="shared" si="3"/>
        <v>0</v>
      </c>
      <c r="AN259" s="540">
        <f>IF(AO259&lt;=3,(IF(AND(G259="5/24",AM259&gt;2),(AM259*2*база!$M$6*Таблица14[[#This Row],[коэф]]),
IF(AND(G259="4/24",AM259&gt;2),(AM259*2*база!$M$5*Таблица14[[#This Row],[коэф]]),
IF(AND(G259="3/24",AM259&gt;2),(AM259*2*база!$M$4*Таблица14[[#This Row],[коэф]]),
IF(AND(G259="5/16",AM259&gt;2),(AM259*2*база!$L$6*Таблица14[[#This Row],[коэф]]),
IF(AND(G259="4/16",AM259&gt;2),(AM259*2*база!$L$5*Таблица14[[#This Row],[коэф]]),
IF(AND(G259="3/16",AM259&gt;2),(AM259*2*база!$L$4*Таблица14[[#This Row],[коэф]]),
IF(AND(G259="4/4",AM259&gt;2),(AM259*2*база!$I$5*Таблица14[[#This Row],[коэф]]),
IF(AND(G259="3/4",AM259&gt;2),(AM259*2*база!$I$4*Таблица14[[#This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(AM259*2*база!$L$4*Таблица14[[#This Row],[коэф]]))))))))))))),
(IF(AND(G259="5/24",AM259&gt;2),(AM259*2*база!$M$6*Таблица14[[#This Row],[коэф]]),
IF(OR(AND(G259="4/24",AM259&gt;2),AND(G259="3/24",AM259&gt;2)),(AM259*2*база!$M$5*Таблица14[[#This Row],[коэф]]),
IF(AND(G259="5/16",AM259&gt;2),(AM259*2*база!$L$6*Таблица14[[#This Row],[коэф]]),
IF(OR(AND(G259="4/16",AM259&gt;2),AND(G259="3/16",AM259&gt;2)),(AM259*2*база!$L$5*Таблица14[[#This Row],[коэф]]),
IF(OR(AND(G259="4/4",AM259&gt;2),AND(G259="3/4",AM259&gt;2)),(AM259*2*база!$I$5*Таблица14[[#This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(AM259*2*база!$L$5*Таблица14[[#This Row],[коэф]])))))))))))</f>
        <v>0</v>
      </c>
      <c r="AO259" s="114">
        <f>IFERROR(INDEX(база!$D$2:$D$120, MATCH(Таблица14[[#This Row],[Ф. И. О.]],база!$B$2:$B$100,0)),"")</f>
        <v>0</v>
      </c>
    </row>
    <row r="260" spans="1:41">
      <c r="A260" s="192"/>
      <c r="B260" s="223"/>
      <c r="C260" s="544"/>
      <c r="D260" s="199"/>
      <c r="E260" s="224"/>
      <c r="F260" s="679"/>
      <c r="G260" s="225"/>
      <c r="H260" s="200"/>
      <c r="I260" s="200"/>
      <c r="J260" s="200"/>
      <c r="K260" s="200"/>
      <c r="L260" s="200"/>
      <c r="M260" s="200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200"/>
      <c r="Y260" s="200"/>
      <c r="Z260" s="200"/>
      <c r="AA260" s="200"/>
      <c r="AB260" s="200"/>
      <c r="AC260" s="200"/>
      <c r="AD260" s="200"/>
      <c r="AE260" s="200"/>
      <c r="AF260" s="200"/>
      <c r="AG260" s="200"/>
      <c r="AH260" s="200"/>
      <c r="AI260" s="200"/>
      <c r="AJ260" s="200"/>
      <c r="AK260" s="200"/>
      <c r="AL260" s="200"/>
      <c r="AM260" s="113">
        <f t="shared" ref="AM260:AM323" si="4">SUM(H260:AL260)</f>
        <v>0</v>
      </c>
      <c r="AN260" s="540">
        <f>IF(AO260&lt;=3,(IF(AND(G260="5/24",AM260&gt;2),(AM260*2*база!$M$6*Таблица14[[#This Row],[коэф]]),
IF(AND(G260="4/24",AM260&gt;2),(AM260*2*база!$M$5*Таблица14[[#This Row],[коэф]]),
IF(AND(G260="3/24",AM260&gt;2),(AM260*2*база!$M$4*Таблица14[[#This Row],[коэф]]),
IF(AND(G260="5/16",AM260&gt;2),(AM260*2*база!$L$6*Таблица14[[#This Row],[коэф]]),
IF(AND(G260="4/16",AM260&gt;2),(AM260*2*база!$L$5*Таблица14[[#This Row],[коэф]]),
IF(AND(G260="3/16",AM260&gt;2),(AM260*2*база!$L$4*Таблица14[[#This Row],[коэф]]),
IF(AND(G260="4/4",AM260&gt;2),(AM260*2*база!$I$5*Таблица14[[#This Row],[коэф]]),
IF(AND(G260="3/4",AM260&gt;2),(AM260*2*база!$I$4*Таблица14[[#This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(AM260*2*база!$L$4*Таблица14[[#This Row],[коэф]]))))))))))))),
(IF(AND(G260="5/24",AM260&gt;2),(AM260*2*база!$M$6*Таблица14[[#This Row],[коэф]]),
IF(OR(AND(G260="4/24",AM260&gt;2),AND(G260="3/24",AM260&gt;2)),(AM260*2*база!$M$5*Таблица14[[#This Row],[коэф]]),
IF(AND(G260="5/16",AM260&gt;2),(AM260*2*база!$L$6*Таблица14[[#This Row],[коэф]]),
IF(OR(AND(G260="4/16",AM260&gt;2),AND(G260="3/16",AM260&gt;2)),(AM260*2*база!$L$5*Таблица14[[#This Row],[коэф]]),
IF(OR(AND(G260="4/4",AM260&gt;2),AND(G260="3/4",AM260&gt;2)),(AM260*2*база!$I$5*Таблица14[[#This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(AM260*2*база!$L$5*Таблица14[[#This Row],[коэф]])))))))))))</f>
        <v>0</v>
      </c>
      <c r="AO260" s="114">
        <f>IFERROR(INDEX(база!$D$2:$D$120, MATCH(Таблица14[[#This Row],[Ф. И. О.]],база!$B$2:$B$100,0)),"")</f>
        <v>0</v>
      </c>
    </row>
    <row r="261" spans="1:41">
      <c r="A261" s="192"/>
      <c r="B261" s="189"/>
      <c r="C261" s="544"/>
      <c r="D261" s="199"/>
      <c r="E261" s="226"/>
      <c r="F261" s="679"/>
      <c r="G261" s="191"/>
      <c r="H261" s="200"/>
      <c r="I261" s="200"/>
      <c r="J261" s="200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200"/>
      <c r="Y261" s="200"/>
      <c r="Z261" s="200"/>
      <c r="AA261" s="200"/>
      <c r="AB261" s="200"/>
      <c r="AC261" s="200"/>
      <c r="AD261" s="200"/>
      <c r="AE261" s="200"/>
      <c r="AF261" s="200"/>
      <c r="AG261" s="200"/>
      <c r="AH261" s="200"/>
      <c r="AI261" s="200"/>
      <c r="AJ261" s="200"/>
      <c r="AK261" s="200"/>
      <c r="AL261" s="200"/>
      <c r="AM261" s="113">
        <f t="shared" si="4"/>
        <v>0</v>
      </c>
      <c r="AN261" s="540">
        <f>IF(AO261&lt;=3,(IF(AND(G261="5/24",AM261&gt;2),(AM261*2*база!$M$6*Таблица14[[#This Row],[коэф]]),
IF(AND(G261="4/24",AM261&gt;2),(AM261*2*база!$M$5*Таблица14[[#This Row],[коэф]]),
IF(AND(G261="3/24",AM261&gt;2),(AM261*2*база!$M$4*Таблица14[[#This Row],[коэф]]),
IF(AND(G261="5/16",AM261&gt;2),(AM261*2*база!$L$6*Таблица14[[#This Row],[коэф]]),
IF(AND(G261="4/16",AM261&gt;2),(AM261*2*база!$L$5*Таблица14[[#This Row],[коэф]]),
IF(AND(G261="3/16",AM261&gt;2),(AM261*2*база!$L$4*Таблица14[[#This Row],[коэф]]),
IF(AND(G261="4/4",AM261&gt;2),(AM261*2*база!$I$5*Таблица14[[#This Row],[коэф]]),
IF(AND(G261="3/4",AM261&gt;2),(AM261*2*база!$I$4*Таблица14[[#This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(AM261*2*база!$L$4*Таблица14[[#This Row],[коэф]]))))))))))))),
(IF(AND(G261="5/24",AM261&gt;2),(AM261*2*база!$M$6*Таблица14[[#This Row],[коэф]]),
IF(OR(AND(G261="4/24",AM261&gt;2),AND(G261="3/24",AM261&gt;2)),(AM261*2*база!$M$5*Таблица14[[#This Row],[коэф]]),
IF(AND(G261="5/16",AM261&gt;2),(AM261*2*база!$L$6*Таблица14[[#This Row],[коэф]]),
IF(OR(AND(G261="4/16",AM261&gt;2),AND(G261="3/16",AM261&gt;2)),(AM261*2*база!$L$5*Таблица14[[#This Row],[коэф]]),
IF(OR(AND(G261="4/4",AM261&gt;2),AND(G261="3/4",AM261&gt;2)),(AM261*2*база!$I$5*Таблица14[[#This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(AM261*2*база!$L$5*Таблица14[[#This Row],[коэф]])))))))))))</f>
        <v>0</v>
      </c>
      <c r="AO261" s="114">
        <f>IFERROR(INDEX(база!$D$2:$D$120, MATCH(Таблица14[[#This Row],[Ф. И. О.]],база!$B$2:$B$100,0)),"")</f>
        <v>0</v>
      </c>
    </row>
    <row r="262" spans="1:41">
      <c r="A262" s="192"/>
      <c r="B262" s="223"/>
      <c r="C262" s="544"/>
      <c r="D262" s="199"/>
      <c r="E262" s="224"/>
      <c r="F262" s="679"/>
      <c r="G262" s="225"/>
      <c r="H262" s="200"/>
      <c r="I262" s="200"/>
      <c r="J262" s="200"/>
      <c r="K262" s="200"/>
      <c r="L262" s="200"/>
      <c r="M262" s="200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200"/>
      <c r="Y262" s="200"/>
      <c r="Z262" s="200"/>
      <c r="AA262" s="200"/>
      <c r="AB262" s="200"/>
      <c r="AC262" s="200"/>
      <c r="AD262" s="200"/>
      <c r="AE262" s="200"/>
      <c r="AF262" s="200"/>
      <c r="AG262" s="200"/>
      <c r="AH262" s="200"/>
      <c r="AI262" s="200"/>
      <c r="AJ262" s="200"/>
      <c r="AK262" s="200"/>
      <c r="AL262" s="200"/>
      <c r="AM262" s="113">
        <f t="shared" si="4"/>
        <v>0</v>
      </c>
      <c r="AN262" s="540">
        <f>IF(AO262&lt;=3,(IF(AND(G262="5/24",AM262&gt;2),(AM262*2*база!$M$6*Таблица14[[#This Row],[коэф]]),
IF(AND(G262="4/24",AM262&gt;2),(AM262*2*база!$M$5*Таблица14[[#This Row],[коэф]]),
IF(AND(G262="3/24",AM262&gt;2),(AM262*2*база!$M$4*Таблица14[[#This Row],[коэф]]),
IF(AND(G262="5/16",AM262&gt;2),(AM262*2*база!$L$6*Таблица14[[#This Row],[коэф]]),
IF(AND(G262="4/16",AM262&gt;2),(AM262*2*база!$L$5*Таблица14[[#This Row],[коэф]]),
IF(AND(G262="3/16",AM262&gt;2),(AM262*2*база!$L$4*Таблица14[[#This Row],[коэф]]),
IF(AND(G262="4/4",AM262&gt;2),(AM262*2*база!$I$5*Таблица14[[#This Row],[коэф]]),
IF(AND(G262="3/4",AM262&gt;2),(AM262*2*база!$I$4*Таблица14[[#This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(AM262*2*база!$L$4*Таблица14[[#This Row],[коэф]]))))))))))))),
(IF(AND(G262="5/24",AM262&gt;2),(AM262*2*база!$M$6*Таблица14[[#This Row],[коэф]]),
IF(OR(AND(G262="4/24",AM262&gt;2),AND(G262="3/24",AM262&gt;2)),(AM262*2*база!$M$5*Таблица14[[#This Row],[коэф]]),
IF(AND(G262="5/16",AM262&gt;2),(AM262*2*база!$L$6*Таблица14[[#This Row],[коэф]]),
IF(OR(AND(G262="4/16",AM262&gt;2),AND(G262="3/16",AM262&gt;2)),(AM262*2*база!$L$5*Таблица14[[#This Row],[коэф]]),
IF(OR(AND(G262="4/4",AM262&gt;2),AND(G262="3/4",AM262&gt;2)),(AM262*2*база!$I$5*Таблица14[[#This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(AM262*2*база!$L$5*Таблица14[[#This Row],[коэф]])))))))))))</f>
        <v>0</v>
      </c>
      <c r="AO262" s="114">
        <f>IFERROR(INDEX(база!$D$2:$D$120, MATCH(Таблица14[[#This Row],[Ф. И. О.]],база!$B$2:$B$100,0)),"")</f>
        <v>0</v>
      </c>
    </row>
    <row r="263" spans="1:41">
      <c r="A263" s="192"/>
      <c r="B263" s="189"/>
      <c r="C263" s="544"/>
      <c r="D263" s="199"/>
      <c r="E263" s="226"/>
      <c r="F263" s="679"/>
      <c r="G263" s="191"/>
      <c r="H263" s="200"/>
      <c r="I263" s="200"/>
      <c r="J263" s="200"/>
      <c r="K263" s="200"/>
      <c r="L263" s="200"/>
      <c r="M263" s="200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200"/>
      <c r="Y263" s="200"/>
      <c r="Z263" s="200"/>
      <c r="AA263" s="200"/>
      <c r="AB263" s="200"/>
      <c r="AC263" s="200"/>
      <c r="AD263" s="200"/>
      <c r="AE263" s="200"/>
      <c r="AF263" s="200"/>
      <c r="AG263" s="200"/>
      <c r="AH263" s="200"/>
      <c r="AI263" s="200"/>
      <c r="AJ263" s="200"/>
      <c r="AK263" s="200"/>
      <c r="AL263" s="200"/>
      <c r="AM263" s="113">
        <f t="shared" si="4"/>
        <v>0</v>
      </c>
      <c r="AN263" s="540">
        <f>IF(AO263&lt;=3,(IF(AND(G263="5/24",AM263&gt;2),(AM263*2*база!$M$6*Таблица14[[#This Row],[коэф]]),
IF(AND(G263="4/24",AM263&gt;2),(AM263*2*база!$M$5*Таблица14[[#This Row],[коэф]]),
IF(AND(G263="3/24",AM263&gt;2),(AM263*2*база!$M$4*Таблица14[[#This Row],[коэф]]),
IF(AND(G263="5/16",AM263&gt;2),(AM263*2*база!$L$6*Таблица14[[#This Row],[коэф]]),
IF(AND(G263="4/16",AM263&gt;2),(AM263*2*база!$L$5*Таблица14[[#This Row],[коэф]]),
IF(AND(G263="3/16",AM263&gt;2),(AM263*2*база!$L$4*Таблица14[[#This Row],[коэф]]),
IF(AND(G263="4/4",AM263&gt;2),(AM263*2*база!$I$5*Таблица14[[#This Row],[коэф]]),
IF(AND(G263="3/4",AM263&gt;2),(AM263*2*база!$I$4*Таблица14[[#This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(AM263*2*база!$L$4*Таблица14[[#This Row],[коэф]]))))))))))))),
(IF(AND(G263="5/24",AM263&gt;2),(AM263*2*база!$M$6*Таблица14[[#This Row],[коэф]]),
IF(OR(AND(G263="4/24",AM263&gt;2),AND(G263="3/24",AM263&gt;2)),(AM263*2*база!$M$5*Таблица14[[#This Row],[коэф]]),
IF(AND(G263="5/16",AM263&gt;2),(AM263*2*база!$L$6*Таблица14[[#This Row],[коэф]]),
IF(OR(AND(G263="4/16",AM263&gt;2),AND(G263="3/16",AM263&gt;2)),(AM263*2*база!$L$5*Таблица14[[#This Row],[коэф]]),
IF(OR(AND(G263="4/4",AM263&gt;2),AND(G263="3/4",AM263&gt;2)),(AM263*2*база!$I$5*Таблица14[[#This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(AM263*2*база!$L$5*Таблица14[[#This Row],[коэф]])))))))))))</f>
        <v>0</v>
      </c>
      <c r="AO263" s="114">
        <f>IFERROR(INDEX(база!$D$2:$D$120, MATCH(Таблица14[[#This Row],[Ф. И. О.]],база!$B$2:$B$100,0)),"")</f>
        <v>0</v>
      </c>
    </row>
    <row r="264" spans="1:41">
      <c r="A264" s="192"/>
      <c r="B264" s="223"/>
      <c r="C264" s="544"/>
      <c r="D264" s="199"/>
      <c r="E264" s="224"/>
      <c r="F264" s="679"/>
      <c r="G264" s="225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  <c r="AA264" s="200"/>
      <c r="AB264" s="200"/>
      <c r="AC264" s="200"/>
      <c r="AD264" s="200"/>
      <c r="AE264" s="200"/>
      <c r="AF264" s="200"/>
      <c r="AG264" s="200"/>
      <c r="AH264" s="200"/>
      <c r="AI264" s="200"/>
      <c r="AJ264" s="200"/>
      <c r="AK264" s="200"/>
      <c r="AL264" s="200"/>
      <c r="AM264" s="113">
        <f t="shared" si="4"/>
        <v>0</v>
      </c>
      <c r="AN264" s="540">
        <f>IF(AO264&lt;=3,(IF(AND(G264="5/24",AM264&gt;2),(AM264*2*база!$M$6*Таблица14[[#This Row],[коэф]]),
IF(AND(G264="4/24",AM264&gt;2),(AM264*2*база!$M$5*Таблица14[[#This Row],[коэф]]),
IF(AND(G264="3/24",AM264&gt;2),(AM264*2*база!$M$4*Таблица14[[#This Row],[коэф]]),
IF(AND(G264="5/16",AM264&gt;2),(AM264*2*база!$L$6*Таблица14[[#This Row],[коэф]]),
IF(AND(G264="4/16",AM264&gt;2),(AM264*2*база!$L$5*Таблица14[[#This Row],[коэф]]),
IF(AND(G264="3/16",AM264&gt;2),(AM264*2*база!$L$4*Таблица14[[#This Row],[коэф]]),
IF(AND(G264="4/4",AM264&gt;2),(AM264*2*база!$I$5*Таблица14[[#This Row],[коэф]]),
IF(AND(G264="3/4",AM264&gt;2),(AM264*2*база!$I$4*Таблица14[[#This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(AM264*2*база!$L$4*Таблица14[[#This Row],[коэф]]))))))))))))),
(IF(AND(G264="5/24",AM264&gt;2),(AM264*2*база!$M$6*Таблица14[[#This Row],[коэф]]),
IF(OR(AND(G264="4/24",AM264&gt;2),AND(G264="3/24",AM264&gt;2)),(AM264*2*база!$M$5*Таблица14[[#This Row],[коэф]]),
IF(AND(G264="5/16",AM264&gt;2),(AM264*2*база!$L$6*Таблица14[[#This Row],[коэф]]),
IF(OR(AND(G264="4/16",AM264&gt;2),AND(G264="3/16",AM264&gt;2)),(AM264*2*база!$L$5*Таблица14[[#This Row],[коэф]]),
IF(OR(AND(G264="4/4",AM264&gt;2),AND(G264="3/4",AM264&gt;2)),(AM264*2*база!$I$5*Таблица14[[#This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(AM264*2*база!$L$5*Таблица14[[#This Row],[коэф]])))))))))))</f>
        <v>0</v>
      </c>
      <c r="AO264" s="114">
        <f>IFERROR(INDEX(база!$D$2:$D$120, MATCH(Таблица14[[#This Row],[Ф. И. О.]],база!$B$2:$B$100,0)),"")</f>
        <v>0</v>
      </c>
    </row>
    <row r="265" spans="1:41">
      <c r="A265" s="192"/>
      <c r="B265" s="189"/>
      <c r="C265" s="544"/>
      <c r="D265" s="199"/>
      <c r="E265" s="226"/>
      <c r="F265" s="679"/>
      <c r="G265" s="191"/>
      <c r="H265" s="200"/>
      <c r="I265" s="200"/>
      <c r="J265" s="200"/>
      <c r="K265" s="200"/>
      <c r="L265" s="200"/>
      <c r="M265" s="200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200"/>
      <c r="Y265" s="200"/>
      <c r="Z265" s="200"/>
      <c r="AA265" s="200"/>
      <c r="AB265" s="200"/>
      <c r="AC265" s="200"/>
      <c r="AD265" s="200"/>
      <c r="AE265" s="200"/>
      <c r="AF265" s="200"/>
      <c r="AG265" s="200"/>
      <c r="AH265" s="200"/>
      <c r="AI265" s="200"/>
      <c r="AJ265" s="200"/>
      <c r="AK265" s="200"/>
      <c r="AL265" s="200"/>
      <c r="AM265" s="113">
        <f t="shared" si="4"/>
        <v>0</v>
      </c>
      <c r="AN265" s="540">
        <f>IF(AO265&lt;=3,(IF(AND(G265="5/24",AM265&gt;2),(AM265*2*база!$M$6*Таблица14[[#This Row],[коэф]]),
IF(AND(G265="4/24",AM265&gt;2),(AM265*2*база!$M$5*Таблица14[[#This Row],[коэф]]),
IF(AND(G265="3/24",AM265&gt;2),(AM265*2*база!$M$4*Таблица14[[#This Row],[коэф]]),
IF(AND(G265="5/16",AM265&gt;2),(AM265*2*база!$L$6*Таблица14[[#This Row],[коэф]]),
IF(AND(G265="4/16",AM265&gt;2),(AM265*2*база!$L$5*Таблица14[[#This Row],[коэф]]),
IF(AND(G265="3/16",AM265&gt;2),(AM265*2*база!$L$4*Таблица14[[#This Row],[коэф]]),
IF(AND(G265="4/4",AM265&gt;2),(AM265*2*база!$I$5*Таблица14[[#This Row],[коэф]]),
IF(AND(G265="3/4",AM265&gt;2),(AM265*2*база!$I$4*Таблица14[[#This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(AM265*2*база!$L$4*Таблица14[[#This Row],[коэф]]))))))))))))),
(IF(AND(G265="5/24",AM265&gt;2),(AM265*2*база!$M$6*Таблица14[[#This Row],[коэф]]),
IF(OR(AND(G265="4/24",AM265&gt;2),AND(G265="3/24",AM265&gt;2)),(AM265*2*база!$M$5*Таблица14[[#This Row],[коэф]]),
IF(AND(G265="5/16",AM265&gt;2),(AM265*2*база!$L$6*Таблица14[[#This Row],[коэф]]),
IF(OR(AND(G265="4/16",AM265&gt;2),AND(G265="3/16",AM265&gt;2)),(AM265*2*база!$L$5*Таблица14[[#This Row],[коэф]]),
IF(OR(AND(G265="4/4",AM265&gt;2),AND(G265="3/4",AM265&gt;2)),(AM265*2*база!$I$5*Таблица14[[#This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(AM265*2*база!$L$5*Таблица14[[#This Row],[коэф]])))))))))))</f>
        <v>0</v>
      </c>
      <c r="AO265" s="114">
        <f>IFERROR(INDEX(база!$D$2:$D$120, MATCH(Таблица14[[#This Row],[Ф. И. О.]],база!$B$2:$B$100,0)),"")</f>
        <v>0</v>
      </c>
    </row>
    <row r="266" spans="1:41">
      <c r="A266" s="192"/>
      <c r="B266" s="223"/>
      <c r="C266" s="544"/>
      <c r="D266" s="199"/>
      <c r="E266" s="224"/>
      <c r="F266" s="679"/>
      <c r="G266" s="225"/>
      <c r="H266" s="200"/>
      <c r="I266" s="200"/>
      <c r="J266" s="200"/>
      <c r="K266" s="200"/>
      <c r="L266" s="200"/>
      <c r="M266" s="200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200"/>
      <c r="Y266" s="200"/>
      <c r="Z266" s="200"/>
      <c r="AA266" s="200"/>
      <c r="AB266" s="200"/>
      <c r="AC266" s="200"/>
      <c r="AD266" s="200"/>
      <c r="AE266" s="200"/>
      <c r="AF266" s="200"/>
      <c r="AG266" s="200"/>
      <c r="AH266" s="200"/>
      <c r="AI266" s="200"/>
      <c r="AJ266" s="200"/>
      <c r="AK266" s="200"/>
      <c r="AL266" s="200"/>
      <c r="AM266" s="113">
        <f t="shared" si="4"/>
        <v>0</v>
      </c>
      <c r="AN266" s="540">
        <f>IF(AO266&lt;=3,(IF(AND(G266="5/24",AM266&gt;2),(AM266*2*база!$M$6*Таблица14[[#This Row],[коэф]]),
IF(AND(G266="4/24",AM266&gt;2),(AM266*2*база!$M$5*Таблица14[[#This Row],[коэф]]),
IF(AND(G266="3/24",AM266&gt;2),(AM266*2*база!$M$4*Таблица14[[#This Row],[коэф]]),
IF(AND(G266="5/16",AM266&gt;2),(AM266*2*база!$L$6*Таблица14[[#This Row],[коэф]]),
IF(AND(G266="4/16",AM266&gt;2),(AM266*2*база!$L$5*Таблица14[[#This Row],[коэф]]),
IF(AND(G266="3/16",AM266&gt;2),(AM266*2*база!$L$4*Таблица14[[#This Row],[коэф]]),
IF(AND(G266="4/4",AM266&gt;2),(AM266*2*база!$I$5*Таблица14[[#This Row],[коэф]]),
IF(AND(G266="3/4",AM266&gt;2),(AM266*2*база!$I$4*Таблица14[[#This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(AM266*2*база!$L$4*Таблица14[[#This Row],[коэф]]))))))))))))),
(IF(AND(G266="5/24",AM266&gt;2),(AM266*2*база!$M$6*Таблица14[[#This Row],[коэф]]),
IF(OR(AND(G266="4/24",AM266&gt;2),AND(G266="3/24",AM266&gt;2)),(AM266*2*база!$M$5*Таблица14[[#This Row],[коэф]]),
IF(AND(G266="5/16",AM266&gt;2),(AM266*2*база!$L$6*Таблица14[[#This Row],[коэф]]),
IF(OR(AND(G266="4/16",AM266&gt;2),AND(G266="3/16",AM266&gt;2)),(AM266*2*база!$L$5*Таблица14[[#This Row],[коэф]]),
IF(OR(AND(G266="4/4",AM266&gt;2),AND(G266="3/4",AM266&gt;2)),(AM266*2*база!$I$5*Таблица14[[#This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(AM266*2*база!$L$5*Таблица14[[#This Row],[коэф]])))))))))))</f>
        <v>0</v>
      </c>
      <c r="AO266" s="114">
        <f>IFERROR(INDEX(база!$D$2:$D$120, MATCH(Таблица14[[#This Row],[Ф. И. О.]],база!$B$2:$B$100,0)),"")</f>
        <v>0</v>
      </c>
    </row>
    <row r="267" spans="1:41">
      <c r="A267" s="192"/>
      <c r="B267" s="189"/>
      <c r="C267" s="544"/>
      <c r="D267" s="199"/>
      <c r="E267" s="226"/>
      <c r="F267" s="679"/>
      <c r="G267" s="191"/>
      <c r="H267" s="200"/>
      <c r="I267" s="200"/>
      <c r="J267" s="200"/>
      <c r="K267" s="200"/>
      <c r="L267" s="200"/>
      <c r="M267" s="200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200"/>
      <c r="Y267" s="200"/>
      <c r="Z267" s="200"/>
      <c r="AA267" s="200"/>
      <c r="AB267" s="200"/>
      <c r="AC267" s="200"/>
      <c r="AD267" s="200"/>
      <c r="AE267" s="200"/>
      <c r="AF267" s="200"/>
      <c r="AG267" s="200"/>
      <c r="AH267" s="200"/>
      <c r="AI267" s="200"/>
      <c r="AJ267" s="200"/>
      <c r="AK267" s="200"/>
      <c r="AL267" s="200"/>
      <c r="AM267" s="113">
        <f t="shared" si="4"/>
        <v>0</v>
      </c>
      <c r="AN267" s="540">
        <f>IF(AO267&lt;=3,(IF(AND(G267="5/24",AM267&gt;2),(AM267*2*база!$M$6*Таблица14[[#This Row],[коэф]]),
IF(AND(G267="4/24",AM267&gt;2),(AM267*2*база!$M$5*Таблица14[[#This Row],[коэф]]),
IF(AND(G267="3/24",AM267&gt;2),(AM267*2*база!$M$4*Таблица14[[#This Row],[коэф]]),
IF(AND(G267="5/16",AM267&gt;2),(AM267*2*база!$L$6*Таблица14[[#This Row],[коэф]]),
IF(AND(G267="4/16",AM267&gt;2),(AM267*2*база!$L$5*Таблица14[[#This Row],[коэф]]),
IF(AND(G267="3/16",AM267&gt;2),(AM267*2*база!$L$4*Таблица14[[#This Row],[коэф]]),
IF(AND(G267="4/4",AM267&gt;2),(AM267*2*база!$I$5*Таблица14[[#This Row],[коэф]]),
IF(AND(G267="3/4",AM267&gt;2),(AM267*2*база!$I$4*Таблица14[[#This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(AM267*2*база!$L$4*Таблица14[[#This Row],[коэф]]))))))))))))),
(IF(AND(G267="5/24",AM267&gt;2),(AM267*2*база!$M$6*Таблица14[[#This Row],[коэф]]),
IF(OR(AND(G267="4/24",AM267&gt;2),AND(G267="3/24",AM267&gt;2)),(AM267*2*база!$M$5*Таблица14[[#This Row],[коэф]]),
IF(AND(G267="5/16",AM267&gt;2),(AM267*2*база!$L$6*Таблица14[[#This Row],[коэф]]),
IF(OR(AND(G267="4/16",AM267&gt;2),AND(G267="3/16",AM267&gt;2)),(AM267*2*база!$L$5*Таблица14[[#This Row],[коэф]]),
IF(OR(AND(G267="4/4",AM267&gt;2),AND(G267="3/4",AM267&gt;2)),(AM267*2*база!$I$5*Таблица14[[#This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(AM267*2*база!$L$5*Таблица14[[#This Row],[коэф]])))))))))))</f>
        <v>0</v>
      </c>
      <c r="AO267" s="114">
        <f>IFERROR(INDEX(база!$D$2:$D$120, MATCH(Таблица14[[#This Row],[Ф. И. О.]],база!$B$2:$B$100,0)),"")</f>
        <v>0</v>
      </c>
    </row>
    <row r="268" spans="1:41">
      <c r="A268" s="192"/>
      <c r="B268" s="223"/>
      <c r="C268" s="544"/>
      <c r="D268" s="199"/>
      <c r="E268" s="224"/>
      <c r="F268" s="679"/>
      <c r="G268" s="225"/>
      <c r="H268" s="200"/>
      <c r="I268" s="200"/>
      <c r="J268" s="200"/>
      <c r="K268" s="200"/>
      <c r="L268" s="200"/>
      <c r="M268" s="200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200"/>
      <c r="Y268" s="200"/>
      <c r="Z268" s="200"/>
      <c r="AA268" s="200"/>
      <c r="AB268" s="200"/>
      <c r="AC268" s="200"/>
      <c r="AD268" s="200"/>
      <c r="AE268" s="200"/>
      <c r="AF268" s="200"/>
      <c r="AG268" s="200"/>
      <c r="AH268" s="200"/>
      <c r="AI268" s="200"/>
      <c r="AJ268" s="200"/>
      <c r="AK268" s="200"/>
      <c r="AL268" s="200"/>
      <c r="AM268" s="113">
        <f t="shared" si="4"/>
        <v>0</v>
      </c>
      <c r="AN268" s="540">
        <f>IF(AO268&lt;=3,(IF(AND(G268="5/24",AM268&gt;2),(AM268*2*база!$M$6*Таблица14[[#This Row],[коэф]]),
IF(AND(G268="4/24",AM268&gt;2),(AM268*2*база!$M$5*Таблица14[[#This Row],[коэф]]),
IF(AND(G268="3/24",AM268&gt;2),(AM268*2*база!$M$4*Таблица14[[#This Row],[коэф]]),
IF(AND(G268="5/16",AM268&gt;2),(AM268*2*база!$L$6*Таблица14[[#This Row],[коэф]]),
IF(AND(G268="4/16",AM268&gt;2),(AM268*2*база!$L$5*Таблица14[[#This Row],[коэф]]),
IF(AND(G268="3/16",AM268&gt;2),(AM268*2*база!$L$4*Таблица14[[#This Row],[коэф]]),
IF(AND(G268="4/4",AM268&gt;2),(AM268*2*база!$I$5*Таблица14[[#This Row],[коэф]]),
IF(AND(G268="3/4",AM268&gt;2),(AM268*2*база!$I$4*Таблица14[[#This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(AM268*2*база!$L$4*Таблица14[[#This Row],[коэф]]))))))))))))),
(IF(AND(G268="5/24",AM268&gt;2),(AM268*2*база!$M$6*Таблица14[[#This Row],[коэф]]),
IF(OR(AND(G268="4/24",AM268&gt;2),AND(G268="3/24",AM268&gt;2)),(AM268*2*база!$M$5*Таблица14[[#This Row],[коэф]]),
IF(AND(G268="5/16",AM268&gt;2),(AM268*2*база!$L$6*Таблица14[[#This Row],[коэф]]),
IF(OR(AND(G268="4/16",AM268&gt;2),AND(G268="3/16",AM268&gt;2)),(AM268*2*база!$L$5*Таблица14[[#This Row],[коэф]]),
IF(OR(AND(G268="4/4",AM268&gt;2),AND(G268="3/4",AM268&gt;2)),(AM268*2*база!$I$5*Таблица14[[#This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(AM268*2*база!$L$5*Таблица14[[#This Row],[коэф]])))))))))))</f>
        <v>0</v>
      </c>
      <c r="AO268" s="114">
        <f>IFERROR(INDEX(база!$D$2:$D$120, MATCH(Таблица14[[#This Row],[Ф. И. О.]],база!$B$2:$B$100,0)),"")</f>
        <v>0</v>
      </c>
    </row>
    <row r="269" spans="1:41">
      <c r="A269" s="192"/>
      <c r="B269" s="189"/>
      <c r="C269" s="544"/>
      <c r="D269" s="199"/>
      <c r="E269" s="226"/>
      <c r="F269" s="679"/>
      <c r="G269" s="191"/>
      <c r="H269" s="200"/>
      <c r="I269" s="200"/>
      <c r="J269" s="200"/>
      <c r="K269" s="200"/>
      <c r="L269" s="200"/>
      <c r="M269" s="200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200"/>
      <c r="Y269" s="200"/>
      <c r="Z269" s="200"/>
      <c r="AA269" s="200"/>
      <c r="AB269" s="200"/>
      <c r="AC269" s="200"/>
      <c r="AD269" s="200"/>
      <c r="AE269" s="200"/>
      <c r="AF269" s="200"/>
      <c r="AG269" s="200"/>
      <c r="AH269" s="200"/>
      <c r="AI269" s="200"/>
      <c r="AJ269" s="200"/>
      <c r="AK269" s="200"/>
      <c r="AL269" s="200"/>
      <c r="AM269" s="113">
        <f t="shared" si="4"/>
        <v>0</v>
      </c>
      <c r="AN269" s="540">
        <f>IF(AO269&lt;=3,(IF(AND(G269="5/24",AM269&gt;2),(AM269*2*база!$M$6*Таблица14[[#This Row],[коэф]]),
IF(AND(G269="4/24",AM269&gt;2),(AM269*2*база!$M$5*Таблица14[[#This Row],[коэф]]),
IF(AND(G269="3/24",AM269&gt;2),(AM269*2*база!$M$4*Таблица14[[#This Row],[коэф]]),
IF(AND(G269="5/16",AM269&gt;2),(AM269*2*база!$L$6*Таблица14[[#This Row],[коэф]]),
IF(AND(G269="4/16",AM269&gt;2),(AM269*2*база!$L$5*Таблица14[[#This Row],[коэф]]),
IF(AND(G269="3/16",AM269&gt;2),(AM269*2*база!$L$4*Таблица14[[#This Row],[коэф]]),
IF(AND(G269="4/4",AM269&gt;2),(AM269*2*база!$I$5*Таблица14[[#This Row],[коэф]]),
IF(AND(G269="3/4",AM269&gt;2),(AM269*2*база!$I$4*Таблица14[[#This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(AM269*2*база!$L$4*Таблица14[[#This Row],[коэф]]))))))))))))),
(IF(AND(G269="5/24",AM269&gt;2),(AM269*2*база!$M$6*Таблица14[[#This Row],[коэф]]),
IF(OR(AND(G269="4/24",AM269&gt;2),AND(G269="3/24",AM269&gt;2)),(AM269*2*база!$M$5*Таблица14[[#This Row],[коэф]]),
IF(AND(G269="5/16",AM269&gt;2),(AM269*2*база!$L$6*Таблица14[[#This Row],[коэф]]),
IF(OR(AND(G269="4/16",AM269&gt;2),AND(G269="3/16",AM269&gt;2)),(AM269*2*база!$L$5*Таблица14[[#This Row],[коэф]]),
IF(OR(AND(G269="4/4",AM269&gt;2),AND(G269="3/4",AM269&gt;2)),(AM269*2*база!$I$5*Таблица14[[#This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(AM269*2*база!$L$5*Таблица14[[#This Row],[коэф]])))))))))))</f>
        <v>0</v>
      </c>
      <c r="AO269" s="114">
        <f>IFERROR(INDEX(база!$D$2:$D$120, MATCH(Таблица14[[#This Row],[Ф. И. О.]],база!$B$2:$B$100,0)),"")</f>
        <v>0</v>
      </c>
    </row>
    <row r="270" spans="1:41">
      <c r="A270" s="192"/>
      <c r="B270" s="223"/>
      <c r="C270" s="544"/>
      <c r="D270" s="199"/>
      <c r="E270" s="224"/>
      <c r="F270" s="679"/>
      <c r="G270" s="225"/>
      <c r="H270" s="200"/>
      <c r="I270" s="200"/>
      <c r="J270" s="200"/>
      <c r="K270" s="200"/>
      <c r="L270" s="200"/>
      <c r="M270" s="200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200"/>
      <c r="Y270" s="200"/>
      <c r="Z270" s="200"/>
      <c r="AA270" s="200"/>
      <c r="AB270" s="200"/>
      <c r="AC270" s="200"/>
      <c r="AD270" s="200"/>
      <c r="AE270" s="200"/>
      <c r="AF270" s="200"/>
      <c r="AG270" s="200"/>
      <c r="AH270" s="200"/>
      <c r="AI270" s="200"/>
      <c r="AJ270" s="200"/>
      <c r="AK270" s="200"/>
      <c r="AL270" s="200"/>
      <c r="AM270" s="113">
        <f t="shared" si="4"/>
        <v>0</v>
      </c>
      <c r="AN270" s="540">
        <f>IF(AO270&lt;=3,(IF(AND(G270="5/24",AM270&gt;2),(AM270*2*база!$M$6*Таблица14[[#This Row],[коэф]]),
IF(AND(G270="4/24",AM270&gt;2),(AM270*2*база!$M$5*Таблица14[[#This Row],[коэф]]),
IF(AND(G270="3/24",AM270&gt;2),(AM270*2*база!$M$4*Таблица14[[#This Row],[коэф]]),
IF(AND(G270="5/16",AM270&gt;2),(AM270*2*база!$L$6*Таблица14[[#This Row],[коэф]]),
IF(AND(G270="4/16",AM270&gt;2),(AM270*2*база!$L$5*Таблица14[[#This Row],[коэф]]),
IF(AND(G270="3/16",AM270&gt;2),(AM270*2*база!$L$4*Таблица14[[#This Row],[коэф]]),
IF(AND(G270="4/4",AM270&gt;2),(AM270*2*база!$I$5*Таблица14[[#This Row],[коэф]]),
IF(AND(G270="3/4",AM270&gt;2),(AM270*2*база!$I$4*Таблица14[[#This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(AM270*2*база!$L$4*Таблица14[[#This Row],[коэф]]))))))))))))),
(IF(AND(G270="5/24",AM270&gt;2),(AM270*2*база!$M$6*Таблица14[[#This Row],[коэф]]),
IF(OR(AND(G270="4/24",AM270&gt;2),AND(G270="3/24",AM270&gt;2)),(AM270*2*база!$M$5*Таблица14[[#This Row],[коэф]]),
IF(AND(G270="5/16",AM270&gt;2),(AM270*2*база!$L$6*Таблица14[[#This Row],[коэф]]),
IF(OR(AND(G270="4/16",AM270&gt;2),AND(G270="3/16",AM270&gt;2)),(AM270*2*база!$L$5*Таблица14[[#This Row],[коэф]]),
IF(OR(AND(G270="4/4",AM270&gt;2),AND(G270="3/4",AM270&gt;2)),(AM270*2*база!$I$5*Таблица14[[#This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(AM270*2*база!$L$5*Таблица14[[#This Row],[коэф]])))))))))))</f>
        <v>0</v>
      </c>
      <c r="AO270" s="114">
        <f>IFERROR(INDEX(база!$D$2:$D$120, MATCH(Таблица14[[#This Row],[Ф. И. О.]],база!$B$2:$B$100,0)),"")</f>
        <v>0</v>
      </c>
    </row>
    <row r="271" spans="1:41">
      <c r="A271" s="192"/>
      <c r="B271" s="189"/>
      <c r="C271" s="544"/>
      <c r="D271" s="199"/>
      <c r="E271" s="226"/>
      <c r="F271" s="679"/>
      <c r="G271" s="191"/>
      <c r="H271" s="200"/>
      <c r="I271" s="200"/>
      <c r="J271" s="200"/>
      <c r="K271" s="200"/>
      <c r="L271" s="200"/>
      <c r="M271" s="200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200"/>
      <c r="Y271" s="200"/>
      <c r="Z271" s="200"/>
      <c r="AA271" s="200"/>
      <c r="AB271" s="200"/>
      <c r="AC271" s="200"/>
      <c r="AD271" s="200"/>
      <c r="AE271" s="200"/>
      <c r="AF271" s="200"/>
      <c r="AG271" s="200"/>
      <c r="AH271" s="200"/>
      <c r="AI271" s="200"/>
      <c r="AJ271" s="200"/>
      <c r="AK271" s="200"/>
      <c r="AL271" s="200"/>
      <c r="AM271" s="113">
        <f t="shared" si="4"/>
        <v>0</v>
      </c>
      <c r="AN271" s="540">
        <f>IF(AO271&lt;=3,(IF(AND(G271="5/24",AM271&gt;2),(AM271*2*база!$M$6*Таблица14[[#This Row],[коэф]]),
IF(AND(G271="4/24",AM271&gt;2),(AM271*2*база!$M$5*Таблица14[[#This Row],[коэф]]),
IF(AND(G271="3/24",AM271&gt;2),(AM271*2*база!$M$4*Таблица14[[#This Row],[коэф]]),
IF(AND(G271="5/16",AM271&gt;2),(AM271*2*база!$L$6*Таблица14[[#This Row],[коэф]]),
IF(AND(G271="4/16",AM271&gt;2),(AM271*2*база!$L$5*Таблица14[[#This Row],[коэф]]),
IF(AND(G271="3/16",AM271&gt;2),(AM271*2*база!$L$4*Таблица14[[#This Row],[коэф]]),
IF(AND(G271="4/4",AM271&gt;2),(AM271*2*база!$I$5*Таблица14[[#This Row],[коэф]]),
IF(AND(G271="3/4",AM271&gt;2),(AM271*2*база!$I$4*Таблица14[[#This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(AM271*2*база!$L$4*Таблица14[[#This Row],[коэф]]))))))))))))),
(IF(AND(G271="5/24",AM271&gt;2),(AM271*2*база!$M$6*Таблица14[[#This Row],[коэф]]),
IF(OR(AND(G271="4/24",AM271&gt;2),AND(G271="3/24",AM271&gt;2)),(AM271*2*база!$M$5*Таблица14[[#This Row],[коэф]]),
IF(AND(G271="5/16",AM271&gt;2),(AM271*2*база!$L$6*Таблица14[[#This Row],[коэф]]),
IF(OR(AND(G271="4/16",AM271&gt;2),AND(G271="3/16",AM271&gt;2)),(AM271*2*база!$L$5*Таблица14[[#This Row],[коэф]]),
IF(OR(AND(G271="4/4",AM271&gt;2),AND(G271="3/4",AM271&gt;2)),(AM271*2*база!$I$5*Таблица14[[#This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(AM271*2*база!$L$5*Таблица14[[#This Row],[коэф]])))))))))))</f>
        <v>0</v>
      </c>
      <c r="AO271" s="114">
        <f>IFERROR(INDEX(база!$D$2:$D$120, MATCH(Таблица14[[#This Row],[Ф. И. О.]],база!$B$2:$B$100,0)),"")</f>
        <v>0</v>
      </c>
    </row>
    <row r="272" spans="1:41">
      <c r="A272" s="192"/>
      <c r="B272" s="223"/>
      <c r="C272" s="544"/>
      <c r="D272" s="199"/>
      <c r="E272" s="224"/>
      <c r="F272" s="679"/>
      <c r="G272" s="225"/>
      <c r="H272" s="200"/>
      <c r="I272" s="200"/>
      <c r="J272" s="200"/>
      <c r="K272" s="200"/>
      <c r="L272" s="200"/>
      <c r="M272" s="200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200"/>
      <c r="Y272" s="200"/>
      <c r="Z272" s="200"/>
      <c r="AA272" s="200"/>
      <c r="AB272" s="200"/>
      <c r="AC272" s="200"/>
      <c r="AD272" s="200"/>
      <c r="AE272" s="200"/>
      <c r="AF272" s="200"/>
      <c r="AG272" s="200"/>
      <c r="AH272" s="200"/>
      <c r="AI272" s="200"/>
      <c r="AJ272" s="200"/>
      <c r="AK272" s="200"/>
      <c r="AL272" s="200"/>
      <c r="AM272" s="113">
        <f t="shared" si="4"/>
        <v>0</v>
      </c>
      <c r="AN272" s="540">
        <f>IF(AO272&lt;=3,(IF(AND(G272="5/24",AM272&gt;2),(AM272*2*база!$M$6*Таблица14[[#This Row],[коэф]]),
IF(AND(G272="4/24",AM272&gt;2),(AM272*2*база!$M$5*Таблица14[[#This Row],[коэф]]),
IF(AND(G272="3/24",AM272&gt;2),(AM272*2*база!$M$4*Таблица14[[#This Row],[коэф]]),
IF(AND(G272="5/16",AM272&gt;2),(AM272*2*база!$L$6*Таблица14[[#This Row],[коэф]]),
IF(AND(G272="4/16",AM272&gt;2),(AM272*2*база!$L$5*Таблица14[[#This Row],[коэф]]),
IF(AND(G272="3/16",AM272&gt;2),(AM272*2*база!$L$4*Таблица14[[#This Row],[коэф]]),
IF(AND(G272="4/4",AM272&gt;2),(AM272*2*база!$I$5*Таблица14[[#This Row],[коэф]]),
IF(AND(G272="3/4",AM272&gt;2),(AM272*2*база!$I$4*Таблица14[[#This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(AM272*2*база!$L$4*Таблица14[[#This Row],[коэф]]))))))))))))),
(IF(AND(G272="5/24",AM272&gt;2),(AM272*2*база!$M$6*Таблица14[[#This Row],[коэф]]),
IF(OR(AND(G272="4/24",AM272&gt;2),AND(G272="3/24",AM272&gt;2)),(AM272*2*база!$M$5*Таблица14[[#This Row],[коэф]]),
IF(AND(G272="5/16",AM272&gt;2),(AM272*2*база!$L$6*Таблица14[[#This Row],[коэф]]),
IF(OR(AND(G272="4/16",AM272&gt;2),AND(G272="3/16",AM272&gt;2)),(AM272*2*база!$L$5*Таблица14[[#This Row],[коэф]]),
IF(OR(AND(G272="4/4",AM272&gt;2),AND(G272="3/4",AM272&gt;2)),(AM272*2*база!$I$5*Таблица14[[#This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(AM272*2*база!$L$5*Таблица14[[#This Row],[коэф]])))))))))))</f>
        <v>0</v>
      </c>
      <c r="AO272" s="114">
        <f>IFERROR(INDEX(база!$D$2:$D$120, MATCH(Таблица14[[#This Row],[Ф. И. О.]],база!$B$2:$B$100,0)),"")</f>
        <v>0</v>
      </c>
    </row>
    <row r="273" spans="1:45">
      <c r="A273" s="192"/>
      <c r="B273" s="189"/>
      <c r="C273" s="544"/>
      <c r="D273" s="199"/>
      <c r="E273" s="226"/>
      <c r="F273" s="679"/>
      <c r="G273" s="191"/>
      <c r="H273" s="200"/>
      <c r="I273" s="200"/>
      <c r="J273" s="200"/>
      <c r="K273" s="200"/>
      <c r="L273" s="200"/>
      <c r="M273" s="200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200"/>
      <c r="Y273" s="200"/>
      <c r="Z273" s="200"/>
      <c r="AA273" s="200"/>
      <c r="AB273" s="200"/>
      <c r="AC273" s="200"/>
      <c r="AD273" s="200"/>
      <c r="AE273" s="200"/>
      <c r="AF273" s="200"/>
      <c r="AG273" s="200"/>
      <c r="AH273" s="200"/>
      <c r="AI273" s="200"/>
      <c r="AJ273" s="200"/>
      <c r="AK273" s="200"/>
      <c r="AL273" s="200"/>
      <c r="AM273" s="113">
        <f t="shared" si="4"/>
        <v>0</v>
      </c>
      <c r="AN273" s="540">
        <f>IF(AO273&lt;=3,(IF(AND(G273="5/24",AM273&gt;2),(AM273*2*база!$M$6*Таблица14[[#This Row],[коэф]]),
IF(AND(G273="4/24",AM273&gt;2),(AM273*2*база!$M$5*Таблица14[[#This Row],[коэф]]),
IF(AND(G273="3/24",AM273&gt;2),(AM273*2*база!$M$4*Таблица14[[#This Row],[коэф]]),
IF(AND(G273="5/16",AM273&gt;2),(AM273*2*база!$L$6*Таблица14[[#This Row],[коэф]]),
IF(AND(G273="4/16",AM273&gt;2),(AM273*2*база!$L$5*Таблица14[[#This Row],[коэф]]),
IF(AND(G273="3/16",AM273&gt;2),(AM273*2*база!$L$4*Таблица14[[#This Row],[коэф]]),
IF(AND(G273="4/4",AM273&gt;2),(AM273*2*база!$I$5*Таблица14[[#This Row],[коэф]]),
IF(AND(G273="3/4",AM273&gt;2),(AM273*2*база!$I$4*Таблица14[[#This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(AM273*2*база!$L$4*Таблица14[[#This Row],[коэф]]))))))))))))),
(IF(AND(G273="5/24",AM273&gt;2),(AM273*2*база!$M$6*Таблица14[[#This Row],[коэф]]),
IF(OR(AND(G273="4/24",AM273&gt;2),AND(G273="3/24",AM273&gt;2)),(AM273*2*база!$M$5*Таблица14[[#This Row],[коэф]]),
IF(AND(G273="5/16",AM273&gt;2),(AM273*2*база!$L$6*Таблица14[[#This Row],[коэф]]),
IF(OR(AND(G273="4/16",AM273&gt;2),AND(G273="3/16",AM273&gt;2)),(AM273*2*база!$L$5*Таблица14[[#This Row],[коэф]]),
IF(OR(AND(G273="4/4",AM273&gt;2),AND(G273="3/4",AM273&gt;2)),(AM273*2*база!$I$5*Таблица14[[#This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(AM273*2*база!$L$5*Таблица14[[#This Row],[коэф]])))))))))))</f>
        <v>0</v>
      </c>
      <c r="AO273" s="114">
        <f>IFERROR(INDEX(база!$D$2:$D$120, MATCH(Таблица14[[#This Row],[Ф. И. О.]],база!$B$2:$B$100,0)),"")</f>
        <v>0</v>
      </c>
    </row>
    <row r="274" spans="1:45">
      <c r="A274" s="192"/>
      <c r="B274" s="223"/>
      <c r="C274" s="544"/>
      <c r="D274" s="199"/>
      <c r="E274" s="224"/>
      <c r="F274" s="679"/>
      <c r="G274" s="225"/>
      <c r="H274" s="200"/>
      <c r="I274" s="200"/>
      <c r="J274" s="200"/>
      <c r="K274" s="200"/>
      <c r="L274" s="200"/>
      <c r="M274" s="200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200"/>
      <c r="Y274" s="200"/>
      <c r="Z274" s="200"/>
      <c r="AA274" s="200"/>
      <c r="AB274" s="200"/>
      <c r="AC274" s="200"/>
      <c r="AD274" s="200"/>
      <c r="AE274" s="200"/>
      <c r="AF274" s="200"/>
      <c r="AG274" s="200"/>
      <c r="AH274" s="200"/>
      <c r="AI274" s="200"/>
      <c r="AJ274" s="200"/>
      <c r="AK274" s="200"/>
      <c r="AL274" s="200"/>
      <c r="AM274" s="113">
        <f t="shared" si="4"/>
        <v>0</v>
      </c>
      <c r="AN274" s="540">
        <f>IF(AO274&lt;=3,(IF(AND(G274="5/24",AM274&gt;2),(AM274*2*база!$M$6*Таблица14[[#This Row],[коэф]]),
IF(AND(G274="4/24",AM274&gt;2),(AM274*2*база!$M$5*Таблица14[[#This Row],[коэф]]),
IF(AND(G274="3/24",AM274&gt;2),(AM274*2*база!$M$4*Таблица14[[#This Row],[коэф]]),
IF(AND(G274="5/16",AM274&gt;2),(AM274*2*база!$L$6*Таблица14[[#This Row],[коэф]]),
IF(AND(G274="4/16",AM274&gt;2),(AM274*2*база!$L$5*Таблица14[[#This Row],[коэф]]),
IF(AND(G274="3/16",AM274&gt;2),(AM274*2*база!$L$4*Таблица14[[#This Row],[коэф]]),
IF(AND(G274="4/4",AM274&gt;2),(AM274*2*база!$I$5*Таблица14[[#This Row],[коэф]]),
IF(AND(G274="3/4",AM274&gt;2),(AM274*2*база!$I$4*Таблица14[[#This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(AM274*2*база!$L$4*Таблица14[[#This Row],[коэф]]))))))))))))),
(IF(AND(G274="5/24",AM274&gt;2),(AM274*2*база!$M$6*Таблица14[[#This Row],[коэф]]),
IF(OR(AND(G274="4/24",AM274&gt;2),AND(G274="3/24",AM274&gt;2)),(AM274*2*база!$M$5*Таблица14[[#This Row],[коэф]]),
IF(AND(G274="5/16",AM274&gt;2),(AM274*2*база!$L$6*Таблица14[[#This Row],[коэф]]),
IF(OR(AND(G274="4/16",AM274&gt;2),AND(G274="3/16",AM274&gt;2)),(AM274*2*база!$L$5*Таблица14[[#This Row],[коэф]]),
IF(OR(AND(G274="4/4",AM274&gt;2),AND(G274="3/4",AM274&gt;2)),(AM274*2*база!$I$5*Таблица14[[#This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(AM274*2*база!$L$5*Таблица14[[#This Row],[коэф]])))))))))))</f>
        <v>0</v>
      </c>
      <c r="AO274" s="114">
        <f>IFERROR(INDEX(база!$D$2:$D$120, MATCH(Таблица14[[#This Row],[Ф. И. О.]],база!$B$2:$B$100,0)),"")</f>
        <v>0</v>
      </c>
    </row>
    <row r="275" spans="1:45">
      <c r="A275" s="192"/>
      <c r="B275" s="189"/>
      <c r="C275" s="544"/>
      <c r="D275" s="199"/>
      <c r="E275" s="226"/>
      <c r="F275" s="679"/>
      <c r="G275" s="191"/>
      <c r="H275" s="200"/>
      <c r="I275" s="200"/>
      <c r="J275" s="200"/>
      <c r="K275" s="200"/>
      <c r="L275" s="200"/>
      <c r="M275" s="200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200"/>
      <c r="Y275" s="200"/>
      <c r="Z275" s="200"/>
      <c r="AA275" s="200"/>
      <c r="AB275" s="200"/>
      <c r="AC275" s="200"/>
      <c r="AD275" s="200"/>
      <c r="AE275" s="200"/>
      <c r="AF275" s="200"/>
      <c r="AG275" s="200"/>
      <c r="AH275" s="200"/>
      <c r="AI275" s="200"/>
      <c r="AJ275" s="200"/>
      <c r="AK275" s="200"/>
      <c r="AL275" s="200"/>
      <c r="AM275" s="113">
        <f t="shared" si="4"/>
        <v>0</v>
      </c>
      <c r="AN275" s="540">
        <f>IF(AO275&lt;=3,(IF(AND(G275="5/24",AM275&gt;2),(AM275*2*база!$M$6*Таблица14[[#This Row],[коэф]]),
IF(AND(G275="4/24",AM275&gt;2),(AM275*2*база!$M$5*Таблица14[[#This Row],[коэф]]),
IF(AND(G275="3/24",AM275&gt;2),(AM275*2*база!$M$4*Таблица14[[#This Row],[коэф]]),
IF(AND(G275="5/16",AM275&gt;2),(AM275*2*база!$L$6*Таблица14[[#This Row],[коэф]]),
IF(AND(G275="4/16",AM275&gt;2),(AM275*2*база!$L$5*Таблица14[[#This Row],[коэф]]),
IF(AND(G275="3/16",AM275&gt;2),(AM275*2*база!$L$4*Таблица14[[#This Row],[коэф]]),
IF(AND(G275="4/4",AM275&gt;2),(AM275*2*база!$I$5*Таблица14[[#This Row],[коэф]]),
IF(AND(G275="3/4",AM275&gt;2),(AM275*2*база!$I$4*Таблица14[[#This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(AM275*2*база!$L$4*Таблица14[[#This Row],[коэф]]))))))))))))),
(IF(AND(G275="5/24",AM275&gt;2),(AM275*2*база!$M$6*Таблица14[[#This Row],[коэф]]),
IF(OR(AND(G275="4/24",AM275&gt;2),AND(G275="3/24",AM275&gt;2)),(AM275*2*база!$M$5*Таблица14[[#This Row],[коэф]]),
IF(AND(G275="5/16",AM275&gt;2),(AM275*2*база!$L$6*Таблица14[[#This Row],[коэф]]),
IF(OR(AND(G275="4/16",AM275&gt;2),AND(G275="3/16",AM275&gt;2)),(AM275*2*база!$L$5*Таблица14[[#This Row],[коэф]]),
IF(OR(AND(G275="4/4",AM275&gt;2),AND(G275="3/4",AM275&gt;2)),(AM275*2*база!$I$5*Таблица14[[#This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(AM275*2*база!$L$5*Таблица14[[#This Row],[коэф]])))))))))))</f>
        <v>0</v>
      </c>
      <c r="AO275" s="114">
        <f>IFERROR(INDEX(база!$D$2:$D$120, MATCH(Таблица14[[#This Row],[Ф. И. О.]],база!$B$2:$B$100,0)),"")</f>
        <v>0</v>
      </c>
    </row>
    <row r="276" spans="1:45">
      <c r="A276" s="192"/>
      <c r="B276" s="223"/>
      <c r="C276" s="544"/>
      <c r="D276" s="199"/>
      <c r="E276" s="224"/>
      <c r="F276" s="679"/>
      <c r="G276" s="225"/>
      <c r="H276" s="200"/>
      <c r="I276" s="200"/>
      <c r="J276" s="200"/>
      <c r="K276" s="200"/>
      <c r="L276" s="200"/>
      <c r="M276" s="200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200"/>
      <c r="Y276" s="200"/>
      <c r="Z276" s="200"/>
      <c r="AA276" s="200"/>
      <c r="AB276" s="200"/>
      <c r="AC276" s="200"/>
      <c r="AD276" s="200"/>
      <c r="AE276" s="200"/>
      <c r="AF276" s="200"/>
      <c r="AG276" s="200"/>
      <c r="AH276" s="200"/>
      <c r="AI276" s="200"/>
      <c r="AJ276" s="200"/>
      <c r="AK276" s="200"/>
      <c r="AL276" s="200"/>
      <c r="AM276" s="113">
        <f t="shared" si="4"/>
        <v>0</v>
      </c>
      <c r="AN276" s="540">
        <f>IF(AO276&lt;=3,(IF(AND(G276="5/24",AM276&gt;2),(AM276*2*база!$M$6*Таблица14[[#This Row],[коэф]]),
IF(AND(G276="4/24",AM276&gt;2),(AM276*2*база!$M$5*Таблица14[[#This Row],[коэф]]),
IF(AND(G276="3/24",AM276&gt;2),(AM276*2*база!$M$4*Таблица14[[#This Row],[коэф]]),
IF(AND(G276="5/16",AM276&gt;2),(AM276*2*база!$L$6*Таблица14[[#This Row],[коэф]]),
IF(AND(G276="4/16",AM276&gt;2),(AM276*2*база!$L$5*Таблица14[[#This Row],[коэф]]),
IF(AND(G276="3/16",AM276&gt;2),(AM276*2*база!$L$4*Таблица14[[#This Row],[коэф]]),
IF(AND(G276="4/4",AM276&gt;2),(AM276*2*база!$I$5*Таблица14[[#This Row],[коэф]]),
IF(AND(G276="3/4",AM276&gt;2),(AM276*2*база!$I$4*Таблица14[[#This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(AM276*2*база!$L$4*Таблица14[[#This Row],[коэф]]))))))))))))),
(IF(AND(G276="5/24",AM276&gt;2),(AM276*2*база!$M$6*Таблица14[[#This Row],[коэф]]),
IF(OR(AND(G276="4/24",AM276&gt;2),AND(G276="3/24",AM276&gt;2)),(AM276*2*база!$M$5*Таблица14[[#This Row],[коэф]]),
IF(AND(G276="5/16",AM276&gt;2),(AM276*2*база!$L$6*Таблица14[[#This Row],[коэф]]),
IF(OR(AND(G276="4/16",AM276&gt;2),AND(G276="3/16",AM276&gt;2)),(AM276*2*база!$L$5*Таблица14[[#This Row],[коэф]]),
IF(OR(AND(G276="4/4",AM276&gt;2),AND(G276="3/4",AM276&gt;2)),(AM276*2*база!$I$5*Таблица14[[#This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(AM276*2*база!$L$5*Таблица14[[#This Row],[коэф]])))))))))))</f>
        <v>0</v>
      </c>
      <c r="AO276" s="114">
        <f>IFERROR(INDEX(база!$D$2:$D$120, MATCH(Таблица14[[#This Row],[Ф. И. О.]],база!$B$2:$B$100,0)),"")</f>
        <v>0</v>
      </c>
    </row>
    <row r="277" spans="1:45">
      <c r="A277" s="192"/>
      <c r="B277" s="189"/>
      <c r="C277" s="544"/>
      <c r="D277" s="199"/>
      <c r="E277" s="226"/>
      <c r="F277" s="679"/>
      <c r="G277" s="191"/>
      <c r="H277" s="200"/>
      <c r="I277" s="200"/>
      <c r="J277" s="200"/>
      <c r="K277" s="200"/>
      <c r="L277" s="200"/>
      <c r="M277" s="200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200"/>
      <c r="Y277" s="200"/>
      <c r="Z277" s="200"/>
      <c r="AA277" s="200"/>
      <c r="AB277" s="200"/>
      <c r="AC277" s="200"/>
      <c r="AD277" s="200"/>
      <c r="AE277" s="200"/>
      <c r="AF277" s="200"/>
      <c r="AG277" s="200"/>
      <c r="AH277" s="200"/>
      <c r="AI277" s="200"/>
      <c r="AJ277" s="200"/>
      <c r="AK277" s="200"/>
      <c r="AL277" s="200"/>
      <c r="AM277" s="113">
        <f t="shared" si="4"/>
        <v>0</v>
      </c>
      <c r="AN277" s="540">
        <f>IF(AO277&lt;=3,(IF(AND(G277="5/24",AM277&gt;2),(AM277*2*база!$M$6*Таблица14[[#This Row],[коэф]]),
IF(AND(G277="4/24",AM277&gt;2),(AM277*2*база!$M$5*Таблица14[[#This Row],[коэф]]),
IF(AND(G277="3/24",AM277&gt;2),(AM277*2*база!$M$4*Таблица14[[#This Row],[коэф]]),
IF(AND(G277="5/16",AM277&gt;2),(AM277*2*база!$L$6*Таблица14[[#This Row],[коэф]]),
IF(AND(G277="4/16",AM277&gt;2),(AM277*2*база!$L$5*Таблица14[[#This Row],[коэф]]),
IF(AND(G277="3/16",AM277&gt;2),(AM277*2*база!$L$4*Таблица14[[#This Row],[коэф]]),
IF(AND(G277="4/4",AM277&gt;2),(AM277*2*база!$I$5*Таблица14[[#This Row],[коэф]]),
IF(AND(G277="3/4",AM277&gt;2),(AM277*2*база!$I$4*Таблица14[[#This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(AM277*2*база!$L$4*Таблица14[[#This Row],[коэф]]))))))))))))),
(IF(AND(G277="5/24",AM277&gt;2),(AM277*2*база!$M$6*Таблица14[[#This Row],[коэф]]),
IF(OR(AND(G277="4/24",AM277&gt;2),AND(G277="3/24",AM277&gt;2)),(AM277*2*база!$M$5*Таблица14[[#This Row],[коэф]]),
IF(AND(G277="5/16",AM277&gt;2),(AM277*2*база!$L$6*Таблица14[[#This Row],[коэф]]),
IF(OR(AND(G277="4/16",AM277&gt;2),AND(G277="3/16",AM277&gt;2)),(AM277*2*база!$L$5*Таблица14[[#This Row],[коэф]]),
IF(OR(AND(G277="4/4",AM277&gt;2),AND(G277="3/4",AM277&gt;2)),(AM277*2*база!$I$5*Таблица14[[#This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(AM277*2*база!$L$5*Таблица14[[#This Row],[коэф]])))))))))))</f>
        <v>0</v>
      </c>
      <c r="AO277" s="114">
        <f>IFERROR(INDEX(база!$D$2:$D$120, MATCH(Таблица14[[#This Row],[Ф. И. О.]],база!$B$2:$B$100,0)),"")</f>
        <v>0</v>
      </c>
    </row>
    <row r="278" spans="1:45">
      <c r="A278" s="192"/>
      <c r="B278" s="223"/>
      <c r="C278" s="544"/>
      <c r="D278" s="199"/>
      <c r="E278" s="224"/>
      <c r="F278" s="679"/>
      <c r="G278" s="225"/>
      <c r="H278" s="200"/>
      <c r="I278" s="200"/>
      <c r="J278" s="200"/>
      <c r="K278" s="200"/>
      <c r="L278" s="200"/>
      <c r="M278" s="200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200"/>
      <c r="Y278" s="200"/>
      <c r="Z278" s="200"/>
      <c r="AA278" s="200"/>
      <c r="AB278" s="200"/>
      <c r="AC278" s="200"/>
      <c r="AD278" s="200"/>
      <c r="AE278" s="200"/>
      <c r="AF278" s="200"/>
      <c r="AG278" s="200"/>
      <c r="AH278" s="200"/>
      <c r="AI278" s="200"/>
      <c r="AJ278" s="200"/>
      <c r="AK278" s="200"/>
      <c r="AL278" s="200"/>
      <c r="AM278" s="113">
        <f t="shared" si="4"/>
        <v>0</v>
      </c>
      <c r="AN278" s="540">
        <f>IF(AO278&lt;=3,(IF(AND(G278="5/24",AM278&gt;2),(AM278*2*база!$M$6*Таблица14[[#This Row],[коэф]]),
IF(AND(G278="4/24",AM278&gt;2),(AM278*2*база!$M$5*Таблица14[[#This Row],[коэф]]),
IF(AND(G278="3/24",AM278&gt;2),(AM278*2*база!$M$4*Таблица14[[#This Row],[коэф]]),
IF(AND(G278="5/16",AM278&gt;2),(AM278*2*база!$L$6*Таблица14[[#This Row],[коэф]]),
IF(AND(G278="4/16",AM278&gt;2),(AM278*2*база!$L$5*Таблица14[[#This Row],[коэф]]),
IF(AND(G278="3/16",AM278&gt;2),(AM278*2*база!$L$4*Таблица14[[#This Row],[коэф]]),
IF(AND(G278="4/4",AM278&gt;2),(AM278*2*база!$I$5*Таблица14[[#This Row],[коэф]]),
IF(AND(G278="3/4",AM278&gt;2),(AM278*2*база!$I$4*Таблица14[[#This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(AM278*2*база!$L$4*Таблица14[[#This Row],[коэф]]))))))))))))),
(IF(AND(G278="5/24",AM278&gt;2),(AM278*2*база!$M$6*Таблица14[[#This Row],[коэф]]),
IF(OR(AND(G278="4/24",AM278&gt;2),AND(G278="3/24",AM278&gt;2)),(AM278*2*база!$M$5*Таблица14[[#This Row],[коэф]]),
IF(AND(G278="5/16",AM278&gt;2),(AM278*2*база!$L$6*Таблица14[[#This Row],[коэф]]),
IF(OR(AND(G278="4/16",AM278&gt;2),AND(G278="3/16",AM278&gt;2)),(AM278*2*база!$L$5*Таблица14[[#This Row],[коэф]]),
IF(OR(AND(G278="4/4",AM278&gt;2),AND(G278="3/4",AM278&gt;2)),(AM278*2*база!$I$5*Таблица14[[#This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(AM278*2*база!$L$5*Таблица14[[#This Row],[коэф]])))))))))))</f>
        <v>0</v>
      </c>
      <c r="AO278" s="114">
        <f>IFERROR(INDEX(база!$D$2:$D$120, MATCH(Таблица14[[#This Row],[Ф. И. О.]],база!$B$2:$B$100,0)),"")</f>
        <v>0</v>
      </c>
    </row>
    <row r="279" spans="1:45">
      <c r="A279" s="192"/>
      <c r="B279" s="189"/>
      <c r="C279" s="544"/>
      <c r="D279" s="199"/>
      <c r="E279" s="226"/>
      <c r="F279" s="679"/>
      <c r="G279" s="191"/>
      <c r="H279" s="200"/>
      <c r="I279" s="200"/>
      <c r="J279" s="200"/>
      <c r="K279" s="200"/>
      <c r="L279" s="200"/>
      <c r="M279" s="200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200"/>
      <c r="Y279" s="200"/>
      <c r="Z279" s="200"/>
      <c r="AA279" s="200"/>
      <c r="AB279" s="200"/>
      <c r="AC279" s="200"/>
      <c r="AD279" s="200"/>
      <c r="AE279" s="200"/>
      <c r="AF279" s="200"/>
      <c r="AG279" s="200"/>
      <c r="AH279" s="200"/>
      <c r="AI279" s="200"/>
      <c r="AJ279" s="200"/>
      <c r="AK279" s="200"/>
      <c r="AL279" s="200"/>
      <c r="AM279" s="113">
        <f t="shared" si="4"/>
        <v>0</v>
      </c>
      <c r="AN279" s="540">
        <f>IF(AO279&lt;=3,(IF(AND(G279="5/24",AM279&gt;2),(AM279*2*база!$M$6*Таблица14[[#This Row],[коэф]]),
IF(AND(G279="4/24",AM279&gt;2),(AM279*2*база!$M$5*Таблица14[[#This Row],[коэф]]),
IF(AND(G279="3/24",AM279&gt;2),(AM279*2*база!$M$4*Таблица14[[#This Row],[коэф]]),
IF(AND(G279="5/16",AM279&gt;2),(AM279*2*база!$L$6*Таблица14[[#This Row],[коэф]]),
IF(AND(G279="4/16",AM279&gt;2),(AM279*2*база!$L$5*Таблица14[[#This Row],[коэф]]),
IF(AND(G279="3/16",AM279&gt;2),(AM279*2*база!$L$4*Таблица14[[#This Row],[коэф]]),
IF(AND(G279="4/4",AM279&gt;2),(AM279*2*база!$I$5*Таблица14[[#This Row],[коэф]]),
IF(AND(G279="3/4",AM279&gt;2),(AM279*2*база!$I$4*Таблица14[[#This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(AM279*2*база!$L$4*Таблица14[[#This Row],[коэф]]))))))))))))),
(IF(AND(G279="5/24",AM279&gt;2),(AM279*2*база!$M$6*Таблица14[[#This Row],[коэф]]),
IF(OR(AND(G279="4/24",AM279&gt;2),AND(G279="3/24",AM279&gt;2)),(AM279*2*база!$M$5*Таблица14[[#This Row],[коэф]]),
IF(AND(G279="5/16",AM279&gt;2),(AM279*2*база!$L$6*Таблица14[[#This Row],[коэф]]),
IF(OR(AND(G279="4/16",AM279&gt;2),AND(G279="3/16",AM279&gt;2)),(AM279*2*база!$L$5*Таблица14[[#This Row],[коэф]]),
IF(OR(AND(G279="4/4",AM279&gt;2),AND(G279="3/4",AM279&gt;2)),(AM279*2*база!$I$5*Таблица14[[#This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(AM279*2*база!$L$5*Таблица14[[#This Row],[коэф]])))))))))))</f>
        <v>0</v>
      </c>
      <c r="AO279" s="114">
        <f>IFERROR(INDEX(база!$D$2:$D$120, MATCH(Таблица14[[#This Row],[Ф. И. О.]],база!$B$2:$B$100,0)),"")</f>
        <v>0</v>
      </c>
    </row>
    <row r="280" spans="1:45">
      <c r="A280" s="192"/>
      <c r="B280" s="223"/>
      <c r="C280" s="544"/>
      <c r="D280" s="199"/>
      <c r="E280" s="224"/>
      <c r="F280" s="679"/>
      <c r="G280" s="225"/>
      <c r="H280" s="200"/>
      <c r="I280" s="200"/>
      <c r="J280" s="200"/>
      <c r="K280" s="200"/>
      <c r="L280" s="200"/>
      <c r="M280" s="200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200"/>
      <c r="Y280" s="200"/>
      <c r="Z280" s="200"/>
      <c r="AA280" s="200"/>
      <c r="AB280" s="200"/>
      <c r="AC280" s="200"/>
      <c r="AD280" s="200"/>
      <c r="AE280" s="200"/>
      <c r="AF280" s="200"/>
      <c r="AG280" s="200"/>
      <c r="AH280" s="200"/>
      <c r="AI280" s="200"/>
      <c r="AJ280" s="200"/>
      <c r="AK280" s="200"/>
      <c r="AL280" s="200"/>
      <c r="AM280" s="113">
        <f t="shared" si="4"/>
        <v>0</v>
      </c>
      <c r="AN280" s="540">
        <f>IF(AO280&lt;=3,(IF(AND(G280="5/24",AM280&gt;2),(AM280*2*база!$M$6*Таблица14[[#This Row],[коэф]]),
IF(AND(G280="4/24",AM280&gt;2),(AM280*2*база!$M$5*Таблица14[[#This Row],[коэф]]),
IF(AND(G280="3/24",AM280&gt;2),(AM280*2*база!$M$4*Таблица14[[#This Row],[коэф]]),
IF(AND(G280="5/16",AM280&gt;2),(AM280*2*база!$L$6*Таблица14[[#This Row],[коэф]]),
IF(AND(G280="4/16",AM280&gt;2),(AM280*2*база!$L$5*Таблица14[[#This Row],[коэф]]),
IF(AND(G280="3/16",AM280&gt;2),(AM280*2*база!$L$4*Таблица14[[#This Row],[коэф]]),
IF(AND(G280="4/4",AM280&gt;2),(AM280*2*база!$I$5*Таблица14[[#This Row],[коэф]]),
IF(AND(G280="3/4",AM280&gt;2),(AM280*2*база!$I$4*Таблица14[[#This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(AM280*2*база!$L$4*Таблица14[[#This Row],[коэф]]))))))))))))),
(IF(AND(G280="5/24",AM280&gt;2),(AM280*2*база!$M$6*Таблица14[[#This Row],[коэф]]),
IF(OR(AND(G280="4/24",AM280&gt;2),AND(G280="3/24",AM280&gt;2)),(AM280*2*база!$M$5*Таблица14[[#This Row],[коэф]]),
IF(AND(G280="5/16",AM280&gt;2),(AM280*2*база!$L$6*Таблица14[[#This Row],[коэф]]),
IF(OR(AND(G280="4/16",AM280&gt;2),AND(G280="3/16",AM280&gt;2)),(AM280*2*база!$L$5*Таблица14[[#This Row],[коэф]]),
IF(OR(AND(G280="4/4",AM280&gt;2),AND(G280="3/4",AM280&gt;2)),(AM280*2*база!$I$5*Таблица14[[#This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(AM280*2*база!$L$5*Таблица14[[#This Row],[коэф]])))))))))))</f>
        <v>0</v>
      </c>
      <c r="AO280" s="114">
        <f>IFERROR(INDEX(база!$D$2:$D$120, MATCH(Таблица14[[#This Row],[Ф. И. О.]],база!$B$2:$B$100,0)),"")</f>
        <v>0</v>
      </c>
    </row>
    <row r="281" spans="1:45">
      <c r="A281" s="192"/>
      <c r="B281" s="189"/>
      <c r="C281" s="544"/>
      <c r="D281" s="199"/>
      <c r="E281" s="226"/>
      <c r="F281" s="679"/>
      <c r="G281" s="191"/>
      <c r="H281" s="200"/>
      <c r="I281" s="200"/>
      <c r="J281" s="200"/>
      <c r="K281" s="200"/>
      <c r="L281" s="200"/>
      <c r="M281" s="200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200"/>
      <c r="Y281" s="200"/>
      <c r="Z281" s="200"/>
      <c r="AA281" s="200"/>
      <c r="AB281" s="200"/>
      <c r="AC281" s="200"/>
      <c r="AD281" s="200"/>
      <c r="AE281" s="200"/>
      <c r="AF281" s="200"/>
      <c r="AG281" s="200"/>
      <c r="AH281" s="200"/>
      <c r="AI281" s="200"/>
      <c r="AJ281" s="200"/>
      <c r="AK281" s="200"/>
      <c r="AL281" s="200"/>
      <c r="AM281" s="113">
        <f t="shared" si="4"/>
        <v>0</v>
      </c>
      <c r="AN281" s="540">
        <f>IF(AO281&lt;=3,(IF(AND(G281="5/24",AM281&gt;2),(AM281*2*база!$M$6*Таблица14[[#This Row],[коэф]]),
IF(AND(G281="4/24",AM281&gt;2),(AM281*2*база!$M$5*Таблица14[[#This Row],[коэф]]),
IF(AND(G281="3/24",AM281&gt;2),(AM281*2*база!$M$4*Таблица14[[#This Row],[коэф]]),
IF(AND(G281="5/16",AM281&gt;2),(AM281*2*база!$L$6*Таблица14[[#This Row],[коэф]]),
IF(AND(G281="4/16",AM281&gt;2),(AM281*2*база!$L$5*Таблица14[[#This Row],[коэф]]),
IF(AND(G281="3/16",AM281&gt;2),(AM281*2*база!$L$4*Таблица14[[#This Row],[коэф]]),
IF(AND(G281="4/4",AM281&gt;2),(AM281*2*база!$I$5*Таблица14[[#This Row],[коэф]]),
IF(AND(G281="3/4",AM281&gt;2),(AM281*2*база!$I$4*Таблица14[[#This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(AM281*2*база!$L$4*Таблица14[[#This Row],[коэф]]))))))))))))),
(IF(AND(G281="5/24",AM281&gt;2),(AM281*2*база!$M$6*Таблица14[[#This Row],[коэф]]),
IF(OR(AND(G281="4/24",AM281&gt;2),AND(G281="3/24",AM281&gt;2)),(AM281*2*база!$M$5*Таблица14[[#This Row],[коэф]]),
IF(AND(G281="5/16",AM281&gt;2),(AM281*2*база!$L$6*Таблица14[[#This Row],[коэф]]),
IF(OR(AND(G281="4/16",AM281&gt;2),AND(G281="3/16",AM281&gt;2)),(AM281*2*база!$L$5*Таблица14[[#This Row],[коэф]]),
IF(OR(AND(G281="4/4",AM281&gt;2),AND(G281="3/4",AM281&gt;2)),(AM281*2*база!$I$5*Таблица14[[#This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(AM281*2*база!$L$5*Таблица14[[#This Row],[коэф]])))))))))))</f>
        <v>0</v>
      </c>
      <c r="AO281" s="114">
        <f>IFERROR(INDEX(база!$D$2:$D$120, MATCH(Таблица14[[#This Row],[Ф. И. О.]],база!$B$2:$B$100,0)),"")</f>
        <v>0</v>
      </c>
    </row>
    <row r="282" spans="1:45">
      <c r="A282" s="192"/>
      <c r="B282" s="223"/>
      <c r="C282" s="544"/>
      <c r="D282" s="199"/>
      <c r="E282" s="224"/>
      <c r="F282" s="679"/>
      <c r="G282" s="225"/>
      <c r="H282" s="200"/>
      <c r="I282" s="200"/>
      <c r="J282" s="200"/>
      <c r="K282" s="200"/>
      <c r="L282" s="200"/>
      <c r="M282" s="200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200"/>
      <c r="Y282" s="200"/>
      <c r="Z282" s="200"/>
      <c r="AA282" s="200"/>
      <c r="AB282" s="200"/>
      <c r="AC282" s="200"/>
      <c r="AD282" s="200"/>
      <c r="AE282" s="200"/>
      <c r="AF282" s="200"/>
      <c r="AG282" s="200"/>
      <c r="AH282" s="200"/>
      <c r="AI282" s="200"/>
      <c r="AJ282" s="200"/>
      <c r="AK282" s="200"/>
      <c r="AL282" s="200"/>
      <c r="AM282" s="113">
        <f t="shared" si="4"/>
        <v>0</v>
      </c>
      <c r="AN282" s="540">
        <f>IF(AO282&lt;=3,(IF(AND(G282="5/24",AM282&gt;2),(AM282*2*база!$M$6*Таблица14[[#This Row],[коэф]]),
IF(AND(G282="4/24",AM282&gt;2),(AM282*2*база!$M$5*Таблица14[[#This Row],[коэф]]),
IF(AND(G282="3/24",AM282&gt;2),(AM282*2*база!$M$4*Таблица14[[#This Row],[коэф]]),
IF(AND(G282="5/16",AM282&gt;2),(AM282*2*база!$L$6*Таблица14[[#This Row],[коэф]]),
IF(AND(G282="4/16",AM282&gt;2),(AM282*2*база!$L$5*Таблица14[[#This Row],[коэф]]),
IF(AND(G282="3/16",AM282&gt;2),(AM282*2*база!$L$4*Таблица14[[#This Row],[коэф]]),
IF(AND(G282="4/4",AM282&gt;2),(AM282*2*база!$I$5*Таблица14[[#This Row],[коэф]]),
IF(AND(G282="3/4",AM282&gt;2),(AM282*2*база!$I$4*Таблица14[[#This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(AM282*2*база!$L$4*Таблица14[[#This Row],[коэф]]))))))))))))),
(IF(AND(G282="5/24",AM282&gt;2),(AM282*2*база!$M$6*Таблица14[[#This Row],[коэф]]),
IF(OR(AND(G282="4/24",AM282&gt;2),AND(G282="3/24",AM282&gt;2)),(AM282*2*база!$M$5*Таблица14[[#This Row],[коэф]]),
IF(AND(G282="5/16",AM282&gt;2),(AM282*2*база!$L$6*Таблица14[[#This Row],[коэф]]),
IF(OR(AND(G282="4/16",AM282&gt;2),AND(G282="3/16",AM282&gt;2)),(AM282*2*база!$L$5*Таблица14[[#This Row],[коэф]]),
IF(OR(AND(G282="4/4",AM282&gt;2),AND(G282="3/4",AM282&gt;2)),(AM282*2*база!$I$5*Таблица14[[#This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(AM282*2*база!$L$5*Таблица14[[#This Row],[коэф]])))))))))))</f>
        <v>0</v>
      </c>
      <c r="AO282" s="114">
        <f>IFERROR(INDEX(база!$D$2:$D$120, MATCH(Таблица14[[#This Row],[Ф. И. О.]],база!$B$2:$B$100,0)),"")</f>
        <v>0</v>
      </c>
    </row>
    <row r="283" spans="1:45">
      <c r="A283" s="192"/>
      <c r="B283" s="189"/>
      <c r="C283" s="544"/>
      <c r="D283" s="199"/>
      <c r="E283" s="226"/>
      <c r="F283" s="679"/>
      <c r="G283" s="191"/>
      <c r="H283" s="200"/>
      <c r="I283" s="200"/>
      <c r="J283" s="200"/>
      <c r="K283" s="200"/>
      <c r="L283" s="200"/>
      <c r="M283" s="200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200"/>
      <c r="Y283" s="200"/>
      <c r="Z283" s="200"/>
      <c r="AA283" s="200"/>
      <c r="AB283" s="200"/>
      <c r="AC283" s="200"/>
      <c r="AD283" s="200"/>
      <c r="AE283" s="200"/>
      <c r="AF283" s="200"/>
      <c r="AG283" s="200"/>
      <c r="AH283" s="200"/>
      <c r="AI283" s="200"/>
      <c r="AJ283" s="200"/>
      <c r="AK283" s="200"/>
      <c r="AL283" s="200"/>
      <c r="AM283" s="113">
        <f t="shared" si="4"/>
        <v>0</v>
      </c>
      <c r="AN283" s="540">
        <f>IF(AO283&lt;=3,(IF(AND(G283="5/24",AM283&gt;2),(AM283*2*база!$M$6*Таблица14[[#This Row],[коэф]]),
IF(AND(G283="4/24",AM283&gt;2),(AM283*2*база!$M$5*Таблица14[[#This Row],[коэф]]),
IF(AND(G283="3/24",AM283&gt;2),(AM283*2*база!$M$4*Таблица14[[#This Row],[коэф]]),
IF(AND(G283="5/16",AM283&gt;2),(AM283*2*база!$L$6*Таблица14[[#This Row],[коэф]]),
IF(AND(G283="4/16",AM283&gt;2),(AM283*2*база!$L$5*Таблица14[[#This Row],[коэф]]),
IF(AND(G283="3/16",AM283&gt;2),(AM283*2*база!$L$4*Таблица14[[#This Row],[коэф]]),
IF(AND(G283="4/4",AM283&gt;2),(AM283*2*база!$I$5*Таблица14[[#This Row],[коэф]]),
IF(AND(G283="3/4",AM283&gt;2),(AM283*2*база!$I$4*Таблица14[[#This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(AM283*2*база!$L$4*Таблица14[[#This Row],[коэф]]))))))))))))),
(IF(AND(G283="5/24",AM283&gt;2),(AM283*2*база!$M$6*Таблица14[[#This Row],[коэф]]),
IF(OR(AND(G283="4/24",AM283&gt;2),AND(G283="3/24",AM283&gt;2)),(AM283*2*база!$M$5*Таблица14[[#This Row],[коэф]]),
IF(AND(G283="5/16",AM283&gt;2),(AM283*2*база!$L$6*Таблица14[[#This Row],[коэф]]),
IF(OR(AND(G283="4/16",AM283&gt;2),AND(G283="3/16",AM283&gt;2)),(AM283*2*база!$L$5*Таблица14[[#This Row],[коэф]]),
IF(OR(AND(G283="4/4",AM283&gt;2),AND(G283="3/4",AM283&gt;2)),(AM283*2*база!$I$5*Таблица14[[#This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(AM283*2*база!$L$5*Таблица14[[#This Row],[коэф]])))))))))))</f>
        <v>0</v>
      </c>
      <c r="AO283" s="114">
        <f>IFERROR(INDEX(база!$D$2:$D$120, MATCH(Таблица14[[#This Row],[Ф. И. О.]],база!$B$2:$B$100,0)),"")</f>
        <v>0</v>
      </c>
      <c r="AQ283" s="64"/>
    </row>
    <row r="284" spans="1:45" ht="15">
      <c r="A284" s="192"/>
      <c r="B284" s="223"/>
      <c r="C284" s="544"/>
      <c r="D284" s="199"/>
      <c r="E284" s="224"/>
      <c r="F284" s="679"/>
      <c r="G284" s="225"/>
      <c r="H284" s="200"/>
      <c r="I284" s="200"/>
      <c r="J284" s="200"/>
      <c r="K284" s="200"/>
      <c r="L284" s="200"/>
      <c r="M284" s="200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200"/>
      <c r="Y284" s="200"/>
      <c r="Z284" s="200"/>
      <c r="AA284" s="200"/>
      <c r="AB284" s="200"/>
      <c r="AC284" s="200"/>
      <c r="AD284" s="200"/>
      <c r="AE284" s="200"/>
      <c r="AF284" s="200"/>
      <c r="AG284" s="200"/>
      <c r="AH284" s="200"/>
      <c r="AI284" s="200"/>
      <c r="AJ284" s="200"/>
      <c r="AK284" s="200"/>
      <c r="AL284" s="200"/>
      <c r="AM284" s="113">
        <f t="shared" si="4"/>
        <v>0</v>
      </c>
      <c r="AN284" s="540">
        <f>IF(AO284&lt;=3,(IF(AND(G284="5/24",AM284&gt;2),(AM284*2*база!$M$6*Таблица14[[#This Row],[коэф]]),
IF(AND(G284="4/24",AM284&gt;2),(AM284*2*база!$M$5*Таблица14[[#This Row],[коэф]]),
IF(AND(G284="3/24",AM284&gt;2),(AM284*2*база!$M$4*Таблица14[[#This Row],[коэф]]),
IF(AND(G284="5/16",AM284&gt;2),(AM284*2*база!$L$6*Таблица14[[#This Row],[коэф]]),
IF(AND(G284="4/16",AM284&gt;2),(AM284*2*база!$L$5*Таблица14[[#This Row],[коэф]]),
IF(AND(G284="3/16",AM284&gt;2),(AM284*2*база!$L$4*Таблица14[[#This Row],[коэф]]),
IF(AND(G284="4/4",AM284&gt;2),(AM284*2*база!$I$5*Таблица14[[#This Row],[коэф]]),
IF(AND(G284="3/4",AM284&gt;2),(AM284*2*база!$I$4*Таблица14[[#This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(AM284*2*база!$L$4*Таблица14[[#This Row],[коэф]]))))))))))))),
(IF(AND(G284="5/24",AM284&gt;2),(AM284*2*база!$M$6*Таблица14[[#This Row],[коэф]]),
IF(OR(AND(G284="4/24",AM284&gt;2),AND(G284="3/24",AM284&gt;2)),(AM284*2*база!$M$5*Таблица14[[#This Row],[коэф]]),
IF(AND(G284="5/16",AM284&gt;2),(AM284*2*база!$L$6*Таблица14[[#This Row],[коэф]]),
IF(OR(AND(G284="4/16",AM284&gt;2),AND(G284="3/16",AM284&gt;2)),(AM284*2*база!$L$5*Таблица14[[#This Row],[коэф]]),
IF(OR(AND(G284="4/4",AM284&gt;2),AND(G284="3/4",AM284&gt;2)),(AM284*2*база!$I$5*Таблица14[[#This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(AM284*2*база!$L$5*Таблица14[[#This Row],[коэф]])))))))))))</f>
        <v>0</v>
      </c>
      <c r="AO284" s="114">
        <f>IFERROR(INDEX(база!$D$2:$D$120, MATCH(Таблица14[[#This Row],[Ф. И. О.]],база!$B$2:$B$100,0)),"")</f>
        <v>0</v>
      </c>
      <c r="AQ284" s="103"/>
    </row>
    <row r="285" spans="1:45" ht="15">
      <c r="A285" s="192"/>
      <c r="B285" s="189"/>
      <c r="C285" s="544"/>
      <c r="D285" s="199"/>
      <c r="E285" s="226"/>
      <c r="F285" s="679"/>
      <c r="G285" s="191"/>
      <c r="H285" s="200"/>
      <c r="I285" s="200"/>
      <c r="J285" s="200"/>
      <c r="K285" s="200"/>
      <c r="L285" s="200"/>
      <c r="M285" s="200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200"/>
      <c r="Y285" s="200"/>
      <c r="Z285" s="200"/>
      <c r="AA285" s="200"/>
      <c r="AB285" s="200"/>
      <c r="AC285" s="200"/>
      <c r="AD285" s="200"/>
      <c r="AE285" s="200"/>
      <c r="AF285" s="200"/>
      <c r="AG285" s="200"/>
      <c r="AH285" s="200"/>
      <c r="AI285" s="200"/>
      <c r="AJ285" s="200"/>
      <c r="AK285" s="200"/>
      <c r="AL285" s="200"/>
      <c r="AM285" s="113">
        <f t="shared" si="4"/>
        <v>0</v>
      </c>
      <c r="AN285" s="540">
        <f>IF(AO285&lt;=3,(IF(AND(G285="5/24",AM285&gt;2),(AM285*2*база!$M$6*Таблица14[[#This Row],[коэф]]),
IF(AND(G285="4/24",AM285&gt;2),(AM285*2*база!$M$5*Таблица14[[#This Row],[коэф]]),
IF(AND(G285="3/24",AM285&gt;2),(AM285*2*база!$M$4*Таблица14[[#This Row],[коэф]]),
IF(AND(G285="5/16",AM285&gt;2),(AM285*2*база!$L$6*Таблица14[[#This Row],[коэф]]),
IF(AND(G285="4/16",AM285&gt;2),(AM285*2*база!$L$5*Таблица14[[#This Row],[коэф]]),
IF(AND(G285="3/16",AM285&gt;2),(AM285*2*база!$L$4*Таблица14[[#This Row],[коэф]]),
IF(AND(G285="4/4",AM285&gt;2),(AM285*2*база!$I$5*Таблица14[[#This Row],[коэф]]),
IF(AND(G285="3/4",AM285&gt;2),(AM285*2*база!$I$4*Таблица14[[#This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(AM285*2*база!$L$4*Таблица14[[#This Row],[коэф]]))))))))))))),
(IF(AND(G285="5/24",AM285&gt;2),(AM285*2*база!$M$6*Таблица14[[#This Row],[коэф]]),
IF(OR(AND(G285="4/24",AM285&gt;2),AND(G285="3/24",AM285&gt;2)),(AM285*2*база!$M$5*Таблица14[[#This Row],[коэф]]),
IF(AND(G285="5/16",AM285&gt;2),(AM285*2*база!$L$6*Таблица14[[#This Row],[коэф]]),
IF(OR(AND(G285="4/16",AM285&gt;2),AND(G285="3/16",AM285&gt;2)),(AM285*2*база!$L$5*Таблица14[[#This Row],[коэф]]),
IF(OR(AND(G285="4/4",AM285&gt;2),AND(G285="3/4",AM285&gt;2)),(AM285*2*база!$I$5*Таблица14[[#This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(AM285*2*база!$L$5*Таблица14[[#This Row],[коэф]])))))))))))</f>
        <v>0</v>
      </c>
      <c r="AO285" s="114">
        <f>IFERROR(INDEX(база!$D$2:$D$120, MATCH(Таблица14[[#This Row],[Ф. И. О.]],база!$B$2:$B$100,0)),"")</f>
        <v>0</v>
      </c>
      <c r="AQ285" s="103"/>
    </row>
    <row r="286" spans="1:45" ht="15.75">
      <c r="A286" s="192"/>
      <c r="B286" s="223"/>
      <c r="C286" s="544"/>
      <c r="D286" s="199"/>
      <c r="E286" s="224"/>
      <c r="F286" s="679"/>
      <c r="G286" s="225"/>
      <c r="H286" s="200"/>
      <c r="I286" s="200"/>
      <c r="J286" s="200"/>
      <c r="K286" s="200"/>
      <c r="L286" s="200"/>
      <c r="M286" s="200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200"/>
      <c r="Y286" s="200"/>
      <c r="Z286" s="200"/>
      <c r="AA286" s="200"/>
      <c r="AB286" s="200"/>
      <c r="AC286" s="200"/>
      <c r="AD286" s="200"/>
      <c r="AE286" s="200"/>
      <c r="AF286" s="200"/>
      <c r="AG286" s="200"/>
      <c r="AH286" s="200"/>
      <c r="AI286" s="200"/>
      <c r="AJ286" s="200"/>
      <c r="AK286" s="200"/>
      <c r="AL286" s="200"/>
      <c r="AM286" s="113">
        <f t="shared" si="4"/>
        <v>0</v>
      </c>
      <c r="AN286" s="540">
        <f>IF(AO286&lt;=3,(IF(AND(G286="5/24",AM286&gt;2),(AM286*2*база!$M$6*Таблица14[[#This Row],[коэф]]),
IF(AND(G286="4/24",AM286&gt;2),(AM286*2*база!$M$5*Таблица14[[#This Row],[коэф]]),
IF(AND(G286="3/24",AM286&gt;2),(AM286*2*база!$M$4*Таблица14[[#This Row],[коэф]]),
IF(AND(G286="5/16",AM286&gt;2),(AM286*2*база!$L$6*Таблица14[[#This Row],[коэф]]),
IF(AND(G286="4/16",AM286&gt;2),(AM286*2*база!$L$5*Таблица14[[#This Row],[коэф]]),
IF(AND(G286="3/16",AM286&gt;2),(AM286*2*база!$L$4*Таблица14[[#This Row],[коэф]]),
IF(AND(G286="4/4",AM286&gt;2),(AM286*2*база!$I$5*Таблица14[[#This Row],[коэф]]),
IF(AND(G286="3/4",AM286&gt;2),(AM286*2*база!$I$4*Таблица14[[#This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(AM286*2*база!$L$4*Таблица14[[#This Row],[коэф]]))))))))))))),
(IF(AND(G286="5/24",AM286&gt;2),(AM286*2*база!$M$6*Таблица14[[#This Row],[коэф]]),
IF(OR(AND(G286="4/24",AM286&gt;2),AND(G286="3/24",AM286&gt;2)),(AM286*2*база!$M$5*Таблица14[[#This Row],[коэф]]),
IF(AND(G286="5/16",AM286&gt;2),(AM286*2*база!$L$6*Таблица14[[#This Row],[коэф]]),
IF(OR(AND(G286="4/16",AM286&gt;2),AND(G286="3/16",AM286&gt;2)),(AM286*2*база!$L$5*Таблица14[[#This Row],[коэф]]),
IF(OR(AND(G286="4/4",AM286&gt;2),AND(G286="3/4",AM286&gt;2)),(AM286*2*база!$I$5*Таблица14[[#This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(AM286*2*база!$L$5*Таблица14[[#This Row],[коэф]])))))))))))</f>
        <v>0</v>
      </c>
      <c r="AO286" s="114">
        <f>IFERROR(INDEX(база!$D$2:$D$120, MATCH(Таблица14[[#This Row],[Ф. И. О.]],база!$B$2:$B$100,0)),"")</f>
        <v>0</v>
      </c>
      <c r="AP286" s="104"/>
      <c r="AQ286" s="105"/>
      <c r="AS286" s="103"/>
    </row>
    <row r="287" spans="1:45">
      <c r="A287" s="192"/>
      <c r="B287" s="189"/>
      <c r="C287" s="544"/>
      <c r="D287" s="199"/>
      <c r="E287" s="226"/>
      <c r="F287" s="679"/>
      <c r="G287" s="191"/>
      <c r="H287" s="200"/>
      <c r="I287" s="200"/>
      <c r="J287" s="200"/>
      <c r="K287" s="200"/>
      <c r="L287" s="200"/>
      <c r="M287" s="200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200"/>
      <c r="Y287" s="200"/>
      <c r="Z287" s="200"/>
      <c r="AA287" s="200"/>
      <c r="AB287" s="200"/>
      <c r="AC287" s="200"/>
      <c r="AD287" s="200"/>
      <c r="AE287" s="200"/>
      <c r="AF287" s="200"/>
      <c r="AG287" s="200"/>
      <c r="AH287" s="200"/>
      <c r="AI287" s="200"/>
      <c r="AJ287" s="200"/>
      <c r="AK287" s="200"/>
      <c r="AL287" s="200"/>
      <c r="AM287" s="113">
        <f t="shared" si="4"/>
        <v>0</v>
      </c>
      <c r="AN287" s="540">
        <f>IF(AO287&lt;=3,(IF(AND(G287="5/24",AM287&gt;2),(AM287*2*база!$M$6*Таблица14[[#This Row],[коэф]]),
IF(AND(G287="4/24",AM287&gt;2),(AM287*2*база!$M$5*Таблица14[[#This Row],[коэф]]),
IF(AND(G287="3/24",AM287&gt;2),(AM287*2*база!$M$4*Таблица14[[#This Row],[коэф]]),
IF(AND(G287="5/16",AM287&gt;2),(AM287*2*база!$L$6*Таблица14[[#This Row],[коэф]]),
IF(AND(G287="4/16",AM287&gt;2),(AM287*2*база!$L$5*Таблица14[[#This Row],[коэф]]),
IF(AND(G287="3/16",AM287&gt;2),(AM287*2*база!$L$4*Таблица14[[#This Row],[коэф]]),
IF(AND(G287="4/4",AM287&gt;2),(AM287*2*база!$I$5*Таблица14[[#This Row],[коэф]]),
IF(AND(G287="3/4",AM287&gt;2),(AM287*2*база!$I$4*Таблица14[[#This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(AM287*2*база!$L$4*Таблица14[[#This Row],[коэф]]))))))))))))),
(IF(AND(G287="5/24",AM287&gt;2),(AM287*2*база!$M$6*Таблица14[[#This Row],[коэф]]),
IF(OR(AND(G287="4/24",AM287&gt;2),AND(G287="3/24",AM287&gt;2)),(AM287*2*база!$M$5*Таблица14[[#This Row],[коэф]]),
IF(AND(G287="5/16",AM287&gt;2),(AM287*2*база!$L$6*Таблица14[[#This Row],[коэф]]),
IF(OR(AND(G287="4/16",AM287&gt;2),AND(G287="3/16",AM287&gt;2)),(AM287*2*база!$L$5*Таблица14[[#This Row],[коэф]]),
IF(OR(AND(G287="4/4",AM287&gt;2),AND(G287="3/4",AM287&gt;2)),(AM287*2*база!$I$5*Таблица14[[#This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(AM287*2*база!$L$5*Таблица14[[#This Row],[коэф]])))))))))))</f>
        <v>0</v>
      </c>
      <c r="AO287" s="114">
        <f>IFERROR(INDEX(база!$D$2:$D$120, MATCH(Таблица14[[#This Row],[Ф. И. О.]],база!$B$2:$B$100,0)),"")</f>
        <v>0</v>
      </c>
    </row>
    <row r="288" spans="1:45">
      <c r="A288" s="192"/>
      <c r="B288" s="223"/>
      <c r="C288" s="544"/>
      <c r="D288" s="199"/>
      <c r="E288" s="224"/>
      <c r="F288" s="679"/>
      <c r="G288" s="225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200"/>
      <c r="Y288" s="200"/>
      <c r="Z288" s="200"/>
      <c r="AA288" s="200"/>
      <c r="AB288" s="200"/>
      <c r="AC288" s="200"/>
      <c r="AD288" s="200"/>
      <c r="AE288" s="200"/>
      <c r="AF288" s="200"/>
      <c r="AG288" s="200"/>
      <c r="AH288" s="200"/>
      <c r="AI288" s="200"/>
      <c r="AJ288" s="200"/>
      <c r="AK288" s="200"/>
      <c r="AL288" s="200"/>
      <c r="AM288" s="113">
        <f t="shared" si="4"/>
        <v>0</v>
      </c>
      <c r="AN288" s="540">
        <f>IF(AO288&lt;=3,(IF(AND(G288="5/24",AM288&gt;2),(AM288*2*база!$M$6*Таблица14[[#This Row],[коэф]]),
IF(AND(G288="4/24",AM288&gt;2),(AM288*2*база!$M$5*Таблица14[[#This Row],[коэф]]),
IF(AND(G288="3/24",AM288&gt;2),(AM288*2*база!$M$4*Таблица14[[#This Row],[коэф]]),
IF(AND(G288="5/16",AM288&gt;2),(AM288*2*база!$L$6*Таблица14[[#This Row],[коэф]]),
IF(AND(G288="4/16",AM288&gt;2),(AM288*2*база!$L$5*Таблица14[[#This Row],[коэф]]),
IF(AND(G288="3/16",AM288&gt;2),(AM288*2*база!$L$4*Таблица14[[#This Row],[коэф]]),
IF(AND(G288="4/4",AM288&gt;2),(AM288*2*база!$I$5*Таблица14[[#This Row],[коэф]]),
IF(AND(G288="3/4",AM288&gt;2),(AM288*2*база!$I$4*Таблица14[[#This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(AM288*2*база!$L$4*Таблица14[[#This Row],[коэф]]))))))))))))),
(IF(AND(G288="5/24",AM288&gt;2),(AM288*2*база!$M$6*Таблица14[[#This Row],[коэф]]),
IF(OR(AND(G288="4/24",AM288&gt;2),AND(G288="3/24",AM288&gt;2)),(AM288*2*база!$M$5*Таблица14[[#This Row],[коэф]]),
IF(AND(G288="5/16",AM288&gt;2),(AM288*2*база!$L$6*Таблица14[[#This Row],[коэф]]),
IF(OR(AND(G288="4/16",AM288&gt;2),AND(G288="3/16",AM288&gt;2)),(AM288*2*база!$L$5*Таблица14[[#This Row],[коэф]]),
IF(OR(AND(G288="4/4",AM288&gt;2),AND(G288="3/4",AM288&gt;2)),(AM288*2*база!$I$5*Таблица14[[#This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(AM288*2*база!$L$5*Таблица14[[#This Row],[коэф]])))))))))))</f>
        <v>0</v>
      </c>
      <c r="AO288" s="114">
        <f>IFERROR(INDEX(база!$D$2:$D$120, MATCH(Таблица14[[#This Row],[Ф. И. О.]],база!$B$2:$B$100,0)),"")</f>
        <v>0</v>
      </c>
    </row>
    <row r="289" spans="1:41">
      <c r="A289" s="192"/>
      <c r="B289" s="189"/>
      <c r="C289" s="544"/>
      <c r="D289" s="199"/>
      <c r="E289" s="226"/>
      <c r="F289" s="679"/>
      <c r="G289" s="191"/>
      <c r="H289" s="200"/>
      <c r="I289" s="200"/>
      <c r="J289" s="200"/>
      <c r="K289" s="200"/>
      <c r="L289" s="200"/>
      <c r="M289" s="200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200"/>
      <c r="Y289" s="200"/>
      <c r="Z289" s="200"/>
      <c r="AA289" s="200"/>
      <c r="AB289" s="200"/>
      <c r="AC289" s="200"/>
      <c r="AD289" s="200"/>
      <c r="AE289" s="200"/>
      <c r="AF289" s="200"/>
      <c r="AG289" s="200"/>
      <c r="AH289" s="200"/>
      <c r="AI289" s="200"/>
      <c r="AJ289" s="200"/>
      <c r="AK289" s="200"/>
      <c r="AL289" s="200"/>
      <c r="AM289" s="113">
        <f t="shared" si="4"/>
        <v>0</v>
      </c>
      <c r="AN289" s="540">
        <f>IF(AO289&lt;=3,(IF(AND(G289="5/24",AM289&gt;2),(AM289*2*база!$M$6*Таблица14[[#This Row],[коэф]]),
IF(AND(G289="4/24",AM289&gt;2),(AM289*2*база!$M$5*Таблица14[[#This Row],[коэф]]),
IF(AND(G289="3/24",AM289&gt;2),(AM289*2*база!$M$4*Таблица14[[#This Row],[коэф]]),
IF(AND(G289="5/16",AM289&gt;2),(AM289*2*база!$L$6*Таблица14[[#This Row],[коэф]]),
IF(AND(G289="4/16",AM289&gt;2),(AM289*2*база!$L$5*Таблица14[[#This Row],[коэф]]),
IF(AND(G289="3/16",AM289&gt;2),(AM289*2*база!$L$4*Таблица14[[#This Row],[коэф]]),
IF(AND(G289="4/4",AM289&gt;2),(AM289*2*база!$I$5*Таблица14[[#This Row],[коэф]]),
IF(AND(G289="3/4",AM289&gt;2),(AM289*2*база!$I$4*Таблица14[[#This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(AM289*2*база!$L$4*Таблица14[[#This Row],[коэф]]))))))))))))),
(IF(AND(G289="5/24",AM289&gt;2),(AM289*2*база!$M$6*Таблица14[[#This Row],[коэф]]),
IF(OR(AND(G289="4/24",AM289&gt;2),AND(G289="3/24",AM289&gt;2)),(AM289*2*база!$M$5*Таблица14[[#This Row],[коэф]]),
IF(AND(G289="5/16",AM289&gt;2),(AM289*2*база!$L$6*Таблица14[[#This Row],[коэф]]),
IF(OR(AND(G289="4/16",AM289&gt;2),AND(G289="3/16",AM289&gt;2)),(AM289*2*база!$L$5*Таблица14[[#This Row],[коэф]]),
IF(OR(AND(G289="4/4",AM289&gt;2),AND(G289="3/4",AM289&gt;2)),(AM289*2*база!$I$5*Таблица14[[#This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(AM289*2*база!$L$5*Таблица14[[#This Row],[коэф]])))))))))))</f>
        <v>0</v>
      </c>
      <c r="AO289" s="114">
        <f>IFERROR(INDEX(база!$D$2:$D$120, MATCH(Таблица14[[#This Row],[Ф. И. О.]],база!$B$2:$B$100,0)),"")</f>
        <v>0</v>
      </c>
    </row>
    <row r="290" spans="1:41">
      <c r="A290" s="192"/>
      <c r="B290" s="223"/>
      <c r="C290" s="544"/>
      <c r="D290" s="199"/>
      <c r="E290" s="224"/>
      <c r="F290" s="679"/>
      <c r="G290" s="225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200"/>
      <c r="Y290" s="200"/>
      <c r="Z290" s="200"/>
      <c r="AA290" s="200"/>
      <c r="AB290" s="200"/>
      <c r="AC290" s="200"/>
      <c r="AD290" s="200"/>
      <c r="AE290" s="200"/>
      <c r="AF290" s="200"/>
      <c r="AG290" s="200"/>
      <c r="AH290" s="200"/>
      <c r="AI290" s="200"/>
      <c r="AJ290" s="200"/>
      <c r="AK290" s="200"/>
      <c r="AL290" s="200"/>
      <c r="AM290" s="113">
        <f t="shared" si="4"/>
        <v>0</v>
      </c>
      <c r="AN290" s="540">
        <f>IF(AO290&lt;=3,(IF(AND(G290="5/24",AM290&gt;2),(AM290*2*база!$M$6*Таблица14[[#This Row],[коэф]]),
IF(AND(G290="4/24",AM290&gt;2),(AM290*2*база!$M$5*Таблица14[[#This Row],[коэф]]),
IF(AND(G290="3/24",AM290&gt;2),(AM290*2*база!$M$4*Таблица14[[#This Row],[коэф]]),
IF(AND(G290="5/16",AM290&gt;2),(AM290*2*база!$L$6*Таблица14[[#This Row],[коэф]]),
IF(AND(G290="4/16",AM290&gt;2),(AM290*2*база!$L$5*Таблица14[[#This Row],[коэф]]),
IF(AND(G290="3/16",AM290&gt;2),(AM290*2*база!$L$4*Таблица14[[#This Row],[коэф]]),
IF(AND(G290="4/4",AM290&gt;2),(AM290*2*база!$I$5*Таблица14[[#This Row],[коэф]]),
IF(AND(G290="3/4",AM290&gt;2),(AM290*2*база!$I$4*Таблица14[[#This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(AM290*2*база!$L$4*Таблица14[[#This Row],[коэф]]))))))))))))),
(IF(AND(G290="5/24",AM290&gt;2),(AM290*2*база!$M$6*Таблица14[[#This Row],[коэф]]),
IF(OR(AND(G290="4/24",AM290&gt;2),AND(G290="3/24",AM290&gt;2)),(AM290*2*база!$M$5*Таблица14[[#This Row],[коэф]]),
IF(AND(G290="5/16",AM290&gt;2),(AM290*2*база!$L$6*Таблица14[[#This Row],[коэф]]),
IF(OR(AND(G290="4/16",AM290&gt;2),AND(G290="3/16",AM290&gt;2)),(AM290*2*база!$L$5*Таблица14[[#This Row],[коэф]]),
IF(OR(AND(G290="4/4",AM290&gt;2),AND(G290="3/4",AM290&gt;2)),(AM290*2*база!$I$5*Таблица14[[#This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(AM290*2*база!$L$5*Таблица14[[#This Row],[коэф]])))))))))))</f>
        <v>0</v>
      </c>
      <c r="AO290" s="114">
        <f>IFERROR(INDEX(база!$D$2:$D$120, MATCH(Таблица14[[#This Row],[Ф. И. О.]],база!$B$2:$B$100,0)),"")</f>
        <v>0</v>
      </c>
    </row>
    <row r="291" spans="1:41">
      <c r="A291" s="192"/>
      <c r="B291" s="189"/>
      <c r="C291" s="544"/>
      <c r="D291" s="199"/>
      <c r="E291" s="226"/>
      <c r="F291" s="679"/>
      <c r="G291" s="191"/>
      <c r="H291" s="200"/>
      <c r="I291" s="200"/>
      <c r="J291" s="200"/>
      <c r="K291" s="200"/>
      <c r="L291" s="200"/>
      <c r="M291" s="200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200"/>
      <c r="Y291" s="200"/>
      <c r="Z291" s="200"/>
      <c r="AA291" s="200"/>
      <c r="AB291" s="200"/>
      <c r="AC291" s="200"/>
      <c r="AD291" s="200"/>
      <c r="AE291" s="200"/>
      <c r="AF291" s="200"/>
      <c r="AG291" s="200"/>
      <c r="AH291" s="200"/>
      <c r="AI291" s="200"/>
      <c r="AJ291" s="200"/>
      <c r="AK291" s="200"/>
      <c r="AL291" s="200"/>
      <c r="AM291" s="113">
        <f t="shared" si="4"/>
        <v>0</v>
      </c>
      <c r="AN291" s="540">
        <f>IF(AO291&lt;=3,(IF(AND(G291="5/24",AM291&gt;2),(AM291*2*база!$M$6*Таблица14[[#This Row],[коэф]]),
IF(AND(G291="4/24",AM291&gt;2),(AM291*2*база!$M$5*Таблица14[[#This Row],[коэф]]),
IF(AND(G291="3/24",AM291&gt;2),(AM291*2*база!$M$4*Таблица14[[#This Row],[коэф]]),
IF(AND(G291="5/16",AM291&gt;2),(AM291*2*база!$L$6*Таблица14[[#This Row],[коэф]]),
IF(AND(G291="4/16",AM291&gt;2),(AM291*2*база!$L$5*Таблица14[[#This Row],[коэф]]),
IF(AND(G291="3/16",AM291&gt;2),(AM291*2*база!$L$4*Таблица14[[#This Row],[коэф]]),
IF(AND(G291="4/4",AM291&gt;2),(AM291*2*база!$I$5*Таблица14[[#This Row],[коэф]]),
IF(AND(G291="3/4",AM291&gt;2),(AM291*2*база!$I$4*Таблица14[[#This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(AM291*2*база!$L$4*Таблица14[[#This Row],[коэф]]))))))))))))),
(IF(AND(G291="5/24",AM291&gt;2),(AM291*2*база!$M$6*Таблица14[[#This Row],[коэф]]),
IF(OR(AND(G291="4/24",AM291&gt;2),AND(G291="3/24",AM291&gt;2)),(AM291*2*база!$M$5*Таблица14[[#This Row],[коэф]]),
IF(AND(G291="5/16",AM291&gt;2),(AM291*2*база!$L$6*Таблица14[[#This Row],[коэф]]),
IF(OR(AND(G291="4/16",AM291&gt;2),AND(G291="3/16",AM291&gt;2)),(AM291*2*база!$L$5*Таблица14[[#This Row],[коэф]]),
IF(OR(AND(G291="4/4",AM291&gt;2),AND(G291="3/4",AM291&gt;2)),(AM291*2*база!$I$5*Таблица14[[#This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(AM291*2*база!$L$5*Таблица14[[#This Row],[коэф]])))))))))))</f>
        <v>0</v>
      </c>
      <c r="AO291" s="114">
        <f>IFERROR(INDEX(база!$D$2:$D$120, MATCH(Таблица14[[#This Row],[Ф. И. О.]],база!$B$2:$B$100,0)),"")</f>
        <v>0</v>
      </c>
    </row>
    <row r="292" spans="1:41">
      <c r="A292" s="192"/>
      <c r="B292" s="223"/>
      <c r="C292" s="544"/>
      <c r="D292" s="199"/>
      <c r="E292" s="224"/>
      <c r="F292" s="679"/>
      <c r="G292" s="225"/>
      <c r="H292" s="200"/>
      <c r="I292" s="200"/>
      <c r="J292" s="200"/>
      <c r="K292" s="200"/>
      <c r="L292" s="200"/>
      <c r="M292" s="200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200"/>
      <c r="Y292" s="200"/>
      <c r="Z292" s="200"/>
      <c r="AA292" s="200"/>
      <c r="AB292" s="200"/>
      <c r="AC292" s="200"/>
      <c r="AD292" s="200"/>
      <c r="AE292" s="200"/>
      <c r="AF292" s="200"/>
      <c r="AG292" s="200"/>
      <c r="AH292" s="200"/>
      <c r="AI292" s="200"/>
      <c r="AJ292" s="200"/>
      <c r="AK292" s="200"/>
      <c r="AL292" s="200"/>
      <c r="AM292" s="113">
        <f t="shared" si="4"/>
        <v>0</v>
      </c>
      <c r="AN292" s="540">
        <f>IF(AO292&lt;=3,(IF(AND(G292="5/24",AM292&gt;2),(AM292*2*база!$M$6*Таблица14[[#This Row],[коэф]]),
IF(AND(G292="4/24",AM292&gt;2),(AM292*2*база!$M$5*Таблица14[[#This Row],[коэф]]),
IF(AND(G292="3/24",AM292&gt;2),(AM292*2*база!$M$4*Таблица14[[#This Row],[коэф]]),
IF(AND(G292="5/16",AM292&gt;2),(AM292*2*база!$L$6*Таблица14[[#This Row],[коэф]]),
IF(AND(G292="4/16",AM292&gt;2),(AM292*2*база!$L$5*Таблица14[[#This Row],[коэф]]),
IF(AND(G292="3/16",AM292&gt;2),(AM292*2*база!$L$4*Таблица14[[#This Row],[коэф]]),
IF(AND(G292="4/4",AM292&gt;2),(AM292*2*база!$I$5*Таблица14[[#This Row],[коэф]]),
IF(AND(G292="3/4",AM292&gt;2),(AM292*2*база!$I$4*Таблица14[[#This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(AM292*2*база!$L$4*Таблица14[[#This Row],[коэф]]))))))))))))),
(IF(AND(G292="5/24",AM292&gt;2),(AM292*2*база!$M$6*Таблица14[[#This Row],[коэф]]),
IF(OR(AND(G292="4/24",AM292&gt;2),AND(G292="3/24",AM292&gt;2)),(AM292*2*база!$M$5*Таблица14[[#This Row],[коэф]]),
IF(AND(G292="5/16",AM292&gt;2),(AM292*2*база!$L$6*Таблица14[[#This Row],[коэф]]),
IF(OR(AND(G292="4/16",AM292&gt;2),AND(G292="3/16",AM292&gt;2)),(AM292*2*база!$L$5*Таблица14[[#This Row],[коэф]]),
IF(OR(AND(G292="4/4",AM292&gt;2),AND(G292="3/4",AM292&gt;2)),(AM292*2*база!$I$5*Таблица14[[#This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(AM292*2*база!$L$5*Таблица14[[#This Row],[коэф]])))))))))))</f>
        <v>0</v>
      </c>
      <c r="AO292" s="114">
        <f>IFERROR(INDEX(база!$D$2:$D$120, MATCH(Таблица14[[#This Row],[Ф. И. О.]],база!$B$2:$B$100,0)),"")</f>
        <v>0</v>
      </c>
    </row>
    <row r="293" spans="1:41">
      <c r="A293" s="192"/>
      <c r="B293" s="189"/>
      <c r="C293" s="544"/>
      <c r="D293" s="199"/>
      <c r="E293" s="226"/>
      <c r="F293" s="679"/>
      <c r="G293" s="191"/>
      <c r="H293" s="200"/>
      <c r="I293" s="200"/>
      <c r="J293" s="200"/>
      <c r="K293" s="200"/>
      <c r="L293" s="200"/>
      <c r="M293" s="200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200"/>
      <c r="Y293" s="200"/>
      <c r="Z293" s="200"/>
      <c r="AA293" s="200"/>
      <c r="AB293" s="200"/>
      <c r="AC293" s="200"/>
      <c r="AD293" s="200"/>
      <c r="AE293" s="200"/>
      <c r="AF293" s="200"/>
      <c r="AG293" s="200"/>
      <c r="AH293" s="200"/>
      <c r="AI293" s="200"/>
      <c r="AJ293" s="200"/>
      <c r="AK293" s="200"/>
      <c r="AL293" s="200"/>
      <c r="AM293" s="113">
        <f t="shared" si="4"/>
        <v>0</v>
      </c>
      <c r="AN293" s="540">
        <f>IF(AO293&lt;=3,(IF(AND(G293="5/24",AM293&gt;2),(AM293*2*база!$M$6*Таблица14[[#This Row],[коэф]]),
IF(AND(G293="4/24",AM293&gt;2),(AM293*2*база!$M$5*Таблица14[[#This Row],[коэф]]),
IF(AND(G293="3/24",AM293&gt;2),(AM293*2*база!$M$4*Таблица14[[#This Row],[коэф]]),
IF(AND(G293="5/16",AM293&gt;2),(AM293*2*база!$L$6*Таблица14[[#This Row],[коэф]]),
IF(AND(G293="4/16",AM293&gt;2),(AM293*2*база!$L$5*Таблица14[[#This Row],[коэф]]),
IF(AND(G293="3/16",AM293&gt;2),(AM293*2*база!$L$4*Таблица14[[#This Row],[коэф]]),
IF(AND(G293="4/4",AM293&gt;2),(AM293*2*база!$I$5*Таблица14[[#This Row],[коэф]]),
IF(AND(G293="3/4",AM293&gt;2),(AM293*2*база!$I$4*Таблица14[[#This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(AM293*2*база!$L$4*Таблица14[[#This Row],[коэф]]))))))))))))),
(IF(AND(G293="5/24",AM293&gt;2),(AM293*2*база!$M$6*Таблица14[[#This Row],[коэф]]),
IF(OR(AND(G293="4/24",AM293&gt;2),AND(G293="3/24",AM293&gt;2)),(AM293*2*база!$M$5*Таблица14[[#This Row],[коэф]]),
IF(AND(G293="5/16",AM293&gt;2),(AM293*2*база!$L$6*Таблица14[[#This Row],[коэф]]),
IF(OR(AND(G293="4/16",AM293&gt;2),AND(G293="3/16",AM293&gt;2)),(AM293*2*база!$L$5*Таблица14[[#This Row],[коэф]]),
IF(OR(AND(G293="4/4",AM293&gt;2),AND(G293="3/4",AM293&gt;2)),(AM293*2*база!$I$5*Таблица14[[#This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(AM293*2*база!$L$5*Таблица14[[#This Row],[коэф]])))))))))))</f>
        <v>0</v>
      </c>
      <c r="AO293" s="114">
        <f>IFERROR(INDEX(база!$D$2:$D$120, MATCH(Таблица14[[#This Row],[Ф. И. О.]],база!$B$2:$B$100,0)),"")</f>
        <v>0</v>
      </c>
    </row>
    <row r="294" spans="1:41">
      <c r="A294" s="192"/>
      <c r="B294" s="223"/>
      <c r="C294" s="544"/>
      <c r="D294" s="199"/>
      <c r="E294" s="224"/>
      <c r="F294" s="679"/>
      <c r="G294" s="225"/>
      <c r="H294" s="200"/>
      <c r="I294" s="200"/>
      <c r="J294" s="200"/>
      <c r="K294" s="200"/>
      <c r="L294" s="200"/>
      <c r="M294" s="200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200"/>
      <c r="Y294" s="200"/>
      <c r="Z294" s="200"/>
      <c r="AA294" s="200"/>
      <c r="AB294" s="200"/>
      <c r="AC294" s="200"/>
      <c r="AD294" s="200"/>
      <c r="AE294" s="200"/>
      <c r="AF294" s="200"/>
      <c r="AG294" s="200"/>
      <c r="AH294" s="200"/>
      <c r="AI294" s="200"/>
      <c r="AJ294" s="200"/>
      <c r="AK294" s="200"/>
      <c r="AL294" s="200"/>
      <c r="AM294" s="113">
        <f t="shared" si="4"/>
        <v>0</v>
      </c>
      <c r="AN294" s="540">
        <f>IF(AO294&lt;=3,(IF(AND(G294="5/24",AM294&gt;2),(AM294*2*база!$M$6*Таблица14[[#This Row],[коэф]]),
IF(AND(G294="4/24",AM294&gt;2),(AM294*2*база!$M$5*Таблица14[[#This Row],[коэф]]),
IF(AND(G294="3/24",AM294&gt;2),(AM294*2*база!$M$4*Таблица14[[#This Row],[коэф]]),
IF(AND(G294="5/16",AM294&gt;2),(AM294*2*база!$L$6*Таблица14[[#This Row],[коэф]]),
IF(AND(G294="4/16",AM294&gt;2),(AM294*2*база!$L$5*Таблица14[[#This Row],[коэф]]),
IF(AND(G294="3/16",AM294&gt;2),(AM294*2*база!$L$4*Таблица14[[#This Row],[коэф]]),
IF(AND(G294="4/4",AM294&gt;2),(AM294*2*база!$I$5*Таблица14[[#This Row],[коэф]]),
IF(AND(G294="3/4",AM294&gt;2),(AM294*2*база!$I$4*Таблица14[[#This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(AM294*2*база!$L$4*Таблица14[[#This Row],[коэф]]))))))))))))),
(IF(AND(G294="5/24",AM294&gt;2),(AM294*2*база!$M$6*Таблица14[[#This Row],[коэф]]),
IF(OR(AND(G294="4/24",AM294&gt;2),AND(G294="3/24",AM294&gt;2)),(AM294*2*база!$M$5*Таблица14[[#This Row],[коэф]]),
IF(AND(G294="5/16",AM294&gt;2),(AM294*2*база!$L$6*Таблица14[[#This Row],[коэф]]),
IF(OR(AND(G294="4/16",AM294&gt;2),AND(G294="3/16",AM294&gt;2)),(AM294*2*база!$L$5*Таблица14[[#This Row],[коэф]]),
IF(OR(AND(G294="4/4",AM294&gt;2),AND(G294="3/4",AM294&gt;2)),(AM294*2*база!$I$5*Таблица14[[#This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(AM294*2*база!$L$5*Таблица14[[#This Row],[коэф]])))))))))))</f>
        <v>0</v>
      </c>
      <c r="AO294" s="114">
        <f>IFERROR(INDEX(база!$D$2:$D$120, MATCH(Таблица14[[#This Row],[Ф. И. О.]],база!$B$2:$B$100,0)),"")</f>
        <v>0</v>
      </c>
    </row>
    <row r="295" spans="1:41">
      <c r="A295" s="192"/>
      <c r="B295" s="189"/>
      <c r="C295" s="544"/>
      <c r="D295" s="199"/>
      <c r="E295" s="226"/>
      <c r="F295" s="679"/>
      <c r="G295" s="191"/>
      <c r="H295" s="200"/>
      <c r="I295" s="200"/>
      <c r="J295" s="200"/>
      <c r="K295" s="200"/>
      <c r="L295" s="200"/>
      <c r="M295" s="200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200"/>
      <c r="Y295" s="200"/>
      <c r="Z295" s="200"/>
      <c r="AA295" s="200"/>
      <c r="AB295" s="200"/>
      <c r="AC295" s="200"/>
      <c r="AD295" s="200"/>
      <c r="AE295" s="200"/>
      <c r="AF295" s="200"/>
      <c r="AG295" s="200"/>
      <c r="AH295" s="200"/>
      <c r="AI295" s="200"/>
      <c r="AJ295" s="200"/>
      <c r="AK295" s="200"/>
      <c r="AL295" s="200"/>
      <c r="AM295" s="113">
        <f t="shared" si="4"/>
        <v>0</v>
      </c>
      <c r="AN295" s="540">
        <f>IF(AO295&lt;=3,(IF(AND(G295="5/24",AM295&gt;2),(AM295*2*база!$M$6*Таблица14[[#This Row],[коэф]]),
IF(AND(G295="4/24",AM295&gt;2),(AM295*2*база!$M$5*Таблица14[[#This Row],[коэф]]),
IF(AND(G295="3/24",AM295&gt;2),(AM295*2*база!$M$4*Таблица14[[#This Row],[коэф]]),
IF(AND(G295="5/16",AM295&gt;2),(AM295*2*база!$L$6*Таблица14[[#This Row],[коэф]]),
IF(AND(G295="4/16",AM295&gt;2),(AM295*2*база!$L$5*Таблица14[[#This Row],[коэф]]),
IF(AND(G295="3/16",AM295&gt;2),(AM295*2*база!$L$4*Таблица14[[#This Row],[коэф]]),
IF(AND(G295="4/4",AM295&gt;2),(AM295*2*база!$I$5*Таблица14[[#This Row],[коэф]]),
IF(AND(G295="3/4",AM295&gt;2),(AM295*2*база!$I$4*Таблица14[[#This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(AM295*2*база!$L$4*Таблица14[[#This Row],[коэф]]))))))))))))),
(IF(AND(G295="5/24",AM295&gt;2),(AM295*2*база!$M$6*Таблица14[[#This Row],[коэф]]),
IF(OR(AND(G295="4/24",AM295&gt;2),AND(G295="3/24",AM295&gt;2)),(AM295*2*база!$M$5*Таблица14[[#This Row],[коэф]]),
IF(AND(G295="5/16",AM295&gt;2),(AM295*2*база!$L$6*Таблица14[[#This Row],[коэф]]),
IF(OR(AND(G295="4/16",AM295&gt;2),AND(G295="3/16",AM295&gt;2)),(AM295*2*база!$L$5*Таблица14[[#This Row],[коэф]]),
IF(OR(AND(G295="4/4",AM295&gt;2),AND(G295="3/4",AM295&gt;2)),(AM295*2*база!$I$5*Таблица14[[#This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(AM295*2*база!$L$5*Таблица14[[#This Row],[коэф]])))))))))))</f>
        <v>0</v>
      </c>
      <c r="AO295" s="114">
        <f>IFERROR(INDEX(база!$D$2:$D$120, MATCH(Таблица14[[#This Row],[Ф. И. О.]],база!$B$2:$B$100,0)),"")</f>
        <v>0</v>
      </c>
    </row>
    <row r="296" spans="1:41">
      <c r="A296" s="192"/>
      <c r="B296" s="223"/>
      <c r="C296" s="544"/>
      <c r="D296" s="199"/>
      <c r="E296" s="224"/>
      <c r="F296" s="679"/>
      <c r="G296" s="225"/>
      <c r="H296" s="200"/>
      <c r="I296" s="200"/>
      <c r="J296" s="200"/>
      <c r="K296" s="200"/>
      <c r="L296" s="200"/>
      <c r="M296" s="200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200"/>
      <c r="Y296" s="200"/>
      <c r="Z296" s="200"/>
      <c r="AA296" s="200"/>
      <c r="AB296" s="200"/>
      <c r="AC296" s="200"/>
      <c r="AD296" s="200"/>
      <c r="AE296" s="200"/>
      <c r="AF296" s="200"/>
      <c r="AG296" s="200"/>
      <c r="AH296" s="200"/>
      <c r="AI296" s="200"/>
      <c r="AJ296" s="200"/>
      <c r="AK296" s="200"/>
      <c r="AL296" s="200"/>
      <c r="AM296" s="113">
        <f t="shared" si="4"/>
        <v>0</v>
      </c>
      <c r="AN296" s="540">
        <f>IF(AO296&lt;=3,(IF(AND(G296="5/24",AM296&gt;2),(AM296*2*база!$M$6*Таблица14[[#This Row],[коэф]]),
IF(AND(G296="4/24",AM296&gt;2),(AM296*2*база!$M$5*Таблица14[[#This Row],[коэф]]),
IF(AND(G296="3/24",AM296&gt;2),(AM296*2*база!$M$4*Таблица14[[#This Row],[коэф]]),
IF(AND(G296="5/16",AM296&gt;2),(AM296*2*база!$L$6*Таблица14[[#This Row],[коэф]]),
IF(AND(G296="4/16",AM296&gt;2),(AM296*2*база!$L$5*Таблица14[[#This Row],[коэф]]),
IF(AND(G296="3/16",AM296&gt;2),(AM296*2*база!$L$4*Таблица14[[#This Row],[коэф]]),
IF(AND(G296="4/4",AM296&gt;2),(AM296*2*база!$I$5*Таблица14[[#This Row],[коэф]]),
IF(AND(G296="3/4",AM296&gt;2),(AM296*2*база!$I$4*Таблица14[[#This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(AM296*2*база!$L$4*Таблица14[[#This Row],[коэф]]))))))))))))),
(IF(AND(G296="5/24",AM296&gt;2),(AM296*2*база!$M$6*Таблица14[[#This Row],[коэф]]),
IF(OR(AND(G296="4/24",AM296&gt;2),AND(G296="3/24",AM296&gt;2)),(AM296*2*база!$M$5*Таблица14[[#This Row],[коэф]]),
IF(AND(G296="5/16",AM296&gt;2),(AM296*2*база!$L$6*Таблица14[[#This Row],[коэф]]),
IF(OR(AND(G296="4/16",AM296&gt;2),AND(G296="3/16",AM296&gt;2)),(AM296*2*база!$L$5*Таблица14[[#This Row],[коэф]]),
IF(OR(AND(G296="4/4",AM296&gt;2),AND(G296="3/4",AM296&gt;2)),(AM296*2*база!$I$5*Таблица14[[#This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(AM296*2*база!$L$5*Таблица14[[#This Row],[коэф]])))))))))))</f>
        <v>0</v>
      </c>
      <c r="AO296" s="114">
        <f>IFERROR(INDEX(база!$D$2:$D$120, MATCH(Таблица14[[#This Row],[Ф. И. О.]],база!$B$2:$B$100,0)),"")</f>
        <v>0</v>
      </c>
    </row>
    <row r="297" spans="1:41">
      <c r="A297" s="192"/>
      <c r="B297" s="189"/>
      <c r="C297" s="544"/>
      <c r="D297" s="199"/>
      <c r="E297" s="226"/>
      <c r="F297" s="679"/>
      <c r="G297" s="191"/>
      <c r="H297" s="200"/>
      <c r="I297" s="200"/>
      <c r="J297" s="200"/>
      <c r="K297" s="200"/>
      <c r="L297" s="200"/>
      <c r="M297" s="200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200"/>
      <c r="Y297" s="200"/>
      <c r="Z297" s="200"/>
      <c r="AA297" s="200"/>
      <c r="AB297" s="200"/>
      <c r="AC297" s="200"/>
      <c r="AD297" s="200"/>
      <c r="AE297" s="200"/>
      <c r="AF297" s="200"/>
      <c r="AG297" s="200"/>
      <c r="AH297" s="200"/>
      <c r="AI297" s="200"/>
      <c r="AJ297" s="200"/>
      <c r="AK297" s="200"/>
      <c r="AL297" s="200"/>
      <c r="AM297" s="113">
        <f t="shared" si="4"/>
        <v>0</v>
      </c>
      <c r="AN297" s="540">
        <f>IF(AO297&lt;=3,(IF(AND(G297="5/24",AM297&gt;2),(AM297*2*база!$M$6*Таблица14[[#This Row],[коэф]]),
IF(AND(G297="4/24",AM297&gt;2),(AM297*2*база!$M$5*Таблица14[[#This Row],[коэф]]),
IF(AND(G297="3/24",AM297&gt;2),(AM297*2*база!$M$4*Таблица14[[#This Row],[коэф]]),
IF(AND(G297="5/16",AM297&gt;2),(AM297*2*база!$L$6*Таблица14[[#This Row],[коэф]]),
IF(AND(G297="4/16",AM297&gt;2),(AM297*2*база!$L$5*Таблица14[[#This Row],[коэф]]),
IF(AND(G297="3/16",AM297&gt;2),(AM297*2*база!$L$4*Таблица14[[#This Row],[коэф]]),
IF(AND(G297="4/4",AM297&gt;2),(AM297*2*база!$I$5*Таблица14[[#This Row],[коэф]]),
IF(AND(G297="3/4",AM297&gt;2),(AM297*2*база!$I$4*Таблица14[[#This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(AM297*2*база!$L$4*Таблица14[[#This Row],[коэф]]))))))))))))),
(IF(AND(G297="5/24",AM297&gt;2),(AM297*2*база!$M$6*Таблица14[[#This Row],[коэф]]),
IF(OR(AND(G297="4/24",AM297&gt;2),AND(G297="3/24",AM297&gt;2)),(AM297*2*база!$M$5*Таблица14[[#This Row],[коэф]]),
IF(AND(G297="5/16",AM297&gt;2),(AM297*2*база!$L$6*Таблица14[[#This Row],[коэф]]),
IF(OR(AND(G297="4/16",AM297&gt;2),AND(G297="3/16",AM297&gt;2)),(AM297*2*база!$L$5*Таблица14[[#This Row],[коэф]]),
IF(OR(AND(G297="4/4",AM297&gt;2),AND(G297="3/4",AM297&gt;2)),(AM297*2*база!$I$5*Таблица14[[#This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(AM297*2*база!$L$5*Таблица14[[#This Row],[коэф]])))))))))))</f>
        <v>0</v>
      </c>
      <c r="AO297" s="114">
        <f>IFERROR(INDEX(база!$D$2:$D$120, MATCH(Таблица14[[#This Row],[Ф. И. О.]],база!$B$2:$B$100,0)),"")</f>
        <v>0</v>
      </c>
    </row>
    <row r="298" spans="1:41">
      <c r="A298" s="192"/>
      <c r="B298" s="223"/>
      <c r="C298" s="544"/>
      <c r="D298" s="199"/>
      <c r="E298" s="224"/>
      <c r="F298" s="679"/>
      <c r="G298" s="225"/>
      <c r="H298" s="200"/>
      <c r="I298" s="200"/>
      <c r="J298" s="200"/>
      <c r="K298" s="200"/>
      <c r="L298" s="200"/>
      <c r="M298" s="200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200"/>
      <c r="Y298" s="200"/>
      <c r="Z298" s="200"/>
      <c r="AA298" s="200"/>
      <c r="AB298" s="200"/>
      <c r="AC298" s="200"/>
      <c r="AD298" s="200"/>
      <c r="AE298" s="200"/>
      <c r="AF298" s="200"/>
      <c r="AG298" s="200"/>
      <c r="AH298" s="200"/>
      <c r="AI298" s="200"/>
      <c r="AJ298" s="200"/>
      <c r="AK298" s="200"/>
      <c r="AL298" s="200"/>
      <c r="AM298" s="113">
        <f t="shared" si="4"/>
        <v>0</v>
      </c>
      <c r="AN298" s="540">
        <f>IF(AO298&lt;=3,(IF(AND(G298="5/24",AM298&gt;2),(AM298*2*база!$M$6*Таблица14[[#This Row],[коэф]]),
IF(AND(G298="4/24",AM298&gt;2),(AM298*2*база!$M$5*Таблица14[[#This Row],[коэф]]),
IF(AND(G298="3/24",AM298&gt;2),(AM298*2*база!$M$4*Таблица14[[#This Row],[коэф]]),
IF(AND(G298="5/16",AM298&gt;2),(AM298*2*база!$L$6*Таблица14[[#This Row],[коэф]]),
IF(AND(G298="4/16",AM298&gt;2),(AM298*2*база!$L$5*Таблица14[[#This Row],[коэф]]),
IF(AND(G298="3/16",AM298&gt;2),(AM298*2*база!$L$4*Таблица14[[#This Row],[коэф]]),
IF(AND(G298="4/4",AM298&gt;2),(AM298*2*база!$I$5*Таблица14[[#This Row],[коэф]]),
IF(AND(G298="3/4",AM298&gt;2),(AM298*2*база!$I$4*Таблица14[[#This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(AM298*2*база!$L$4*Таблица14[[#This Row],[коэф]]))))))))))))),
(IF(AND(G298="5/24",AM298&gt;2),(AM298*2*база!$M$6*Таблица14[[#This Row],[коэф]]),
IF(OR(AND(G298="4/24",AM298&gt;2),AND(G298="3/24",AM298&gt;2)),(AM298*2*база!$M$5*Таблица14[[#This Row],[коэф]]),
IF(AND(G298="5/16",AM298&gt;2),(AM298*2*база!$L$6*Таблица14[[#This Row],[коэф]]),
IF(OR(AND(G298="4/16",AM298&gt;2),AND(G298="3/16",AM298&gt;2)),(AM298*2*база!$L$5*Таблица14[[#This Row],[коэф]]),
IF(OR(AND(G298="4/4",AM298&gt;2),AND(G298="3/4",AM298&gt;2)),(AM298*2*база!$I$5*Таблица14[[#This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(AM298*2*база!$L$5*Таблица14[[#This Row],[коэф]])))))))))))</f>
        <v>0</v>
      </c>
      <c r="AO298" s="114">
        <f>IFERROR(INDEX(база!$D$2:$D$120, MATCH(Таблица14[[#This Row],[Ф. И. О.]],база!$B$2:$B$100,0)),"")</f>
        <v>0</v>
      </c>
    </row>
    <row r="299" spans="1:41">
      <c r="A299" s="192"/>
      <c r="B299" s="189"/>
      <c r="C299" s="544"/>
      <c r="D299" s="199"/>
      <c r="E299" s="226"/>
      <c r="F299" s="679"/>
      <c r="G299" s="191"/>
      <c r="H299" s="200"/>
      <c r="I299" s="200"/>
      <c r="J299" s="200"/>
      <c r="K299" s="200"/>
      <c r="L299" s="200"/>
      <c r="M299" s="200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200"/>
      <c r="Y299" s="200"/>
      <c r="Z299" s="200"/>
      <c r="AA299" s="200"/>
      <c r="AB299" s="200"/>
      <c r="AC299" s="200"/>
      <c r="AD299" s="200"/>
      <c r="AE299" s="200"/>
      <c r="AF299" s="200"/>
      <c r="AG299" s="200"/>
      <c r="AH299" s="200"/>
      <c r="AI299" s="200"/>
      <c r="AJ299" s="200"/>
      <c r="AK299" s="200"/>
      <c r="AL299" s="200"/>
      <c r="AM299" s="113">
        <f t="shared" si="4"/>
        <v>0</v>
      </c>
      <c r="AN299" s="540">
        <f>IF(AO299&lt;=3,(IF(AND(G299="5/24",AM299&gt;2),(AM299*2*база!$M$6*Таблица14[[#This Row],[коэф]]),
IF(AND(G299="4/24",AM299&gt;2),(AM299*2*база!$M$5*Таблица14[[#This Row],[коэф]]),
IF(AND(G299="3/24",AM299&gt;2),(AM299*2*база!$M$4*Таблица14[[#This Row],[коэф]]),
IF(AND(G299="5/16",AM299&gt;2),(AM299*2*база!$L$6*Таблица14[[#This Row],[коэф]]),
IF(AND(G299="4/16",AM299&gt;2),(AM299*2*база!$L$5*Таблица14[[#This Row],[коэф]]),
IF(AND(G299="3/16",AM299&gt;2),(AM299*2*база!$L$4*Таблица14[[#This Row],[коэф]]),
IF(AND(G299="4/4",AM299&gt;2),(AM299*2*база!$I$5*Таблица14[[#This Row],[коэф]]),
IF(AND(G299="3/4",AM299&gt;2),(AM299*2*база!$I$4*Таблица14[[#This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(AM299*2*база!$L$4*Таблица14[[#This Row],[коэф]]))))))))))))),
(IF(AND(G299="5/24",AM299&gt;2),(AM299*2*база!$M$6*Таблица14[[#This Row],[коэф]]),
IF(OR(AND(G299="4/24",AM299&gt;2),AND(G299="3/24",AM299&gt;2)),(AM299*2*база!$M$5*Таблица14[[#This Row],[коэф]]),
IF(AND(G299="5/16",AM299&gt;2),(AM299*2*база!$L$6*Таблица14[[#This Row],[коэф]]),
IF(OR(AND(G299="4/16",AM299&gt;2),AND(G299="3/16",AM299&gt;2)),(AM299*2*база!$L$5*Таблица14[[#This Row],[коэф]]),
IF(OR(AND(G299="4/4",AM299&gt;2),AND(G299="3/4",AM299&gt;2)),(AM299*2*база!$I$5*Таблица14[[#This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(AM299*2*база!$L$5*Таблица14[[#This Row],[коэф]])))))))))))</f>
        <v>0</v>
      </c>
      <c r="AO299" s="114">
        <f>IFERROR(INDEX(база!$D$2:$D$120, MATCH(Таблица14[[#This Row],[Ф. И. О.]],база!$B$2:$B$100,0)),"")</f>
        <v>0</v>
      </c>
    </row>
    <row r="300" spans="1:41">
      <c r="A300" s="192"/>
      <c r="B300" s="223"/>
      <c r="C300" s="544"/>
      <c r="D300" s="199"/>
      <c r="E300" s="224"/>
      <c r="F300" s="679"/>
      <c r="G300" s="225"/>
      <c r="H300" s="200"/>
      <c r="I300" s="200"/>
      <c r="J300" s="200"/>
      <c r="K300" s="200"/>
      <c r="L300" s="200"/>
      <c r="M300" s="200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200"/>
      <c r="Y300" s="200"/>
      <c r="Z300" s="200"/>
      <c r="AA300" s="200"/>
      <c r="AB300" s="200"/>
      <c r="AC300" s="200"/>
      <c r="AD300" s="200"/>
      <c r="AE300" s="200"/>
      <c r="AF300" s="200"/>
      <c r="AG300" s="200"/>
      <c r="AH300" s="200"/>
      <c r="AI300" s="200"/>
      <c r="AJ300" s="200"/>
      <c r="AK300" s="200"/>
      <c r="AL300" s="200"/>
      <c r="AM300" s="113">
        <f t="shared" si="4"/>
        <v>0</v>
      </c>
      <c r="AN300" s="540">
        <f>IF(AO300&lt;=3,(IF(AND(G300="5/24",AM300&gt;2),(AM300*2*база!$M$6*Таблица14[[#This Row],[коэф]]),
IF(AND(G300="4/24",AM300&gt;2),(AM300*2*база!$M$5*Таблица14[[#This Row],[коэф]]),
IF(AND(G300="3/24",AM300&gt;2),(AM300*2*база!$M$4*Таблица14[[#This Row],[коэф]]),
IF(AND(G300="5/16",AM300&gt;2),(AM300*2*база!$L$6*Таблица14[[#This Row],[коэф]]),
IF(AND(G300="4/16",AM300&gt;2),(AM300*2*база!$L$5*Таблица14[[#This Row],[коэф]]),
IF(AND(G300="3/16",AM300&gt;2),(AM300*2*база!$L$4*Таблица14[[#This Row],[коэф]]),
IF(AND(G300="4/4",AM300&gt;2),(AM300*2*база!$I$5*Таблица14[[#This Row],[коэф]]),
IF(AND(G300="3/4",AM300&gt;2),(AM300*2*база!$I$4*Таблица14[[#This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(AM300*2*база!$L$4*Таблица14[[#This Row],[коэф]]))))))))))))),
(IF(AND(G300="5/24",AM300&gt;2),(AM300*2*база!$M$6*Таблица14[[#This Row],[коэф]]),
IF(OR(AND(G300="4/24",AM300&gt;2),AND(G300="3/24",AM300&gt;2)),(AM300*2*база!$M$5*Таблица14[[#This Row],[коэф]]),
IF(AND(G300="5/16",AM300&gt;2),(AM300*2*база!$L$6*Таблица14[[#This Row],[коэф]]),
IF(OR(AND(G300="4/16",AM300&gt;2),AND(G300="3/16",AM300&gt;2)),(AM300*2*база!$L$5*Таблица14[[#This Row],[коэф]]),
IF(OR(AND(G300="4/4",AM300&gt;2),AND(G300="3/4",AM300&gt;2)),(AM300*2*база!$I$5*Таблица14[[#This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(AM300*2*база!$L$5*Таблица14[[#This Row],[коэф]])))))))))))</f>
        <v>0</v>
      </c>
      <c r="AO300" s="114">
        <f>IFERROR(INDEX(база!$D$2:$D$120, MATCH(Таблица14[[#This Row],[Ф. И. О.]],база!$B$2:$B$100,0)),"")</f>
        <v>0</v>
      </c>
    </row>
    <row r="301" spans="1:41">
      <c r="A301" s="192"/>
      <c r="B301" s="189"/>
      <c r="C301" s="544"/>
      <c r="D301" s="199"/>
      <c r="E301" s="226"/>
      <c r="F301" s="679"/>
      <c r="G301" s="191"/>
      <c r="H301" s="200"/>
      <c r="I301" s="200"/>
      <c r="J301" s="200"/>
      <c r="K301" s="200"/>
      <c r="L301" s="200"/>
      <c r="M301" s="200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200"/>
      <c r="Y301" s="200"/>
      <c r="Z301" s="200"/>
      <c r="AA301" s="200"/>
      <c r="AB301" s="200"/>
      <c r="AC301" s="200"/>
      <c r="AD301" s="200"/>
      <c r="AE301" s="200"/>
      <c r="AF301" s="200"/>
      <c r="AG301" s="200"/>
      <c r="AH301" s="200"/>
      <c r="AI301" s="200"/>
      <c r="AJ301" s="200"/>
      <c r="AK301" s="200"/>
      <c r="AL301" s="200"/>
      <c r="AM301" s="113">
        <f t="shared" si="4"/>
        <v>0</v>
      </c>
      <c r="AN301" s="540">
        <f>IF(AO301&lt;=3,(IF(AND(G301="5/24",AM301&gt;2),(AM301*2*база!$M$6*Таблица14[[#This Row],[коэф]]),
IF(AND(G301="4/24",AM301&gt;2),(AM301*2*база!$M$5*Таблица14[[#This Row],[коэф]]),
IF(AND(G301="3/24",AM301&gt;2),(AM301*2*база!$M$4*Таблица14[[#This Row],[коэф]]),
IF(AND(G301="5/16",AM301&gt;2),(AM301*2*база!$L$6*Таблица14[[#This Row],[коэф]]),
IF(AND(G301="4/16",AM301&gt;2),(AM301*2*база!$L$5*Таблица14[[#This Row],[коэф]]),
IF(AND(G301="3/16",AM301&gt;2),(AM301*2*база!$L$4*Таблица14[[#This Row],[коэф]]),
IF(AND(G301="4/4",AM301&gt;2),(AM301*2*база!$I$5*Таблица14[[#This Row],[коэф]]),
IF(AND(G301="3/4",AM301&gt;2),(AM301*2*база!$I$4*Таблица14[[#This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(AM301*2*база!$L$4*Таблица14[[#This Row],[коэф]]))))))))))))),
(IF(AND(G301="5/24",AM301&gt;2),(AM301*2*база!$M$6*Таблица14[[#This Row],[коэф]]),
IF(OR(AND(G301="4/24",AM301&gt;2),AND(G301="3/24",AM301&gt;2)),(AM301*2*база!$M$5*Таблица14[[#This Row],[коэф]]),
IF(AND(G301="5/16",AM301&gt;2),(AM301*2*база!$L$6*Таблица14[[#This Row],[коэф]]),
IF(OR(AND(G301="4/16",AM301&gt;2),AND(G301="3/16",AM301&gt;2)),(AM301*2*база!$L$5*Таблица14[[#This Row],[коэф]]),
IF(OR(AND(G301="4/4",AM301&gt;2),AND(G301="3/4",AM301&gt;2)),(AM301*2*база!$I$5*Таблица14[[#This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(AM301*2*база!$L$5*Таблица14[[#This Row],[коэф]])))))))))))</f>
        <v>0</v>
      </c>
      <c r="AO301" s="114">
        <f>IFERROR(INDEX(база!$D$2:$D$120, MATCH(Таблица14[[#This Row],[Ф. И. О.]],база!$B$2:$B$100,0)),"")</f>
        <v>0</v>
      </c>
    </row>
    <row r="302" spans="1:41">
      <c r="A302" s="192"/>
      <c r="B302" s="223"/>
      <c r="C302" s="544"/>
      <c r="D302" s="199"/>
      <c r="E302" s="224"/>
      <c r="F302" s="679"/>
      <c r="G302" s="225"/>
      <c r="H302" s="200"/>
      <c r="I302" s="200"/>
      <c r="J302" s="200"/>
      <c r="K302" s="200"/>
      <c r="L302" s="200"/>
      <c r="M302" s="200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200"/>
      <c r="Y302" s="200"/>
      <c r="Z302" s="200"/>
      <c r="AA302" s="200"/>
      <c r="AB302" s="200"/>
      <c r="AC302" s="200"/>
      <c r="AD302" s="200"/>
      <c r="AE302" s="200"/>
      <c r="AF302" s="200"/>
      <c r="AG302" s="200"/>
      <c r="AH302" s="200"/>
      <c r="AI302" s="200"/>
      <c r="AJ302" s="200"/>
      <c r="AK302" s="200"/>
      <c r="AL302" s="200"/>
      <c r="AM302" s="113">
        <f t="shared" si="4"/>
        <v>0</v>
      </c>
      <c r="AN302" s="540">
        <f>IF(AO302&lt;=3,(IF(AND(G302="5/24",AM302&gt;2),(AM302*2*база!$M$6*Таблица14[[#This Row],[коэф]]),
IF(AND(G302="4/24",AM302&gt;2),(AM302*2*база!$M$5*Таблица14[[#This Row],[коэф]]),
IF(AND(G302="3/24",AM302&gt;2),(AM302*2*база!$M$4*Таблица14[[#This Row],[коэф]]),
IF(AND(G302="5/16",AM302&gt;2),(AM302*2*база!$L$6*Таблица14[[#This Row],[коэф]]),
IF(AND(G302="4/16",AM302&gt;2),(AM302*2*база!$L$5*Таблица14[[#This Row],[коэф]]),
IF(AND(G302="3/16",AM302&gt;2),(AM302*2*база!$L$4*Таблица14[[#This Row],[коэф]]),
IF(AND(G302="4/4",AM302&gt;2),(AM302*2*база!$I$5*Таблица14[[#This Row],[коэф]]),
IF(AND(G302="3/4",AM302&gt;2),(AM302*2*база!$I$4*Таблица14[[#This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(AM302*2*база!$L$4*Таблица14[[#This Row],[коэф]]))))))))))))),
(IF(AND(G302="5/24",AM302&gt;2),(AM302*2*база!$M$6*Таблица14[[#This Row],[коэф]]),
IF(OR(AND(G302="4/24",AM302&gt;2),AND(G302="3/24",AM302&gt;2)),(AM302*2*база!$M$5*Таблица14[[#This Row],[коэф]]),
IF(AND(G302="5/16",AM302&gt;2),(AM302*2*база!$L$6*Таблица14[[#This Row],[коэф]]),
IF(OR(AND(G302="4/16",AM302&gt;2),AND(G302="3/16",AM302&gt;2)),(AM302*2*база!$L$5*Таблица14[[#This Row],[коэф]]),
IF(OR(AND(G302="4/4",AM302&gt;2),AND(G302="3/4",AM302&gt;2)),(AM302*2*база!$I$5*Таблица14[[#This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(AM302*2*база!$L$5*Таблица14[[#This Row],[коэф]])))))))))))</f>
        <v>0</v>
      </c>
      <c r="AO302" s="114">
        <f>IFERROR(INDEX(база!$D$2:$D$120, MATCH(Таблица14[[#This Row],[Ф. И. О.]],база!$B$2:$B$100,0)),"")</f>
        <v>0</v>
      </c>
    </row>
    <row r="303" spans="1:41">
      <c r="A303" s="192"/>
      <c r="B303" s="189"/>
      <c r="C303" s="544"/>
      <c r="D303" s="199"/>
      <c r="E303" s="226"/>
      <c r="F303" s="679"/>
      <c r="G303" s="191"/>
      <c r="H303" s="200"/>
      <c r="I303" s="200"/>
      <c r="J303" s="200"/>
      <c r="K303" s="200"/>
      <c r="L303" s="200"/>
      <c r="M303" s="200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200"/>
      <c r="Y303" s="200"/>
      <c r="Z303" s="200"/>
      <c r="AA303" s="200"/>
      <c r="AB303" s="200"/>
      <c r="AC303" s="200"/>
      <c r="AD303" s="200"/>
      <c r="AE303" s="200"/>
      <c r="AF303" s="200"/>
      <c r="AG303" s="200"/>
      <c r="AH303" s="200"/>
      <c r="AI303" s="200"/>
      <c r="AJ303" s="200"/>
      <c r="AK303" s="200"/>
      <c r="AL303" s="200"/>
      <c r="AM303" s="113">
        <f t="shared" si="4"/>
        <v>0</v>
      </c>
      <c r="AN303" s="540">
        <f>IF(AO303&lt;=3,(IF(AND(G303="5/24",AM303&gt;2),(AM303*2*база!$M$6*Таблица14[[#This Row],[коэф]]),
IF(AND(G303="4/24",AM303&gt;2),(AM303*2*база!$M$5*Таблица14[[#This Row],[коэф]]),
IF(AND(G303="3/24",AM303&gt;2),(AM303*2*база!$M$4*Таблица14[[#This Row],[коэф]]),
IF(AND(G303="5/16",AM303&gt;2),(AM303*2*база!$L$6*Таблица14[[#This Row],[коэф]]),
IF(AND(G303="4/16",AM303&gt;2),(AM303*2*база!$L$5*Таблица14[[#This Row],[коэф]]),
IF(AND(G303="3/16",AM303&gt;2),(AM303*2*база!$L$4*Таблица14[[#This Row],[коэф]]),
IF(AND(G303="4/4",AM303&gt;2),(AM303*2*база!$I$5*Таблица14[[#This Row],[коэф]]),
IF(AND(G303="3/4",AM303&gt;2),(AM303*2*база!$I$4*Таблица14[[#This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(AM303*2*база!$L$4*Таблица14[[#This Row],[коэф]]))))))))))))),
(IF(AND(G303="5/24",AM303&gt;2),(AM303*2*база!$M$6*Таблица14[[#This Row],[коэф]]),
IF(OR(AND(G303="4/24",AM303&gt;2),AND(G303="3/24",AM303&gt;2)),(AM303*2*база!$M$5*Таблица14[[#This Row],[коэф]]),
IF(AND(G303="5/16",AM303&gt;2),(AM303*2*база!$L$6*Таблица14[[#This Row],[коэф]]),
IF(OR(AND(G303="4/16",AM303&gt;2),AND(G303="3/16",AM303&gt;2)),(AM303*2*база!$L$5*Таблица14[[#This Row],[коэф]]),
IF(OR(AND(G303="4/4",AM303&gt;2),AND(G303="3/4",AM303&gt;2)),(AM303*2*база!$I$5*Таблица14[[#This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(AM303*2*база!$L$5*Таблица14[[#This Row],[коэф]])))))))))))</f>
        <v>0</v>
      </c>
      <c r="AO303" s="114">
        <f>IFERROR(INDEX(база!$D$2:$D$120, MATCH(Таблица14[[#This Row],[Ф. И. О.]],база!$B$2:$B$100,0)),"")</f>
        <v>0</v>
      </c>
    </row>
    <row r="304" spans="1:41">
      <c r="A304" s="192"/>
      <c r="B304" s="223"/>
      <c r="C304" s="544"/>
      <c r="D304" s="199"/>
      <c r="E304" s="224"/>
      <c r="F304" s="679"/>
      <c r="G304" s="225"/>
      <c r="H304" s="200"/>
      <c r="I304" s="200"/>
      <c r="J304" s="200"/>
      <c r="K304" s="200"/>
      <c r="L304" s="200"/>
      <c r="M304" s="200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200"/>
      <c r="Y304" s="200"/>
      <c r="Z304" s="200"/>
      <c r="AA304" s="200"/>
      <c r="AB304" s="200"/>
      <c r="AC304" s="200"/>
      <c r="AD304" s="200"/>
      <c r="AE304" s="200"/>
      <c r="AF304" s="200"/>
      <c r="AG304" s="200"/>
      <c r="AH304" s="200"/>
      <c r="AI304" s="200"/>
      <c r="AJ304" s="200"/>
      <c r="AK304" s="200"/>
      <c r="AL304" s="200"/>
      <c r="AM304" s="113">
        <f t="shared" si="4"/>
        <v>0</v>
      </c>
      <c r="AN304" s="540">
        <f>IF(AO304&lt;=3,(IF(AND(G304="5/24",AM304&gt;2),(AM304*2*база!$M$6*Таблица14[[#This Row],[коэф]]),
IF(AND(G304="4/24",AM304&gt;2),(AM304*2*база!$M$5*Таблица14[[#This Row],[коэф]]),
IF(AND(G304="3/24",AM304&gt;2),(AM304*2*база!$M$4*Таблица14[[#This Row],[коэф]]),
IF(AND(G304="5/16",AM304&gt;2),(AM304*2*база!$L$6*Таблица14[[#This Row],[коэф]]),
IF(AND(G304="4/16",AM304&gt;2),(AM304*2*база!$L$5*Таблица14[[#This Row],[коэф]]),
IF(AND(G304="3/16",AM304&gt;2),(AM304*2*база!$L$4*Таблица14[[#This Row],[коэф]]),
IF(AND(G304="4/4",AM304&gt;2),(AM304*2*база!$I$5*Таблица14[[#This Row],[коэф]]),
IF(AND(G304="3/4",AM304&gt;2),(AM304*2*база!$I$4*Таблица14[[#This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(AM304*2*база!$L$4*Таблица14[[#This Row],[коэф]]))))))))))))),
(IF(AND(G304="5/24",AM304&gt;2),(AM304*2*база!$M$6*Таблица14[[#This Row],[коэф]]),
IF(OR(AND(G304="4/24",AM304&gt;2),AND(G304="3/24",AM304&gt;2)),(AM304*2*база!$M$5*Таблица14[[#This Row],[коэф]]),
IF(AND(G304="5/16",AM304&gt;2),(AM304*2*база!$L$6*Таблица14[[#This Row],[коэф]]),
IF(OR(AND(G304="4/16",AM304&gt;2),AND(G304="3/16",AM304&gt;2)),(AM304*2*база!$L$5*Таблица14[[#This Row],[коэф]]),
IF(OR(AND(G304="4/4",AM304&gt;2),AND(G304="3/4",AM304&gt;2)),(AM304*2*база!$I$5*Таблица14[[#This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(AM304*2*база!$L$5*Таблица14[[#This Row],[коэф]])))))))))))</f>
        <v>0</v>
      </c>
      <c r="AO304" s="114">
        <f>IFERROR(INDEX(база!$D$2:$D$120, MATCH(Таблица14[[#This Row],[Ф. И. О.]],база!$B$2:$B$100,0)),"")</f>
        <v>0</v>
      </c>
    </row>
    <row r="305" spans="1:41">
      <c r="A305" s="192"/>
      <c r="B305" s="223"/>
      <c r="C305" s="543"/>
      <c r="D305" s="199"/>
      <c r="E305" s="226"/>
      <c r="F305" s="645"/>
      <c r="G305" s="191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113">
        <f t="shared" si="4"/>
        <v>0</v>
      </c>
      <c r="AN305" s="540">
        <f>IF(AO305&lt;=3,(IF(AND(G305="5/24",AM305&gt;2),(AM305*2*база!$M$6*Таблица14[[#This Row],[коэф]]),
IF(AND(G305="4/24",AM305&gt;2),(AM305*2*база!$M$5*Таблица14[[#This Row],[коэф]]),
IF(AND(G305="3/24",AM305&gt;2),(AM305*2*база!$M$4*Таблица14[[#This Row],[коэф]]),
IF(AND(G305="5/16",AM305&gt;2),(AM305*2*база!$L$6*Таблица14[[#This Row],[коэф]]),
IF(AND(G305="4/16",AM305&gt;2),(AM305*2*база!$L$5*Таблица14[[#This Row],[коэф]]),
IF(AND(G305="3/16",AM305&gt;2),(AM305*2*база!$L$4*Таблица14[[#This Row],[коэф]]),
IF(AND(G305="4/4",AM305&gt;2),(AM305*2*база!$I$5*Таблица14[[#This Row],[коэф]]),
IF(AND(G305="3/4",AM305&gt;2),(AM305*2*база!$I$4*Таблица14[[#This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(AM305*2*база!$L$4*Таблица14[[#This Row],[коэф]]))))))))))))),
(IF(AND(G305="5/24",AM305&gt;2),(AM305*2*база!$M$6*Таблица14[[#This Row],[коэф]]),
IF(OR(AND(G305="4/24",AM305&gt;2),AND(G305="3/24",AM305&gt;2)),(AM305*2*база!$M$5*Таблица14[[#This Row],[коэф]]),
IF(AND(G305="5/16",AM305&gt;2),(AM305*2*база!$L$6*Таблица14[[#This Row],[коэф]]),
IF(OR(AND(G305="4/16",AM305&gt;2),AND(G305="3/16",AM305&gt;2)),(AM305*2*база!$L$5*Таблица14[[#This Row],[коэф]]),
IF(OR(AND(G305="4/4",AM305&gt;2),AND(G305="3/4",AM305&gt;2)),(AM305*2*база!$I$5*Таблица14[[#This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(AM305*2*база!$L$5*Таблица14[[#This Row],[коэф]])))))))))))</f>
        <v>0</v>
      </c>
      <c r="AO305" s="114">
        <f>IFERROR(INDEX(база!$D$2:$D$120, MATCH(Таблица14[[#This Row],[Ф. И. О.]],база!$B$2:$B$100,0)),"")</f>
        <v>0</v>
      </c>
    </row>
    <row r="306" spans="1:41">
      <c r="A306" s="192"/>
      <c r="B306" s="189"/>
      <c r="C306" s="543"/>
      <c r="D306" s="190"/>
      <c r="E306" s="224"/>
      <c r="F306" s="645"/>
      <c r="G306" s="225"/>
      <c r="H306" s="563"/>
      <c r="I306" s="563"/>
      <c r="J306" s="563"/>
      <c r="K306" s="563"/>
      <c r="L306" s="563"/>
      <c r="M306" s="563"/>
      <c r="N306" s="563"/>
      <c r="O306" s="563"/>
      <c r="P306" s="563"/>
      <c r="Q306" s="563"/>
      <c r="R306" s="563"/>
      <c r="S306" s="563"/>
      <c r="T306" s="563"/>
      <c r="U306" s="563"/>
      <c r="V306" s="563"/>
      <c r="W306" s="563"/>
      <c r="X306" s="563"/>
      <c r="Y306" s="563"/>
      <c r="Z306" s="563"/>
      <c r="AA306" s="563"/>
      <c r="AB306" s="563"/>
      <c r="AC306" s="563"/>
      <c r="AD306" s="563"/>
      <c r="AE306" s="563"/>
      <c r="AF306" s="563"/>
      <c r="AG306" s="563"/>
      <c r="AH306" s="563"/>
      <c r="AI306" s="563"/>
      <c r="AJ306" s="563"/>
      <c r="AK306" s="563"/>
      <c r="AL306" s="563"/>
      <c r="AM306" s="113">
        <f t="shared" si="4"/>
        <v>0</v>
      </c>
      <c r="AN306" s="561">
        <f>IF(AO306&lt;=3,(IF(AND(G306="5/24",AM306&gt;2),(AM306*2*база!$M$6*Таблица14[[#This Row],[коэф]]),
IF(AND(G306="4/24",AM306&gt;2),(AM306*2*база!$M$5*Таблица14[[#This Row],[коэф]]),
IF(AND(G306="3/24",AM306&gt;2),(AM306*2*база!$M$4*Таблица14[[#This Row],[коэф]]),
IF(AND(G306="5/16",AM306&gt;2),(AM306*2*база!$L$6*Таблица14[[#This Row],[коэф]]),
IF(AND(G306="4/16",AM306&gt;2),(AM306*2*база!$L$5*Таблица14[[#This Row],[коэф]]),
IF(AND(G306="3/16",AM306&gt;2),(AM306*2*база!$L$4*Таблица14[[#This Row],[коэф]]),
IF(AND(G306="4/4",AM306&gt;2),(AM306*2*база!$I$5*Таблица14[[#This Row],[коэф]]),
IF(AND(G306="3/4",AM306&gt;2),(AM306*2*база!$I$4*Таблица14[[#This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(AM306*2*база!$L$4*Таблица14[[#This Row],[коэф]]))))))))))))),
(IF(AND(G306="5/24",AM306&gt;2),(AM306*2*база!$M$6*Таблица14[[#This Row],[коэф]]),
IF(OR(AND(G306="4/24",AM306&gt;2),AND(G306="3/24",AM306&gt;2)),(AM306*2*база!$M$5*Таблица14[[#This Row],[коэф]]),
IF(AND(G306="5/16",AM306&gt;2),(AM306*2*база!$L$6*Таблица14[[#This Row],[коэф]]),
IF(OR(AND(G306="4/16",AM306&gt;2),AND(G306="3/16",AM306&gt;2)),(AM306*2*база!$L$5*Таблица14[[#This Row],[коэф]]),
IF(OR(AND(G306="4/4",AM306&gt;2),AND(G306="3/4",AM306&gt;2)),(AM306*2*база!$I$5*Таблица14[[#This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(AM306*2*база!$L$5*Таблица14[[#This Row],[коэф]])))))))))))</f>
        <v>0</v>
      </c>
      <c r="AO306" s="114">
        <f>IFERROR(INDEX(база!$D$2:$D$120, MATCH(Таблица14[[#This Row],[Ф. И. О.]],база!$B$2:$B$100,0)),"")</f>
        <v>0</v>
      </c>
    </row>
    <row r="307" spans="1:41">
      <c r="A307" s="192"/>
      <c r="B307" s="223"/>
      <c r="C307" s="543"/>
      <c r="D307" s="199"/>
      <c r="E307" s="226"/>
      <c r="F307" s="645"/>
      <c r="G307" s="191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113">
        <f t="shared" si="4"/>
        <v>0</v>
      </c>
      <c r="AN307" s="540">
        <f>IF(AO307&lt;=3,(IF(AND(G307="5/24",AM307&gt;2),(AM307*2*база!$M$6*Таблица14[[#This Row],[коэф]]),
IF(AND(G307="4/24",AM307&gt;2),(AM307*2*база!$M$5*Таблица14[[#This Row],[коэф]]),
IF(AND(G307="3/24",AM307&gt;2),(AM307*2*база!$M$4*Таблица14[[#This Row],[коэф]]),
IF(AND(G307="5/16",AM307&gt;2),(AM307*2*база!$L$6*Таблица14[[#This Row],[коэф]]),
IF(AND(G307="4/16",AM307&gt;2),(AM307*2*база!$L$5*Таблица14[[#This Row],[коэф]]),
IF(AND(G307="3/16",AM307&gt;2),(AM307*2*база!$L$4*Таблица14[[#This Row],[коэф]]),
IF(AND(G307="4/4",AM307&gt;2),(AM307*2*база!$I$5*Таблица14[[#This Row],[коэф]]),
IF(AND(G307="3/4",AM307&gt;2),(AM307*2*база!$I$4*Таблица14[[#This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(AM307*2*база!$L$4*Таблица14[[#This Row],[коэф]]))))))))))))),
(IF(AND(G307="5/24",AM307&gt;2),(AM307*2*база!$M$6*Таблица14[[#This Row],[коэф]]),
IF(OR(AND(G307="4/24",AM307&gt;2),AND(G307="3/24",AM307&gt;2)),(AM307*2*база!$M$5*Таблица14[[#This Row],[коэф]]),
IF(AND(G307="5/16",AM307&gt;2),(AM307*2*база!$L$6*Таблица14[[#This Row],[коэф]]),
IF(OR(AND(G307="4/16",AM307&gt;2),AND(G307="3/16",AM307&gt;2)),(AM307*2*база!$L$5*Таблица14[[#This Row],[коэф]]),
IF(OR(AND(G307="4/4",AM307&gt;2),AND(G307="3/4",AM307&gt;2)),(AM307*2*база!$I$5*Таблица14[[#This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(AM307*2*база!$L$5*Таблица14[[#This Row],[коэф]])))))))))))</f>
        <v>0</v>
      </c>
      <c r="AO307" s="114">
        <f>IFERROR(INDEX(база!$D$2:$D$120, MATCH(Таблица14[[#This Row],[Ф. И. О.]],база!$B$2:$B$100,0)),"")</f>
        <v>0</v>
      </c>
    </row>
    <row r="308" spans="1:41">
      <c r="A308" s="192"/>
      <c r="B308" s="189"/>
      <c r="C308" s="619"/>
      <c r="D308" s="190"/>
      <c r="E308" s="224"/>
      <c r="F308" s="645"/>
      <c r="G308" s="225"/>
      <c r="H308" s="563"/>
      <c r="I308" s="563"/>
      <c r="J308" s="563"/>
      <c r="K308" s="563"/>
      <c r="L308" s="563"/>
      <c r="M308" s="563"/>
      <c r="N308" s="563"/>
      <c r="O308" s="563"/>
      <c r="P308" s="563"/>
      <c r="Q308" s="563"/>
      <c r="R308" s="563"/>
      <c r="S308" s="563"/>
      <c r="T308" s="563"/>
      <c r="U308" s="563"/>
      <c r="V308" s="563"/>
      <c r="W308" s="563"/>
      <c r="X308" s="563"/>
      <c r="Y308" s="563"/>
      <c r="Z308" s="563"/>
      <c r="AA308" s="563"/>
      <c r="AB308" s="563"/>
      <c r="AC308" s="563"/>
      <c r="AD308" s="563"/>
      <c r="AE308" s="563"/>
      <c r="AF308" s="563"/>
      <c r="AG308" s="563"/>
      <c r="AH308" s="563"/>
      <c r="AI308" s="563"/>
      <c r="AJ308" s="563"/>
      <c r="AK308" s="563"/>
      <c r="AL308" s="563"/>
      <c r="AM308" s="113">
        <f t="shared" si="4"/>
        <v>0</v>
      </c>
      <c r="AN308" s="561">
        <f>IF(AO308&lt;=3,(IF(AND(G308="5/24",AM308&gt;2),(AM308*2*база!$M$6*Таблица14[[#This Row],[коэф]]),
IF(AND(G308="4/24",AM308&gt;2),(AM308*2*база!$M$5*Таблица14[[#This Row],[коэф]]),
IF(AND(G308="3/24",AM308&gt;2),(AM308*2*база!$M$4*Таблица14[[#This Row],[коэф]]),
IF(AND(G308="5/16",AM308&gt;2),(AM308*2*база!$L$6*Таблица14[[#This Row],[коэф]]),
IF(AND(G308="4/16",AM308&gt;2),(AM308*2*база!$L$5*Таблица14[[#This Row],[коэф]]),
IF(AND(G308="3/16",AM308&gt;2),(AM308*2*база!$L$4*Таблица14[[#This Row],[коэф]]),
IF(AND(G308="4/4",AM308&gt;2),(AM308*2*база!$I$5*Таблица14[[#This Row],[коэф]]),
IF(AND(G308="3/4",AM308&gt;2),(AM308*2*база!$I$4*Таблица14[[#This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(AM308*2*база!$L$4*Таблица14[[#This Row],[коэф]]))))))))))))),
(IF(AND(G308="5/24",AM308&gt;2),(AM308*2*база!$M$6*Таблица14[[#This Row],[коэф]]),
IF(OR(AND(G308="4/24",AM308&gt;2),AND(G308="3/24",AM308&gt;2)),(AM308*2*база!$M$5*Таблица14[[#This Row],[коэф]]),
IF(AND(G308="5/16",AM308&gt;2),(AM308*2*база!$L$6*Таблица14[[#This Row],[коэф]]),
IF(OR(AND(G308="4/16",AM308&gt;2),AND(G308="3/16",AM308&gt;2)),(AM308*2*база!$L$5*Таблица14[[#This Row],[коэф]]),
IF(OR(AND(G308="4/4",AM308&gt;2),AND(G308="3/4",AM308&gt;2)),(AM308*2*база!$I$5*Таблица14[[#This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(AM308*2*база!$L$5*Таблица14[[#This Row],[коэф]])))))))))))</f>
        <v>0</v>
      </c>
      <c r="AO308" s="114">
        <f>IFERROR(INDEX(база!$D$2:$D$120, MATCH(Таблица14[[#This Row],[Ф. И. О.]],база!$B$2:$B$100,0)),"")</f>
        <v>0</v>
      </c>
    </row>
    <row r="309" spans="1:41">
      <c r="A309" s="192"/>
      <c r="B309" s="223"/>
      <c r="C309" s="543"/>
      <c r="D309" s="190"/>
      <c r="E309" s="226"/>
      <c r="F309" s="645"/>
      <c r="G309" s="191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113">
        <f t="shared" si="4"/>
        <v>0</v>
      </c>
      <c r="AN309" s="540">
        <f>IF(AO309&lt;=3,(IF(AND(G309="5/24",AM309&gt;2),(AM309*2*база!$M$6*Таблица14[[#This Row],[коэф]]),
IF(AND(G309="4/24",AM309&gt;2),(AM309*2*база!$M$5*Таблица14[[#This Row],[коэф]]),
IF(AND(G309="3/24",AM309&gt;2),(AM309*2*база!$M$4*Таблица14[[#This Row],[коэф]]),
IF(AND(G309="5/16",AM309&gt;2),(AM309*2*база!$L$6*Таблица14[[#This Row],[коэф]]),
IF(AND(G309="4/16",AM309&gt;2),(AM309*2*база!$L$5*Таблица14[[#This Row],[коэф]]),
IF(AND(G309="3/16",AM309&gt;2),(AM309*2*база!$L$4*Таблица14[[#This Row],[коэф]]),
IF(AND(G309="4/4",AM309&gt;2),(AM309*2*база!$I$5*Таблица14[[#This Row],[коэф]]),
IF(AND(G309="3/4",AM309&gt;2),(AM309*2*база!$I$4*Таблица14[[#This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(AM309*2*база!$L$4*Таблица14[[#This Row],[коэф]]))))))))))))),
(IF(AND(G309="5/24",AM309&gt;2),(AM309*2*база!$M$6*Таблица14[[#This Row],[коэф]]),
IF(OR(AND(G309="4/24",AM309&gt;2),AND(G309="3/24",AM309&gt;2)),(AM309*2*база!$M$5*Таблица14[[#This Row],[коэф]]),
IF(AND(G309="5/16",AM309&gt;2),(AM309*2*база!$L$6*Таблица14[[#This Row],[коэф]]),
IF(OR(AND(G309="4/16",AM309&gt;2),AND(G309="3/16",AM309&gt;2)),(AM309*2*база!$L$5*Таблица14[[#This Row],[коэф]]),
IF(OR(AND(G309="4/4",AM309&gt;2),AND(G309="3/4",AM309&gt;2)),(AM309*2*база!$I$5*Таблица14[[#This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(AM309*2*база!$L$5*Таблица14[[#This Row],[коэф]])))))))))))</f>
        <v>0</v>
      </c>
      <c r="AO309" s="114">
        <f>IFERROR(INDEX(база!$D$2:$D$120, MATCH(Таблица14[[#This Row],[Ф. И. О.]],база!$B$2:$B$100,0)),"")</f>
        <v>0</v>
      </c>
    </row>
    <row r="310" spans="1:41">
      <c r="A310" s="192"/>
      <c r="B310" s="189"/>
      <c r="C310" s="619"/>
      <c r="D310" s="190"/>
      <c r="E310" s="224"/>
      <c r="F310" s="645"/>
      <c r="G310" s="225"/>
      <c r="H310" s="563"/>
      <c r="I310" s="563"/>
      <c r="J310" s="563"/>
      <c r="K310" s="563"/>
      <c r="L310" s="563"/>
      <c r="M310" s="563"/>
      <c r="N310" s="563"/>
      <c r="O310" s="563"/>
      <c r="P310" s="563"/>
      <c r="Q310" s="563"/>
      <c r="R310" s="563"/>
      <c r="S310" s="563"/>
      <c r="T310" s="563"/>
      <c r="U310" s="563"/>
      <c r="V310" s="563"/>
      <c r="W310" s="563"/>
      <c r="X310" s="563"/>
      <c r="Y310" s="563"/>
      <c r="Z310" s="563"/>
      <c r="AA310" s="563"/>
      <c r="AB310" s="563"/>
      <c r="AC310" s="563"/>
      <c r="AD310" s="563"/>
      <c r="AE310" s="563"/>
      <c r="AF310" s="563"/>
      <c r="AG310" s="563"/>
      <c r="AH310" s="563"/>
      <c r="AI310" s="563"/>
      <c r="AJ310" s="563"/>
      <c r="AK310" s="563"/>
      <c r="AL310" s="563"/>
      <c r="AM310" s="113">
        <f t="shared" si="4"/>
        <v>0</v>
      </c>
      <c r="AN310" s="561">
        <f>IF(AO310&lt;=3,(IF(AND(G310="5/24",AM310&gt;2),(AM310*2*база!$M$6*Таблица14[[#This Row],[коэф]]),
IF(AND(G310="4/24",AM310&gt;2),(AM310*2*база!$M$5*Таблица14[[#This Row],[коэф]]),
IF(AND(G310="3/24",AM310&gt;2),(AM310*2*база!$M$4*Таблица14[[#This Row],[коэф]]),
IF(AND(G310="5/16",AM310&gt;2),(AM310*2*база!$L$6*Таблица14[[#This Row],[коэф]]),
IF(AND(G310="4/16",AM310&gt;2),(AM310*2*база!$L$5*Таблица14[[#This Row],[коэф]]),
IF(AND(G310="3/16",AM310&gt;2),(AM310*2*база!$L$4*Таблица14[[#This Row],[коэф]]),
IF(AND(G310="4/4",AM310&gt;2),(AM310*2*база!$I$5*Таблица14[[#This Row],[коэф]]),
IF(AND(G310="3/4",AM310&gt;2),(AM310*2*база!$I$4*Таблица14[[#This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(AM310*2*база!$L$4*Таблица14[[#This Row],[коэф]]))))))))))))),
(IF(AND(G310="5/24",AM310&gt;2),(AM310*2*база!$M$6*Таблица14[[#This Row],[коэф]]),
IF(OR(AND(G310="4/24",AM310&gt;2),AND(G310="3/24",AM310&gt;2)),(AM310*2*база!$M$5*Таблица14[[#This Row],[коэф]]),
IF(AND(G310="5/16",AM310&gt;2),(AM310*2*база!$L$6*Таблица14[[#This Row],[коэф]]),
IF(OR(AND(G310="4/16",AM310&gt;2),AND(G310="3/16",AM310&gt;2)),(AM310*2*база!$L$5*Таблица14[[#This Row],[коэф]]),
IF(OR(AND(G310="4/4",AM310&gt;2),AND(G310="3/4",AM310&gt;2)),(AM310*2*база!$I$5*Таблица14[[#This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(AM310*2*база!$L$5*Таблица14[[#This Row],[коэф]])))))))))))</f>
        <v>0</v>
      </c>
      <c r="AO310" s="114">
        <f>IFERROR(INDEX(база!$D$2:$D$120, MATCH(Таблица14[[#This Row],[Ф. И. О.]],база!$B$2:$B$100,0)),"")</f>
        <v>0</v>
      </c>
    </row>
    <row r="311" spans="1:41">
      <c r="A311" s="192"/>
      <c r="B311" s="223"/>
      <c r="C311" s="543"/>
      <c r="D311" s="199"/>
      <c r="E311" s="226"/>
      <c r="F311" s="645"/>
      <c r="G311" s="191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113">
        <f t="shared" si="4"/>
        <v>0</v>
      </c>
      <c r="AN311" s="540">
        <f>IF(AO311&lt;=3,(IF(AND(G311="5/24",AM311&gt;2),(AM311*2*база!$M$6*Таблица14[[#This Row],[коэф]]),
IF(AND(G311="4/24",AM311&gt;2),(AM311*2*база!$M$5*Таблица14[[#This Row],[коэф]]),
IF(AND(G311="3/24",AM311&gt;2),(AM311*2*база!$M$4*Таблица14[[#This Row],[коэф]]),
IF(AND(G311="5/16",AM311&gt;2),(AM311*2*база!$L$6*Таблица14[[#This Row],[коэф]]),
IF(AND(G311="4/16",AM311&gt;2),(AM311*2*база!$L$5*Таблица14[[#This Row],[коэф]]),
IF(AND(G311="3/16",AM311&gt;2),(AM311*2*база!$L$4*Таблица14[[#This Row],[коэф]]),
IF(AND(G311="4/4",AM311&gt;2),(AM311*2*база!$I$5*Таблица14[[#This Row],[коэф]]),
IF(AND(G311="3/4",AM311&gt;2),(AM311*2*база!$I$4*Таблица14[[#This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(AM311*2*база!$L$4*Таблица14[[#This Row],[коэф]]))))))))))))),
(IF(AND(G311="5/24",AM311&gt;2),(AM311*2*база!$M$6*Таблица14[[#This Row],[коэф]]),
IF(OR(AND(G311="4/24",AM311&gt;2),AND(G311="3/24",AM311&gt;2)),(AM311*2*база!$M$5*Таблица14[[#This Row],[коэф]]),
IF(AND(G311="5/16",AM311&gt;2),(AM311*2*база!$L$6*Таблица14[[#This Row],[коэф]]),
IF(OR(AND(G311="4/16",AM311&gt;2),AND(G311="3/16",AM311&gt;2)),(AM311*2*база!$L$5*Таблица14[[#This Row],[коэф]]),
IF(OR(AND(G311="4/4",AM311&gt;2),AND(G311="3/4",AM311&gt;2)),(AM311*2*база!$I$5*Таблица14[[#This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(AM311*2*база!$L$5*Таблица14[[#This Row],[коэф]])))))))))))</f>
        <v>0</v>
      </c>
      <c r="AO311" s="114">
        <f>IFERROR(INDEX(база!$D$2:$D$120, MATCH(Таблица14[[#This Row],[Ф. И. О.]],база!$B$2:$B$100,0)),"")</f>
        <v>0</v>
      </c>
    </row>
    <row r="312" spans="1:41">
      <c r="A312" s="192"/>
      <c r="B312" s="189"/>
      <c r="C312" s="619"/>
      <c r="D312" s="199"/>
      <c r="E312" s="224"/>
      <c r="F312" s="645"/>
      <c r="G312" s="225"/>
      <c r="H312" s="563"/>
      <c r="I312" s="563"/>
      <c r="J312" s="563"/>
      <c r="K312" s="563"/>
      <c r="L312" s="563"/>
      <c r="M312" s="563"/>
      <c r="N312" s="563"/>
      <c r="O312" s="563"/>
      <c r="P312" s="563"/>
      <c r="Q312" s="563"/>
      <c r="R312" s="563"/>
      <c r="S312" s="563"/>
      <c r="T312" s="563"/>
      <c r="U312" s="563"/>
      <c r="V312" s="563"/>
      <c r="W312" s="563"/>
      <c r="X312" s="563"/>
      <c r="Y312" s="563"/>
      <c r="Z312" s="563"/>
      <c r="AA312" s="563"/>
      <c r="AB312" s="563"/>
      <c r="AC312" s="563"/>
      <c r="AD312" s="563"/>
      <c r="AE312" s="563"/>
      <c r="AF312" s="563"/>
      <c r="AG312" s="563"/>
      <c r="AH312" s="563"/>
      <c r="AI312" s="563"/>
      <c r="AJ312" s="563"/>
      <c r="AK312" s="563"/>
      <c r="AL312" s="563"/>
      <c r="AM312" s="113">
        <f t="shared" si="4"/>
        <v>0</v>
      </c>
      <c r="AN312" s="561">
        <f>IF(AO312&lt;=3,(IF(AND(G312="5/24",AM312&gt;2),(AM312*2*база!$M$6*Таблица14[[#This Row],[коэф]]),
IF(AND(G312="4/24",AM312&gt;2),(AM312*2*база!$M$5*Таблица14[[#This Row],[коэф]]),
IF(AND(G312="3/24",AM312&gt;2),(AM312*2*база!$M$4*Таблица14[[#This Row],[коэф]]),
IF(AND(G312="5/16",AM312&gt;2),(AM312*2*база!$L$6*Таблица14[[#This Row],[коэф]]),
IF(AND(G312="4/16",AM312&gt;2),(AM312*2*база!$L$5*Таблица14[[#This Row],[коэф]]),
IF(AND(G312="3/16",AM312&gt;2),(AM312*2*база!$L$4*Таблица14[[#This Row],[коэф]]),
IF(AND(G312="4/4",AM312&gt;2),(AM312*2*база!$I$5*Таблица14[[#This Row],[коэф]]),
IF(AND(G312="3/4",AM312&gt;2),(AM312*2*база!$I$4*Таблица14[[#This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(AM312*2*база!$L$4*Таблица14[[#This Row],[коэф]]))))))))))))),
(IF(AND(G312="5/24",AM312&gt;2),(AM312*2*база!$M$6*Таблица14[[#This Row],[коэф]]),
IF(OR(AND(G312="4/24",AM312&gt;2),AND(G312="3/24",AM312&gt;2)),(AM312*2*база!$M$5*Таблица14[[#This Row],[коэф]]),
IF(AND(G312="5/16",AM312&gt;2),(AM312*2*база!$L$6*Таблица14[[#This Row],[коэф]]),
IF(OR(AND(G312="4/16",AM312&gt;2),AND(G312="3/16",AM312&gt;2)),(AM312*2*база!$L$5*Таблица14[[#This Row],[коэф]]),
IF(OR(AND(G312="4/4",AM312&gt;2),AND(G312="3/4",AM312&gt;2)),(AM312*2*база!$I$5*Таблица14[[#This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(AM312*2*база!$L$5*Таблица14[[#This Row],[коэф]])))))))))))</f>
        <v>0</v>
      </c>
      <c r="AO312" s="114">
        <f>IFERROR(INDEX(база!$D$2:$D$120, MATCH(Таблица14[[#This Row],[Ф. И. О.]],база!$B$2:$B$100,0)),"")</f>
        <v>0</v>
      </c>
    </row>
    <row r="313" spans="1:41">
      <c r="A313" s="192"/>
      <c r="B313" s="223"/>
      <c r="C313" s="543"/>
      <c r="D313" s="190"/>
      <c r="E313" s="226"/>
      <c r="F313" s="645"/>
      <c r="G313" s="191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113">
        <f t="shared" si="4"/>
        <v>0</v>
      </c>
      <c r="AN313" s="540">
        <f>IF(AO313&lt;=3,(IF(AND(G313="5/24",AM313&gt;2),(AM313*2*база!$M$6*Таблица14[[#This Row],[коэф]]),
IF(AND(G313="4/24",AM313&gt;2),(AM313*2*база!$M$5*Таблица14[[#This Row],[коэф]]),
IF(AND(G313="3/24",AM313&gt;2),(AM313*2*база!$M$4*Таблица14[[#This Row],[коэф]]),
IF(AND(G313="5/16",AM313&gt;2),(AM313*2*база!$L$6*Таблица14[[#This Row],[коэф]]),
IF(AND(G313="4/16",AM313&gt;2),(AM313*2*база!$L$5*Таблица14[[#This Row],[коэф]]),
IF(AND(G313="3/16",AM313&gt;2),(AM313*2*база!$L$4*Таблица14[[#This Row],[коэф]]),
IF(AND(G313="4/4",AM313&gt;2),(AM313*2*база!$I$5*Таблица14[[#This Row],[коэф]]),
IF(AND(G313="3/4",AM313&gt;2),(AM313*2*база!$I$4*Таблица14[[#This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(AM313*2*база!$L$4*Таблица14[[#This Row],[коэф]]))))))))))))),
(IF(AND(G313="5/24",AM313&gt;2),(AM313*2*база!$M$6*Таблица14[[#This Row],[коэф]]),
IF(OR(AND(G313="4/24",AM313&gt;2),AND(G313="3/24",AM313&gt;2)),(AM313*2*база!$M$5*Таблица14[[#This Row],[коэф]]),
IF(AND(G313="5/16",AM313&gt;2),(AM313*2*база!$L$6*Таблица14[[#This Row],[коэф]]),
IF(OR(AND(G313="4/16",AM313&gt;2),AND(G313="3/16",AM313&gt;2)),(AM313*2*база!$L$5*Таблица14[[#This Row],[коэф]]),
IF(OR(AND(G313="4/4",AM313&gt;2),AND(G313="3/4",AM313&gt;2)),(AM313*2*база!$I$5*Таблица14[[#This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(AM313*2*база!$L$5*Таблица14[[#This Row],[коэф]])))))))))))</f>
        <v>0</v>
      </c>
      <c r="AO313" s="114">
        <f>IFERROR(INDEX(база!$D$2:$D$120, MATCH(Таблица14[[#This Row],[Ф. И. О.]],база!$B$2:$B$100,0)),"")</f>
        <v>0</v>
      </c>
    </row>
    <row r="314" spans="1:41">
      <c r="A314" s="192"/>
      <c r="B314" s="189"/>
      <c r="C314" s="619"/>
      <c r="D314" s="190"/>
      <c r="E314" s="224"/>
      <c r="F314" s="645"/>
      <c r="G314" s="225"/>
      <c r="H314" s="563"/>
      <c r="I314" s="563"/>
      <c r="J314" s="563"/>
      <c r="K314" s="563"/>
      <c r="L314" s="563"/>
      <c r="M314" s="563"/>
      <c r="N314" s="563"/>
      <c r="O314" s="563"/>
      <c r="P314" s="563"/>
      <c r="Q314" s="563"/>
      <c r="R314" s="563"/>
      <c r="S314" s="563"/>
      <c r="T314" s="563"/>
      <c r="U314" s="563"/>
      <c r="V314" s="563"/>
      <c r="W314" s="563"/>
      <c r="X314" s="563"/>
      <c r="Y314" s="563"/>
      <c r="Z314" s="563"/>
      <c r="AA314" s="563"/>
      <c r="AB314" s="563"/>
      <c r="AC314" s="563"/>
      <c r="AD314" s="563"/>
      <c r="AE314" s="563"/>
      <c r="AF314" s="563"/>
      <c r="AG314" s="563"/>
      <c r="AH314" s="563"/>
      <c r="AI314" s="563"/>
      <c r="AJ314" s="563"/>
      <c r="AK314" s="563"/>
      <c r="AL314" s="563"/>
      <c r="AM314" s="113">
        <f t="shared" si="4"/>
        <v>0</v>
      </c>
      <c r="AN314" s="561">
        <f>IF(AO314&lt;=3,(IF(AND(G314="5/24",AM314&gt;2),(AM314*2*база!$M$6*Таблица14[[#This Row],[коэф]]),
IF(AND(G314="4/24",AM314&gt;2),(AM314*2*база!$M$5*Таблица14[[#This Row],[коэф]]),
IF(AND(G314="3/24",AM314&gt;2),(AM314*2*база!$M$4*Таблица14[[#This Row],[коэф]]),
IF(AND(G314="5/16",AM314&gt;2),(AM314*2*база!$L$6*Таблица14[[#This Row],[коэф]]),
IF(AND(G314="4/16",AM314&gt;2),(AM314*2*база!$L$5*Таблица14[[#This Row],[коэф]]),
IF(AND(G314="3/16",AM314&gt;2),(AM314*2*база!$L$4*Таблица14[[#This Row],[коэф]]),
IF(AND(G314="4/4",AM314&gt;2),(AM314*2*база!$I$5*Таблица14[[#This Row],[коэф]]),
IF(AND(G314="3/4",AM314&gt;2),(AM314*2*база!$I$4*Таблица14[[#This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(AM314*2*база!$L$4*Таблица14[[#This Row],[коэф]]))))))))))))),
(IF(AND(G314="5/24",AM314&gt;2),(AM314*2*база!$M$6*Таблица14[[#This Row],[коэф]]),
IF(OR(AND(G314="4/24",AM314&gt;2),AND(G314="3/24",AM314&gt;2)),(AM314*2*база!$M$5*Таблица14[[#This Row],[коэф]]),
IF(AND(G314="5/16",AM314&gt;2),(AM314*2*база!$L$6*Таблица14[[#This Row],[коэф]]),
IF(OR(AND(G314="4/16",AM314&gt;2),AND(G314="3/16",AM314&gt;2)),(AM314*2*база!$L$5*Таблица14[[#This Row],[коэф]]),
IF(OR(AND(G314="4/4",AM314&gt;2),AND(G314="3/4",AM314&gt;2)),(AM314*2*база!$I$5*Таблица14[[#This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(AM314*2*база!$L$5*Таблица14[[#This Row],[коэф]])))))))))))</f>
        <v>0</v>
      </c>
      <c r="AO314" s="114">
        <f>IFERROR(INDEX(база!$D$2:$D$120, MATCH(Таблица14[[#This Row],[Ф. И. О.]],база!$B$2:$B$100,0)),"")</f>
        <v>0</v>
      </c>
    </row>
    <row r="315" spans="1:41">
      <c r="A315" s="192"/>
      <c r="B315" s="223"/>
      <c r="C315" s="543"/>
      <c r="D315" s="190"/>
      <c r="E315" s="226"/>
      <c r="F315" s="645"/>
      <c r="G315" s="191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113">
        <f t="shared" si="4"/>
        <v>0</v>
      </c>
      <c r="AN315" s="540">
        <f>IF(AO315&lt;=3,(IF(AND(G315="5/24",AM315&gt;2),(AM315*2*база!$M$6*Таблица14[[#This Row],[коэф]]),
IF(AND(G315="4/24",AM315&gt;2),(AM315*2*база!$M$5*Таблица14[[#This Row],[коэф]]),
IF(AND(G315="3/24",AM315&gt;2),(AM315*2*база!$M$4*Таблица14[[#This Row],[коэф]]),
IF(AND(G315="5/16",AM315&gt;2),(AM315*2*база!$L$6*Таблица14[[#This Row],[коэф]]),
IF(AND(G315="4/16",AM315&gt;2),(AM315*2*база!$L$5*Таблица14[[#This Row],[коэф]]),
IF(AND(G315="3/16",AM315&gt;2),(AM315*2*база!$L$4*Таблица14[[#This Row],[коэф]]),
IF(AND(G315="4/4",AM315&gt;2),(AM315*2*база!$I$5*Таблица14[[#This Row],[коэф]]),
IF(AND(G315="3/4",AM315&gt;2),(AM315*2*база!$I$4*Таблица14[[#This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(AM315*2*база!$L$4*Таблица14[[#This Row],[коэф]]))))))))))))),
(IF(AND(G315="5/24",AM315&gt;2),(AM315*2*база!$M$6*Таблица14[[#This Row],[коэф]]),
IF(OR(AND(G315="4/24",AM315&gt;2),AND(G315="3/24",AM315&gt;2)),(AM315*2*база!$M$5*Таблица14[[#This Row],[коэф]]),
IF(AND(G315="5/16",AM315&gt;2),(AM315*2*база!$L$6*Таблица14[[#This Row],[коэф]]),
IF(OR(AND(G315="4/16",AM315&gt;2),AND(G315="3/16",AM315&gt;2)),(AM315*2*база!$L$5*Таблица14[[#This Row],[коэф]]),
IF(OR(AND(G315="4/4",AM315&gt;2),AND(G315="3/4",AM315&gt;2)),(AM315*2*база!$I$5*Таблица14[[#This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(AM315*2*база!$L$5*Таблица14[[#This Row],[коэф]])))))))))))</f>
        <v>0</v>
      </c>
      <c r="AO315" s="114">
        <f>IFERROR(INDEX(база!$D$2:$D$120, MATCH(Таблица14[[#This Row],[Ф. И. О.]],база!$B$2:$B$100,0)),"")</f>
        <v>0</v>
      </c>
    </row>
    <row r="316" spans="1:41">
      <c r="A316" s="192"/>
      <c r="B316" s="189"/>
      <c r="C316" s="619"/>
      <c r="D316" s="190"/>
      <c r="E316" s="224"/>
      <c r="F316" s="645"/>
      <c r="G316" s="225"/>
      <c r="H316" s="563"/>
      <c r="I316" s="563"/>
      <c r="J316" s="563"/>
      <c r="K316" s="563"/>
      <c r="L316" s="563"/>
      <c r="M316" s="563"/>
      <c r="N316" s="563"/>
      <c r="O316" s="563"/>
      <c r="P316" s="563"/>
      <c r="Q316" s="563"/>
      <c r="R316" s="563"/>
      <c r="S316" s="563"/>
      <c r="T316" s="563"/>
      <c r="U316" s="563"/>
      <c r="V316" s="563"/>
      <c r="W316" s="563"/>
      <c r="X316" s="563"/>
      <c r="Y316" s="563"/>
      <c r="Z316" s="563"/>
      <c r="AA316" s="563"/>
      <c r="AB316" s="563"/>
      <c r="AC316" s="563"/>
      <c r="AD316" s="563"/>
      <c r="AE316" s="563"/>
      <c r="AF316" s="563"/>
      <c r="AG316" s="563"/>
      <c r="AH316" s="563"/>
      <c r="AI316" s="563"/>
      <c r="AJ316" s="563"/>
      <c r="AK316" s="563"/>
      <c r="AL316" s="563"/>
      <c r="AM316" s="113">
        <f t="shared" si="4"/>
        <v>0</v>
      </c>
      <c r="AN316" s="561">
        <f>IF(AO316&lt;=3,(IF(AND(G316="5/24",AM316&gt;2),(AM316*2*база!$M$6*Таблица14[[#This Row],[коэф]]),
IF(AND(G316="4/24",AM316&gt;2),(AM316*2*база!$M$5*Таблица14[[#This Row],[коэф]]),
IF(AND(G316="3/24",AM316&gt;2),(AM316*2*база!$M$4*Таблица14[[#This Row],[коэф]]),
IF(AND(G316="5/16",AM316&gt;2),(AM316*2*база!$L$6*Таблица14[[#This Row],[коэф]]),
IF(AND(G316="4/16",AM316&gt;2),(AM316*2*база!$L$5*Таблица14[[#This Row],[коэф]]),
IF(AND(G316="3/16",AM316&gt;2),(AM316*2*база!$L$4*Таблица14[[#This Row],[коэф]]),
IF(AND(G316="4/4",AM316&gt;2),(AM316*2*база!$I$5*Таблица14[[#This Row],[коэф]]),
IF(AND(G316="3/4",AM316&gt;2),(AM316*2*база!$I$4*Таблица14[[#This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(AM316*2*база!$L$4*Таблица14[[#This Row],[коэф]]))))))))))))),
(IF(AND(G316="5/24",AM316&gt;2),(AM316*2*база!$M$6*Таблица14[[#This Row],[коэф]]),
IF(OR(AND(G316="4/24",AM316&gt;2),AND(G316="3/24",AM316&gt;2)),(AM316*2*база!$M$5*Таблица14[[#This Row],[коэф]]),
IF(AND(G316="5/16",AM316&gt;2),(AM316*2*база!$L$6*Таблица14[[#This Row],[коэф]]),
IF(OR(AND(G316="4/16",AM316&gt;2),AND(G316="3/16",AM316&gt;2)),(AM316*2*база!$L$5*Таблица14[[#This Row],[коэф]]),
IF(OR(AND(G316="4/4",AM316&gt;2),AND(G316="3/4",AM316&gt;2)),(AM316*2*база!$I$5*Таблица14[[#This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(AM316*2*база!$L$5*Таблица14[[#This Row],[коэф]])))))))))))</f>
        <v>0</v>
      </c>
      <c r="AO316" s="114">
        <f>IFERROR(INDEX(база!$D$2:$D$120, MATCH(Таблица14[[#This Row],[Ф. И. О.]],база!$B$2:$B$100,0)),"")</f>
        <v>0</v>
      </c>
    </row>
    <row r="317" spans="1:41">
      <c r="A317" s="192"/>
      <c r="B317" s="223"/>
      <c r="C317" s="543"/>
      <c r="D317" s="199"/>
      <c r="E317" s="226"/>
      <c r="F317" s="645"/>
      <c r="G317" s="191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113">
        <f t="shared" si="4"/>
        <v>0</v>
      </c>
      <c r="AN317" s="540">
        <f>IF(AO317&lt;=3,(IF(AND(G317="5/24",AM317&gt;2),(AM317*2*база!$M$6*Таблица14[[#This Row],[коэф]]),
IF(AND(G317="4/24",AM317&gt;2),(AM317*2*база!$M$5*Таблица14[[#This Row],[коэф]]),
IF(AND(G317="3/24",AM317&gt;2),(AM317*2*база!$M$4*Таблица14[[#This Row],[коэф]]),
IF(AND(G317="5/16",AM317&gt;2),(AM317*2*база!$L$6*Таблица14[[#This Row],[коэф]]),
IF(AND(G317="4/16",AM317&gt;2),(AM317*2*база!$L$5*Таблица14[[#This Row],[коэф]]),
IF(AND(G317="3/16",AM317&gt;2),(AM317*2*база!$L$4*Таблица14[[#This Row],[коэф]]),
IF(AND(G317="4/4",AM317&gt;2),(AM317*2*база!$I$5*Таблица14[[#This Row],[коэф]]),
IF(AND(G317="3/4",AM317&gt;2),(AM317*2*база!$I$4*Таблица14[[#This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(AM317*2*база!$L$4*Таблица14[[#This Row],[коэф]]))))))))))))),
(IF(AND(G317="5/24",AM317&gt;2),(AM317*2*база!$M$6*Таблица14[[#This Row],[коэф]]),
IF(OR(AND(G317="4/24",AM317&gt;2),AND(G317="3/24",AM317&gt;2)),(AM317*2*база!$M$5*Таблица14[[#This Row],[коэф]]),
IF(AND(G317="5/16",AM317&gt;2),(AM317*2*база!$L$6*Таблица14[[#This Row],[коэф]]),
IF(OR(AND(G317="4/16",AM317&gt;2),AND(G317="3/16",AM317&gt;2)),(AM317*2*база!$L$5*Таблица14[[#This Row],[коэф]]),
IF(OR(AND(G317="4/4",AM317&gt;2),AND(G317="3/4",AM317&gt;2)),(AM317*2*база!$I$5*Таблица14[[#This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(AM317*2*база!$L$5*Таблица14[[#This Row],[коэф]])))))))))))</f>
        <v>0</v>
      </c>
      <c r="AO317" s="114">
        <f>IFERROR(INDEX(база!$D$2:$D$120, MATCH(Таблица14[[#This Row],[Ф. И. О.]],база!$B$2:$B$100,0)),"")</f>
        <v>0</v>
      </c>
    </row>
    <row r="318" spans="1:41">
      <c r="A318" s="192"/>
      <c r="B318" s="189"/>
      <c r="C318" s="619"/>
      <c r="D318" s="199"/>
      <c r="E318" s="224"/>
      <c r="F318" s="645"/>
      <c r="G318" s="225"/>
      <c r="H318" s="563"/>
      <c r="I318" s="563"/>
      <c r="J318" s="563"/>
      <c r="K318" s="563"/>
      <c r="L318" s="563"/>
      <c r="M318" s="563"/>
      <c r="N318" s="563"/>
      <c r="O318" s="563"/>
      <c r="P318" s="563"/>
      <c r="Q318" s="563"/>
      <c r="R318" s="563"/>
      <c r="S318" s="563"/>
      <c r="T318" s="563"/>
      <c r="U318" s="563"/>
      <c r="V318" s="563"/>
      <c r="W318" s="563"/>
      <c r="X318" s="563"/>
      <c r="Y318" s="563"/>
      <c r="Z318" s="563"/>
      <c r="AA318" s="563"/>
      <c r="AB318" s="563"/>
      <c r="AC318" s="563"/>
      <c r="AD318" s="563"/>
      <c r="AE318" s="563"/>
      <c r="AF318" s="563"/>
      <c r="AG318" s="563"/>
      <c r="AH318" s="563"/>
      <c r="AI318" s="563"/>
      <c r="AJ318" s="563"/>
      <c r="AK318" s="563"/>
      <c r="AL318" s="563"/>
      <c r="AM318" s="113">
        <f t="shared" si="4"/>
        <v>0</v>
      </c>
      <c r="AN318" s="561">
        <f>IF(AO318&lt;=3,(IF(AND(G318="5/24",AM318&gt;2),(AM318*2*база!$M$6*Таблица14[[#This Row],[коэф]]),
IF(AND(G318="4/24",AM318&gt;2),(AM318*2*база!$M$5*Таблица14[[#This Row],[коэф]]),
IF(AND(G318="3/24",AM318&gt;2),(AM318*2*база!$M$4*Таблица14[[#This Row],[коэф]]),
IF(AND(G318="5/16",AM318&gt;2),(AM318*2*база!$L$6*Таблица14[[#This Row],[коэф]]),
IF(AND(G318="4/16",AM318&gt;2),(AM318*2*база!$L$5*Таблица14[[#This Row],[коэф]]),
IF(AND(G318="3/16",AM318&gt;2),(AM318*2*база!$L$4*Таблица14[[#This Row],[коэф]]),
IF(AND(G318="4/4",AM318&gt;2),(AM318*2*база!$I$5*Таблица14[[#This Row],[коэф]]),
IF(AND(G318="3/4",AM318&gt;2),(AM318*2*база!$I$4*Таблица14[[#This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(AM318*2*база!$L$4*Таблица14[[#This Row],[коэф]]))))))))))))),
(IF(AND(G318="5/24",AM318&gt;2),(AM318*2*база!$M$6*Таблица14[[#This Row],[коэф]]),
IF(OR(AND(G318="4/24",AM318&gt;2),AND(G318="3/24",AM318&gt;2)),(AM318*2*база!$M$5*Таблица14[[#This Row],[коэф]]),
IF(AND(G318="5/16",AM318&gt;2),(AM318*2*база!$L$6*Таблица14[[#This Row],[коэф]]),
IF(OR(AND(G318="4/16",AM318&gt;2),AND(G318="3/16",AM318&gt;2)),(AM318*2*база!$L$5*Таблица14[[#This Row],[коэф]]),
IF(OR(AND(G318="4/4",AM318&gt;2),AND(G318="3/4",AM318&gt;2)),(AM318*2*база!$I$5*Таблица14[[#This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(AM318*2*база!$L$5*Таблица14[[#This Row],[коэф]])))))))))))</f>
        <v>0</v>
      </c>
      <c r="AO318" s="114">
        <f>IFERROR(INDEX(база!$D$2:$D$120, MATCH(Таблица14[[#This Row],[Ф. И. О.]],база!$B$2:$B$100,0)),"")</f>
        <v>0</v>
      </c>
    </row>
    <row r="319" spans="1:41">
      <c r="A319" s="192"/>
      <c r="B319" s="223"/>
      <c r="C319" s="543"/>
      <c r="D319" s="190"/>
      <c r="E319" s="226"/>
      <c r="F319" s="645"/>
      <c r="G319" s="191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113">
        <f t="shared" si="4"/>
        <v>0</v>
      </c>
      <c r="AN319" s="540">
        <f>IF(AO319&lt;=3,(IF(AND(G319="5/24",AM319&gt;2),(AM319*2*база!$M$6*Таблица14[[#This Row],[коэф]]),
IF(AND(G319="4/24",AM319&gt;2),(AM319*2*база!$M$5*Таблица14[[#This Row],[коэф]]),
IF(AND(G319="3/24",AM319&gt;2),(AM319*2*база!$M$4*Таблица14[[#This Row],[коэф]]),
IF(AND(G319="5/16",AM319&gt;2),(AM319*2*база!$L$6*Таблица14[[#This Row],[коэф]]),
IF(AND(G319="4/16",AM319&gt;2),(AM319*2*база!$L$5*Таблица14[[#This Row],[коэф]]),
IF(AND(G319="3/16",AM319&gt;2),(AM319*2*база!$L$4*Таблица14[[#This Row],[коэф]]),
IF(AND(G319="4/4",AM319&gt;2),(AM319*2*база!$I$5*Таблица14[[#This Row],[коэф]]),
IF(AND(G319="3/4",AM319&gt;2),(AM319*2*база!$I$4*Таблица14[[#This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(AM319*2*база!$L$4*Таблица14[[#This Row],[коэф]]))))))))))))),
(IF(AND(G319="5/24",AM319&gt;2),(AM319*2*база!$M$6*Таблица14[[#This Row],[коэф]]),
IF(OR(AND(G319="4/24",AM319&gt;2),AND(G319="3/24",AM319&gt;2)),(AM319*2*база!$M$5*Таблица14[[#This Row],[коэф]]),
IF(AND(G319="5/16",AM319&gt;2),(AM319*2*база!$L$6*Таблица14[[#This Row],[коэф]]),
IF(OR(AND(G319="4/16",AM319&gt;2),AND(G319="3/16",AM319&gt;2)),(AM319*2*база!$L$5*Таблица14[[#This Row],[коэф]]),
IF(OR(AND(G319="4/4",AM319&gt;2),AND(G319="3/4",AM319&gt;2)),(AM319*2*база!$I$5*Таблица14[[#This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(AM319*2*база!$L$5*Таблица14[[#This Row],[коэф]])))))))))))</f>
        <v>0</v>
      </c>
      <c r="AO319" s="114">
        <f>IFERROR(INDEX(база!$D$2:$D$120, MATCH(Таблица14[[#This Row],[Ф. И. О.]],база!$B$2:$B$100,0)),"")</f>
        <v>0</v>
      </c>
    </row>
    <row r="320" spans="1:41">
      <c r="A320" s="192"/>
      <c r="B320" s="189"/>
      <c r="C320" s="619"/>
      <c r="D320" s="190"/>
      <c r="E320" s="224"/>
      <c r="F320" s="645"/>
      <c r="G320" s="225"/>
      <c r="H320" s="563"/>
      <c r="I320" s="563"/>
      <c r="J320" s="563"/>
      <c r="K320" s="563"/>
      <c r="L320" s="563"/>
      <c r="M320" s="563"/>
      <c r="N320" s="563"/>
      <c r="O320" s="563"/>
      <c r="P320" s="563"/>
      <c r="Q320" s="563"/>
      <c r="R320" s="563"/>
      <c r="S320" s="563"/>
      <c r="T320" s="563"/>
      <c r="U320" s="563"/>
      <c r="V320" s="563"/>
      <c r="W320" s="563"/>
      <c r="X320" s="563"/>
      <c r="Y320" s="563"/>
      <c r="Z320" s="563"/>
      <c r="AA320" s="563"/>
      <c r="AB320" s="563"/>
      <c r="AC320" s="563"/>
      <c r="AD320" s="563"/>
      <c r="AE320" s="563"/>
      <c r="AF320" s="563"/>
      <c r="AG320" s="563"/>
      <c r="AH320" s="563"/>
      <c r="AI320" s="563"/>
      <c r="AJ320" s="563"/>
      <c r="AK320" s="563"/>
      <c r="AL320" s="563"/>
      <c r="AM320" s="113">
        <f t="shared" si="4"/>
        <v>0</v>
      </c>
      <c r="AN320" s="561">
        <f>IF(AO320&lt;=3,(IF(AND(G320="5/24",AM320&gt;2),(AM320*2*база!$M$6*Таблица14[[#This Row],[коэф]]),
IF(AND(G320="4/24",AM320&gt;2),(AM320*2*база!$M$5*Таблица14[[#This Row],[коэф]]),
IF(AND(G320="3/24",AM320&gt;2),(AM320*2*база!$M$4*Таблица14[[#This Row],[коэф]]),
IF(AND(G320="5/16",AM320&gt;2),(AM320*2*база!$L$6*Таблица14[[#This Row],[коэф]]),
IF(AND(G320="4/16",AM320&gt;2),(AM320*2*база!$L$5*Таблица14[[#This Row],[коэф]]),
IF(AND(G320="3/16",AM320&gt;2),(AM320*2*база!$L$4*Таблица14[[#This Row],[коэф]]),
IF(AND(G320="4/4",AM320&gt;2),(AM320*2*база!$I$5*Таблица14[[#This Row],[коэф]]),
IF(AND(G320="3/4",AM320&gt;2),(AM320*2*база!$I$4*Таблица14[[#This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(AM320*2*база!$L$4*Таблица14[[#This Row],[коэф]]))))))))))))),
(IF(AND(G320="5/24",AM320&gt;2),(AM320*2*база!$M$6*Таблица14[[#This Row],[коэф]]),
IF(OR(AND(G320="4/24",AM320&gt;2),AND(G320="3/24",AM320&gt;2)),(AM320*2*база!$M$5*Таблица14[[#This Row],[коэф]]),
IF(AND(G320="5/16",AM320&gt;2),(AM320*2*база!$L$6*Таблица14[[#This Row],[коэф]]),
IF(OR(AND(G320="4/16",AM320&gt;2),AND(G320="3/16",AM320&gt;2)),(AM320*2*база!$L$5*Таблица14[[#This Row],[коэф]]),
IF(OR(AND(G320="4/4",AM320&gt;2),AND(G320="3/4",AM320&gt;2)),(AM320*2*база!$I$5*Таблица14[[#This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(AM320*2*база!$L$5*Таблица14[[#This Row],[коэф]])))))))))))</f>
        <v>0</v>
      </c>
      <c r="AO320" s="114">
        <f>IFERROR(INDEX(база!$D$2:$D$120, MATCH(Таблица14[[#This Row],[Ф. И. О.]],база!$B$2:$B$100,0)),"")</f>
        <v>0</v>
      </c>
    </row>
    <row r="321" spans="1:41">
      <c r="A321" s="192"/>
      <c r="B321" s="223"/>
      <c r="C321" s="543"/>
      <c r="D321" s="199"/>
      <c r="E321" s="226"/>
      <c r="F321" s="645"/>
      <c r="G321" s="191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113">
        <f t="shared" si="4"/>
        <v>0</v>
      </c>
      <c r="AN321" s="540">
        <f>IF(AO321&lt;=3,(IF(AND(G321="5/24",AM321&gt;2),(AM321*2*база!$M$6*Таблица14[[#This Row],[коэф]]),
IF(AND(G321="4/24",AM321&gt;2),(AM321*2*база!$M$5*Таблица14[[#This Row],[коэф]]),
IF(AND(G321="3/24",AM321&gt;2),(AM321*2*база!$M$4*Таблица14[[#This Row],[коэф]]),
IF(AND(G321="5/16",AM321&gt;2),(AM321*2*база!$L$6*Таблица14[[#This Row],[коэф]]),
IF(AND(G321="4/16",AM321&gt;2),(AM321*2*база!$L$5*Таблица14[[#This Row],[коэф]]),
IF(AND(G321="3/16",AM321&gt;2),(AM321*2*база!$L$4*Таблица14[[#This Row],[коэф]]),
IF(AND(G321="4/4",AM321&gt;2),(AM321*2*база!$I$5*Таблица14[[#This Row],[коэф]]),
IF(AND(G321="3/4",AM321&gt;2),(AM321*2*база!$I$4*Таблица14[[#This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(AM321*2*база!$L$4*Таблица14[[#This Row],[коэф]]))))))))))))),
(IF(AND(G321="5/24",AM321&gt;2),(AM321*2*база!$M$6*Таблица14[[#This Row],[коэф]]),
IF(OR(AND(G321="4/24",AM321&gt;2),AND(G321="3/24",AM321&gt;2)),(AM321*2*база!$M$5*Таблица14[[#This Row],[коэф]]),
IF(AND(G321="5/16",AM321&gt;2),(AM321*2*база!$L$6*Таблица14[[#This Row],[коэф]]),
IF(OR(AND(G321="4/16",AM321&gt;2),AND(G321="3/16",AM321&gt;2)),(AM321*2*база!$L$5*Таблица14[[#This Row],[коэф]]),
IF(OR(AND(G321="4/4",AM321&gt;2),AND(G321="3/4",AM321&gt;2)),(AM321*2*база!$I$5*Таблица14[[#This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(AM321*2*база!$L$5*Таблица14[[#This Row],[коэф]])))))))))))</f>
        <v>0</v>
      </c>
      <c r="AO321" s="114">
        <f>IFERROR(INDEX(база!$D$2:$D$120, MATCH(Таблица14[[#This Row],[Ф. И. О.]],база!$B$2:$B$100,0)),"")</f>
        <v>0</v>
      </c>
    </row>
    <row r="322" spans="1:41">
      <c r="A322" s="192"/>
      <c r="B322" s="189"/>
      <c r="C322" s="619"/>
      <c r="D322" s="190"/>
      <c r="E322" s="224"/>
      <c r="F322" s="645"/>
      <c r="G322" s="225"/>
      <c r="H322" s="563"/>
      <c r="I322" s="563"/>
      <c r="J322" s="563"/>
      <c r="K322" s="563"/>
      <c r="L322" s="563"/>
      <c r="M322" s="563"/>
      <c r="N322" s="563"/>
      <c r="O322" s="563"/>
      <c r="P322" s="563"/>
      <c r="Q322" s="563"/>
      <c r="R322" s="563"/>
      <c r="S322" s="563"/>
      <c r="T322" s="563"/>
      <c r="U322" s="563"/>
      <c r="V322" s="563"/>
      <c r="W322" s="563"/>
      <c r="X322" s="563"/>
      <c r="Y322" s="563"/>
      <c r="Z322" s="563"/>
      <c r="AA322" s="563"/>
      <c r="AB322" s="563"/>
      <c r="AC322" s="563"/>
      <c r="AD322" s="563"/>
      <c r="AE322" s="563"/>
      <c r="AF322" s="563"/>
      <c r="AG322" s="563"/>
      <c r="AH322" s="563"/>
      <c r="AI322" s="563"/>
      <c r="AJ322" s="563"/>
      <c r="AK322" s="563"/>
      <c r="AL322" s="563"/>
      <c r="AM322" s="113">
        <f t="shared" si="4"/>
        <v>0</v>
      </c>
      <c r="AN322" s="561">
        <f>IF(AO322&lt;=3,(IF(AND(G322="5/24",AM322&gt;2),(AM322*2*база!$M$6*Таблица14[[#This Row],[коэф]]),
IF(AND(G322="4/24",AM322&gt;2),(AM322*2*база!$M$5*Таблица14[[#This Row],[коэф]]),
IF(AND(G322="3/24",AM322&gt;2),(AM322*2*база!$M$4*Таблица14[[#This Row],[коэф]]),
IF(AND(G322="5/16",AM322&gt;2),(AM322*2*база!$L$6*Таблица14[[#This Row],[коэф]]),
IF(AND(G322="4/16",AM322&gt;2),(AM322*2*база!$L$5*Таблица14[[#This Row],[коэф]]),
IF(AND(G322="3/16",AM322&gt;2),(AM322*2*база!$L$4*Таблица14[[#This Row],[коэф]]),
IF(AND(G322="4/4",AM322&gt;2),(AM322*2*база!$I$5*Таблица14[[#This Row],[коэф]]),
IF(AND(G322="3/4",AM322&gt;2),(AM322*2*база!$I$4*Таблица14[[#This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(AM322*2*база!$L$4*Таблица14[[#This Row],[коэф]]))))))))))))),
(IF(AND(G322="5/24",AM322&gt;2),(AM322*2*база!$M$6*Таблица14[[#This Row],[коэф]]),
IF(OR(AND(G322="4/24",AM322&gt;2),AND(G322="3/24",AM322&gt;2)),(AM322*2*база!$M$5*Таблица14[[#This Row],[коэф]]),
IF(AND(G322="5/16",AM322&gt;2),(AM322*2*база!$L$6*Таблица14[[#This Row],[коэф]]),
IF(OR(AND(G322="4/16",AM322&gt;2),AND(G322="3/16",AM322&gt;2)),(AM322*2*база!$L$5*Таблица14[[#This Row],[коэф]]),
IF(OR(AND(G322="4/4",AM322&gt;2),AND(G322="3/4",AM322&gt;2)),(AM322*2*база!$I$5*Таблица14[[#This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(AM322*2*база!$L$5*Таблица14[[#This Row],[коэф]])))))))))))</f>
        <v>0</v>
      </c>
      <c r="AO322" s="114">
        <f>IFERROR(INDEX(база!$D$2:$D$120, MATCH(Таблица14[[#This Row],[Ф. И. О.]],база!$B$2:$B$100,0)),"")</f>
        <v>0</v>
      </c>
    </row>
    <row r="323" spans="1:41">
      <c r="A323" s="192"/>
      <c r="B323" s="223"/>
      <c r="C323" s="543"/>
      <c r="D323" s="190"/>
      <c r="E323" s="226"/>
      <c r="F323" s="645"/>
      <c r="G323" s="191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113">
        <f t="shared" si="4"/>
        <v>0</v>
      </c>
      <c r="AN323" s="540">
        <f>IF(AO323&lt;=3,(IF(AND(G323="5/24",AM323&gt;2),(AM323*2*база!$M$6*Таблица14[[#This Row],[коэф]]),
IF(AND(G323="4/24",AM323&gt;2),(AM323*2*база!$M$5*Таблица14[[#This Row],[коэф]]),
IF(AND(G323="3/24",AM323&gt;2),(AM323*2*база!$M$4*Таблица14[[#This Row],[коэф]]),
IF(AND(G323="5/16",AM323&gt;2),(AM323*2*база!$L$6*Таблица14[[#This Row],[коэф]]),
IF(AND(G323="4/16",AM323&gt;2),(AM323*2*база!$L$5*Таблица14[[#This Row],[коэф]]),
IF(AND(G323="3/16",AM323&gt;2),(AM323*2*база!$L$4*Таблица14[[#This Row],[коэф]]),
IF(AND(G323="4/4",AM323&gt;2),(AM323*2*база!$I$5*Таблица14[[#This Row],[коэф]]),
IF(AND(G323="3/4",AM323&gt;2),(AM323*2*база!$I$4*Таблица14[[#This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(AM323*2*база!$L$4*Таблица14[[#This Row],[коэф]]))))))))))))),
(IF(AND(G323="5/24",AM323&gt;2),(AM323*2*база!$M$6*Таблица14[[#This Row],[коэф]]),
IF(OR(AND(G323="4/24",AM323&gt;2),AND(G323="3/24",AM323&gt;2)),(AM323*2*база!$M$5*Таблица14[[#This Row],[коэф]]),
IF(AND(G323="5/16",AM323&gt;2),(AM323*2*база!$L$6*Таблица14[[#This Row],[коэф]]),
IF(OR(AND(G323="4/16",AM323&gt;2),AND(G323="3/16",AM323&gt;2)),(AM323*2*база!$L$5*Таблица14[[#This Row],[коэф]]),
IF(OR(AND(G323="4/4",AM323&gt;2),AND(G323="3/4",AM323&gt;2)),(AM323*2*база!$I$5*Таблица14[[#This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(AM323*2*база!$L$5*Таблица14[[#This Row],[коэф]])))))))))))</f>
        <v>0</v>
      </c>
      <c r="AO323" s="114">
        <f>IFERROR(INDEX(база!$D$2:$D$120, MATCH(Таблица14[[#This Row],[Ф. И. О.]],база!$B$2:$B$100,0)),"")</f>
        <v>0</v>
      </c>
    </row>
    <row r="324" spans="1:41">
      <c r="A324" s="192"/>
      <c r="B324" s="189"/>
      <c r="C324" s="619"/>
      <c r="D324" s="190"/>
      <c r="E324" s="224"/>
      <c r="F324" s="645"/>
      <c r="G324" s="225"/>
      <c r="H324" s="563"/>
      <c r="I324" s="563"/>
      <c r="J324" s="563"/>
      <c r="K324" s="563"/>
      <c r="L324" s="563"/>
      <c r="M324" s="563"/>
      <c r="N324" s="563"/>
      <c r="O324" s="563"/>
      <c r="P324" s="563"/>
      <c r="Q324" s="563"/>
      <c r="R324" s="563"/>
      <c r="S324" s="563"/>
      <c r="T324" s="563"/>
      <c r="U324" s="563"/>
      <c r="V324" s="563"/>
      <c r="W324" s="563"/>
      <c r="X324" s="563"/>
      <c r="Y324" s="563"/>
      <c r="Z324" s="563"/>
      <c r="AA324" s="563"/>
      <c r="AB324" s="563"/>
      <c r="AC324" s="563"/>
      <c r="AD324" s="563"/>
      <c r="AE324" s="563"/>
      <c r="AF324" s="563"/>
      <c r="AG324" s="563"/>
      <c r="AH324" s="563"/>
      <c r="AI324" s="563"/>
      <c r="AJ324" s="563"/>
      <c r="AK324" s="563"/>
      <c r="AL324" s="563"/>
      <c r="AM324" s="113">
        <f t="shared" ref="AM324:AM387" si="5">SUM(H324:AL324)</f>
        <v>0</v>
      </c>
      <c r="AN324" s="561">
        <f>IF(AO324&lt;=3,(IF(AND(G324="5/24",AM324&gt;2),(AM324*2*база!$M$6*Таблица14[[#This Row],[коэф]]),
IF(AND(G324="4/24",AM324&gt;2),(AM324*2*база!$M$5*Таблица14[[#This Row],[коэф]]),
IF(AND(G324="3/24",AM324&gt;2),(AM324*2*база!$M$4*Таблица14[[#This Row],[коэф]]),
IF(AND(G324="5/16",AM324&gt;2),(AM324*2*база!$L$6*Таблица14[[#This Row],[коэф]]),
IF(AND(G324="4/16",AM324&gt;2),(AM324*2*база!$L$5*Таблица14[[#This Row],[коэф]]),
IF(AND(G324="3/16",AM324&gt;2),(AM324*2*база!$L$4*Таблица14[[#This Row],[коэф]]),
IF(AND(G324="4/4",AM324&gt;2),(AM324*2*база!$I$5*Таблица14[[#This Row],[коэф]]),
IF(AND(G324="3/4",AM324&gt;2),(AM324*2*база!$I$4*Таблица14[[#This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(AM324*2*база!$L$4*Таблица14[[#This Row],[коэф]]))))))))))))),
(IF(AND(G324="5/24",AM324&gt;2),(AM324*2*база!$M$6*Таблица14[[#This Row],[коэф]]),
IF(OR(AND(G324="4/24",AM324&gt;2),AND(G324="3/24",AM324&gt;2)),(AM324*2*база!$M$5*Таблица14[[#This Row],[коэф]]),
IF(AND(G324="5/16",AM324&gt;2),(AM324*2*база!$L$6*Таблица14[[#This Row],[коэф]]),
IF(OR(AND(G324="4/16",AM324&gt;2),AND(G324="3/16",AM324&gt;2)),(AM324*2*база!$L$5*Таблица14[[#This Row],[коэф]]),
IF(OR(AND(G324="4/4",AM324&gt;2),AND(G324="3/4",AM324&gt;2)),(AM324*2*база!$I$5*Таблица14[[#This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(AM324*2*база!$L$5*Таблица14[[#This Row],[коэф]])))))))))))</f>
        <v>0</v>
      </c>
      <c r="AO324" s="114">
        <f>IFERROR(INDEX(база!$D$2:$D$120, MATCH(Таблица14[[#This Row],[Ф. И. О.]],база!$B$2:$B$100,0)),"")</f>
        <v>0</v>
      </c>
    </row>
    <row r="325" spans="1:41">
      <c r="A325" s="192"/>
      <c r="B325" s="223"/>
      <c r="C325" s="543"/>
      <c r="D325" s="199"/>
      <c r="E325" s="226"/>
      <c r="F325" s="645"/>
      <c r="G325" s="191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113">
        <f t="shared" si="5"/>
        <v>0</v>
      </c>
      <c r="AN325" s="540">
        <f>IF(AO325&lt;=3,(IF(AND(G325="5/24",AM325&gt;2),(AM325*2*база!$M$6*Таблица14[[#This Row],[коэф]]),
IF(AND(G325="4/24",AM325&gt;2),(AM325*2*база!$M$5*Таблица14[[#This Row],[коэф]]),
IF(AND(G325="3/24",AM325&gt;2),(AM325*2*база!$M$4*Таблица14[[#This Row],[коэф]]),
IF(AND(G325="5/16",AM325&gt;2),(AM325*2*база!$L$6*Таблица14[[#This Row],[коэф]]),
IF(AND(G325="4/16",AM325&gt;2),(AM325*2*база!$L$5*Таблица14[[#This Row],[коэф]]),
IF(AND(G325="3/16",AM325&gt;2),(AM325*2*база!$L$4*Таблица14[[#This Row],[коэф]]),
IF(AND(G325="4/4",AM325&gt;2),(AM325*2*база!$I$5*Таблица14[[#This Row],[коэф]]),
IF(AND(G325="3/4",AM325&gt;2),(AM325*2*база!$I$4*Таблица14[[#This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(AM325*2*база!$L$4*Таблица14[[#This Row],[коэф]]))))))))))))),
(IF(AND(G325="5/24",AM325&gt;2),(AM325*2*база!$M$6*Таблица14[[#This Row],[коэф]]),
IF(OR(AND(G325="4/24",AM325&gt;2),AND(G325="3/24",AM325&gt;2)),(AM325*2*база!$M$5*Таблица14[[#This Row],[коэф]]),
IF(AND(G325="5/16",AM325&gt;2),(AM325*2*база!$L$6*Таблица14[[#This Row],[коэф]]),
IF(OR(AND(G325="4/16",AM325&gt;2),AND(G325="3/16",AM325&gt;2)),(AM325*2*база!$L$5*Таблица14[[#This Row],[коэф]]),
IF(OR(AND(G325="4/4",AM325&gt;2),AND(G325="3/4",AM325&gt;2)),(AM325*2*база!$I$5*Таблица14[[#This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(AM325*2*база!$L$5*Таблица14[[#This Row],[коэф]])))))))))))</f>
        <v>0</v>
      </c>
      <c r="AO325" s="114">
        <f>IFERROR(INDEX(база!$D$2:$D$120, MATCH(Таблица14[[#This Row],[Ф. И. О.]],база!$B$2:$B$100,0)),"")</f>
        <v>0</v>
      </c>
    </row>
    <row r="326" spans="1:41">
      <c r="A326" s="192"/>
      <c r="B326" s="189"/>
      <c r="C326" s="619"/>
      <c r="D326" s="190"/>
      <c r="E326" s="224"/>
      <c r="F326" s="645"/>
      <c r="G326" s="225"/>
      <c r="H326" s="563"/>
      <c r="I326" s="563"/>
      <c r="J326" s="563"/>
      <c r="K326" s="563"/>
      <c r="L326" s="563"/>
      <c r="M326" s="563"/>
      <c r="N326" s="563"/>
      <c r="O326" s="563"/>
      <c r="P326" s="563"/>
      <c r="Q326" s="563"/>
      <c r="R326" s="563"/>
      <c r="S326" s="563"/>
      <c r="T326" s="563"/>
      <c r="U326" s="563"/>
      <c r="V326" s="563"/>
      <c r="W326" s="563"/>
      <c r="X326" s="563"/>
      <c r="Y326" s="563"/>
      <c r="Z326" s="563"/>
      <c r="AA326" s="563"/>
      <c r="AB326" s="563"/>
      <c r="AC326" s="563"/>
      <c r="AD326" s="563"/>
      <c r="AE326" s="563"/>
      <c r="AF326" s="563"/>
      <c r="AG326" s="563"/>
      <c r="AH326" s="563"/>
      <c r="AI326" s="563"/>
      <c r="AJ326" s="563"/>
      <c r="AK326" s="563"/>
      <c r="AL326" s="563"/>
      <c r="AM326" s="113">
        <f t="shared" si="5"/>
        <v>0</v>
      </c>
      <c r="AN326" s="561">
        <f>IF(AO326&lt;=3,(IF(AND(G326="5/24",AM326&gt;2),(AM326*2*база!$M$6*Таблица14[[#This Row],[коэф]]),
IF(AND(G326="4/24",AM326&gt;2),(AM326*2*база!$M$5*Таблица14[[#This Row],[коэф]]),
IF(AND(G326="3/24",AM326&gt;2),(AM326*2*база!$M$4*Таблица14[[#This Row],[коэф]]),
IF(AND(G326="5/16",AM326&gt;2),(AM326*2*база!$L$6*Таблица14[[#This Row],[коэф]]),
IF(AND(G326="4/16",AM326&gt;2),(AM326*2*база!$L$5*Таблица14[[#This Row],[коэф]]),
IF(AND(G326="3/16",AM326&gt;2),(AM326*2*база!$L$4*Таблица14[[#This Row],[коэф]]),
IF(AND(G326="4/4",AM326&gt;2),(AM326*2*база!$I$5*Таблица14[[#This Row],[коэф]]),
IF(AND(G326="3/4",AM326&gt;2),(AM326*2*база!$I$4*Таблица14[[#This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(AM326*2*база!$L$4*Таблица14[[#This Row],[коэф]]))))))))))))),
(IF(AND(G326="5/24",AM326&gt;2),(AM326*2*база!$M$6*Таблица14[[#This Row],[коэф]]),
IF(OR(AND(G326="4/24",AM326&gt;2),AND(G326="3/24",AM326&gt;2)),(AM326*2*база!$M$5*Таблица14[[#This Row],[коэф]]),
IF(AND(G326="5/16",AM326&gt;2),(AM326*2*база!$L$6*Таблица14[[#This Row],[коэф]]),
IF(OR(AND(G326="4/16",AM326&gt;2),AND(G326="3/16",AM326&gt;2)),(AM326*2*база!$L$5*Таблица14[[#This Row],[коэф]]),
IF(OR(AND(G326="4/4",AM326&gt;2),AND(G326="3/4",AM326&gt;2)),(AM326*2*база!$I$5*Таблица14[[#This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(AM326*2*база!$L$5*Таблица14[[#This Row],[коэф]])))))))))))</f>
        <v>0</v>
      </c>
      <c r="AO326" s="114">
        <f>IFERROR(INDEX(база!$D$2:$D$120, MATCH(Таблица14[[#This Row],[Ф. И. О.]],база!$B$2:$B$100,0)),"")</f>
        <v>0</v>
      </c>
    </row>
    <row r="327" spans="1:41">
      <c r="A327" s="192"/>
      <c r="B327" s="223"/>
      <c r="C327" s="543"/>
      <c r="D327" s="190"/>
      <c r="E327" s="226"/>
      <c r="F327" s="645"/>
      <c r="G327" s="191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113">
        <f t="shared" si="5"/>
        <v>0</v>
      </c>
      <c r="AN327" s="540">
        <f>IF(AO327&lt;=3,(IF(AND(G327="5/24",AM327&gt;2),(AM327*2*база!$M$6*Таблица14[[#This Row],[коэф]]),
IF(AND(G327="4/24",AM327&gt;2),(AM327*2*база!$M$5*Таблица14[[#This Row],[коэф]]),
IF(AND(G327="3/24",AM327&gt;2),(AM327*2*база!$M$4*Таблица14[[#This Row],[коэф]]),
IF(AND(G327="5/16",AM327&gt;2),(AM327*2*база!$L$6*Таблица14[[#This Row],[коэф]]),
IF(AND(G327="4/16",AM327&gt;2),(AM327*2*база!$L$5*Таблица14[[#This Row],[коэф]]),
IF(AND(G327="3/16",AM327&gt;2),(AM327*2*база!$L$4*Таблица14[[#This Row],[коэф]]),
IF(AND(G327="4/4",AM327&gt;2),(AM327*2*база!$I$5*Таблица14[[#This Row],[коэф]]),
IF(AND(G327="3/4",AM327&gt;2),(AM327*2*база!$I$4*Таблица14[[#This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(AM327*2*база!$L$4*Таблица14[[#This Row],[коэф]]))))))))))))),
(IF(AND(G327="5/24",AM327&gt;2),(AM327*2*база!$M$6*Таблица14[[#This Row],[коэф]]),
IF(OR(AND(G327="4/24",AM327&gt;2),AND(G327="3/24",AM327&gt;2)),(AM327*2*база!$M$5*Таблица14[[#This Row],[коэф]]),
IF(AND(G327="5/16",AM327&gt;2),(AM327*2*база!$L$6*Таблица14[[#This Row],[коэф]]),
IF(OR(AND(G327="4/16",AM327&gt;2),AND(G327="3/16",AM327&gt;2)),(AM327*2*база!$L$5*Таблица14[[#This Row],[коэф]]),
IF(OR(AND(G327="4/4",AM327&gt;2),AND(G327="3/4",AM327&gt;2)),(AM327*2*база!$I$5*Таблица14[[#This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(AM327*2*база!$L$5*Таблица14[[#This Row],[коэф]])))))))))))</f>
        <v>0</v>
      </c>
      <c r="AO327" s="114">
        <f>IFERROR(INDEX(база!$D$2:$D$120, MATCH(Таблица14[[#This Row],[Ф. И. О.]],база!$B$2:$B$100,0)),"")</f>
        <v>0</v>
      </c>
    </row>
    <row r="328" spans="1:41">
      <c r="A328" s="192"/>
      <c r="B328" s="189"/>
      <c r="C328" s="619"/>
      <c r="D328" s="562"/>
      <c r="E328" s="224"/>
      <c r="F328" s="645"/>
      <c r="G328" s="225"/>
      <c r="H328" s="563"/>
      <c r="I328" s="563"/>
      <c r="J328" s="563"/>
      <c r="K328" s="563"/>
      <c r="L328" s="563"/>
      <c r="M328" s="563"/>
      <c r="N328" s="563"/>
      <c r="O328" s="563"/>
      <c r="P328" s="563"/>
      <c r="Q328" s="563"/>
      <c r="R328" s="563"/>
      <c r="S328" s="563"/>
      <c r="T328" s="563"/>
      <c r="U328" s="563"/>
      <c r="V328" s="563"/>
      <c r="W328" s="563"/>
      <c r="X328" s="563"/>
      <c r="Y328" s="563"/>
      <c r="Z328" s="563"/>
      <c r="AA328" s="563"/>
      <c r="AB328" s="563"/>
      <c r="AC328" s="563"/>
      <c r="AD328" s="563"/>
      <c r="AE328" s="563"/>
      <c r="AF328" s="563"/>
      <c r="AG328" s="563"/>
      <c r="AH328" s="563"/>
      <c r="AI328" s="563"/>
      <c r="AJ328" s="563"/>
      <c r="AK328" s="563"/>
      <c r="AL328" s="563"/>
      <c r="AM328" s="113">
        <f t="shared" si="5"/>
        <v>0</v>
      </c>
      <c r="AN328" s="561">
        <f>IF(AO328&lt;=3,(IF(AND(G328="5/24",AM328&gt;2),(AM328*2*база!$M$6*Таблица14[[#This Row],[коэф]]),
IF(AND(G328="4/24",AM328&gt;2),(AM328*2*база!$M$5*Таблица14[[#This Row],[коэф]]),
IF(AND(G328="3/24",AM328&gt;2),(AM328*2*база!$M$4*Таблица14[[#This Row],[коэф]]),
IF(AND(G328="5/16",AM328&gt;2),(AM328*2*база!$L$6*Таблица14[[#This Row],[коэф]]),
IF(AND(G328="4/16",AM328&gt;2),(AM328*2*база!$L$5*Таблица14[[#This Row],[коэф]]),
IF(AND(G328="3/16",AM328&gt;2),(AM328*2*база!$L$4*Таблица14[[#This Row],[коэф]]),
IF(AND(G328="4/4",AM328&gt;2),(AM328*2*база!$I$5*Таблица14[[#This Row],[коэф]]),
IF(AND(G328="3/4",AM328&gt;2),(AM328*2*база!$I$4*Таблица14[[#This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(AM328*2*база!$L$4*Таблица14[[#This Row],[коэф]]))))))))))))),
(IF(AND(G328="5/24",AM328&gt;2),(AM328*2*база!$M$6*Таблица14[[#This Row],[коэф]]),
IF(OR(AND(G328="4/24",AM328&gt;2),AND(G328="3/24",AM328&gt;2)),(AM328*2*база!$M$5*Таблица14[[#This Row],[коэф]]),
IF(AND(G328="5/16",AM328&gt;2),(AM328*2*база!$L$6*Таблица14[[#This Row],[коэф]]),
IF(OR(AND(G328="4/16",AM328&gt;2),AND(G328="3/16",AM328&gt;2)),(AM328*2*база!$L$5*Таблица14[[#This Row],[коэф]]),
IF(OR(AND(G328="4/4",AM328&gt;2),AND(G328="3/4",AM328&gt;2)),(AM328*2*база!$I$5*Таблица14[[#This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(AM328*2*база!$L$5*Таблица14[[#This Row],[коэф]])))))))))))</f>
        <v>0</v>
      </c>
      <c r="AO328" s="114">
        <f>IFERROR(INDEX(база!$D$2:$D$120, MATCH(Таблица14[[#This Row],[Ф. И. О.]],база!$B$2:$B$100,0)),"")</f>
        <v>0</v>
      </c>
    </row>
    <row r="329" spans="1:41">
      <c r="A329" s="192"/>
      <c r="B329" s="223"/>
      <c r="C329" s="543"/>
      <c r="D329" s="190"/>
      <c r="E329" s="226"/>
      <c r="F329" s="645"/>
      <c r="G329" s="191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113">
        <f t="shared" si="5"/>
        <v>0</v>
      </c>
      <c r="AN329" s="540">
        <f>IF(AO329&lt;=3,(IF(AND(G329="5/24",AM329&gt;2),(AM329*2*база!$M$6*Таблица14[[#This Row],[коэф]]),
IF(AND(G329="4/24",AM329&gt;2),(AM329*2*база!$M$5*Таблица14[[#This Row],[коэф]]),
IF(AND(G329="3/24",AM329&gt;2),(AM329*2*база!$M$4*Таблица14[[#This Row],[коэф]]),
IF(AND(G329="5/16",AM329&gt;2),(AM329*2*база!$L$6*Таблица14[[#This Row],[коэф]]),
IF(AND(G329="4/16",AM329&gt;2),(AM329*2*база!$L$5*Таблица14[[#This Row],[коэф]]),
IF(AND(G329="3/16",AM329&gt;2),(AM329*2*база!$L$4*Таблица14[[#This Row],[коэф]]),
IF(AND(G329="4/4",AM329&gt;2),(AM329*2*база!$I$5*Таблица14[[#This Row],[коэф]]),
IF(AND(G329="3/4",AM329&gt;2),(AM329*2*база!$I$4*Таблица14[[#This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(AM329*2*база!$L$4*Таблица14[[#This Row],[коэф]]))))))))))))),
(IF(AND(G329="5/24",AM329&gt;2),(AM329*2*база!$M$6*Таблица14[[#This Row],[коэф]]),
IF(OR(AND(G329="4/24",AM329&gt;2),AND(G329="3/24",AM329&gt;2)),(AM329*2*база!$M$5*Таблица14[[#This Row],[коэф]]),
IF(AND(G329="5/16",AM329&gt;2),(AM329*2*база!$L$6*Таблица14[[#This Row],[коэф]]),
IF(OR(AND(G329="4/16",AM329&gt;2),AND(G329="3/16",AM329&gt;2)),(AM329*2*база!$L$5*Таблица14[[#This Row],[коэф]]),
IF(OR(AND(G329="4/4",AM329&gt;2),AND(G329="3/4",AM329&gt;2)),(AM329*2*база!$I$5*Таблица14[[#This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(AM329*2*база!$L$5*Таблица14[[#This Row],[коэф]])))))))))))</f>
        <v>0</v>
      </c>
      <c r="AO329" s="114">
        <f>IFERROR(INDEX(база!$D$2:$D$120, MATCH(Таблица14[[#This Row],[Ф. И. О.]],база!$B$2:$B$100,0)),"")</f>
        <v>0</v>
      </c>
    </row>
    <row r="330" spans="1:41">
      <c r="A330" s="192"/>
      <c r="B330" s="189"/>
      <c r="C330" s="619"/>
      <c r="D330" s="562"/>
      <c r="E330" s="224"/>
      <c r="F330" s="645"/>
      <c r="G330" s="225"/>
      <c r="H330" s="563"/>
      <c r="I330" s="563"/>
      <c r="J330" s="563"/>
      <c r="K330" s="563"/>
      <c r="L330" s="563"/>
      <c r="M330" s="563"/>
      <c r="N330" s="563"/>
      <c r="O330" s="563"/>
      <c r="P330" s="563"/>
      <c r="Q330" s="563"/>
      <c r="R330" s="563"/>
      <c r="S330" s="563"/>
      <c r="T330" s="563"/>
      <c r="U330" s="563"/>
      <c r="V330" s="563"/>
      <c r="W330" s="563"/>
      <c r="X330" s="563"/>
      <c r="Y330" s="563"/>
      <c r="Z330" s="563"/>
      <c r="AA330" s="563"/>
      <c r="AB330" s="563"/>
      <c r="AC330" s="563"/>
      <c r="AD330" s="563"/>
      <c r="AE330" s="563"/>
      <c r="AF330" s="563"/>
      <c r="AG330" s="563"/>
      <c r="AH330" s="563"/>
      <c r="AI330" s="563"/>
      <c r="AJ330" s="563"/>
      <c r="AK330" s="563"/>
      <c r="AL330" s="563"/>
      <c r="AM330" s="113">
        <f t="shared" si="5"/>
        <v>0</v>
      </c>
      <c r="AN330" s="561">
        <f>IF(AO330&lt;=3,(IF(AND(G330="5/24",AM330&gt;2),(AM330*2*база!$M$6*Таблица14[[#This Row],[коэф]]),
IF(AND(G330="4/24",AM330&gt;2),(AM330*2*база!$M$5*Таблица14[[#This Row],[коэф]]),
IF(AND(G330="3/24",AM330&gt;2),(AM330*2*база!$M$4*Таблица14[[#This Row],[коэф]]),
IF(AND(G330="5/16",AM330&gt;2),(AM330*2*база!$L$6*Таблица14[[#This Row],[коэф]]),
IF(AND(G330="4/16",AM330&gt;2),(AM330*2*база!$L$5*Таблица14[[#This Row],[коэф]]),
IF(AND(G330="3/16",AM330&gt;2),(AM330*2*база!$L$4*Таблица14[[#This Row],[коэф]]),
IF(AND(G330="4/4",AM330&gt;2),(AM330*2*база!$I$5*Таблица14[[#This Row],[коэф]]),
IF(AND(G330="3/4",AM330&gt;2),(AM330*2*база!$I$4*Таблица14[[#This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(AM330*2*база!$L$4*Таблица14[[#This Row],[коэф]]))))))))))))),
(IF(AND(G330="5/24",AM330&gt;2),(AM330*2*база!$M$6*Таблица14[[#This Row],[коэф]]),
IF(OR(AND(G330="4/24",AM330&gt;2),AND(G330="3/24",AM330&gt;2)),(AM330*2*база!$M$5*Таблица14[[#This Row],[коэф]]),
IF(AND(G330="5/16",AM330&gt;2),(AM330*2*база!$L$6*Таблица14[[#This Row],[коэф]]),
IF(OR(AND(G330="4/16",AM330&gt;2),AND(G330="3/16",AM330&gt;2)),(AM330*2*база!$L$5*Таблица14[[#This Row],[коэф]]),
IF(OR(AND(G330="4/4",AM330&gt;2),AND(G330="3/4",AM330&gt;2)),(AM330*2*база!$I$5*Таблица14[[#This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(AM330*2*база!$L$5*Таблица14[[#This Row],[коэф]])))))))))))</f>
        <v>0</v>
      </c>
      <c r="AO330" s="114">
        <f>IFERROR(INDEX(база!$D$2:$D$120, MATCH(Таблица14[[#This Row],[Ф. И. О.]],база!$B$2:$B$100,0)),"")</f>
        <v>0</v>
      </c>
    </row>
    <row r="331" spans="1:41">
      <c r="A331" s="192"/>
      <c r="B331" s="223"/>
      <c r="C331" s="543"/>
      <c r="D331" s="190"/>
      <c r="E331" s="226"/>
      <c r="F331" s="645"/>
      <c r="G331" s="191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113">
        <f t="shared" si="5"/>
        <v>0</v>
      </c>
      <c r="AN331" s="540">
        <f>IF(AO331&lt;=3,(IF(AND(G331="5/24",AM331&gt;2),(AM331*2*база!$M$6*Таблица14[[#This Row],[коэф]]),
IF(AND(G331="4/24",AM331&gt;2),(AM331*2*база!$M$5*Таблица14[[#This Row],[коэф]]),
IF(AND(G331="3/24",AM331&gt;2),(AM331*2*база!$M$4*Таблица14[[#This Row],[коэф]]),
IF(AND(G331="5/16",AM331&gt;2),(AM331*2*база!$L$6*Таблица14[[#This Row],[коэф]]),
IF(AND(G331="4/16",AM331&gt;2),(AM331*2*база!$L$5*Таблица14[[#This Row],[коэф]]),
IF(AND(G331="3/16",AM331&gt;2),(AM331*2*база!$L$4*Таблица14[[#This Row],[коэф]]),
IF(AND(G331="4/4",AM331&gt;2),(AM331*2*база!$I$5*Таблица14[[#This Row],[коэф]]),
IF(AND(G331="3/4",AM331&gt;2),(AM331*2*база!$I$4*Таблица14[[#This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(AM331*2*база!$L$4*Таблица14[[#This Row],[коэф]]))))))))))))),
(IF(AND(G331="5/24",AM331&gt;2),(AM331*2*база!$M$6*Таблица14[[#This Row],[коэф]]),
IF(OR(AND(G331="4/24",AM331&gt;2),AND(G331="3/24",AM331&gt;2)),(AM331*2*база!$M$5*Таблица14[[#This Row],[коэф]]),
IF(AND(G331="5/16",AM331&gt;2),(AM331*2*база!$L$6*Таблица14[[#This Row],[коэф]]),
IF(OR(AND(G331="4/16",AM331&gt;2),AND(G331="3/16",AM331&gt;2)),(AM331*2*база!$L$5*Таблица14[[#This Row],[коэф]]),
IF(OR(AND(G331="4/4",AM331&gt;2),AND(G331="3/4",AM331&gt;2)),(AM331*2*база!$I$5*Таблица14[[#This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(AM331*2*база!$L$5*Таблица14[[#This Row],[коэф]])))))))))))</f>
        <v>0</v>
      </c>
      <c r="AO331" s="114">
        <f>IFERROR(INDEX(база!$D$2:$D$120, MATCH(Таблица14[[#This Row],[Ф. И. О.]],база!$B$2:$B$100,0)),"")</f>
        <v>0</v>
      </c>
    </row>
    <row r="332" spans="1:41">
      <c r="A332" s="192"/>
      <c r="B332" s="189"/>
      <c r="C332" s="619"/>
      <c r="D332" s="562"/>
      <c r="E332" s="224"/>
      <c r="F332" s="645"/>
      <c r="G332" s="225"/>
      <c r="H332" s="563"/>
      <c r="I332" s="563"/>
      <c r="J332" s="563"/>
      <c r="K332" s="563"/>
      <c r="L332" s="563"/>
      <c r="M332" s="563"/>
      <c r="N332" s="563"/>
      <c r="O332" s="563"/>
      <c r="P332" s="563"/>
      <c r="Q332" s="563"/>
      <c r="R332" s="563"/>
      <c r="S332" s="563"/>
      <c r="T332" s="563"/>
      <c r="U332" s="563"/>
      <c r="V332" s="563"/>
      <c r="W332" s="563"/>
      <c r="X332" s="563"/>
      <c r="Y332" s="563"/>
      <c r="Z332" s="563"/>
      <c r="AA332" s="563"/>
      <c r="AB332" s="563"/>
      <c r="AC332" s="563"/>
      <c r="AD332" s="563"/>
      <c r="AE332" s="563"/>
      <c r="AF332" s="563"/>
      <c r="AG332" s="563"/>
      <c r="AH332" s="563"/>
      <c r="AI332" s="563"/>
      <c r="AJ332" s="563"/>
      <c r="AK332" s="563"/>
      <c r="AL332" s="563"/>
      <c r="AM332" s="113">
        <f t="shared" si="5"/>
        <v>0</v>
      </c>
      <c r="AN332" s="561">
        <f>IF(AO332&lt;=3,(IF(AND(G332="5/24",AM332&gt;2),(AM332*2*база!$M$6*Таблица14[[#This Row],[коэф]]),
IF(AND(G332="4/24",AM332&gt;2),(AM332*2*база!$M$5*Таблица14[[#This Row],[коэф]]),
IF(AND(G332="3/24",AM332&gt;2),(AM332*2*база!$M$4*Таблица14[[#This Row],[коэф]]),
IF(AND(G332="5/16",AM332&gt;2),(AM332*2*база!$L$6*Таблица14[[#This Row],[коэф]]),
IF(AND(G332="4/16",AM332&gt;2),(AM332*2*база!$L$5*Таблица14[[#This Row],[коэф]]),
IF(AND(G332="3/16",AM332&gt;2),(AM332*2*база!$L$4*Таблица14[[#This Row],[коэф]]),
IF(AND(G332="4/4",AM332&gt;2),(AM332*2*база!$I$5*Таблица14[[#This Row],[коэф]]),
IF(AND(G332="3/4",AM332&gt;2),(AM332*2*база!$I$4*Таблица14[[#This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(AM332*2*база!$L$4*Таблица14[[#This Row],[коэф]]))))))))))))),
(IF(AND(G332="5/24",AM332&gt;2),(AM332*2*база!$M$6*Таблица14[[#This Row],[коэф]]),
IF(OR(AND(G332="4/24",AM332&gt;2),AND(G332="3/24",AM332&gt;2)),(AM332*2*база!$M$5*Таблица14[[#This Row],[коэф]]),
IF(AND(G332="5/16",AM332&gt;2),(AM332*2*база!$L$6*Таблица14[[#This Row],[коэф]]),
IF(OR(AND(G332="4/16",AM332&gt;2),AND(G332="3/16",AM332&gt;2)),(AM332*2*база!$L$5*Таблица14[[#This Row],[коэф]]),
IF(OR(AND(G332="4/4",AM332&gt;2),AND(G332="3/4",AM332&gt;2)),(AM332*2*база!$I$5*Таблица14[[#This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(AM332*2*база!$L$5*Таблица14[[#This Row],[коэф]])))))))))))</f>
        <v>0</v>
      </c>
      <c r="AO332" s="114">
        <f>IFERROR(INDEX(база!$D$2:$D$120, MATCH(Таблица14[[#This Row],[Ф. И. О.]],база!$B$2:$B$100,0)),"")</f>
        <v>0</v>
      </c>
    </row>
    <row r="333" spans="1:41">
      <c r="A333" s="192"/>
      <c r="B333" s="223"/>
      <c r="C333" s="543"/>
      <c r="D333" s="190"/>
      <c r="E333" s="226"/>
      <c r="F333" s="645"/>
      <c r="G333" s="191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113">
        <f t="shared" si="5"/>
        <v>0</v>
      </c>
      <c r="AN333" s="540">
        <f>IF(AO333&lt;=3,(IF(AND(G333="5/24",AM333&gt;2),(AM333*2*база!$M$6*Таблица14[[#This Row],[коэф]]),
IF(AND(G333="4/24",AM333&gt;2),(AM333*2*база!$M$5*Таблица14[[#This Row],[коэф]]),
IF(AND(G333="3/24",AM333&gt;2),(AM333*2*база!$M$4*Таблица14[[#This Row],[коэф]]),
IF(AND(G333="5/16",AM333&gt;2),(AM333*2*база!$L$6*Таблица14[[#This Row],[коэф]]),
IF(AND(G333="4/16",AM333&gt;2),(AM333*2*база!$L$5*Таблица14[[#This Row],[коэф]]),
IF(AND(G333="3/16",AM333&gt;2),(AM333*2*база!$L$4*Таблица14[[#This Row],[коэф]]),
IF(AND(G333="4/4",AM333&gt;2),(AM333*2*база!$I$5*Таблица14[[#This Row],[коэф]]),
IF(AND(G333="3/4",AM333&gt;2),(AM333*2*база!$I$4*Таблица14[[#This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(AM333*2*база!$L$4*Таблица14[[#This Row],[коэф]]))))))))))))),
(IF(AND(G333="5/24",AM333&gt;2),(AM333*2*база!$M$6*Таблица14[[#This Row],[коэф]]),
IF(OR(AND(G333="4/24",AM333&gt;2),AND(G333="3/24",AM333&gt;2)),(AM333*2*база!$M$5*Таблица14[[#This Row],[коэф]]),
IF(AND(G333="5/16",AM333&gt;2),(AM333*2*база!$L$6*Таблица14[[#This Row],[коэф]]),
IF(OR(AND(G333="4/16",AM333&gt;2),AND(G333="3/16",AM333&gt;2)),(AM333*2*база!$L$5*Таблица14[[#This Row],[коэф]]),
IF(OR(AND(G333="4/4",AM333&gt;2),AND(G333="3/4",AM333&gt;2)),(AM333*2*база!$I$5*Таблица14[[#This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(AM333*2*база!$L$5*Таблица14[[#This Row],[коэф]])))))))))))</f>
        <v>0</v>
      </c>
      <c r="AO333" s="114">
        <f>IFERROR(INDEX(база!$D$2:$D$120, MATCH(Таблица14[[#This Row],[Ф. И. О.]],база!$B$2:$B$100,0)),"")</f>
        <v>0</v>
      </c>
    </row>
    <row r="334" spans="1:41">
      <c r="A334" s="192"/>
      <c r="B334" s="189"/>
      <c r="C334" s="619"/>
      <c r="D334" s="562"/>
      <c r="E334" s="224"/>
      <c r="F334" s="645"/>
      <c r="G334" s="225"/>
      <c r="H334" s="563"/>
      <c r="I334" s="563"/>
      <c r="J334" s="563"/>
      <c r="K334" s="563"/>
      <c r="L334" s="563"/>
      <c r="M334" s="563"/>
      <c r="N334" s="563"/>
      <c r="O334" s="563"/>
      <c r="P334" s="563"/>
      <c r="Q334" s="563"/>
      <c r="R334" s="563"/>
      <c r="S334" s="563"/>
      <c r="T334" s="563"/>
      <c r="U334" s="563"/>
      <c r="V334" s="563"/>
      <c r="W334" s="563"/>
      <c r="X334" s="563"/>
      <c r="Y334" s="563"/>
      <c r="Z334" s="563"/>
      <c r="AA334" s="563"/>
      <c r="AB334" s="563"/>
      <c r="AC334" s="563"/>
      <c r="AD334" s="563"/>
      <c r="AE334" s="563"/>
      <c r="AF334" s="563"/>
      <c r="AG334" s="563"/>
      <c r="AH334" s="563"/>
      <c r="AI334" s="563"/>
      <c r="AJ334" s="563"/>
      <c r="AK334" s="563"/>
      <c r="AL334" s="563"/>
      <c r="AM334" s="113">
        <f t="shared" si="5"/>
        <v>0</v>
      </c>
      <c r="AN334" s="561">
        <f>IF(AO334&lt;=3,(IF(AND(G334="5/24",AM334&gt;2),(AM334*2*база!$M$6*Таблица14[[#This Row],[коэф]]),
IF(AND(G334="4/24",AM334&gt;2),(AM334*2*база!$M$5*Таблица14[[#This Row],[коэф]]),
IF(AND(G334="3/24",AM334&gt;2),(AM334*2*база!$M$4*Таблица14[[#This Row],[коэф]]),
IF(AND(G334="5/16",AM334&gt;2),(AM334*2*база!$L$6*Таблица14[[#This Row],[коэф]]),
IF(AND(G334="4/16",AM334&gt;2),(AM334*2*база!$L$5*Таблица14[[#This Row],[коэф]]),
IF(AND(G334="3/16",AM334&gt;2),(AM334*2*база!$L$4*Таблица14[[#This Row],[коэф]]),
IF(AND(G334="4/4",AM334&gt;2),(AM334*2*база!$I$5*Таблица14[[#This Row],[коэф]]),
IF(AND(G334="3/4",AM334&gt;2),(AM334*2*база!$I$4*Таблица14[[#This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(AM334*2*база!$L$4*Таблица14[[#This Row],[коэф]]))))))))))))),
(IF(AND(G334="5/24",AM334&gt;2),(AM334*2*база!$M$6*Таблица14[[#This Row],[коэф]]),
IF(OR(AND(G334="4/24",AM334&gt;2),AND(G334="3/24",AM334&gt;2)),(AM334*2*база!$M$5*Таблица14[[#This Row],[коэф]]),
IF(AND(G334="5/16",AM334&gt;2),(AM334*2*база!$L$6*Таблица14[[#This Row],[коэф]]),
IF(OR(AND(G334="4/16",AM334&gt;2),AND(G334="3/16",AM334&gt;2)),(AM334*2*база!$L$5*Таблица14[[#This Row],[коэф]]),
IF(OR(AND(G334="4/4",AM334&gt;2),AND(G334="3/4",AM334&gt;2)),(AM334*2*база!$I$5*Таблица14[[#This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(AM334*2*база!$L$5*Таблица14[[#This Row],[коэф]])))))))))))</f>
        <v>0</v>
      </c>
      <c r="AO334" s="114">
        <f>IFERROR(INDEX(база!$D$2:$D$120, MATCH(Таблица14[[#This Row],[Ф. И. О.]],база!$B$2:$B$100,0)),"")</f>
        <v>0</v>
      </c>
    </row>
    <row r="335" spans="1:41">
      <c r="A335" s="192"/>
      <c r="B335" s="223"/>
      <c r="C335" s="543"/>
      <c r="D335" s="190"/>
      <c r="E335" s="226"/>
      <c r="F335" s="645"/>
      <c r="G335" s="191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113">
        <f t="shared" si="5"/>
        <v>0</v>
      </c>
      <c r="AN335" s="540">
        <f>IF(AO335&lt;=3,(IF(AND(G335="5/24",AM335&gt;2),(AM335*2*база!$M$6*Таблица14[[#This Row],[коэф]]),
IF(AND(G335="4/24",AM335&gt;2),(AM335*2*база!$M$5*Таблица14[[#This Row],[коэф]]),
IF(AND(G335="3/24",AM335&gt;2),(AM335*2*база!$M$4*Таблица14[[#This Row],[коэф]]),
IF(AND(G335="5/16",AM335&gt;2),(AM335*2*база!$L$6*Таблица14[[#This Row],[коэф]]),
IF(AND(G335="4/16",AM335&gt;2),(AM335*2*база!$L$5*Таблица14[[#This Row],[коэф]]),
IF(AND(G335="3/16",AM335&gt;2),(AM335*2*база!$L$4*Таблица14[[#This Row],[коэф]]),
IF(AND(G335="4/4",AM335&gt;2),(AM335*2*база!$I$5*Таблица14[[#This Row],[коэф]]),
IF(AND(G335="3/4",AM335&gt;2),(AM335*2*база!$I$4*Таблица14[[#This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(AM335*2*база!$L$4*Таблица14[[#This Row],[коэф]]))))))))))))),
(IF(AND(G335="5/24",AM335&gt;2),(AM335*2*база!$M$6*Таблица14[[#This Row],[коэф]]),
IF(OR(AND(G335="4/24",AM335&gt;2),AND(G335="3/24",AM335&gt;2)),(AM335*2*база!$M$5*Таблица14[[#This Row],[коэф]]),
IF(AND(G335="5/16",AM335&gt;2),(AM335*2*база!$L$6*Таблица14[[#This Row],[коэф]]),
IF(OR(AND(G335="4/16",AM335&gt;2),AND(G335="3/16",AM335&gt;2)),(AM335*2*база!$L$5*Таблица14[[#This Row],[коэф]]),
IF(OR(AND(G335="4/4",AM335&gt;2),AND(G335="3/4",AM335&gt;2)),(AM335*2*база!$I$5*Таблица14[[#This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(AM335*2*база!$L$5*Таблица14[[#This Row],[коэф]])))))))))))</f>
        <v>0</v>
      </c>
      <c r="AO335" s="114">
        <f>IFERROR(INDEX(база!$D$2:$D$120, MATCH(Таблица14[[#This Row],[Ф. И. О.]],база!$B$2:$B$100,0)),"")</f>
        <v>0</v>
      </c>
    </row>
    <row r="336" spans="1:41">
      <c r="A336" s="192"/>
      <c r="B336" s="189"/>
      <c r="C336" s="619"/>
      <c r="D336" s="562"/>
      <c r="E336" s="224"/>
      <c r="F336" s="645"/>
      <c r="G336" s="225"/>
      <c r="H336" s="563"/>
      <c r="I336" s="563"/>
      <c r="J336" s="563"/>
      <c r="K336" s="563"/>
      <c r="L336" s="563"/>
      <c r="M336" s="563"/>
      <c r="N336" s="563"/>
      <c r="O336" s="563"/>
      <c r="P336" s="563"/>
      <c r="Q336" s="563"/>
      <c r="R336" s="563"/>
      <c r="S336" s="563"/>
      <c r="T336" s="563"/>
      <c r="U336" s="563"/>
      <c r="V336" s="563"/>
      <c r="W336" s="563"/>
      <c r="X336" s="563"/>
      <c r="Y336" s="563"/>
      <c r="Z336" s="563"/>
      <c r="AA336" s="563"/>
      <c r="AB336" s="563"/>
      <c r="AC336" s="563"/>
      <c r="AD336" s="563"/>
      <c r="AE336" s="563"/>
      <c r="AF336" s="563"/>
      <c r="AG336" s="563"/>
      <c r="AH336" s="563"/>
      <c r="AI336" s="563"/>
      <c r="AJ336" s="563"/>
      <c r="AK336" s="563"/>
      <c r="AL336" s="563"/>
      <c r="AM336" s="113">
        <f t="shared" si="5"/>
        <v>0</v>
      </c>
      <c r="AN336" s="561">
        <f>IF(AO336&lt;=3,(IF(AND(G336="5/24",AM336&gt;2),(AM336*2*база!$M$6*Таблица14[[#This Row],[коэф]]),
IF(AND(G336="4/24",AM336&gt;2),(AM336*2*база!$M$5*Таблица14[[#This Row],[коэф]]),
IF(AND(G336="3/24",AM336&gt;2),(AM336*2*база!$M$4*Таблица14[[#This Row],[коэф]]),
IF(AND(G336="5/16",AM336&gt;2),(AM336*2*база!$L$6*Таблица14[[#This Row],[коэф]]),
IF(AND(G336="4/16",AM336&gt;2),(AM336*2*база!$L$5*Таблица14[[#This Row],[коэф]]),
IF(AND(G336="3/16",AM336&gt;2),(AM336*2*база!$L$4*Таблица14[[#This Row],[коэф]]),
IF(AND(G336="4/4",AM336&gt;2),(AM336*2*база!$I$5*Таблица14[[#This Row],[коэф]]),
IF(AND(G336="3/4",AM336&gt;2),(AM336*2*база!$I$4*Таблица14[[#This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(AM336*2*база!$L$4*Таблица14[[#This Row],[коэф]]))))))))))))),
(IF(AND(G336="5/24",AM336&gt;2),(AM336*2*база!$M$6*Таблица14[[#This Row],[коэф]]),
IF(OR(AND(G336="4/24",AM336&gt;2),AND(G336="3/24",AM336&gt;2)),(AM336*2*база!$M$5*Таблица14[[#This Row],[коэф]]),
IF(AND(G336="5/16",AM336&gt;2),(AM336*2*база!$L$6*Таблица14[[#This Row],[коэф]]),
IF(OR(AND(G336="4/16",AM336&gt;2),AND(G336="3/16",AM336&gt;2)),(AM336*2*база!$L$5*Таблица14[[#This Row],[коэф]]),
IF(OR(AND(G336="4/4",AM336&gt;2),AND(G336="3/4",AM336&gt;2)),(AM336*2*база!$I$5*Таблица14[[#This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(AM336*2*база!$L$5*Таблица14[[#This Row],[коэф]])))))))))))</f>
        <v>0</v>
      </c>
      <c r="AO336" s="114">
        <f>IFERROR(INDEX(база!$D$2:$D$120, MATCH(Таблица14[[#This Row],[Ф. И. О.]],база!$B$2:$B$100,0)),"")</f>
        <v>0</v>
      </c>
    </row>
    <row r="337" spans="1:41">
      <c r="A337" s="192"/>
      <c r="B337" s="223"/>
      <c r="C337" s="543"/>
      <c r="D337" s="190"/>
      <c r="E337" s="226"/>
      <c r="F337" s="645"/>
      <c r="G337" s="191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113">
        <f t="shared" si="5"/>
        <v>0</v>
      </c>
      <c r="AN337" s="540">
        <f>IF(AO337&lt;=3,(IF(AND(G337="5/24",AM337&gt;2),(AM337*2*база!$M$6*Таблица14[[#This Row],[коэф]]),
IF(AND(G337="4/24",AM337&gt;2),(AM337*2*база!$M$5*Таблица14[[#This Row],[коэф]]),
IF(AND(G337="3/24",AM337&gt;2),(AM337*2*база!$M$4*Таблица14[[#This Row],[коэф]]),
IF(AND(G337="5/16",AM337&gt;2),(AM337*2*база!$L$6*Таблица14[[#This Row],[коэф]]),
IF(AND(G337="4/16",AM337&gt;2),(AM337*2*база!$L$5*Таблица14[[#This Row],[коэф]]),
IF(AND(G337="3/16",AM337&gt;2),(AM337*2*база!$L$4*Таблица14[[#This Row],[коэф]]),
IF(AND(G337="4/4",AM337&gt;2),(AM337*2*база!$I$5*Таблица14[[#This Row],[коэф]]),
IF(AND(G337="3/4",AM337&gt;2),(AM337*2*база!$I$4*Таблица14[[#This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(AM337*2*база!$L$4*Таблица14[[#This Row],[коэф]]))))))))))))),
(IF(AND(G337="5/24",AM337&gt;2),(AM337*2*база!$M$6*Таблица14[[#This Row],[коэф]]),
IF(OR(AND(G337="4/24",AM337&gt;2),AND(G337="3/24",AM337&gt;2)),(AM337*2*база!$M$5*Таблица14[[#This Row],[коэф]]),
IF(AND(G337="5/16",AM337&gt;2),(AM337*2*база!$L$6*Таблица14[[#This Row],[коэф]]),
IF(OR(AND(G337="4/16",AM337&gt;2),AND(G337="3/16",AM337&gt;2)),(AM337*2*база!$L$5*Таблица14[[#This Row],[коэф]]),
IF(OR(AND(G337="4/4",AM337&gt;2),AND(G337="3/4",AM337&gt;2)),(AM337*2*база!$I$5*Таблица14[[#This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(AM337*2*база!$L$5*Таблица14[[#This Row],[коэф]])))))))))))</f>
        <v>0</v>
      </c>
      <c r="AO337" s="114">
        <f>IFERROR(INDEX(база!$D$2:$D$120, MATCH(Таблица14[[#This Row],[Ф. И. О.]],база!$B$2:$B$100,0)),"")</f>
        <v>0</v>
      </c>
    </row>
    <row r="338" spans="1:41">
      <c r="A338" s="192"/>
      <c r="B338" s="189"/>
      <c r="C338" s="619"/>
      <c r="D338" s="562"/>
      <c r="E338" s="224"/>
      <c r="F338" s="645"/>
      <c r="G338" s="225"/>
      <c r="H338" s="563"/>
      <c r="I338" s="563"/>
      <c r="J338" s="563"/>
      <c r="K338" s="563"/>
      <c r="L338" s="563"/>
      <c r="M338" s="563"/>
      <c r="N338" s="563"/>
      <c r="O338" s="563"/>
      <c r="P338" s="563"/>
      <c r="Q338" s="563"/>
      <c r="R338" s="563"/>
      <c r="S338" s="563"/>
      <c r="T338" s="563"/>
      <c r="U338" s="563"/>
      <c r="V338" s="563"/>
      <c r="W338" s="563"/>
      <c r="X338" s="563"/>
      <c r="Y338" s="563"/>
      <c r="Z338" s="563"/>
      <c r="AA338" s="563"/>
      <c r="AB338" s="563"/>
      <c r="AC338" s="563"/>
      <c r="AD338" s="563"/>
      <c r="AE338" s="563"/>
      <c r="AF338" s="563"/>
      <c r="AG338" s="563"/>
      <c r="AH338" s="563"/>
      <c r="AI338" s="563"/>
      <c r="AJ338" s="563"/>
      <c r="AK338" s="563"/>
      <c r="AL338" s="563"/>
      <c r="AM338" s="113">
        <f t="shared" si="5"/>
        <v>0</v>
      </c>
      <c r="AN338" s="561">
        <f>IF(AO338&lt;=3,(IF(AND(G338="5/24",AM338&gt;2),(AM338*2*база!$M$6*Таблица14[[#This Row],[коэф]]),
IF(AND(G338="4/24",AM338&gt;2),(AM338*2*база!$M$5*Таблица14[[#This Row],[коэф]]),
IF(AND(G338="3/24",AM338&gt;2),(AM338*2*база!$M$4*Таблица14[[#This Row],[коэф]]),
IF(AND(G338="5/16",AM338&gt;2),(AM338*2*база!$L$6*Таблица14[[#This Row],[коэф]]),
IF(AND(G338="4/16",AM338&gt;2),(AM338*2*база!$L$5*Таблица14[[#This Row],[коэф]]),
IF(AND(G338="3/16",AM338&gt;2),(AM338*2*база!$L$4*Таблица14[[#This Row],[коэф]]),
IF(AND(G338="4/4",AM338&gt;2),(AM338*2*база!$I$5*Таблица14[[#This Row],[коэф]]),
IF(AND(G338="3/4",AM338&gt;2),(AM338*2*база!$I$4*Таблица14[[#This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(AM338*2*база!$L$4*Таблица14[[#This Row],[коэф]]))))))))))))),
(IF(AND(G338="5/24",AM338&gt;2),(AM338*2*база!$M$6*Таблица14[[#This Row],[коэф]]),
IF(OR(AND(G338="4/24",AM338&gt;2),AND(G338="3/24",AM338&gt;2)),(AM338*2*база!$M$5*Таблица14[[#This Row],[коэф]]),
IF(AND(G338="5/16",AM338&gt;2),(AM338*2*база!$L$6*Таблица14[[#This Row],[коэф]]),
IF(OR(AND(G338="4/16",AM338&gt;2),AND(G338="3/16",AM338&gt;2)),(AM338*2*база!$L$5*Таблица14[[#This Row],[коэф]]),
IF(OR(AND(G338="4/4",AM338&gt;2),AND(G338="3/4",AM338&gt;2)),(AM338*2*база!$I$5*Таблица14[[#This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(AM338*2*база!$L$5*Таблица14[[#This Row],[коэф]])))))))))))</f>
        <v>0</v>
      </c>
      <c r="AO338" s="114">
        <f>IFERROR(INDEX(база!$D$2:$D$120, MATCH(Таблица14[[#This Row],[Ф. И. О.]],база!$B$2:$B$100,0)),"")</f>
        <v>0</v>
      </c>
    </row>
    <row r="339" spans="1:41">
      <c r="A339" s="192"/>
      <c r="B339" s="223"/>
      <c r="C339" s="543"/>
      <c r="D339" s="190"/>
      <c r="E339" s="226"/>
      <c r="F339" s="645"/>
      <c r="G339" s="191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113">
        <f t="shared" si="5"/>
        <v>0</v>
      </c>
      <c r="AN339" s="540">
        <f>IF(AO339&lt;=3,(IF(AND(G339="5/24",AM339&gt;2),(AM339*2*база!$M$6*Таблица14[[#This Row],[коэф]]),
IF(AND(G339="4/24",AM339&gt;2),(AM339*2*база!$M$5*Таблица14[[#This Row],[коэф]]),
IF(AND(G339="3/24",AM339&gt;2),(AM339*2*база!$M$4*Таблица14[[#This Row],[коэф]]),
IF(AND(G339="5/16",AM339&gt;2),(AM339*2*база!$L$6*Таблица14[[#This Row],[коэф]]),
IF(AND(G339="4/16",AM339&gt;2),(AM339*2*база!$L$5*Таблица14[[#This Row],[коэф]]),
IF(AND(G339="3/16",AM339&gt;2),(AM339*2*база!$L$4*Таблица14[[#This Row],[коэф]]),
IF(AND(G339="4/4",AM339&gt;2),(AM339*2*база!$I$5*Таблица14[[#This Row],[коэф]]),
IF(AND(G339="3/4",AM339&gt;2),(AM339*2*база!$I$4*Таблица14[[#This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(AM339*2*база!$L$4*Таблица14[[#This Row],[коэф]]))))))))))))),
(IF(AND(G339="5/24",AM339&gt;2),(AM339*2*база!$M$6*Таблица14[[#This Row],[коэф]]),
IF(OR(AND(G339="4/24",AM339&gt;2),AND(G339="3/24",AM339&gt;2)),(AM339*2*база!$M$5*Таблица14[[#This Row],[коэф]]),
IF(AND(G339="5/16",AM339&gt;2),(AM339*2*база!$L$6*Таблица14[[#This Row],[коэф]]),
IF(OR(AND(G339="4/16",AM339&gt;2),AND(G339="3/16",AM339&gt;2)),(AM339*2*база!$L$5*Таблица14[[#This Row],[коэф]]),
IF(OR(AND(G339="4/4",AM339&gt;2),AND(G339="3/4",AM339&gt;2)),(AM339*2*база!$I$5*Таблица14[[#This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(AM339*2*база!$L$5*Таблица14[[#This Row],[коэф]])))))))))))</f>
        <v>0</v>
      </c>
      <c r="AO339" s="114">
        <f>IFERROR(INDEX(база!$D$2:$D$120, MATCH(Таблица14[[#This Row],[Ф. И. О.]],база!$B$2:$B$100,0)),"")</f>
        <v>0</v>
      </c>
    </row>
    <row r="340" spans="1:41">
      <c r="A340" s="192"/>
      <c r="B340" s="189"/>
      <c r="C340" s="619"/>
      <c r="D340" s="562"/>
      <c r="E340" s="224"/>
      <c r="F340" s="645"/>
      <c r="G340" s="225"/>
      <c r="H340" s="563"/>
      <c r="I340" s="563"/>
      <c r="J340" s="563"/>
      <c r="K340" s="563"/>
      <c r="L340" s="563"/>
      <c r="M340" s="563"/>
      <c r="N340" s="563"/>
      <c r="O340" s="563"/>
      <c r="P340" s="563"/>
      <c r="Q340" s="563"/>
      <c r="R340" s="563"/>
      <c r="S340" s="563"/>
      <c r="T340" s="563"/>
      <c r="U340" s="563"/>
      <c r="V340" s="563"/>
      <c r="W340" s="563"/>
      <c r="X340" s="563"/>
      <c r="Y340" s="563"/>
      <c r="Z340" s="563"/>
      <c r="AA340" s="563"/>
      <c r="AB340" s="563"/>
      <c r="AC340" s="563"/>
      <c r="AD340" s="563"/>
      <c r="AE340" s="563"/>
      <c r="AF340" s="563"/>
      <c r="AG340" s="563"/>
      <c r="AH340" s="563"/>
      <c r="AI340" s="563"/>
      <c r="AJ340" s="563"/>
      <c r="AK340" s="563"/>
      <c r="AL340" s="563"/>
      <c r="AM340" s="113">
        <f t="shared" si="5"/>
        <v>0</v>
      </c>
      <c r="AN340" s="561">
        <f>IF(AO340&lt;=3,(IF(AND(G340="5/24",AM340&gt;2),(AM340*2*база!$M$6*Таблица14[[#This Row],[коэф]]),
IF(AND(G340="4/24",AM340&gt;2),(AM340*2*база!$M$5*Таблица14[[#This Row],[коэф]]),
IF(AND(G340="3/24",AM340&gt;2),(AM340*2*база!$M$4*Таблица14[[#This Row],[коэф]]),
IF(AND(G340="5/16",AM340&gt;2),(AM340*2*база!$L$6*Таблица14[[#This Row],[коэф]]),
IF(AND(G340="4/16",AM340&gt;2),(AM340*2*база!$L$5*Таблица14[[#This Row],[коэф]]),
IF(AND(G340="3/16",AM340&gt;2),(AM340*2*база!$L$4*Таблица14[[#This Row],[коэф]]),
IF(AND(G340="4/4",AM340&gt;2),(AM340*2*база!$I$5*Таблица14[[#This Row],[коэф]]),
IF(AND(G340="3/4",AM340&gt;2),(AM340*2*база!$I$4*Таблица14[[#This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(AM340*2*база!$L$4*Таблица14[[#This Row],[коэф]]))))))))))))),
(IF(AND(G340="5/24",AM340&gt;2),(AM340*2*база!$M$6*Таблица14[[#This Row],[коэф]]),
IF(OR(AND(G340="4/24",AM340&gt;2),AND(G340="3/24",AM340&gt;2)),(AM340*2*база!$M$5*Таблица14[[#This Row],[коэф]]),
IF(AND(G340="5/16",AM340&gt;2),(AM340*2*база!$L$6*Таблица14[[#This Row],[коэф]]),
IF(OR(AND(G340="4/16",AM340&gt;2),AND(G340="3/16",AM340&gt;2)),(AM340*2*база!$L$5*Таблица14[[#This Row],[коэф]]),
IF(OR(AND(G340="4/4",AM340&gt;2),AND(G340="3/4",AM340&gt;2)),(AM340*2*база!$I$5*Таблица14[[#This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(AM340*2*база!$L$5*Таблица14[[#This Row],[коэф]])))))))))))</f>
        <v>0</v>
      </c>
      <c r="AO340" s="114">
        <f>IFERROR(INDEX(база!$D$2:$D$120, MATCH(Таблица14[[#This Row],[Ф. И. О.]],база!$B$2:$B$100,0)),"")</f>
        <v>0</v>
      </c>
    </row>
    <row r="341" spans="1:41">
      <c r="A341" s="192"/>
      <c r="B341" s="223"/>
      <c r="C341" s="543"/>
      <c r="D341" s="190"/>
      <c r="E341" s="226"/>
      <c r="F341" s="645"/>
      <c r="G341" s="191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113">
        <f t="shared" si="5"/>
        <v>0</v>
      </c>
      <c r="AN341" s="540">
        <f>IF(AO341&lt;=3,(IF(AND(G341="5/24",AM341&gt;2),(AM341*2*база!$M$6*Таблица14[[#This Row],[коэф]]),
IF(AND(G341="4/24",AM341&gt;2),(AM341*2*база!$M$5*Таблица14[[#This Row],[коэф]]),
IF(AND(G341="3/24",AM341&gt;2),(AM341*2*база!$M$4*Таблица14[[#This Row],[коэф]]),
IF(AND(G341="5/16",AM341&gt;2),(AM341*2*база!$L$6*Таблица14[[#This Row],[коэф]]),
IF(AND(G341="4/16",AM341&gt;2),(AM341*2*база!$L$5*Таблица14[[#This Row],[коэф]]),
IF(AND(G341="3/16",AM341&gt;2),(AM341*2*база!$L$4*Таблица14[[#This Row],[коэф]]),
IF(AND(G341="4/4",AM341&gt;2),(AM341*2*база!$I$5*Таблица14[[#This Row],[коэф]]),
IF(AND(G341="3/4",AM341&gt;2),(AM341*2*база!$I$4*Таблица14[[#This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(AM341*2*база!$L$4*Таблица14[[#This Row],[коэф]]))))))))))))),
(IF(AND(G341="5/24",AM341&gt;2),(AM341*2*база!$M$6*Таблица14[[#This Row],[коэф]]),
IF(OR(AND(G341="4/24",AM341&gt;2),AND(G341="3/24",AM341&gt;2)),(AM341*2*база!$M$5*Таблица14[[#This Row],[коэф]]),
IF(AND(G341="5/16",AM341&gt;2),(AM341*2*база!$L$6*Таблица14[[#This Row],[коэф]]),
IF(OR(AND(G341="4/16",AM341&gt;2),AND(G341="3/16",AM341&gt;2)),(AM341*2*база!$L$5*Таблица14[[#This Row],[коэф]]),
IF(OR(AND(G341="4/4",AM341&gt;2),AND(G341="3/4",AM341&gt;2)),(AM341*2*база!$I$5*Таблица14[[#This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(AM341*2*база!$L$5*Таблица14[[#This Row],[коэф]])))))))))))</f>
        <v>0</v>
      </c>
      <c r="AO341" s="114">
        <f>IFERROR(INDEX(база!$D$2:$D$120, MATCH(Таблица14[[#This Row],[Ф. И. О.]],база!$B$2:$B$100,0)),"")</f>
        <v>0</v>
      </c>
    </row>
    <row r="342" spans="1:41">
      <c r="A342" s="192"/>
      <c r="B342" s="189"/>
      <c r="C342" s="619"/>
      <c r="D342" s="562"/>
      <c r="E342" s="224"/>
      <c r="F342" s="645"/>
      <c r="G342" s="225"/>
      <c r="H342" s="563"/>
      <c r="I342" s="563"/>
      <c r="J342" s="563"/>
      <c r="K342" s="563"/>
      <c r="L342" s="563"/>
      <c r="M342" s="563"/>
      <c r="N342" s="563"/>
      <c r="O342" s="563"/>
      <c r="P342" s="563"/>
      <c r="Q342" s="563"/>
      <c r="R342" s="563"/>
      <c r="S342" s="563"/>
      <c r="T342" s="563"/>
      <c r="U342" s="563"/>
      <c r="V342" s="563"/>
      <c r="W342" s="563"/>
      <c r="X342" s="563"/>
      <c r="Y342" s="563"/>
      <c r="Z342" s="563"/>
      <c r="AA342" s="563"/>
      <c r="AB342" s="563"/>
      <c r="AC342" s="563"/>
      <c r="AD342" s="563"/>
      <c r="AE342" s="563"/>
      <c r="AF342" s="563"/>
      <c r="AG342" s="563"/>
      <c r="AH342" s="563"/>
      <c r="AI342" s="563"/>
      <c r="AJ342" s="563"/>
      <c r="AK342" s="563"/>
      <c r="AL342" s="563"/>
      <c r="AM342" s="113">
        <f t="shared" si="5"/>
        <v>0</v>
      </c>
      <c r="AN342" s="561">
        <f>IF(AO342&lt;=3,(IF(AND(G342="5/24",AM342&gt;2),(AM342*2*база!$M$6*Таблица14[[#This Row],[коэф]]),
IF(AND(G342="4/24",AM342&gt;2),(AM342*2*база!$M$5*Таблица14[[#This Row],[коэф]]),
IF(AND(G342="3/24",AM342&gt;2),(AM342*2*база!$M$4*Таблица14[[#This Row],[коэф]]),
IF(AND(G342="5/16",AM342&gt;2),(AM342*2*база!$L$6*Таблица14[[#This Row],[коэф]]),
IF(AND(G342="4/16",AM342&gt;2),(AM342*2*база!$L$5*Таблица14[[#This Row],[коэф]]),
IF(AND(G342="3/16",AM342&gt;2),(AM342*2*база!$L$4*Таблица14[[#This Row],[коэф]]),
IF(AND(G342="4/4",AM342&gt;2),(AM342*2*база!$I$5*Таблица14[[#This Row],[коэф]]),
IF(AND(G342="3/4",AM342&gt;2),(AM342*2*база!$I$4*Таблица14[[#This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(AM342*2*база!$L$4*Таблица14[[#This Row],[коэф]]))))))))))))),
(IF(AND(G342="5/24",AM342&gt;2),(AM342*2*база!$M$6*Таблица14[[#This Row],[коэф]]),
IF(OR(AND(G342="4/24",AM342&gt;2),AND(G342="3/24",AM342&gt;2)),(AM342*2*база!$M$5*Таблица14[[#This Row],[коэф]]),
IF(AND(G342="5/16",AM342&gt;2),(AM342*2*база!$L$6*Таблица14[[#This Row],[коэф]]),
IF(OR(AND(G342="4/16",AM342&gt;2),AND(G342="3/16",AM342&gt;2)),(AM342*2*база!$L$5*Таблица14[[#This Row],[коэф]]),
IF(OR(AND(G342="4/4",AM342&gt;2),AND(G342="3/4",AM342&gt;2)),(AM342*2*база!$I$5*Таблица14[[#This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(AM342*2*база!$L$5*Таблица14[[#This Row],[коэф]])))))))))))</f>
        <v>0</v>
      </c>
      <c r="AO342" s="114">
        <f>IFERROR(INDEX(база!$D$2:$D$120, MATCH(Таблица14[[#This Row],[Ф. И. О.]],база!$B$2:$B$100,0)),"")</f>
        <v>0</v>
      </c>
    </row>
    <row r="343" spans="1:41">
      <c r="A343" s="192"/>
      <c r="B343" s="223"/>
      <c r="C343" s="543"/>
      <c r="D343" s="190"/>
      <c r="E343" s="226"/>
      <c r="F343" s="645"/>
      <c r="G343" s="191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113">
        <f t="shared" si="5"/>
        <v>0</v>
      </c>
      <c r="AN343" s="540">
        <f>IF(AO343&lt;=3,(IF(AND(G343="5/24",AM343&gt;2),(AM343*2*база!$M$6*Таблица14[[#This Row],[коэф]]),
IF(AND(G343="4/24",AM343&gt;2),(AM343*2*база!$M$5*Таблица14[[#This Row],[коэф]]),
IF(AND(G343="3/24",AM343&gt;2),(AM343*2*база!$M$4*Таблица14[[#This Row],[коэф]]),
IF(AND(G343="5/16",AM343&gt;2),(AM343*2*база!$L$6*Таблица14[[#This Row],[коэф]]),
IF(AND(G343="4/16",AM343&gt;2),(AM343*2*база!$L$5*Таблица14[[#This Row],[коэф]]),
IF(AND(G343="3/16",AM343&gt;2),(AM343*2*база!$L$4*Таблица14[[#This Row],[коэф]]),
IF(AND(G343="4/4",AM343&gt;2),(AM343*2*база!$I$5*Таблица14[[#This Row],[коэф]]),
IF(AND(G343="3/4",AM343&gt;2),(AM343*2*база!$I$4*Таблица14[[#This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(AM343*2*база!$L$4*Таблица14[[#This Row],[коэф]]))))))))))))),
(IF(AND(G343="5/24",AM343&gt;2),(AM343*2*база!$M$6*Таблица14[[#This Row],[коэф]]),
IF(OR(AND(G343="4/24",AM343&gt;2),AND(G343="3/24",AM343&gt;2)),(AM343*2*база!$M$5*Таблица14[[#This Row],[коэф]]),
IF(AND(G343="5/16",AM343&gt;2),(AM343*2*база!$L$6*Таблица14[[#This Row],[коэф]]),
IF(OR(AND(G343="4/16",AM343&gt;2),AND(G343="3/16",AM343&gt;2)),(AM343*2*база!$L$5*Таблица14[[#This Row],[коэф]]),
IF(OR(AND(G343="4/4",AM343&gt;2),AND(G343="3/4",AM343&gt;2)),(AM343*2*база!$I$5*Таблица14[[#This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(AM343*2*база!$L$5*Таблица14[[#This Row],[коэф]])))))))))))</f>
        <v>0</v>
      </c>
      <c r="AO343" s="114">
        <f>IFERROR(INDEX(база!$D$2:$D$120, MATCH(Таблица14[[#This Row],[Ф. И. О.]],база!$B$2:$B$100,0)),"")</f>
        <v>0</v>
      </c>
    </row>
    <row r="344" spans="1:41">
      <c r="A344" s="192"/>
      <c r="B344" s="189"/>
      <c r="C344" s="619"/>
      <c r="D344" s="562"/>
      <c r="E344" s="224"/>
      <c r="F344" s="645"/>
      <c r="G344" s="225"/>
      <c r="H344" s="563"/>
      <c r="I344" s="563"/>
      <c r="J344" s="563"/>
      <c r="K344" s="563"/>
      <c r="L344" s="563"/>
      <c r="M344" s="563"/>
      <c r="N344" s="563"/>
      <c r="O344" s="563"/>
      <c r="P344" s="563"/>
      <c r="Q344" s="563"/>
      <c r="R344" s="563"/>
      <c r="S344" s="563"/>
      <c r="T344" s="563"/>
      <c r="U344" s="563"/>
      <c r="V344" s="563"/>
      <c r="W344" s="563"/>
      <c r="X344" s="563"/>
      <c r="Y344" s="563"/>
      <c r="Z344" s="563"/>
      <c r="AA344" s="563"/>
      <c r="AB344" s="563"/>
      <c r="AC344" s="563"/>
      <c r="AD344" s="563"/>
      <c r="AE344" s="563"/>
      <c r="AF344" s="563"/>
      <c r="AG344" s="563"/>
      <c r="AH344" s="563"/>
      <c r="AI344" s="563"/>
      <c r="AJ344" s="563"/>
      <c r="AK344" s="563"/>
      <c r="AL344" s="563"/>
      <c r="AM344" s="113">
        <f t="shared" si="5"/>
        <v>0</v>
      </c>
      <c r="AN344" s="561">
        <f>IF(AO344&lt;=3,(IF(AND(G344="5/24",AM344&gt;2),(AM344*2*база!$M$6*Таблица14[[#This Row],[коэф]]),
IF(AND(G344="4/24",AM344&gt;2),(AM344*2*база!$M$5*Таблица14[[#This Row],[коэф]]),
IF(AND(G344="3/24",AM344&gt;2),(AM344*2*база!$M$4*Таблица14[[#This Row],[коэф]]),
IF(AND(G344="5/16",AM344&gt;2),(AM344*2*база!$L$6*Таблица14[[#This Row],[коэф]]),
IF(AND(G344="4/16",AM344&gt;2),(AM344*2*база!$L$5*Таблица14[[#This Row],[коэф]]),
IF(AND(G344="3/16",AM344&gt;2),(AM344*2*база!$L$4*Таблица14[[#This Row],[коэф]]),
IF(AND(G344="4/4",AM344&gt;2),(AM344*2*база!$I$5*Таблица14[[#This Row],[коэф]]),
IF(AND(G344="3/4",AM344&gt;2),(AM344*2*база!$I$4*Таблица14[[#This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(AM344*2*база!$L$4*Таблица14[[#This Row],[коэф]]))))))))))))),
(IF(AND(G344="5/24",AM344&gt;2),(AM344*2*база!$M$6*Таблица14[[#This Row],[коэф]]),
IF(OR(AND(G344="4/24",AM344&gt;2),AND(G344="3/24",AM344&gt;2)),(AM344*2*база!$M$5*Таблица14[[#This Row],[коэф]]),
IF(AND(G344="5/16",AM344&gt;2),(AM344*2*база!$L$6*Таблица14[[#This Row],[коэф]]),
IF(OR(AND(G344="4/16",AM344&gt;2),AND(G344="3/16",AM344&gt;2)),(AM344*2*база!$L$5*Таблица14[[#This Row],[коэф]]),
IF(OR(AND(G344="4/4",AM344&gt;2),AND(G344="3/4",AM344&gt;2)),(AM344*2*база!$I$5*Таблица14[[#This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(AM344*2*база!$L$5*Таблица14[[#This Row],[коэф]])))))))))))</f>
        <v>0</v>
      </c>
      <c r="AO344" s="114">
        <f>IFERROR(INDEX(база!$D$2:$D$120, MATCH(Таблица14[[#This Row],[Ф. И. О.]],база!$B$2:$B$100,0)),"")</f>
        <v>0</v>
      </c>
    </row>
    <row r="345" spans="1:41">
      <c r="A345" s="192"/>
      <c r="B345" s="223"/>
      <c r="C345" s="543"/>
      <c r="D345" s="190"/>
      <c r="E345" s="226"/>
      <c r="F345" s="645"/>
      <c r="G345" s="191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113">
        <f t="shared" si="5"/>
        <v>0</v>
      </c>
      <c r="AN345" s="540">
        <f>IF(AO345&lt;=3,(IF(AND(G345="5/24",AM345&gt;2),(AM345*2*база!$M$6*Таблица14[[#This Row],[коэф]]),
IF(AND(G345="4/24",AM345&gt;2),(AM345*2*база!$M$5*Таблица14[[#This Row],[коэф]]),
IF(AND(G345="3/24",AM345&gt;2),(AM345*2*база!$M$4*Таблица14[[#This Row],[коэф]]),
IF(AND(G345="5/16",AM345&gt;2),(AM345*2*база!$L$6*Таблица14[[#This Row],[коэф]]),
IF(AND(G345="4/16",AM345&gt;2),(AM345*2*база!$L$5*Таблица14[[#This Row],[коэф]]),
IF(AND(G345="3/16",AM345&gt;2),(AM345*2*база!$L$4*Таблица14[[#This Row],[коэф]]),
IF(AND(G345="4/4",AM345&gt;2),(AM345*2*база!$I$5*Таблица14[[#This Row],[коэф]]),
IF(AND(G345="3/4",AM345&gt;2),(AM345*2*база!$I$4*Таблица14[[#This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(AM345*2*база!$L$4*Таблица14[[#This Row],[коэф]]))))))))))))),
(IF(AND(G345="5/24",AM345&gt;2),(AM345*2*база!$M$6*Таблица14[[#This Row],[коэф]]),
IF(OR(AND(G345="4/24",AM345&gt;2),AND(G345="3/24",AM345&gt;2)),(AM345*2*база!$M$5*Таблица14[[#This Row],[коэф]]),
IF(AND(G345="5/16",AM345&gt;2),(AM345*2*база!$L$6*Таблица14[[#This Row],[коэф]]),
IF(OR(AND(G345="4/16",AM345&gt;2),AND(G345="3/16",AM345&gt;2)),(AM345*2*база!$L$5*Таблица14[[#This Row],[коэф]]),
IF(OR(AND(G345="4/4",AM345&gt;2),AND(G345="3/4",AM345&gt;2)),(AM345*2*база!$I$5*Таблица14[[#This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(AM345*2*база!$L$5*Таблица14[[#This Row],[коэф]])))))))))))</f>
        <v>0</v>
      </c>
      <c r="AO345" s="114">
        <f>IFERROR(INDEX(база!$D$2:$D$120, MATCH(Таблица14[[#This Row],[Ф. И. О.]],база!$B$2:$B$100,0)),"")</f>
        <v>0</v>
      </c>
    </row>
    <row r="346" spans="1:41">
      <c r="A346" s="192"/>
      <c r="B346" s="189"/>
      <c r="C346" s="619"/>
      <c r="D346" s="562"/>
      <c r="E346" s="224"/>
      <c r="F346" s="645"/>
      <c r="G346" s="225"/>
      <c r="H346" s="563"/>
      <c r="I346" s="563"/>
      <c r="J346" s="563"/>
      <c r="K346" s="563"/>
      <c r="L346" s="563"/>
      <c r="M346" s="563"/>
      <c r="N346" s="563"/>
      <c r="O346" s="563"/>
      <c r="P346" s="563"/>
      <c r="Q346" s="563"/>
      <c r="R346" s="563"/>
      <c r="S346" s="563"/>
      <c r="T346" s="563"/>
      <c r="U346" s="563"/>
      <c r="V346" s="563"/>
      <c r="W346" s="563"/>
      <c r="X346" s="563"/>
      <c r="Y346" s="563"/>
      <c r="Z346" s="563"/>
      <c r="AA346" s="563"/>
      <c r="AB346" s="563"/>
      <c r="AC346" s="563"/>
      <c r="AD346" s="563"/>
      <c r="AE346" s="563"/>
      <c r="AF346" s="563"/>
      <c r="AG346" s="563"/>
      <c r="AH346" s="563"/>
      <c r="AI346" s="563"/>
      <c r="AJ346" s="563"/>
      <c r="AK346" s="563"/>
      <c r="AL346" s="563"/>
      <c r="AM346" s="113">
        <f t="shared" si="5"/>
        <v>0</v>
      </c>
      <c r="AN346" s="561">
        <f>IF(AO346&lt;=3,(IF(AND(G346="5/24",AM346&gt;2),(AM346*2*база!$M$6*Таблица14[[#This Row],[коэф]]),
IF(AND(G346="4/24",AM346&gt;2),(AM346*2*база!$M$5*Таблица14[[#This Row],[коэф]]),
IF(AND(G346="3/24",AM346&gt;2),(AM346*2*база!$M$4*Таблица14[[#This Row],[коэф]]),
IF(AND(G346="5/16",AM346&gt;2),(AM346*2*база!$L$6*Таблица14[[#This Row],[коэф]]),
IF(AND(G346="4/16",AM346&gt;2),(AM346*2*база!$L$5*Таблица14[[#This Row],[коэф]]),
IF(AND(G346="3/16",AM346&gt;2),(AM346*2*база!$L$4*Таблица14[[#This Row],[коэф]]),
IF(AND(G346="4/4",AM346&gt;2),(AM346*2*база!$I$5*Таблица14[[#This Row],[коэф]]),
IF(AND(G346="3/4",AM346&gt;2),(AM346*2*база!$I$4*Таблица14[[#This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(AM346*2*база!$L$4*Таблица14[[#This Row],[коэф]]))))))))))))),
(IF(AND(G346="5/24",AM346&gt;2),(AM346*2*база!$M$6*Таблица14[[#This Row],[коэф]]),
IF(OR(AND(G346="4/24",AM346&gt;2),AND(G346="3/24",AM346&gt;2)),(AM346*2*база!$M$5*Таблица14[[#This Row],[коэф]]),
IF(AND(G346="5/16",AM346&gt;2),(AM346*2*база!$L$6*Таблица14[[#This Row],[коэф]]),
IF(OR(AND(G346="4/16",AM346&gt;2),AND(G346="3/16",AM346&gt;2)),(AM346*2*база!$L$5*Таблица14[[#This Row],[коэф]]),
IF(OR(AND(G346="4/4",AM346&gt;2),AND(G346="3/4",AM346&gt;2)),(AM346*2*база!$I$5*Таблица14[[#This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(AM346*2*база!$L$5*Таблица14[[#This Row],[коэф]])))))))))))</f>
        <v>0</v>
      </c>
      <c r="AO346" s="114">
        <f>IFERROR(INDEX(база!$D$2:$D$120, MATCH(Таблица14[[#This Row],[Ф. И. О.]],база!$B$2:$B$100,0)),"")</f>
        <v>0</v>
      </c>
    </row>
    <row r="347" spans="1:41">
      <c r="A347" s="192"/>
      <c r="B347" s="223"/>
      <c r="C347" s="543"/>
      <c r="D347" s="190"/>
      <c r="E347" s="226"/>
      <c r="F347" s="645"/>
      <c r="G347" s="191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113">
        <f t="shared" si="5"/>
        <v>0</v>
      </c>
      <c r="AN347" s="540">
        <f>IF(AO347&lt;=3,(IF(AND(G347="5/24",AM347&gt;2),(AM347*2*база!$M$6*Таблица14[[#This Row],[коэф]]),
IF(AND(G347="4/24",AM347&gt;2),(AM347*2*база!$M$5*Таблица14[[#This Row],[коэф]]),
IF(AND(G347="3/24",AM347&gt;2),(AM347*2*база!$M$4*Таблица14[[#This Row],[коэф]]),
IF(AND(G347="5/16",AM347&gt;2),(AM347*2*база!$L$6*Таблица14[[#This Row],[коэф]]),
IF(AND(G347="4/16",AM347&gt;2),(AM347*2*база!$L$5*Таблица14[[#This Row],[коэф]]),
IF(AND(G347="3/16",AM347&gt;2),(AM347*2*база!$L$4*Таблица14[[#This Row],[коэф]]),
IF(AND(G347="4/4",AM347&gt;2),(AM347*2*база!$I$5*Таблица14[[#This Row],[коэф]]),
IF(AND(G347="3/4",AM347&gt;2),(AM347*2*база!$I$4*Таблица14[[#This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(AM347*2*база!$L$4*Таблица14[[#This Row],[коэф]]))))))))))))),
(IF(AND(G347="5/24",AM347&gt;2),(AM347*2*база!$M$6*Таблица14[[#This Row],[коэф]]),
IF(OR(AND(G347="4/24",AM347&gt;2),AND(G347="3/24",AM347&gt;2)),(AM347*2*база!$M$5*Таблица14[[#This Row],[коэф]]),
IF(AND(G347="5/16",AM347&gt;2),(AM347*2*база!$L$6*Таблица14[[#This Row],[коэф]]),
IF(OR(AND(G347="4/16",AM347&gt;2),AND(G347="3/16",AM347&gt;2)),(AM347*2*база!$L$5*Таблица14[[#This Row],[коэф]]),
IF(OR(AND(G347="4/4",AM347&gt;2),AND(G347="3/4",AM347&gt;2)),(AM347*2*база!$I$5*Таблица14[[#This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(AM347*2*база!$L$5*Таблица14[[#This Row],[коэф]])))))))))))</f>
        <v>0</v>
      </c>
      <c r="AO347" s="114">
        <f>IFERROR(INDEX(база!$D$2:$D$120, MATCH(Таблица14[[#This Row],[Ф. И. О.]],база!$B$2:$B$100,0)),"")</f>
        <v>0</v>
      </c>
    </row>
    <row r="348" spans="1:41">
      <c r="A348" s="192"/>
      <c r="B348" s="189"/>
      <c r="C348" s="619"/>
      <c r="D348" s="562"/>
      <c r="E348" s="224"/>
      <c r="F348" s="651"/>
      <c r="G348" s="225"/>
      <c r="H348" s="563"/>
      <c r="I348" s="563"/>
      <c r="J348" s="563"/>
      <c r="K348" s="563"/>
      <c r="L348" s="563"/>
      <c r="M348" s="563"/>
      <c r="N348" s="563"/>
      <c r="O348" s="563"/>
      <c r="P348" s="563"/>
      <c r="Q348" s="563"/>
      <c r="R348" s="563"/>
      <c r="S348" s="563"/>
      <c r="T348" s="563"/>
      <c r="U348" s="563"/>
      <c r="V348" s="563"/>
      <c r="W348" s="563"/>
      <c r="X348" s="563"/>
      <c r="Y348" s="563"/>
      <c r="Z348" s="563"/>
      <c r="AA348" s="563"/>
      <c r="AB348" s="563"/>
      <c r="AC348" s="563"/>
      <c r="AD348" s="563"/>
      <c r="AE348" s="563"/>
      <c r="AF348" s="563"/>
      <c r="AG348" s="563"/>
      <c r="AH348" s="563"/>
      <c r="AI348" s="563"/>
      <c r="AJ348" s="563"/>
      <c r="AK348" s="563"/>
      <c r="AL348" s="563"/>
      <c r="AM348" s="113">
        <f t="shared" si="5"/>
        <v>0</v>
      </c>
      <c r="AN348" s="561">
        <f>IF(AO348&lt;=3,(IF(AND(G348="5/24",AM348&gt;2),(AM348*2*база!$M$6*Таблица14[[#This Row],[коэф]]),
IF(AND(G348="4/24",AM348&gt;2),(AM348*2*база!$M$5*Таблица14[[#This Row],[коэф]]),
IF(AND(G348="3/24",AM348&gt;2),(AM348*2*база!$M$4*Таблица14[[#This Row],[коэф]]),
IF(AND(G348="5/16",AM348&gt;2),(AM348*2*база!$L$6*Таблица14[[#This Row],[коэф]]),
IF(AND(G348="4/16",AM348&gt;2),(AM348*2*база!$L$5*Таблица14[[#This Row],[коэф]]),
IF(AND(G348="3/16",AM348&gt;2),(AM348*2*база!$L$4*Таблица14[[#This Row],[коэф]]),
IF(AND(G348="4/4",AM348&gt;2),(AM348*2*база!$I$5*Таблица14[[#This Row],[коэф]]),
IF(AND(G348="3/4",AM348&gt;2),(AM348*2*база!$I$4*Таблица14[[#This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(AM348*2*база!$L$4*Таблица14[[#This Row],[коэф]]))))))))))))),
(IF(AND(G348="5/24",AM348&gt;2),(AM348*2*база!$M$6*Таблица14[[#This Row],[коэф]]),
IF(OR(AND(G348="4/24",AM348&gt;2),AND(G348="3/24",AM348&gt;2)),(AM348*2*база!$M$5*Таблица14[[#This Row],[коэф]]),
IF(AND(G348="5/16",AM348&gt;2),(AM348*2*база!$L$6*Таблица14[[#This Row],[коэф]]),
IF(OR(AND(G348="4/16",AM348&gt;2),AND(G348="3/16",AM348&gt;2)),(AM348*2*база!$L$5*Таблица14[[#This Row],[коэф]]),
IF(OR(AND(G348="4/4",AM348&gt;2),AND(G348="3/4",AM348&gt;2)),(AM348*2*база!$I$5*Таблица14[[#This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(AM348*2*база!$L$5*Таблица14[[#This Row],[коэф]])))))))))))</f>
        <v>0</v>
      </c>
      <c r="AO348" s="114">
        <f>IFERROR(INDEX(база!$D$2:$D$120, MATCH(Таблица14[[#This Row],[Ф. И. О.]],база!$B$2:$B$100,0)),"")</f>
        <v>0</v>
      </c>
    </row>
    <row r="349" spans="1:41">
      <c r="A349" s="192"/>
      <c r="B349" s="223"/>
      <c r="C349" s="543"/>
      <c r="D349" s="190"/>
      <c r="E349" s="226"/>
      <c r="F349" s="651"/>
      <c r="G349" s="191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113">
        <f t="shared" si="5"/>
        <v>0</v>
      </c>
      <c r="AN349" s="540">
        <f>IF(AO349&lt;=3,(IF(AND(G349="5/24",AM349&gt;2),(AM349*2*база!$M$6*Таблица14[[#This Row],[коэф]]),
IF(AND(G349="4/24",AM349&gt;2),(AM349*2*база!$M$5*Таблица14[[#This Row],[коэф]]),
IF(AND(G349="3/24",AM349&gt;2),(AM349*2*база!$M$4*Таблица14[[#This Row],[коэф]]),
IF(AND(G349="5/16",AM349&gt;2),(AM349*2*база!$L$6*Таблица14[[#This Row],[коэф]]),
IF(AND(G349="4/16",AM349&gt;2),(AM349*2*база!$L$5*Таблица14[[#This Row],[коэф]]),
IF(AND(G349="3/16",AM349&gt;2),(AM349*2*база!$L$4*Таблица14[[#This Row],[коэф]]),
IF(AND(G349="4/4",AM349&gt;2),(AM349*2*база!$I$5*Таблица14[[#This Row],[коэф]]),
IF(AND(G349="3/4",AM349&gt;2),(AM349*2*база!$I$4*Таблица14[[#This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(AM349*2*база!$L$4*Таблица14[[#This Row],[коэф]]))))))))))))),
(IF(AND(G349="5/24",AM349&gt;2),(AM349*2*база!$M$6*Таблица14[[#This Row],[коэф]]),
IF(OR(AND(G349="4/24",AM349&gt;2),AND(G349="3/24",AM349&gt;2)),(AM349*2*база!$M$5*Таблица14[[#This Row],[коэф]]),
IF(AND(G349="5/16",AM349&gt;2),(AM349*2*база!$L$6*Таблица14[[#This Row],[коэф]]),
IF(OR(AND(G349="4/16",AM349&gt;2),AND(G349="3/16",AM349&gt;2)),(AM349*2*база!$L$5*Таблица14[[#This Row],[коэф]]),
IF(OR(AND(G349="4/4",AM349&gt;2),AND(G349="3/4",AM349&gt;2)),(AM349*2*база!$I$5*Таблица14[[#This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(AM349*2*база!$L$5*Таблица14[[#This Row],[коэф]])))))))))))</f>
        <v>0</v>
      </c>
      <c r="AO349" s="114">
        <f>IFERROR(INDEX(база!$D$2:$D$120, MATCH(Таблица14[[#This Row],[Ф. И. О.]],база!$B$2:$B$100,0)),"")</f>
        <v>0</v>
      </c>
    </row>
    <row r="350" spans="1:41">
      <c r="A350" s="192"/>
      <c r="B350" s="189"/>
      <c r="C350" s="619"/>
      <c r="D350" s="562"/>
      <c r="E350" s="224"/>
      <c r="F350" s="651"/>
      <c r="G350" s="225"/>
      <c r="H350" s="563"/>
      <c r="I350" s="563"/>
      <c r="J350" s="563"/>
      <c r="K350" s="563"/>
      <c r="L350" s="563"/>
      <c r="M350" s="563"/>
      <c r="N350" s="563"/>
      <c r="O350" s="563"/>
      <c r="P350" s="563"/>
      <c r="Q350" s="563"/>
      <c r="R350" s="563"/>
      <c r="S350" s="563"/>
      <c r="T350" s="563"/>
      <c r="U350" s="563"/>
      <c r="V350" s="563"/>
      <c r="W350" s="563"/>
      <c r="X350" s="563"/>
      <c r="Y350" s="563"/>
      <c r="Z350" s="563"/>
      <c r="AA350" s="563"/>
      <c r="AB350" s="563"/>
      <c r="AC350" s="563"/>
      <c r="AD350" s="563"/>
      <c r="AE350" s="563"/>
      <c r="AF350" s="563"/>
      <c r="AG350" s="563"/>
      <c r="AH350" s="563"/>
      <c r="AI350" s="563"/>
      <c r="AJ350" s="563"/>
      <c r="AK350" s="563"/>
      <c r="AL350" s="563"/>
      <c r="AM350" s="113">
        <f t="shared" si="5"/>
        <v>0</v>
      </c>
      <c r="AN350" s="561">
        <f>IF(AO350&lt;=3,(IF(AND(G350="5/24",AM350&gt;2),(AM350*2*база!$M$6*Таблица14[[#This Row],[коэф]]),
IF(AND(G350="4/24",AM350&gt;2),(AM350*2*база!$M$5*Таблица14[[#This Row],[коэф]]),
IF(AND(G350="3/24",AM350&gt;2),(AM350*2*база!$M$4*Таблица14[[#This Row],[коэф]]),
IF(AND(G350="5/16",AM350&gt;2),(AM350*2*база!$L$6*Таблица14[[#This Row],[коэф]]),
IF(AND(G350="4/16",AM350&gt;2),(AM350*2*база!$L$5*Таблица14[[#This Row],[коэф]]),
IF(AND(G350="3/16",AM350&gt;2),(AM350*2*база!$L$4*Таблица14[[#This Row],[коэф]]),
IF(AND(G350="4/4",AM350&gt;2),(AM350*2*база!$I$5*Таблица14[[#This Row],[коэф]]),
IF(AND(G350="3/4",AM350&gt;2),(AM350*2*база!$I$4*Таблица14[[#This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(AM350*2*база!$L$4*Таблица14[[#This Row],[коэф]]))))))))))))),
(IF(AND(G350="5/24",AM350&gt;2),(AM350*2*база!$M$6*Таблица14[[#This Row],[коэф]]),
IF(OR(AND(G350="4/24",AM350&gt;2),AND(G350="3/24",AM350&gt;2)),(AM350*2*база!$M$5*Таблица14[[#This Row],[коэф]]),
IF(AND(G350="5/16",AM350&gt;2),(AM350*2*база!$L$6*Таблица14[[#This Row],[коэф]]),
IF(OR(AND(G350="4/16",AM350&gt;2),AND(G350="3/16",AM350&gt;2)),(AM350*2*база!$L$5*Таблица14[[#This Row],[коэф]]),
IF(OR(AND(G350="4/4",AM350&gt;2),AND(G350="3/4",AM350&gt;2)),(AM350*2*база!$I$5*Таблица14[[#This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(AM350*2*база!$L$5*Таблица14[[#This Row],[коэф]])))))))))))</f>
        <v>0</v>
      </c>
      <c r="AO350" s="114">
        <f>IFERROR(INDEX(база!$D$2:$D$120, MATCH(Таблица14[[#This Row],[Ф. И. О.]],база!$B$2:$B$100,0)),"")</f>
        <v>0</v>
      </c>
    </row>
    <row r="351" spans="1:41">
      <c r="A351" s="192"/>
      <c r="B351" s="223"/>
      <c r="C351" s="543"/>
      <c r="D351" s="190"/>
      <c r="E351" s="226"/>
      <c r="F351" s="651"/>
      <c r="G351" s="191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113">
        <f t="shared" si="5"/>
        <v>0</v>
      </c>
      <c r="AN351" s="540">
        <f>IF(AO351&lt;=3,(IF(AND(G351="5/24",AM351&gt;2),(AM351*2*база!$M$6*Таблица14[[#This Row],[коэф]]),
IF(AND(G351="4/24",AM351&gt;2),(AM351*2*база!$M$5*Таблица14[[#This Row],[коэф]]),
IF(AND(G351="3/24",AM351&gt;2),(AM351*2*база!$M$4*Таблица14[[#This Row],[коэф]]),
IF(AND(G351="5/16",AM351&gt;2),(AM351*2*база!$L$6*Таблица14[[#This Row],[коэф]]),
IF(AND(G351="4/16",AM351&gt;2),(AM351*2*база!$L$5*Таблица14[[#This Row],[коэф]]),
IF(AND(G351="3/16",AM351&gt;2),(AM351*2*база!$L$4*Таблица14[[#This Row],[коэф]]),
IF(AND(G351="4/4",AM351&gt;2),(AM351*2*база!$I$5*Таблица14[[#This Row],[коэф]]),
IF(AND(G351="3/4",AM351&gt;2),(AM351*2*база!$I$4*Таблица14[[#This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(AM351*2*база!$L$4*Таблица14[[#This Row],[коэф]]))))))))))))),
(IF(AND(G351="5/24",AM351&gt;2),(AM351*2*база!$M$6*Таблица14[[#This Row],[коэф]]),
IF(OR(AND(G351="4/24",AM351&gt;2),AND(G351="3/24",AM351&gt;2)),(AM351*2*база!$M$5*Таблица14[[#This Row],[коэф]]),
IF(AND(G351="5/16",AM351&gt;2),(AM351*2*база!$L$6*Таблица14[[#This Row],[коэф]]),
IF(OR(AND(G351="4/16",AM351&gt;2),AND(G351="3/16",AM351&gt;2)),(AM351*2*база!$L$5*Таблица14[[#This Row],[коэф]]),
IF(OR(AND(G351="4/4",AM351&gt;2),AND(G351="3/4",AM351&gt;2)),(AM351*2*база!$I$5*Таблица14[[#This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(AM351*2*база!$L$5*Таблица14[[#This Row],[коэф]])))))))))))</f>
        <v>0</v>
      </c>
      <c r="AO351" s="114">
        <f>IFERROR(INDEX(база!$D$2:$D$120, MATCH(Таблица14[[#This Row],[Ф. И. О.]],база!$B$2:$B$100,0)),"")</f>
        <v>0</v>
      </c>
    </row>
    <row r="352" spans="1:41">
      <c r="A352" s="192"/>
      <c r="B352" s="189"/>
      <c r="C352" s="619"/>
      <c r="D352" s="562"/>
      <c r="E352" s="224"/>
      <c r="F352" s="651"/>
      <c r="G352" s="225"/>
      <c r="H352" s="563"/>
      <c r="I352" s="563"/>
      <c r="J352" s="563"/>
      <c r="K352" s="563"/>
      <c r="L352" s="563"/>
      <c r="M352" s="563"/>
      <c r="N352" s="563"/>
      <c r="O352" s="563"/>
      <c r="P352" s="563"/>
      <c r="Q352" s="563"/>
      <c r="R352" s="563"/>
      <c r="S352" s="563"/>
      <c r="T352" s="563"/>
      <c r="U352" s="563"/>
      <c r="V352" s="563"/>
      <c r="W352" s="563"/>
      <c r="X352" s="563"/>
      <c r="Y352" s="563"/>
      <c r="Z352" s="563"/>
      <c r="AA352" s="563"/>
      <c r="AB352" s="563"/>
      <c r="AC352" s="563"/>
      <c r="AD352" s="563"/>
      <c r="AE352" s="563"/>
      <c r="AF352" s="563"/>
      <c r="AG352" s="563"/>
      <c r="AH352" s="563"/>
      <c r="AI352" s="563"/>
      <c r="AJ352" s="563"/>
      <c r="AK352" s="563"/>
      <c r="AL352" s="563"/>
      <c r="AM352" s="113">
        <f t="shared" si="5"/>
        <v>0</v>
      </c>
      <c r="AN352" s="561">
        <f>IF(AO352&lt;=3,(IF(AND(G352="5/24",AM352&gt;2),(AM352*2*база!$M$6*Таблица14[[#This Row],[коэф]]),
IF(AND(G352="4/24",AM352&gt;2),(AM352*2*база!$M$5*Таблица14[[#This Row],[коэф]]),
IF(AND(G352="3/24",AM352&gt;2),(AM352*2*база!$M$4*Таблица14[[#This Row],[коэф]]),
IF(AND(G352="5/16",AM352&gt;2),(AM352*2*база!$L$6*Таблица14[[#This Row],[коэф]]),
IF(AND(G352="4/16",AM352&gt;2),(AM352*2*база!$L$5*Таблица14[[#This Row],[коэф]]),
IF(AND(G352="3/16",AM352&gt;2),(AM352*2*база!$L$4*Таблица14[[#This Row],[коэф]]),
IF(AND(G352="4/4",AM352&gt;2),(AM352*2*база!$I$5*Таблица14[[#This Row],[коэф]]),
IF(AND(G352="3/4",AM352&gt;2),(AM352*2*база!$I$4*Таблица14[[#This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(AM352*2*база!$L$4*Таблица14[[#This Row],[коэф]]))))))))))))),
(IF(AND(G352="5/24",AM352&gt;2),(AM352*2*база!$M$6*Таблица14[[#This Row],[коэф]]),
IF(OR(AND(G352="4/24",AM352&gt;2),AND(G352="3/24",AM352&gt;2)),(AM352*2*база!$M$5*Таблица14[[#This Row],[коэф]]),
IF(AND(G352="5/16",AM352&gt;2),(AM352*2*база!$L$6*Таблица14[[#This Row],[коэф]]),
IF(OR(AND(G352="4/16",AM352&gt;2),AND(G352="3/16",AM352&gt;2)),(AM352*2*база!$L$5*Таблица14[[#This Row],[коэф]]),
IF(OR(AND(G352="4/4",AM352&gt;2),AND(G352="3/4",AM352&gt;2)),(AM352*2*база!$I$5*Таблица14[[#This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(AM352*2*база!$L$5*Таблица14[[#This Row],[коэф]])))))))))))</f>
        <v>0</v>
      </c>
      <c r="AO352" s="114">
        <f>IFERROR(INDEX(база!$D$2:$D$120, MATCH(Таблица14[[#This Row],[Ф. И. О.]],база!$B$2:$B$100,0)),"")</f>
        <v>0</v>
      </c>
    </row>
    <row r="353" spans="1:41">
      <c r="A353" s="192"/>
      <c r="B353" s="223"/>
      <c r="C353" s="543"/>
      <c r="D353" s="190"/>
      <c r="E353" s="226"/>
      <c r="F353" s="651"/>
      <c r="G353" s="191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113">
        <f t="shared" si="5"/>
        <v>0</v>
      </c>
      <c r="AN353" s="540">
        <f>IF(AO353&lt;=3,(IF(AND(G353="5/24",AM353&gt;2),(AM353*2*база!$M$6*Таблица14[[#This Row],[коэф]]),
IF(AND(G353="4/24",AM353&gt;2),(AM353*2*база!$M$5*Таблица14[[#This Row],[коэф]]),
IF(AND(G353="3/24",AM353&gt;2),(AM353*2*база!$M$4*Таблица14[[#This Row],[коэф]]),
IF(AND(G353="5/16",AM353&gt;2),(AM353*2*база!$L$6*Таблица14[[#This Row],[коэф]]),
IF(AND(G353="4/16",AM353&gt;2),(AM353*2*база!$L$5*Таблица14[[#This Row],[коэф]]),
IF(AND(G353="3/16",AM353&gt;2),(AM353*2*база!$L$4*Таблица14[[#This Row],[коэф]]),
IF(AND(G353="4/4",AM353&gt;2),(AM353*2*база!$I$5*Таблица14[[#This Row],[коэф]]),
IF(AND(G353="3/4",AM353&gt;2),(AM353*2*база!$I$4*Таблица14[[#This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(AM353*2*база!$L$4*Таблица14[[#This Row],[коэф]]))))))))))))),
(IF(AND(G353="5/24",AM353&gt;2),(AM353*2*база!$M$6*Таблица14[[#This Row],[коэф]]),
IF(OR(AND(G353="4/24",AM353&gt;2),AND(G353="3/24",AM353&gt;2)),(AM353*2*база!$M$5*Таблица14[[#This Row],[коэф]]),
IF(AND(G353="5/16",AM353&gt;2),(AM353*2*база!$L$6*Таблица14[[#This Row],[коэф]]),
IF(OR(AND(G353="4/16",AM353&gt;2),AND(G353="3/16",AM353&gt;2)),(AM353*2*база!$L$5*Таблица14[[#This Row],[коэф]]),
IF(OR(AND(G353="4/4",AM353&gt;2),AND(G353="3/4",AM353&gt;2)),(AM353*2*база!$I$5*Таблица14[[#This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(AM353*2*база!$L$5*Таблица14[[#This Row],[коэф]])))))))))))</f>
        <v>0</v>
      </c>
      <c r="AO353" s="114">
        <f>IFERROR(INDEX(база!$D$2:$D$120, MATCH(Таблица14[[#This Row],[Ф. И. О.]],база!$B$2:$B$100,0)),"")</f>
        <v>0</v>
      </c>
    </row>
    <row r="354" spans="1:41">
      <c r="A354" s="192"/>
      <c r="B354" s="189"/>
      <c r="C354" s="619"/>
      <c r="D354" s="562"/>
      <c r="E354" s="224"/>
      <c r="F354" s="651"/>
      <c r="G354" s="225"/>
      <c r="H354" s="563"/>
      <c r="I354" s="563"/>
      <c r="J354" s="563"/>
      <c r="K354" s="563"/>
      <c r="L354" s="563"/>
      <c r="M354" s="563"/>
      <c r="N354" s="563"/>
      <c r="O354" s="563"/>
      <c r="P354" s="563"/>
      <c r="Q354" s="563"/>
      <c r="R354" s="563"/>
      <c r="S354" s="563"/>
      <c r="T354" s="563"/>
      <c r="U354" s="563"/>
      <c r="V354" s="563"/>
      <c r="W354" s="563"/>
      <c r="X354" s="563"/>
      <c r="Y354" s="563"/>
      <c r="Z354" s="563"/>
      <c r="AA354" s="563"/>
      <c r="AB354" s="563"/>
      <c r="AC354" s="563"/>
      <c r="AD354" s="563"/>
      <c r="AE354" s="563"/>
      <c r="AF354" s="563"/>
      <c r="AG354" s="563"/>
      <c r="AH354" s="563"/>
      <c r="AI354" s="563"/>
      <c r="AJ354" s="563"/>
      <c r="AK354" s="563"/>
      <c r="AL354" s="563"/>
      <c r="AM354" s="113">
        <f t="shared" si="5"/>
        <v>0</v>
      </c>
      <c r="AN354" s="561">
        <f>IF(AO354&lt;=3,(IF(AND(G354="5/24",AM354&gt;2),(AM354*2*база!$M$6*Таблица14[[#This Row],[коэф]]),
IF(AND(G354="4/24",AM354&gt;2),(AM354*2*база!$M$5*Таблица14[[#This Row],[коэф]]),
IF(AND(G354="3/24",AM354&gt;2),(AM354*2*база!$M$4*Таблица14[[#This Row],[коэф]]),
IF(AND(G354="5/16",AM354&gt;2),(AM354*2*база!$L$6*Таблица14[[#This Row],[коэф]]),
IF(AND(G354="4/16",AM354&gt;2),(AM354*2*база!$L$5*Таблица14[[#This Row],[коэф]]),
IF(AND(G354="3/16",AM354&gt;2),(AM354*2*база!$L$4*Таблица14[[#This Row],[коэф]]),
IF(AND(G354="4/4",AM354&gt;2),(AM354*2*база!$I$5*Таблица14[[#This Row],[коэф]]),
IF(AND(G354="3/4",AM354&gt;2),(AM354*2*база!$I$4*Таблица14[[#This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(AM354*2*база!$L$4*Таблица14[[#This Row],[коэф]]))))))))))))),
(IF(AND(G354="5/24",AM354&gt;2),(AM354*2*база!$M$6*Таблица14[[#This Row],[коэф]]),
IF(OR(AND(G354="4/24",AM354&gt;2),AND(G354="3/24",AM354&gt;2)),(AM354*2*база!$M$5*Таблица14[[#This Row],[коэф]]),
IF(AND(G354="5/16",AM354&gt;2),(AM354*2*база!$L$6*Таблица14[[#This Row],[коэф]]),
IF(OR(AND(G354="4/16",AM354&gt;2),AND(G354="3/16",AM354&gt;2)),(AM354*2*база!$L$5*Таблица14[[#This Row],[коэф]]),
IF(OR(AND(G354="4/4",AM354&gt;2),AND(G354="3/4",AM354&gt;2)),(AM354*2*база!$I$5*Таблица14[[#This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(AM354*2*база!$L$5*Таблица14[[#This Row],[коэф]])))))))))))</f>
        <v>0</v>
      </c>
      <c r="AO354" s="114">
        <f>IFERROR(INDEX(база!$D$2:$D$120, MATCH(Таблица14[[#This Row],[Ф. И. О.]],база!$B$2:$B$100,0)),"")</f>
        <v>0</v>
      </c>
    </row>
    <row r="355" spans="1:41">
      <c r="A355" s="192"/>
      <c r="B355" s="223"/>
      <c r="C355" s="543"/>
      <c r="D355" s="190"/>
      <c r="E355" s="226"/>
      <c r="F355" s="651"/>
      <c r="G355" s="191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113">
        <f t="shared" si="5"/>
        <v>0</v>
      </c>
      <c r="AN355" s="540">
        <f>IF(AO355&lt;=3,(IF(AND(G355="5/24",AM355&gt;2),(AM355*2*база!$M$6*Таблица14[[#This Row],[коэф]]),
IF(AND(G355="4/24",AM355&gt;2),(AM355*2*база!$M$5*Таблица14[[#This Row],[коэф]]),
IF(AND(G355="3/24",AM355&gt;2),(AM355*2*база!$M$4*Таблица14[[#This Row],[коэф]]),
IF(AND(G355="5/16",AM355&gt;2),(AM355*2*база!$L$6*Таблица14[[#This Row],[коэф]]),
IF(AND(G355="4/16",AM355&gt;2),(AM355*2*база!$L$5*Таблица14[[#This Row],[коэф]]),
IF(AND(G355="3/16",AM355&gt;2),(AM355*2*база!$L$4*Таблица14[[#This Row],[коэф]]),
IF(AND(G355="4/4",AM355&gt;2),(AM355*2*база!$I$5*Таблица14[[#This Row],[коэф]]),
IF(AND(G355="3/4",AM355&gt;2),(AM355*2*база!$I$4*Таблица14[[#This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(AM355*2*база!$L$4*Таблица14[[#This Row],[коэф]]))))))))))))),
(IF(AND(G355="5/24",AM355&gt;2),(AM355*2*база!$M$6*Таблица14[[#This Row],[коэф]]),
IF(OR(AND(G355="4/24",AM355&gt;2),AND(G355="3/24",AM355&gt;2)),(AM355*2*база!$M$5*Таблица14[[#This Row],[коэф]]),
IF(AND(G355="5/16",AM355&gt;2),(AM355*2*база!$L$6*Таблица14[[#This Row],[коэф]]),
IF(OR(AND(G355="4/16",AM355&gt;2),AND(G355="3/16",AM355&gt;2)),(AM355*2*база!$L$5*Таблица14[[#This Row],[коэф]]),
IF(OR(AND(G355="4/4",AM355&gt;2),AND(G355="3/4",AM355&gt;2)),(AM355*2*база!$I$5*Таблица14[[#This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(AM355*2*база!$L$5*Таблица14[[#This Row],[коэф]])))))))))))</f>
        <v>0</v>
      </c>
      <c r="AO355" s="114">
        <f>IFERROR(INDEX(база!$D$2:$D$120, MATCH(Таблица14[[#This Row],[Ф. И. О.]],база!$B$2:$B$100,0)),"")</f>
        <v>0</v>
      </c>
    </row>
    <row r="356" spans="1:41">
      <c r="A356" s="192"/>
      <c r="B356" s="189"/>
      <c r="C356" s="619"/>
      <c r="D356" s="562"/>
      <c r="E356" s="224"/>
      <c r="F356" s="651"/>
      <c r="G356" s="225"/>
      <c r="H356" s="563"/>
      <c r="I356" s="563"/>
      <c r="J356" s="563"/>
      <c r="K356" s="563"/>
      <c r="L356" s="563"/>
      <c r="M356" s="563"/>
      <c r="N356" s="563"/>
      <c r="O356" s="563"/>
      <c r="P356" s="563"/>
      <c r="Q356" s="563"/>
      <c r="R356" s="563"/>
      <c r="S356" s="563"/>
      <c r="T356" s="563"/>
      <c r="U356" s="563"/>
      <c r="V356" s="563"/>
      <c r="W356" s="563"/>
      <c r="X356" s="563"/>
      <c r="Y356" s="563"/>
      <c r="Z356" s="563"/>
      <c r="AA356" s="563"/>
      <c r="AB356" s="563"/>
      <c r="AC356" s="563"/>
      <c r="AD356" s="563"/>
      <c r="AE356" s="563"/>
      <c r="AF356" s="563"/>
      <c r="AG356" s="563"/>
      <c r="AH356" s="563"/>
      <c r="AI356" s="563"/>
      <c r="AJ356" s="563"/>
      <c r="AK356" s="563"/>
      <c r="AL356" s="563"/>
      <c r="AM356" s="113">
        <f t="shared" si="5"/>
        <v>0</v>
      </c>
      <c r="AN356" s="561">
        <f>IF(AO356&lt;=3,(IF(AND(G356="5/24",AM356&gt;2),(AM356*2*база!$M$6*Таблица14[[#This Row],[коэф]]),
IF(AND(G356="4/24",AM356&gt;2),(AM356*2*база!$M$5*Таблица14[[#This Row],[коэф]]),
IF(AND(G356="3/24",AM356&gt;2),(AM356*2*база!$M$4*Таблица14[[#This Row],[коэф]]),
IF(AND(G356="5/16",AM356&gt;2),(AM356*2*база!$L$6*Таблица14[[#This Row],[коэф]]),
IF(AND(G356="4/16",AM356&gt;2),(AM356*2*база!$L$5*Таблица14[[#This Row],[коэф]]),
IF(AND(G356="3/16",AM356&gt;2),(AM356*2*база!$L$4*Таблица14[[#This Row],[коэф]]),
IF(AND(G356="4/4",AM356&gt;2),(AM356*2*база!$I$5*Таблица14[[#This Row],[коэф]]),
IF(AND(G356="3/4",AM356&gt;2),(AM356*2*база!$I$4*Таблица14[[#This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(AM356*2*база!$L$4*Таблица14[[#This Row],[коэф]]))))))))))))),
(IF(AND(G356="5/24",AM356&gt;2),(AM356*2*база!$M$6*Таблица14[[#This Row],[коэф]]),
IF(OR(AND(G356="4/24",AM356&gt;2),AND(G356="3/24",AM356&gt;2)),(AM356*2*база!$M$5*Таблица14[[#This Row],[коэф]]),
IF(AND(G356="5/16",AM356&gt;2),(AM356*2*база!$L$6*Таблица14[[#This Row],[коэф]]),
IF(OR(AND(G356="4/16",AM356&gt;2),AND(G356="3/16",AM356&gt;2)),(AM356*2*база!$L$5*Таблица14[[#This Row],[коэф]]),
IF(OR(AND(G356="4/4",AM356&gt;2),AND(G356="3/4",AM356&gt;2)),(AM356*2*база!$I$5*Таблица14[[#This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(AM356*2*база!$L$5*Таблица14[[#This Row],[коэф]])))))))))))</f>
        <v>0</v>
      </c>
      <c r="AO356" s="114">
        <f>IFERROR(INDEX(база!$D$2:$D$120, MATCH(Таблица14[[#This Row],[Ф. И. О.]],база!$B$2:$B$100,0)),"")</f>
        <v>0</v>
      </c>
    </row>
    <row r="357" spans="1:41">
      <c r="A357" s="192"/>
      <c r="B357" s="223"/>
      <c r="C357" s="543"/>
      <c r="D357" s="190"/>
      <c r="E357" s="226"/>
      <c r="F357" s="651"/>
      <c r="G357" s="191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113">
        <f t="shared" si="5"/>
        <v>0</v>
      </c>
      <c r="AN357" s="540">
        <f>IF(AO357&lt;=3,(IF(AND(G357="5/24",AM357&gt;2),(AM357*2*база!$M$6*Таблица14[[#This Row],[коэф]]),
IF(AND(G357="4/24",AM357&gt;2),(AM357*2*база!$M$5*Таблица14[[#This Row],[коэф]]),
IF(AND(G357="3/24",AM357&gt;2),(AM357*2*база!$M$4*Таблица14[[#This Row],[коэф]]),
IF(AND(G357="5/16",AM357&gt;2),(AM357*2*база!$L$6*Таблица14[[#This Row],[коэф]]),
IF(AND(G357="4/16",AM357&gt;2),(AM357*2*база!$L$5*Таблица14[[#This Row],[коэф]]),
IF(AND(G357="3/16",AM357&gt;2),(AM357*2*база!$L$4*Таблица14[[#This Row],[коэф]]),
IF(AND(G357="4/4",AM357&gt;2),(AM357*2*база!$I$5*Таблица14[[#This Row],[коэф]]),
IF(AND(G357="3/4",AM357&gt;2),(AM357*2*база!$I$4*Таблица14[[#This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(AM357*2*база!$L$4*Таблица14[[#This Row],[коэф]]))))))))))))),
(IF(AND(G357="5/24",AM357&gt;2),(AM357*2*база!$M$6*Таблица14[[#This Row],[коэф]]),
IF(OR(AND(G357="4/24",AM357&gt;2),AND(G357="3/24",AM357&gt;2)),(AM357*2*база!$M$5*Таблица14[[#This Row],[коэф]]),
IF(AND(G357="5/16",AM357&gt;2),(AM357*2*база!$L$6*Таблица14[[#This Row],[коэф]]),
IF(OR(AND(G357="4/16",AM357&gt;2),AND(G357="3/16",AM357&gt;2)),(AM357*2*база!$L$5*Таблица14[[#This Row],[коэф]]),
IF(OR(AND(G357="4/4",AM357&gt;2),AND(G357="3/4",AM357&gt;2)),(AM357*2*база!$I$5*Таблица14[[#This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(AM357*2*база!$L$5*Таблица14[[#This Row],[коэф]])))))))))))</f>
        <v>0</v>
      </c>
      <c r="AO357" s="114">
        <f>IFERROR(INDEX(база!$D$2:$D$120, MATCH(Таблица14[[#This Row],[Ф. И. О.]],база!$B$2:$B$100,0)),"")</f>
        <v>0</v>
      </c>
    </row>
    <row r="358" spans="1:41">
      <c r="A358" s="192"/>
      <c r="B358" s="189"/>
      <c r="C358" s="619"/>
      <c r="D358" s="562"/>
      <c r="E358" s="224"/>
      <c r="F358" s="651"/>
      <c r="G358" s="225"/>
      <c r="H358" s="563"/>
      <c r="I358" s="563"/>
      <c r="J358" s="563"/>
      <c r="K358" s="563"/>
      <c r="L358" s="563"/>
      <c r="M358" s="563"/>
      <c r="N358" s="563"/>
      <c r="O358" s="563"/>
      <c r="P358" s="563"/>
      <c r="Q358" s="563"/>
      <c r="R358" s="563"/>
      <c r="S358" s="563"/>
      <c r="T358" s="563"/>
      <c r="U358" s="563"/>
      <c r="V358" s="563"/>
      <c r="W358" s="563"/>
      <c r="X358" s="563"/>
      <c r="Y358" s="563"/>
      <c r="Z358" s="563"/>
      <c r="AA358" s="563"/>
      <c r="AB358" s="563"/>
      <c r="AC358" s="563"/>
      <c r="AD358" s="563"/>
      <c r="AE358" s="563"/>
      <c r="AF358" s="563"/>
      <c r="AG358" s="563"/>
      <c r="AH358" s="563"/>
      <c r="AI358" s="563"/>
      <c r="AJ358" s="563"/>
      <c r="AK358" s="563"/>
      <c r="AL358" s="563"/>
      <c r="AM358" s="113">
        <f t="shared" si="5"/>
        <v>0</v>
      </c>
      <c r="AN358" s="561">
        <f>IF(AO358&lt;=3,(IF(AND(G358="5/24",AM358&gt;2),(AM358*2*база!$M$6*Таблица14[[#This Row],[коэф]]),
IF(AND(G358="4/24",AM358&gt;2),(AM358*2*база!$M$5*Таблица14[[#This Row],[коэф]]),
IF(AND(G358="3/24",AM358&gt;2),(AM358*2*база!$M$4*Таблица14[[#This Row],[коэф]]),
IF(AND(G358="5/16",AM358&gt;2),(AM358*2*база!$L$6*Таблица14[[#This Row],[коэф]]),
IF(AND(G358="4/16",AM358&gt;2),(AM358*2*база!$L$5*Таблица14[[#This Row],[коэф]]),
IF(AND(G358="3/16",AM358&gt;2),(AM358*2*база!$L$4*Таблица14[[#This Row],[коэф]]),
IF(AND(G358="4/4",AM358&gt;2),(AM358*2*база!$I$5*Таблица14[[#This Row],[коэф]]),
IF(AND(G358="3/4",AM358&gt;2),(AM358*2*база!$I$4*Таблица14[[#This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(AM358*2*база!$L$4*Таблица14[[#This Row],[коэф]]))))))))))))),
(IF(AND(G358="5/24",AM358&gt;2),(AM358*2*база!$M$6*Таблица14[[#This Row],[коэф]]),
IF(OR(AND(G358="4/24",AM358&gt;2),AND(G358="3/24",AM358&gt;2)),(AM358*2*база!$M$5*Таблица14[[#This Row],[коэф]]),
IF(AND(G358="5/16",AM358&gt;2),(AM358*2*база!$L$6*Таблица14[[#This Row],[коэф]]),
IF(OR(AND(G358="4/16",AM358&gt;2),AND(G358="3/16",AM358&gt;2)),(AM358*2*база!$L$5*Таблица14[[#This Row],[коэф]]),
IF(OR(AND(G358="4/4",AM358&gt;2),AND(G358="3/4",AM358&gt;2)),(AM358*2*база!$I$5*Таблица14[[#This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(AM358*2*база!$L$5*Таблица14[[#This Row],[коэф]])))))))))))</f>
        <v>0</v>
      </c>
      <c r="AO358" s="114">
        <f>IFERROR(INDEX(база!$D$2:$D$120, MATCH(Таблица14[[#This Row],[Ф. И. О.]],база!$B$2:$B$100,0)),"")</f>
        <v>0</v>
      </c>
    </row>
    <row r="359" spans="1:41">
      <c r="A359" s="192"/>
      <c r="B359" s="223"/>
      <c r="C359" s="543"/>
      <c r="D359" s="190"/>
      <c r="E359" s="226"/>
      <c r="F359" s="651"/>
      <c r="G359" s="191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113">
        <f t="shared" si="5"/>
        <v>0</v>
      </c>
      <c r="AN359" s="540">
        <f>IF(AO359&lt;=3,(IF(AND(G359="5/24",AM359&gt;2),(AM359*2*база!$M$6*Таблица14[[#This Row],[коэф]]),
IF(AND(G359="4/24",AM359&gt;2),(AM359*2*база!$M$5*Таблица14[[#This Row],[коэф]]),
IF(AND(G359="3/24",AM359&gt;2),(AM359*2*база!$M$4*Таблица14[[#This Row],[коэф]]),
IF(AND(G359="5/16",AM359&gt;2),(AM359*2*база!$L$6*Таблица14[[#This Row],[коэф]]),
IF(AND(G359="4/16",AM359&gt;2),(AM359*2*база!$L$5*Таблица14[[#This Row],[коэф]]),
IF(AND(G359="3/16",AM359&gt;2),(AM359*2*база!$L$4*Таблица14[[#This Row],[коэф]]),
IF(AND(G359="4/4",AM359&gt;2),(AM359*2*база!$I$5*Таблица14[[#This Row],[коэф]]),
IF(AND(G359="3/4",AM359&gt;2),(AM359*2*база!$I$4*Таблица14[[#This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(AM359*2*база!$L$4*Таблица14[[#This Row],[коэф]]))))))))))))),
(IF(AND(G359="5/24",AM359&gt;2),(AM359*2*база!$M$6*Таблица14[[#This Row],[коэф]]),
IF(OR(AND(G359="4/24",AM359&gt;2),AND(G359="3/24",AM359&gt;2)),(AM359*2*база!$M$5*Таблица14[[#This Row],[коэф]]),
IF(AND(G359="5/16",AM359&gt;2),(AM359*2*база!$L$6*Таблица14[[#This Row],[коэф]]),
IF(OR(AND(G359="4/16",AM359&gt;2),AND(G359="3/16",AM359&gt;2)),(AM359*2*база!$L$5*Таблица14[[#This Row],[коэф]]),
IF(OR(AND(G359="4/4",AM359&gt;2),AND(G359="3/4",AM359&gt;2)),(AM359*2*база!$I$5*Таблица14[[#This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(AM359*2*база!$L$5*Таблица14[[#This Row],[коэф]])))))))))))</f>
        <v>0</v>
      </c>
      <c r="AO359" s="114">
        <f>IFERROR(INDEX(база!$D$2:$D$120, MATCH(Таблица14[[#This Row],[Ф. И. О.]],база!$B$2:$B$100,0)),"")</f>
        <v>0</v>
      </c>
    </row>
    <row r="360" spans="1:41">
      <c r="A360" s="192"/>
      <c r="B360" s="189"/>
      <c r="C360" s="619"/>
      <c r="D360" s="562"/>
      <c r="E360" s="224"/>
      <c r="F360" s="651"/>
      <c r="G360" s="225"/>
      <c r="H360" s="563"/>
      <c r="I360" s="563"/>
      <c r="J360" s="563"/>
      <c r="K360" s="563"/>
      <c r="L360" s="563"/>
      <c r="M360" s="563"/>
      <c r="N360" s="563"/>
      <c r="O360" s="563"/>
      <c r="P360" s="563"/>
      <c r="Q360" s="563"/>
      <c r="R360" s="563"/>
      <c r="S360" s="563"/>
      <c r="T360" s="563"/>
      <c r="U360" s="563"/>
      <c r="V360" s="563"/>
      <c r="W360" s="563"/>
      <c r="X360" s="563"/>
      <c r="Y360" s="563"/>
      <c r="Z360" s="563"/>
      <c r="AA360" s="563"/>
      <c r="AB360" s="563"/>
      <c r="AC360" s="563"/>
      <c r="AD360" s="563"/>
      <c r="AE360" s="563"/>
      <c r="AF360" s="563"/>
      <c r="AG360" s="563"/>
      <c r="AH360" s="563"/>
      <c r="AI360" s="563"/>
      <c r="AJ360" s="563"/>
      <c r="AK360" s="563"/>
      <c r="AL360" s="563"/>
      <c r="AM360" s="113">
        <f t="shared" si="5"/>
        <v>0</v>
      </c>
      <c r="AN360" s="561">
        <f>IF(AO360&lt;=3,(IF(AND(G360="5/24",AM360&gt;2),(AM360*2*база!$M$6*Таблица14[[#This Row],[коэф]]),
IF(AND(G360="4/24",AM360&gt;2),(AM360*2*база!$M$5*Таблица14[[#This Row],[коэф]]),
IF(AND(G360="3/24",AM360&gt;2),(AM360*2*база!$M$4*Таблица14[[#This Row],[коэф]]),
IF(AND(G360="5/16",AM360&gt;2),(AM360*2*база!$L$6*Таблица14[[#This Row],[коэф]]),
IF(AND(G360="4/16",AM360&gt;2),(AM360*2*база!$L$5*Таблица14[[#This Row],[коэф]]),
IF(AND(G360="3/16",AM360&gt;2),(AM360*2*база!$L$4*Таблица14[[#This Row],[коэф]]),
IF(AND(G360="4/4",AM360&gt;2),(AM360*2*база!$I$5*Таблица14[[#This Row],[коэф]]),
IF(AND(G360="3/4",AM360&gt;2),(AM360*2*база!$I$4*Таблица14[[#This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(AM360*2*база!$L$4*Таблица14[[#This Row],[коэф]]))))))))))))),
(IF(AND(G360="5/24",AM360&gt;2),(AM360*2*база!$M$6*Таблица14[[#This Row],[коэф]]),
IF(OR(AND(G360="4/24",AM360&gt;2),AND(G360="3/24",AM360&gt;2)),(AM360*2*база!$M$5*Таблица14[[#This Row],[коэф]]),
IF(AND(G360="5/16",AM360&gt;2),(AM360*2*база!$L$6*Таблица14[[#This Row],[коэф]]),
IF(OR(AND(G360="4/16",AM360&gt;2),AND(G360="3/16",AM360&gt;2)),(AM360*2*база!$L$5*Таблица14[[#This Row],[коэф]]),
IF(OR(AND(G360="4/4",AM360&gt;2),AND(G360="3/4",AM360&gt;2)),(AM360*2*база!$I$5*Таблица14[[#This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(AM360*2*база!$L$5*Таблица14[[#This Row],[коэф]])))))))))))</f>
        <v>0</v>
      </c>
      <c r="AO360" s="114">
        <f>IFERROR(INDEX(база!$D$2:$D$120, MATCH(Таблица14[[#This Row],[Ф. И. О.]],база!$B$2:$B$100,0)),"")</f>
        <v>0</v>
      </c>
    </row>
    <row r="361" spans="1:41">
      <c r="A361" s="192"/>
      <c r="B361" s="223"/>
      <c r="C361" s="543"/>
      <c r="D361" s="190"/>
      <c r="E361" s="226"/>
      <c r="F361" s="651"/>
      <c r="G361" s="191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113">
        <f t="shared" si="5"/>
        <v>0</v>
      </c>
      <c r="AN361" s="540">
        <f>IF(AO361&lt;=3,(IF(AND(G361="5/24",AM361&gt;2),(AM361*2*база!$M$6*Таблица14[[#This Row],[коэф]]),
IF(AND(G361="4/24",AM361&gt;2),(AM361*2*база!$M$5*Таблица14[[#This Row],[коэф]]),
IF(AND(G361="3/24",AM361&gt;2),(AM361*2*база!$M$4*Таблица14[[#This Row],[коэф]]),
IF(AND(G361="5/16",AM361&gt;2),(AM361*2*база!$L$6*Таблица14[[#This Row],[коэф]]),
IF(AND(G361="4/16",AM361&gt;2),(AM361*2*база!$L$5*Таблица14[[#This Row],[коэф]]),
IF(AND(G361="3/16",AM361&gt;2),(AM361*2*база!$L$4*Таблица14[[#This Row],[коэф]]),
IF(AND(G361="4/4",AM361&gt;2),(AM361*2*база!$I$5*Таблица14[[#This Row],[коэф]]),
IF(AND(G361="3/4",AM361&gt;2),(AM361*2*база!$I$4*Таблица14[[#This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(AM361*2*база!$L$4*Таблица14[[#This Row],[коэф]]))))))))))))),
(IF(AND(G361="5/24",AM361&gt;2),(AM361*2*база!$M$6*Таблица14[[#This Row],[коэф]]),
IF(OR(AND(G361="4/24",AM361&gt;2),AND(G361="3/24",AM361&gt;2)),(AM361*2*база!$M$5*Таблица14[[#This Row],[коэф]]),
IF(AND(G361="5/16",AM361&gt;2),(AM361*2*база!$L$6*Таблица14[[#This Row],[коэф]]),
IF(OR(AND(G361="4/16",AM361&gt;2),AND(G361="3/16",AM361&gt;2)),(AM361*2*база!$L$5*Таблица14[[#This Row],[коэф]]),
IF(OR(AND(G361="4/4",AM361&gt;2),AND(G361="3/4",AM361&gt;2)),(AM361*2*база!$I$5*Таблица14[[#This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(AM361*2*база!$L$5*Таблица14[[#This Row],[коэф]])))))))))))</f>
        <v>0</v>
      </c>
      <c r="AO361" s="114">
        <f>IFERROR(INDEX(база!$D$2:$D$120, MATCH(Таблица14[[#This Row],[Ф. И. О.]],база!$B$2:$B$100,0)),"")</f>
        <v>0</v>
      </c>
    </row>
    <row r="362" spans="1:41">
      <c r="A362" s="192"/>
      <c r="B362" s="189"/>
      <c r="C362" s="619"/>
      <c r="D362" s="562"/>
      <c r="E362" s="224"/>
      <c r="F362" s="651"/>
      <c r="G362" s="225"/>
      <c r="H362" s="563"/>
      <c r="I362" s="563"/>
      <c r="J362" s="563"/>
      <c r="K362" s="563"/>
      <c r="L362" s="563"/>
      <c r="M362" s="563"/>
      <c r="N362" s="563"/>
      <c r="O362" s="563"/>
      <c r="P362" s="563"/>
      <c r="Q362" s="563"/>
      <c r="R362" s="563"/>
      <c r="S362" s="563"/>
      <c r="T362" s="563"/>
      <c r="U362" s="563"/>
      <c r="V362" s="563"/>
      <c r="W362" s="563"/>
      <c r="X362" s="563"/>
      <c r="Y362" s="563"/>
      <c r="Z362" s="563"/>
      <c r="AA362" s="563"/>
      <c r="AB362" s="563"/>
      <c r="AC362" s="563"/>
      <c r="AD362" s="563"/>
      <c r="AE362" s="563"/>
      <c r="AF362" s="563"/>
      <c r="AG362" s="563"/>
      <c r="AH362" s="563"/>
      <c r="AI362" s="563"/>
      <c r="AJ362" s="563"/>
      <c r="AK362" s="563"/>
      <c r="AL362" s="563"/>
      <c r="AM362" s="113">
        <f t="shared" si="5"/>
        <v>0</v>
      </c>
      <c r="AN362" s="561">
        <f>IF(AO362&lt;=3,(IF(AND(G362="5/24",AM362&gt;2),(AM362*2*база!$M$6*Таблица14[[#This Row],[коэф]]),
IF(AND(G362="4/24",AM362&gt;2),(AM362*2*база!$M$5*Таблица14[[#This Row],[коэф]]),
IF(AND(G362="3/24",AM362&gt;2),(AM362*2*база!$M$4*Таблица14[[#This Row],[коэф]]),
IF(AND(G362="5/16",AM362&gt;2),(AM362*2*база!$L$6*Таблица14[[#This Row],[коэф]]),
IF(AND(G362="4/16",AM362&gt;2),(AM362*2*база!$L$5*Таблица14[[#This Row],[коэф]]),
IF(AND(G362="3/16",AM362&gt;2),(AM362*2*база!$L$4*Таблица14[[#This Row],[коэф]]),
IF(AND(G362="4/4",AM362&gt;2),(AM362*2*база!$I$5*Таблица14[[#This Row],[коэф]]),
IF(AND(G362="3/4",AM362&gt;2),(AM362*2*база!$I$4*Таблица14[[#This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(AM362*2*база!$L$4*Таблица14[[#This Row],[коэф]]))))))))))))),
(IF(AND(G362="5/24",AM362&gt;2),(AM362*2*база!$M$6*Таблица14[[#This Row],[коэф]]),
IF(OR(AND(G362="4/24",AM362&gt;2),AND(G362="3/24",AM362&gt;2)),(AM362*2*база!$M$5*Таблица14[[#This Row],[коэф]]),
IF(AND(G362="5/16",AM362&gt;2),(AM362*2*база!$L$6*Таблица14[[#This Row],[коэф]]),
IF(OR(AND(G362="4/16",AM362&gt;2),AND(G362="3/16",AM362&gt;2)),(AM362*2*база!$L$5*Таблица14[[#This Row],[коэф]]),
IF(OR(AND(G362="4/4",AM362&gt;2),AND(G362="3/4",AM362&gt;2)),(AM362*2*база!$I$5*Таблица14[[#This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(AM362*2*база!$L$5*Таблица14[[#This Row],[коэф]])))))))))))</f>
        <v>0</v>
      </c>
      <c r="AO362" s="114">
        <f>IFERROR(INDEX(база!$D$2:$D$120, MATCH(Таблица14[[#This Row],[Ф. И. О.]],база!$B$2:$B$100,0)),"")</f>
        <v>0</v>
      </c>
    </row>
    <row r="363" spans="1:41">
      <c r="A363" s="192"/>
      <c r="B363" s="223"/>
      <c r="C363" s="543"/>
      <c r="D363" s="190"/>
      <c r="E363" s="226"/>
      <c r="F363" s="651"/>
      <c r="G363" s="191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113">
        <f t="shared" si="5"/>
        <v>0</v>
      </c>
      <c r="AN363" s="540">
        <f>IF(AO363&lt;=3,(IF(AND(G363="5/24",AM363&gt;2),(AM363*2*база!$M$6*Таблица14[[#This Row],[коэф]]),
IF(AND(G363="4/24",AM363&gt;2),(AM363*2*база!$M$5*Таблица14[[#This Row],[коэф]]),
IF(AND(G363="3/24",AM363&gt;2),(AM363*2*база!$M$4*Таблица14[[#This Row],[коэф]]),
IF(AND(G363="5/16",AM363&gt;2),(AM363*2*база!$L$6*Таблица14[[#This Row],[коэф]]),
IF(AND(G363="4/16",AM363&gt;2),(AM363*2*база!$L$5*Таблица14[[#This Row],[коэф]]),
IF(AND(G363="3/16",AM363&gt;2),(AM363*2*база!$L$4*Таблица14[[#This Row],[коэф]]),
IF(AND(G363="4/4",AM363&gt;2),(AM363*2*база!$I$5*Таблица14[[#This Row],[коэф]]),
IF(AND(G363="3/4",AM363&gt;2),(AM363*2*база!$I$4*Таблица14[[#This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(AM363*2*база!$L$4*Таблица14[[#This Row],[коэф]]))))))))))))),
(IF(AND(G363="5/24",AM363&gt;2),(AM363*2*база!$M$6*Таблица14[[#This Row],[коэф]]),
IF(OR(AND(G363="4/24",AM363&gt;2),AND(G363="3/24",AM363&gt;2)),(AM363*2*база!$M$5*Таблица14[[#This Row],[коэф]]),
IF(AND(G363="5/16",AM363&gt;2),(AM363*2*база!$L$6*Таблица14[[#This Row],[коэф]]),
IF(OR(AND(G363="4/16",AM363&gt;2),AND(G363="3/16",AM363&gt;2)),(AM363*2*база!$L$5*Таблица14[[#This Row],[коэф]]),
IF(OR(AND(G363="4/4",AM363&gt;2),AND(G363="3/4",AM363&gt;2)),(AM363*2*база!$I$5*Таблица14[[#This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(AM363*2*база!$L$5*Таблица14[[#This Row],[коэф]])))))))))))</f>
        <v>0</v>
      </c>
      <c r="AO363" s="114">
        <f>IFERROR(INDEX(база!$D$2:$D$120, MATCH(Таблица14[[#This Row],[Ф. И. О.]],база!$B$2:$B$100,0)),"")</f>
        <v>0</v>
      </c>
    </row>
    <row r="364" spans="1:41">
      <c r="A364" s="192"/>
      <c r="B364" s="189"/>
      <c r="C364" s="619"/>
      <c r="D364" s="562"/>
      <c r="E364" s="224"/>
      <c r="F364" s="651"/>
      <c r="G364" s="225"/>
      <c r="H364" s="563"/>
      <c r="I364" s="563"/>
      <c r="J364" s="563"/>
      <c r="K364" s="563"/>
      <c r="L364" s="563"/>
      <c r="M364" s="563"/>
      <c r="N364" s="563"/>
      <c r="O364" s="563"/>
      <c r="P364" s="563"/>
      <c r="Q364" s="563"/>
      <c r="R364" s="563"/>
      <c r="S364" s="563"/>
      <c r="T364" s="563"/>
      <c r="U364" s="563"/>
      <c r="V364" s="563"/>
      <c r="W364" s="563"/>
      <c r="X364" s="563"/>
      <c r="Y364" s="563"/>
      <c r="Z364" s="563"/>
      <c r="AA364" s="563"/>
      <c r="AB364" s="563"/>
      <c r="AC364" s="563"/>
      <c r="AD364" s="563"/>
      <c r="AE364" s="563"/>
      <c r="AF364" s="563"/>
      <c r="AG364" s="563"/>
      <c r="AH364" s="563"/>
      <c r="AI364" s="563"/>
      <c r="AJ364" s="563"/>
      <c r="AK364" s="563"/>
      <c r="AL364" s="563"/>
      <c r="AM364" s="113">
        <f t="shared" si="5"/>
        <v>0</v>
      </c>
      <c r="AN364" s="561">
        <f>IF(AO364&lt;=3,(IF(AND(G364="5/24",AM364&gt;2),(AM364*2*база!$M$6*Таблица14[[#This Row],[коэф]]),
IF(AND(G364="4/24",AM364&gt;2),(AM364*2*база!$M$5*Таблица14[[#This Row],[коэф]]),
IF(AND(G364="3/24",AM364&gt;2),(AM364*2*база!$M$4*Таблица14[[#This Row],[коэф]]),
IF(AND(G364="5/16",AM364&gt;2),(AM364*2*база!$L$6*Таблица14[[#This Row],[коэф]]),
IF(AND(G364="4/16",AM364&gt;2),(AM364*2*база!$L$5*Таблица14[[#This Row],[коэф]]),
IF(AND(G364="3/16",AM364&gt;2),(AM364*2*база!$L$4*Таблица14[[#This Row],[коэф]]),
IF(AND(G364="4/4",AM364&gt;2),(AM364*2*база!$I$5*Таблица14[[#This Row],[коэф]]),
IF(AND(G364="3/4",AM364&gt;2),(AM364*2*база!$I$4*Таблица14[[#This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(AM364*2*база!$L$4*Таблица14[[#This Row],[коэф]]))))))))))))),
(IF(AND(G364="5/24",AM364&gt;2),(AM364*2*база!$M$6*Таблица14[[#This Row],[коэф]]),
IF(OR(AND(G364="4/24",AM364&gt;2),AND(G364="3/24",AM364&gt;2)),(AM364*2*база!$M$5*Таблица14[[#This Row],[коэф]]),
IF(AND(G364="5/16",AM364&gt;2),(AM364*2*база!$L$6*Таблица14[[#This Row],[коэф]]),
IF(OR(AND(G364="4/16",AM364&gt;2),AND(G364="3/16",AM364&gt;2)),(AM364*2*база!$L$5*Таблица14[[#This Row],[коэф]]),
IF(OR(AND(G364="4/4",AM364&gt;2),AND(G364="3/4",AM364&gt;2)),(AM364*2*база!$I$5*Таблица14[[#This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(AM364*2*база!$L$5*Таблица14[[#This Row],[коэф]])))))))))))</f>
        <v>0</v>
      </c>
      <c r="AO364" s="114">
        <f>IFERROR(INDEX(база!$D$2:$D$120, MATCH(Таблица14[[#This Row],[Ф. И. О.]],база!$B$2:$B$100,0)),"")</f>
        <v>0</v>
      </c>
    </row>
    <row r="365" spans="1:41">
      <c r="A365" s="192"/>
      <c r="B365" s="223"/>
      <c r="C365" s="543"/>
      <c r="D365" s="190"/>
      <c r="E365" s="226"/>
      <c r="F365" s="651"/>
      <c r="G365" s="191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113">
        <f t="shared" si="5"/>
        <v>0</v>
      </c>
      <c r="AN365" s="540">
        <f>IF(AO365&lt;=3,(IF(AND(G365="5/24",AM365&gt;2),(AM365*2*база!$M$6*Таблица14[[#This Row],[коэф]]),
IF(AND(G365="4/24",AM365&gt;2),(AM365*2*база!$M$5*Таблица14[[#This Row],[коэф]]),
IF(AND(G365="3/24",AM365&gt;2),(AM365*2*база!$M$4*Таблица14[[#This Row],[коэф]]),
IF(AND(G365="5/16",AM365&gt;2),(AM365*2*база!$L$6*Таблица14[[#This Row],[коэф]]),
IF(AND(G365="4/16",AM365&gt;2),(AM365*2*база!$L$5*Таблица14[[#This Row],[коэф]]),
IF(AND(G365="3/16",AM365&gt;2),(AM365*2*база!$L$4*Таблица14[[#This Row],[коэф]]),
IF(AND(G365="4/4",AM365&gt;2),(AM365*2*база!$I$5*Таблица14[[#This Row],[коэф]]),
IF(AND(G365="3/4",AM365&gt;2),(AM365*2*база!$I$4*Таблица14[[#This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(AM365*2*база!$L$4*Таблица14[[#This Row],[коэф]]))))))))))))),
(IF(AND(G365="5/24",AM365&gt;2),(AM365*2*база!$M$6*Таблица14[[#This Row],[коэф]]),
IF(OR(AND(G365="4/24",AM365&gt;2),AND(G365="3/24",AM365&gt;2)),(AM365*2*база!$M$5*Таблица14[[#This Row],[коэф]]),
IF(AND(G365="5/16",AM365&gt;2),(AM365*2*база!$L$6*Таблица14[[#This Row],[коэф]]),
IF(OR(AND(G365="4/16",AM365&gt;2),AND(G365="3/16",AM365&gt;2)),(AM365*2*база!$L$5*Таблица14[[#This Row],[коэф]]),
IF(OR(AND(G365="4/4",AM365&gt;2),AND(G365="3/4",AM365&gt;2)),(AM365*2*база!$I$5*Таблица14[[#This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(AM365*2*база!$L$5*Таблица14[[#This Row],[коэф]])))))))))))</f>
        <v>0</v>
      </c>
      <c r="AO365" s="114">
        <f>IFERROR(INDEX(база!$D$2:$D$120, MATCH(Таблица14[[#This Row],[Ф. И. О.]],база!$B$2:$B$100,0)),"")</f>
        <v>0</v>
      </c>
    </row>
    <row r="366" spans="1:41">
      <c r="A366" s="192"/>
      <c r="B366" s="189"/>
      <c r="C366" s="619"/>
      <c r="D366" s="562"/>
      <c r="E366" s="224"/>
      <c r="F366" s="651"/>
      <c r="G366" s="225"/>
      <c r="H366" s="563"/>
      <c r="I366" s="563"/>
      <c r="J366" s="563"/>
      <c r="K366" s="563"/>
      <c r="L366" s="563"/>
      <c r="M366" s="563"/>
      <c r="N366" s="563"/>
      <c r="O366" s="563"/>
      <c r="P366" s="563"/>
      <c r="Q366" s="563"/>
      <c r="R366" s="563"/>
      <c r="S366" s="563"/>
      <c r="T366" s="563"/>
      <c r="U366" s="563"/>
      <c r="V366" s="563"/>
      <c r="W366" s="563"/>
      <c r="X366" s="563"/>
      <c r="Y366" s="563"/>
      <c r="Z366" s="563"/>
      <c r="AA366" s="563"/>
      <c r="AB366" s="563"/>
      <c r="AC366" s="563"/>
      <c r="AD366" s="563"/>
      <c r="AE366" s="563"/>
      <c r="AF366" s="563"/>
      <c r="AG366" s="563"/>
      <c r="AH366" s="563"/>
      <c r="AI366" s="563"/>
      <c r="AJ366" s="563"/>
      <c r="AK366" s="563"/>
      <c r="AL366" s="563"/>
      <c r="AM366" s="113">
        <f t="shared" si="5"/>
        <v>0</v>
      </c>
      <c r="AN366" s="561">
        <f>IF(AO366&lt;=3,(IF(AND(G366="5/24",AM366&gt;2),(AM366*2*база!$M$6*Таблица14[[#This Row],[коэф]]),
IF(AND(G366="4/24",AM366&gt;2),(AM366*2*база!$M$5*Таблица14[[#This Row],[коэф]]),
IF(AND(G366="3/24",AM366&gt;2),(AM366*2*база!$M$4*Таблица14[[#This Row],[коэф]]),
IF(AND(G366="5/16",AM366&gt;2),(AM366*2*база!$L$6*Таблица14[[#This Row],[коэф]]),
IF(AND(G366="4/16",AM366&gt;2),(AM366*2*база!$L$5*Таблица14[[#This Row],[коэф]]),
IF(AND(G366="3/16",AM366&gt;2),(AM366*2*база!$L$4*Таблица14[[#This Row],[коэф]]),
IF(AND(G366="4/4",AM366&gt;2),(AM366*2*база!$I$5*Таблица14[[#This Row],[коэф]]),
IF(AND(G366="3/4",AM366&gt;2),(AM366*2*база!$I$4*Таблица14[[#This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(AM366*2*база!$L$4*Таблица14[[#This Row],[коэф]]))))))))))))),
(IF(AND(G366="5/24",AM366&gt;2),(AM366*2*база!$M$6*Таблица14[[#This Row],[коэф]]),
IF(OR(AND(G366="4/24",AM366&gt;2),AND(G366="3/24",AM366&gt;2)),(AM366*2*база!$M$5*Таблица14[[#This Row],[коэф]]),
IF(AND(G366="5/16",AM366&gt;2),(AM366*2*база!$L$6*Таблица14[[#This Row],[коэф]]),
IF(OR(AND(G366="4/16",AM366&gt;2),AND(G366="3/16",AM366&gt;2)),(AM366*2*база!$L$5*Таблица14[[#This Row],[коэф]]),
IF(OR(AND(G366="4/4",AM366&gt;2),AND(G366="3/4",AM366&gt;2)),(AM366*2*база!$I$5*Таблица14[[#This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(AM366*2*база!$L$5*Таблица14[[#This Row],[коэф]])))))))))))</f>
        <v>0</v>
      </c>
      <c r="AO366" s="114">
        <f>IFERROR(INDEX(база!$D$2:$D$120, MATCH(Таблица14[[#This Row],[Ф. И. О.]],база!$B$2:$B$100,0)),"")</f>
        <v>0</v>
      </c>
    </row>
    <row r="367" spans="1:41">
      <c r="A367" s="192"/>
      <c r="B367" s="223"/>
      <c r="C367" s="543"/>
      <c r="D367" s="190"/>
      <c r="E367" s="226"/>
      <c r="F367" s="651"/>
      <c r="G367" s="191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113">
        <f t="shared" si="5"/>
        <v>0</v>
      </c>
      <c r="AN367" s="540">
        <f>IF(AO367&lt;=3,(IF(AND(G367="5/24",AM367&gt;2),(AM367*2*база!$M$6*Таблица14[[#This Row],[коэф]]),
IF(AND(G367="4/24",AM367&gt;2),(AM367*2*база!$M$5*Таблица14[[#This Row],[коэф]]),
IF(AND(G367="3/24",AM367&gt;2),(AM367*2*база!$M$4*Таблица14[[#This Row],[коэф]]),
IF(AND(G367="5/16",AM367&gt;2),(AM367*2*база!$L$6*Таблица14[[#This Row],[коэф]]),
IF(AND(G367="4/16",AM367&gt;2),(AM367*2*база!$L$5*Таблица14[[#This Row],[коэф]]),
IF(AND(G367="3/16",AM367&gt;2),(AM367*2*база!$L$4*Таблица14[[#This Row],[коэф]]),
IF(AND(G367="4/4",AM367&gt;2),(AM367*2*база!$I$5*Таблица14[[#This Row],[коэф]]),
IF(AND(G367="3/4",AM367&gt;2),(AM367*2*база!$I$4*Таблица14[[#This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(AM367*2*база!$L$4*Таблица14[[#This Row],[коэф]]))))))))))))),
(IF(AND(G367="5/24",AM367&gt;2),(AM367*2*база!$M$6*Таблица14[[#This Row],[коэф]]),
IF(OR(AND(G367="4/24",AM367&gt;2),AND(G367="3/24",AM367&gt;2)),(AM367*2*база!$M$5*Таблица14[[#This Row],[коэф]]),
IF(AND(G367="5/16",AM367&gt;2),(AM367*2*база!$L$6*Таблица14[[#This Row],[коэф]]),
IF(OR(AND(G367="4/16",AM367&gt;2),AND(G367="3/16",AM367&gt;2)),(AM367*2*база!$L$5*Таблица14[[#This Row],[коэф]]),
IF(OR(AND(G367="4/4",AM367&gt;2),AND(G367="3/4",AM367&gt;2)),(AM367*2*база!$I$5*Таблица14[[#This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(AM367*2*база!$L$5*Таблица14[[#This Row],[коэф]])))))))))))</f>
        <v>0</v>
      </c>
      <c r="AO367" s="114">
        <f>IFERROR(INDEX(база!$D$2:$D$120, MATCH(Таблица14[[#This Row],[Ф. И. О.]],база!$B$2:$B$100,0)),"")</f>
        <v>0</v>
      </c>
    </row>
    <row r="368" spans="1:41">
      <c r="A368" s="192"/>
      <c r="B368" s="189"/>
      <c r="C368" s="619"/>
      <c r="D368" s="562"/>
      <c r="E368" s="224"/>
      <c r="F368" s="651"/>
      <c r="G368" s="225"/>
      <c r="H368" s="563"/>
      <c r="I368" s="563"/>
      <c r="J368" s="563"/>
      <c r="K368" s="563"/>
      <c r="L368" s="563"/>
      <c r="M368" s="563"/>
      <c r="N368" s="563"/>
      <c r="O368" s="563"/>
      <c r="P368" s="563"/>
      <c r="Q368" s="563"/>
      <c r="R368" s="563"/>
      <c r="S368" s="563"/>
      <c r="T368" s="563"/>
      <c r="U368" s="563"/>
      <c r="V368" s="563"/>
      <c r="W368" s="563"/>
      <c r="X368" s="563"/>
      <c r="Y368" s="563"/>
      <c r="Z368" s="563"/>
      <c r="AA368" s="563"/>
      <c r="AB368" s="563"/>
      <c r="AC368" s="563"/>
      <c r="AD368" s="563"/>
      <c r="AE368" s="563"/>
      <c r="AF368" s="563"/>
      <c r="AG368" s="563"/>
      <c r="AH368" s="563"/>
      <c r="AI368" s="563"/>
      <c r="AJ368" s="563"/>
      <c r="AK368" s="563"/>
      <c r="AL368" s="563"/>
      <c r="AM368" s="113">
        <f t="shared" si="5"/>
        <v>0</v>
      </c>
      <c r="AN368" s="561">
        <f>IF(AO368&lt;=3,(IF(AND(G368="5/24",AM368&gt;2),(AM368*2*база!$M$6*Таблица14[[#This Row],[коэф]]),
IF(AND(G368="4/24",AM368&gt;2),(AM368*2*база!$M$5*Таблица14[[#This Row],[коэф]]),
IF(AND(G368="3/24",AM368&gt;2),(AM368*2*база!$M$4*Таблица14[[#This Row],[коэф]]),
IF(AND(G368="5/16",AM368&gt;2),(AM368*2*база!$L$6*Таблица14[[#This Row],[коэф]]),
IF(AND(G368="4/16",AM368&gt;2),(AM368*2*база!$L$5*Таблица14[[#This Row],[коэф]]),
IF(AND(G368="3/16",AM368&gt;2),(AM368*2*база!$L$4*Таблица14[[#This Row],[коэф]]),
IF(AND(G368="4/4",AM368&gt;2),(AM368*2*база!$I$5*Таблица14[[#This Row],[коэф]]),
IF(AND(G368="3/4",AM368&gt;2),(AM368*2*база!$I$4*Таблица14[[#This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(AM368*2*база!$L$4*Таблица14[[#This Row],[коэф]]))))))))))))),
(IF(AND(G368="5/24",AM368&gt;2),(AM368*2*база!$M$6*Таблица14[[#This Row],[коэф]]),
IF(OR(AND(G368="4/24",AM368&gt;2),AND(G368="3/24",AM368&gt;2)),(AM368*2*база!$M$5*Таблица14[[#This Row],[коэф]]),
IF(AND(G368="5/16",AM368&gt;2),(AM368*2*база!$L$6*Таблица14[[#This Row],[коэф]]),
IF(OR(AND(G368="4/16",AM368&gt;2),AND(G368="3/16",AM368&gt;2)),(AM368*2*база!$L$5*Таблица14[[#This Row],[коэф]]),
IF(OR(AND(G368="4/4",AM368&gt;2),AND(G368="3/4",AM368&gt;2)),(AM368*2*база!$I$5*Таблица14[[#This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(AM368*2*база!$L$5*Таблица14[[#This Row],[коэф]])))))))))))</f>
        <v>0</v>
      </c>
      <c r="AO368" s="114">
        <f>IFERROR(INDEX(база!$D$2:$D$120, MATCH(Таблица14[[#This Row],[Ф. И. О.]],база!$B$2:$B$100,0)),"")</f>
        <v>0</v>
      </c>
    </row>
    <row r="369" spans="1:41">
      <c r="A369" s="192"/>
      <c r="B369" s="223"/>
      <c r="C369" s="543"/>
      <c r="D369" s="190"/>
      <c r="E369" s="226"/>
      <c r="F369" s="651"/>
      <c r="G369" s="191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113">
        <f t="shared" si="5"/>
        <v>0</v>
      </c>
      <c r="AN369" s="540">
        <f>IF(AO369&lt;=3,(IF(AND(G369="5/24",AM369&gt;2),(AM369*2*база!$M$6*Таблица14[[#This Row],[коэф]]),
IF(AND(G369="4/24",AM369&gt;2),(AM369*2*база!$M$5*Таблица14[[#This Row],[коэф]]),
IF(AND(G369="3/24",AM369&gt;2),(AM369*2*база!$M$4*Таблица14[[#This Row],[коэф]]),
IF(AND(G369="5/16",AM369&gt;2),(AM369*2*база!$L$6*Таблица14[[#This Row],[коэф]]),
IF(AND(G369="4/16",AM369&gt;2),(AM369*2*база!$L$5*Таблица14[[#This Row],[коэф]]),
IF(AND(G369="3/16",AM369&gt;2),(AM369*2*база!$L$4*Таблица14[[#This Row],[коэф]]),
IF(AND(G369="4/4",AM369&gt;2),(AM369*2*база!$I$5*Таблица14[[#This Row],[коэф]]),
IF(AND(G369="3/4",AM369&gt;2),(AM369*2*база!$I$4*Таблица14[[#This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(AM369*2*база!$L$4*Таблица14[[#This Row],[коэф]]))))))))))))),
(IF(AND(G369="5/24",AM369&gt;2),(AM369*2*база!$M$6*Таблица14[[#This Row],[коэф]]),
IF(OR(AND(G369="4/24",AM369&gt;2),AND(G369="3/24",AM369&gt;2)),(AM369*2*база!$M$5*Таблица14[[#This Row],[коэф]]),
IF(AND(G369="5/16",AM369&gt;2),(AM369*2*база!$L$6*Таблица14[[#This Row],[коэф]]),
IF(OR(AND(G369="4/16",AM369&gt;2),AND(G369="3/16",AM369&gt;2)),(AM369*2*база!$L$5*Таблица14[[#This Row],[коэф]]),
IF(OR(AND(G369="4/4",AM369&gt;2),AND(G369="3/4",AM369&gt;2)),(AM369*2*база!$I$5*Таблица14[[#This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(AM369*2*база!$L$5*Таблица14[[#This Row],[коэф]])))))))))))</f>
        <v>0</v>
      </c>
      <c r="AO369" s="114">
        <f>IFERROR(INDEX(база!$D$2:$D$120, MATCH(Таблица14[[#This Row],[Ф. И. О.]],база!$B$2:$B$100,0)),"")</f>
        <v>0</v>
      </c>
    </row>
    <row r="370" spans="1:41">
      <c r="A370" s="192"/>
      <c r="B370" s="189"/>
      <c r="C370" s="619"/>
      <c r="D370" s="562"/>
      <c r="E370" s="224"/>
      <c r="F370" s="651"/>
      <c r="G370" s="225"/>
      <c r="H370" s="563"/>
      <c r="I370" s="563"/>
      <c r="J370" s="563"/>
      <c r="K370" s="563"/>
      <c r="L370" s="563"/>
      <c r="M370" s="563"/>
      <c r="N370" s="563"/>
      <c r="O370" s="563"/>
      <c r="P370" s="563"/>
      <c r="Q370" s="563"/>
      <c r="R370" s="563"/>
      <c r="S370" s="563"/>
      <c r="T370" s="563"/>
      <c r="U370" s="563"/>
      <c r="V370" s="563"/>
      <c r="W370" s="563"/>
      <c r="X370" s="563"/>
      <c r="Y370" s="563"/>
      <c r="Z370" s="563"/>
      <c r="AA370" s="563"/>
      <c r="AB370" s="563"/>
      <c r="AC370" s="563"/>
      <c r="AD370" s="563"/>
      <c r="AE370" s="563"/>
      <c r="AF370" s="563"/>
      <c r="AG370" s="563"/>
      <c r="AH370" s="563"/>
      <c r="AI370" s="563"/>
      <c r="AJ370" s="563"/>
      <c r="AK370" s="563"/>
      <c r="AL370" s="563"/>
      <c r="AM370" s="113">
        <f t="shared" si="5"/>
        <v>0</v>
      </c>
      <c r="AN370" s="561">
        <f>IF(AO370&lt;=3,(IF(AND(G370="5/24",AM370&gt;2),(AM370*2*база!$M$6*Таблица14[[#This Row],[коэф]]),
IF(AND(G370="4/24",AM370&gt;2),(AM370*2*база!$M$5*Таблица14[[#This Row],[коэф]]),
IF(AND(G370="3/24",AM370&gt;2),(AM370*2*база!$M$4*Таблица14[[#This Row],[коэф]]),
IF(AND(G370="5/16",AM370&gt;2),(AM370*2*база!$L$6*Таблица14[[#This Row],[коэф]]),
IF(AND(G370="4/16",AM370&gt;2),(AM370*2*база!$L$5*Таблица14[[#This Row],[коэф]]),
IF(AND(G370="3/16",AM370&gt;2),(AM370*2*база!$L$4*Таблица14[[#This Row],[коэф]]),
IF(AND(G370="4/4",AM370&gt;2),(AM370*2*база!$I$5*Таблица14[[#This Row],[коэф]]),
IF(AND(G370="3/4",AM370&gt;2),(AM370*2*база!$I$4*Таблица14[[#This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(AM370*2*база!$L$4*Таблица14[[#This Row],[коэф]]))))))))))))),
(IF(AND(G370="5/24",AM370&gt;2),(AM370*2*база!$M$6*Таблица14[[#This Row],[коэф]]),
IF(OR(AND(G370="4/24",AM370&gt;2),AND(G370="3/24",AM370&gt;2)),(AM370*2*база!$M$5*Таблица14[[#This Row],[коэф]]),
IF(AND(G370="5/16",AM370&gt;2),(AM370*2*база!$L$6*Таблица14[[#This Row],[коэф]]),
IF(OR(AND(G370="4/16",AM370&gt;2),AND(G370="3/16",AM370&gt;2)),(AM370*2*база!$L$5*Таблица14[[#This Row],[коэф]]),
IF(OR(AND(G370="4/4",AM370&gt;2),AND(G370="3/4",AM370&gt;2)),(AM370*2*база!$I$5*Таблица14[[#This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(AM370*2*база!$L$5*Таблица14[[#This Row],[коэф]])))))))))))</f>
        <v>0</v>
      </c>
      <c r="AO370" s="114">
        <f>IFERROR(INDEX(база!$D$2:$D$120, MATCH(Таблица14[[#This Row],[Ф. И. О.]],база!$B$2:$B$100,0)),"")</f>
        <v>0</v>
      </c>
    </row>
    <row r="371" spans="1:41">
      <c r="A371" s="192"/>
      <c r="B371" s="223"/>
      <c r="C371" s="543"/>
      <c r="D371" s="190"/>
      <c r="E371" s="226"/>
      <c r="F371" s="651"/>
      <c r="G371" s="191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113">
        <f t="shared" si="5"/>
        <v>0</v>
      </c>
      <c r="AN371" s="540">
        <f>IF(AO371&lt;=3,(IF(AND(G371="5/24",AM371&gt;2),(AM371*2*база!$M$6*Таблица14[[#This Row],[коэф]]),
IF(AND(G371="4/24",AM371&gt;2),(AM371*2*база!$M$5*Таблица14[[#This Row],[коэф]]),
IF(AND(G371="3/24",AM371&gt;2),(AM371*2*база!$M$4*Таблица14[[#This Row],[коэф]]),
IF(AND(G371="5/16",AM371&gt;2),(AM371*2*база!$L$6*Таблица14[[#This Row],[коэф]]),
IF(AND(G371="4/16",AM371&gt;2),(AM371*2*база!$L$5*Таблица14[[#This Row],[коэф]]),
IF(AND(G371="3/16",AM371&gt;2),(AM371*2*база!$L$4*Таблица14[[#This Row],[коэф]]),
IF(AND(G371="4/4",AM371&gt;2),(AM371*2*база!$I$5*Таблица14[[#This Row],[коэф]]),
IF(AND(G371="3/4",AM371&gt;2),(AM371*2*база!$I$4*Таблица14[[#This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(AM371*2*база!$L$4*Таблица14[[#This Row],[коэф]]))))))))))))),
(IF(AND(G371="5/24",AM371&gt;2),(AM371*2*база!$M$6*Таблица14[[#This Row],[коэф]]),
IF(OR(AND(G371="4/24",AM371&gt;2),AND(G371="3/24",AM371&gt;2)),(AM371*2*база!$M$5*Таблица14[[#This Row],[коэф]]),
IF(AND(G371="5/16",AM371&gt;2),(AM371*2*база!$L$6*Таблица14[[#This Row],[коэф]]),
IF(OR(AND(G371="4/16",AM371&gt;2),AND(G371="3/16",AM371&gt;2)),(AM371*2*база!$L$5*Таблица14[[#This Row],[коэф]]),
IF(OR(AND(G371="4/4",AM371&gt;2),AND(G371="3/4",AM371&gt;2)),(AM371*2*база!$I$5*Таблица14[[#This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(AM371*2*база!$L$5*Таблица14[[#This Row],[коэф]])))))))))))</f>
        <v>0</v>
      </c>
      <c r="AO371" s="114">
        <f>IFERROR(INDEX(база!$D$2:$D$120, MATCH(Таблица14[[#This Row],[Ф. И. О.]],база!$B$2:$B$100,0)),"")</f>
        <v>0</v>
      </c>
    </row>
    <row r="372" spans="1:41">
      <c r="A372" s="192"/>
      <c r="B372" s="189"/>
      <c r="C372" s="619"/>
      <c r="D372" s="562"/>
      <c r="E372" s="224"/>
      <c r="F372" s="651"/>
      <c r="G372" s="225"/>
      <c r="H372" s="563"/>
      <c r="I372" s="563"/>
      <c r="J372" s="563"/>
      <c r="K372" s="563"/>
      <c r="L372" s="563"/>
      <c r="M372" s="563"/>
      <c r="N372" s="563"/>
      <c r="O372" s="563"/>
      <c r="P372" s="563"/>
      <c r="Q372" s="563"/>
      <c r="R372" s="563"/>
      <c r="S372" s="563"/>
      <c r="T372" s="563"/>
      <c r="U372" s="563"/>
      <c r="V372" s="563"/>
      <c r="W372" s="563"/>
      <c r="X372" s="563"/>
      <c r="Y372" s="563"/>
      <c r="Z372" s="563"/>
      <c r="AA372" s="563"/>
      <c r="AB372" s="563"/>
      <c r="AC372" s="563"/>
      <c r="AD372" s="563"/>
      <c r="AE372" s="563"/>
      <c r="AF372" s="563"/>
      <c r="AG372" s="563"/>
      <c r="AH372" s="563"/>
      <c r="AI372" s="563"/>
      <c r="AJ372" s="563"/>
      <c r="AK372" s="563"/>
      <c r="AL372" s="563"/>
      <c r="AM372" s="113">
        <f t="shared" si="5"/>
        <v>0</v>
      </c>
      <c r="AN372" s="561">
        <f>IF(AO372&lt;=3,(IF(AND(G372="5/24",AM372&gt;2),(AM372*2*база!$M$6*Таблица14[[#This Row],[коэф]]),
IF(AND(G372="4/24",AM372&gt;2),(AM372*2*база!$M$5*Таблица14[[#This Row],[коэф]]),
IF(AND(G372="3/24",AM372&gt;2),(AM372*2*база!$M$4*Таблица14[[#This Row],[коэф]]),
IF(AND(G372="5/16",AM372&gt;2),(AM372*2*база!$L$6*Таблица14[[#This Row],[коэф]]),
IF(AND(G372="4/16",AM372&gt;2),(AM372*2*база!$L$5*Таблица14[[#This Row],[коэф]]),
IF(AND(G372="3/16",AM372&gt;2),(AM372*2*база!$L$4*Таблица14[[#This Row],[коэф]]),
IF(AND(G372="4/4",AM372&gt;2),(AM372*2*база!$I$5*Таблица14[[#This Row],[коэф]]),
IF(AND(G372="3/4",AM372&gt;2),(AM372*2*база!$I$4*Таблица14[[#This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(AM372*2*база!$L$4*Таблица14[[#This Row],[коэф]]))))))))))))),
(IF(AND(G372="5/24",AM372&gt;2),(AM372*2*база!$M$6*Таблица14[[#This Row],[коэф]]),
IF(OR(AND(G372="4/24",AM372&gt;2),AND(G372="3/24",AM372&gt;2)),(AM372*2*база!$M$5*Таблица14[[#This Row],[коэф]]),
IF(AND(G372="5/16",AM372&gt;2),(AM372*2*база!$L$6*Таблица14[[#This Row],[коэф]]),
IF(OR(AND(G372="4/16",AM372&gt;2),AND(G372="3/16",AM372&gt;2)),(AM372*2*база!$L$5*Таблица14[[#This Row],[коэф]]),
IF(OR(AND(G372="4/4",AM372&gt;2),AND(G372="3/4",AM372&gt;2)),(AM372*2*база!$I$5*Таблица14[[#This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(AM372*2*база!$L$5*Таблица14[[#This Row],[коэф]])))))))))))</f>
        <v>0</v>
      </c>
      <c r="AO372" s="114">
        <f>IFERROR(INDEX(база!$D$2:$D$120, MATCH(Таблица14[[#This Row],[Ф. И. О.]],база!$B$2:$B$100,0)),"")</f>
        <v>0</v>
      </c>
    </row>
    <row r="373" spans="1:41">
      <c r="A373" s="192"/>
      <c r="B373" s="223"/>
      <c r="C373" s="543"/>
      <c r="D373" s="190"/>
      <c r="E373" s="226"/>
      <c r="F373" s="651"/>
      <c r="G373" s="225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113">
        <f t="shared" si="5"/>
        <v>0</v>
      </c>
      <c r="AN373" s="540">
        <f>IF(AO373&lt;=3,(IF(AND(G373="5/24",AM373&gt;2),(AM373*2*база!$M$6*Таблица14[[#This Row],[коэф]]),
IF(AND(G373="4/24",AM373&gt;2),(AM373*2*база!$M$5*Таблица14[[#This Row],[коэф]]),
IF(AND(G373="3/24",AM373&gt;2),(AM373*2*база!$M$4*Таблица14[[#This Row],[коэф]]),
IF(AND(G373="5/16",AM373&gt;2),(AM373*2*база!$L$6*Таблица14[[#This Row],[коэф]]),
IF(AND(G373="4/16",AM373&gt;2),(AM373*2*база!$L$5*Таблица14[[#This Row],[коэф]]),
IF(AND(G373="3/16",AM373&gt;2),(AM373*2*база!$L$4*Таблица14[[#This Row],[коэф]]),
IF(AND(G373="4/4",AM373&gt;2),(AM373*2*база!$I$5*Таблица14[[#This Row],[коэф]]),
IF(AND(G373="3/4",AM373&gt;2),(AM373*2*база!$I$4*Таблица14[[#This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(AM373*2*база!$L$4*Таблица14[[#This Row],[коэф]]))))))))))))),
(IF(AND(G373="5/24",AM373&gt;2),(AM373*2*база!$M$6*Таблица14[[#This Row],[коэф]]),
IF(OR(AND(G373="4/24",AM373&gt;2),AND(G373="3/24",AM373&gt;2)),(AM373*2*база!$M$5*Таблица14[[#This Row],[коэф]]),
IF(AND(G373="5/16",AM373&gt;2),(AM373*2*база!$L$6*Таблица14[[#This Row],[коэф]]),
IF(OR(AND(G373="4/16",AM373&gt;2),AND(G373="3/16",AM373&gt;2)),(AM373*2*база!$L$5*Таблица14[[#This Row],[коэф]]),
IF(OR(AND(G373="4/4",AM373&gt;2),AND(G373="3/4",AM373&gt;2)),(AM373*2*база!$I$5*Таблица14[[#This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(AM373*2*база!$L$5*Таблица14[[#This Row],[коэф]])))))))))))</f>
        <v>0</v>
      </c>
      <c r="AO373" s="114">
        <f>IFERROR(INDEX(база!$D$2:$D$120, MATCH(Таблица14[[#This Row],[Ф. И. О.]],база!$B$2:$B$100,0)),"")</f>
        <v>0</v>
      </c>
    </row>
    <row r="374" spans="1:41">
      <c r="A374" s="192"/>
      <c r="B374" s="189"/>
      <c r="C374" s="619"/>
      <c r="D374" s="562"/>
      <c r="E374" s="224"/>
      <c r="F374" s="651"/>
      <c r="G374" s="225"/>
      <c r="H374" s="563"/>
      <c r="I374" s="563"/>
      <c r="J374" s="563"/>
      <c r="K374" s="563"/>
      <c r="L374" s="563"/>
      <c r="M374" s="563"/>
      <c r="N374" s="563"/>
      <c r="O374" s="563"/>
      <c r="P374" s="563"/>
      <c r="Q374" s="563"/>
      <c r="R374" s="563"/>
      <c r="S374" s="563"/>
      <c r="T374" s="563"/>
      <c r="U374" s="563"/>
      <c r="V374" s="563"/>
      <c r="W374" s="563"/>
      <c r="X374" s="563"/>
      <c r="Y374" s="563"/>
      <c r="Z374" s="563"/>
      <c r="AA374" s="563"/>
      <c r="AB374" s="563"/>
      <c r="AC374" s="563"/>
      <c r="AD374" s="563"/>
      <c r="AE374" s="563"/>
      <c r="AF374" s="563"/>
      <c r="AG374" s="563"/>
      <c r="AH374" s="563"/>
      <c r="AI374" s="563"/>
      <c r="AJ374" s="563"/>
      <c r="AK374" s="563"/>
      <c r="AL374" s="563"/>
      <c r="AM374" s="113">
        <f t="shared" si="5"/>
        <v>0</v>
      </c>
      <c r="AN374" s="561">
        <f>IF(AO374&lt;=3,(IF(AND(G374="5/24",AM374&gt;2),(AM374*2*база!$M$6*Таблица14[[#This Row],[коэф]]),
IF(AND(G374="4/24",AM374&gt;2),(AM374*2*база!$M$5*Таблица14[[#This Row],[коэф]]),
IF(AND(G374="3/24",AM374&gt;2),(AM374*2*база!$M$4*Таблица14[[#This Row],[коэф]]),
IF(AND(G374="5/16",AM374&gt;2),(AM374*2*база!$L$6*Таблица14[[#This Row],[коэф]]),
IF(AND(G374="4/16",AM374&gt;2),(AM374*2*база!$L$5*Таблица14[[#This Row],[коэф]]),
IF(AND(G374="3/16",AM374&gt;2),(AM374*2*база!$L$4*Таблица14[[#This Row],[коэф]]),
IF(AND(G374="4/4",AM374&gt;2),(AM374*2*база!$I$5*Таблица14[[#This Row],[коэф]]),
IF(AND(G374="3/4",AM374&gt;2),(AM374*2*база!$I$4*Таблица14[[#This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(AM374*2*база!$L$4*Таблица14[[#This Row],[коэф]]))))))))))))),
(IF(AND(G374="5/24",AM374&gt;2),(AM374*2*база!$M$6*Таблица14[[#This Row],[коэф]]),
IF(OR(AND(G374="4/24",AM374&gt;2),AND(G374="3/24",AM374&gt;2)),(AM374*2*база!$M$5*Таблица14[[#This Row],[коэф]]),
IF(AND(G374="5/16",AM374&gt;2),(AM374*2*база!$L$6*Таблица14[[#This Row],[коэф]]),
IF(OR(AND(G374="4/16",AM374&gt;2),AND(G374="3/16",AM374&gt;2)),(AM374*2*база!$L$5*Таблица14[[#This Row],[коэф]]),
IF(OR(AND(G374="4/4",AM374&gt;2),AND(G374="3/4",AM374&gt;2)),(AM374*2*база!$I$5*Таблица14[[#This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(AM374*2*база!$L$5*Таблица14[[#This Row],[коэф]])))))))))))</f>
        <v>0</v>
      </c>
      <c r="AO374" s="114">
        <f>IFERROR(INDEX(база!$D$2:$D$120, MATCH(Таблица14[[#This Row],[Ф. И. О.]],база!$B$2:$B$100,0)),"")</f>
        <v>0</v>
      </c>
    </row>
    <row r="375" spans="1:41">
      <c r="A375" s="192"/>
      <c r="B375" s="223"/>
      <c r="C375" s="543"/>
      <c r="D375" s="190"/>
      <c r="E375" s="226"/>
      <c r="F375" s="651"/>
      <c r="G375" s="225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113">
        <f t="shared" si="5"/>
        <v>0</v>
      </c>
      <c r="AN375" s="540">
        <f>IF(AO375&lt;=3,(IF(AND(G375="5/24",AM375&gt;2),(AM375*2*база!$M$6*Таблица14[[#This Row],[коэф]]),
IF(AND(G375="4/24",AM375&gt;2),(AM375*2*база!$M$5*Таблица14[[#This Row],[коэф]]),
IF(AND(G375="3/24",AM375&gt;2),(AM375*2*база!$M$4*Таблица14[[#This Row],[коэф]]),
IF(AND(G375="5/16",AM375&gt;2),(AM375*2*база!$L$6*Таблица14[[#This Row],[коэф]]),
IF(AND(G375="4/16",AM375&gt;2),(AM375*2*база!$L$5*Таблица14[[#This Row],[коэф]]),
IF(AND(G375="3/16",AM375&gt;2),(AM375*2*база!$L$4*Таблица14[[#This Row],[коэф]]),
IF(AND(G375="4/4",AM375&gt;2),(AM375*2*база!$I$5*Таблица14[[#This Row],[коэф]]),
IF(AND(G375="3/4",AM375&gt;2),(AM375*2*база!$I$4*Таблица14[[#This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(AM375*2*база!$L$4*Таблица14[[#This Row],[коэф]]))))))))))))),
(IF(AND(G375="5/24",AM375&gt;2),(AM375*2*база!$M$6*Таблица14[[#This Row],[коэф]]),
IF(OR(AND(G375="4/24",AM375&gt;2),AND(G375="3/24",AM375&gt;2)),(AM375*2*база!$M$5*Таблица14[[#This Row],[коэф]]),
IF(AND(G375="5/16",AM375&gt;2),(AM375*2*база!$L$6*Таблица14[[#This Row],[коэф]]),
IF(OR(AND(G375="4/16",AM375&gt;2),AND(G375="3/16",AM375&gt;2)),(AM375*2*база!$L$5*Таблица14[[#This Row],[коэф]]),
IF(OR(AND(G375="4/4",AM375&gt;2),AND(G375="3/4",AM375&gt;2)),(AM375*2*база!$I$5*Таблица14[[#This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(AM375*2*база!$L$5*Таблица14[[#This Row],[коэф]])))))))))))</f>
        <v>0</v>
      </c>
      <c r="AO375" s="114">
        <f>IFERROR(INDEX(база!$D$2:$D$120, MATCH(Таблица14[[#This Row],[Ф. И. О.]],база!$B$2:$B$100,0)),"")</f>
        <v>0</v>
      </c>
    </row>
    <row r="376" spans="1:41">
      <c r="A376" s="192"/>
      <c r="B376" s="189"/>
      <c r="C376" s="619"/>
      <c r="D376" s="562"/>
      <c r="E376" s="224"/>
      <c r="F376" s="651"/>
      <c r="G376" s="225"/>
      <c r="H376" s="563"/>
      <c r="I376" s="563"/>
      <c r="J376" s="563"/>
      <c r="K376" s="563"/>
      <c r="L376" s="563"/>
      <c r="M376" s="563"/>
      <c r="N376" s="563"/>
      <c r="O376" s="563"/>
      <c r="P376" s="563"/>
      <c r="Q376" s="563"/>
      <c r="R376" s="563"/>
      <c r="S376" s="563"/>
      <c r="T376" s="563"/>
      <c r="U376" s="563"/>
      <c r="V376" s="563"/>
      <c r="W376" s="563"/>
      <c r="X376" s="563"/>
      <c r="Y376" s="563"/>
      <c r="Z376" s="563"/>
      <c r="AA376" s="563"/>
      <c r="AB376" s="563"/>
      <c r="AC376" s="563"/>
      <c r="AD376" s="563"/>
      <c r="AE376" s="563"/>
      <c r="AF376" s="563"/>
      <c r="AG376" s="563"/>
      <c r="AH376" s="563"/>
      <c r="AI376" s="563"/>
      <c r="AJ376" s="563"/>
      <c r="AK376" s="563"/>
      <c r="AL376" s="563"/>
      <c r="AM376" s="113">
        <f t="shared" si="5"/>
        <v>0</v>
      </c>
      <c r="AN376" s="561">
        <f>IF(AO376&lt;=3,(IF(AND(G376="5/24",AM376&gt;2),(AM376*2*база!$M$6*Таблица14[[#This Row],[коэф]]),
IF(AND(G376="4/24",AM376&gt;2),(AM376*2*база!$M$5*Таблица14[[#This Row],[коэф]]),
IF(AND(G376="3/24",AM376&gt;2),(AM376*2*база!$M$4*Таблица14[[#This Row],[коэф]]),
IF(AND(G376="5/16",AM376&gt;2),(AM376*2*база!$L$6*Таблица14[[#This Row],[коэф]]),
IF(AND(G376="4/16",AM376&gt;2),(AM376*2*база!$L$5*Таблица14[[#This Row],[коэф]]),
IF(AND(G376="3/16",AM376&gt;2),(AM376*2*база!$L$4*Таблица14[[#This Row],[коэф]]),
IF(AND(G376="4/4",AM376&gt;2),(AM376*2*база!$I$5*Таблица14[[#This Row],[коэф]]),
IF(AND(G376="3/4",AM376&gt;2),(AM376*2*база!$I$4*Таблица14[[#This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(AM376*2*база!$L$4*Таблица14[[#This Row],[коэф]]))))))))))))),
(IF(AND(G376="5/24",AM376&gt;2),(AM376*2*база!$M$6*Таблица14[[#This Row],[коэф]]),
IF(OR(AND(G376="4/24",AM376&gt;2),AND(G376="3/24",AM376&gt;2)),(AM376*2*база!$M$5*Таблица14[[#This Row],[коэф]]),
IF(AND(G376="5/16",AM376&gt;2),(AM376*2*база!$L$6*Таблица14[[#This Row],[коэф]]),
IF(OR(AND(G376="4/16",AM376&gt;2),AND(G376="3/16",AM376&gt;2)),(AM376*2*база!$L$5*Таблица14[[#This Row],[коэф]]),
IF(OR(AND(G376="4/4",AM376&gt;2),AND(G376="3/4",AM376&gt;2)),(AM376*2*база!$I$5*Таблица14[[#This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(AM376*2*база!$L$5*Таблица14[[#This Row],[коэф]])))))))))))</f>
        <v>0</v>
      </c>
      <c r="AO376" s="114">
        <f>IFERROR(INDEX(база!$D$2:$D$120, MATCH(Таблица14[[#This Row],[Ф. И. О.]],база!$B$2:$B$100,0)),"")</f>
        <v>0</v>
      </c>
    </row>
    <row r="377" spans="1:41">
      <c r="A377" s="192"/>
      <c r="B377" s="223"/>
      <c r="C377" s="543"/>
      <c r="D377" s="190"/>
      <c r="E377" s="226"/>
      <c r="F377" s="651"/>
      <c r="G377" s="225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113">
        <f t="shared" si="5"/>
        <v>0</v>
      </c>
      <c r="AN377" s="540">
        <f>IF(AO377&lt;=3,(IF(AND(G377="5/24",AM377&gt;2),(AM377*2*база!$M$6*Таблица14[[#This Row],[коэф]]),
IF(AND(G377="4/24",AM377&gt;2),(AM377*2*база!$M$5*Таблица14[[#This Row],[коэф]]),
IF(AND(G377="3/24",AM377&gt;2),(AM377*2*база!$M$4*Таблица14[[#This Row],[коэф]]),
IF(AND(G377="5/16",AM377&gt;2),(AM377*2*база!$L$6*Таблица14[[#This Row],[коэф]]),
IF(AND(G377="4/16",AM377&gt;2),(AM377*2*база!$L$5*Таблица14[[#This Row],[коэф]]),
IF(AND(G377="3/16",AM377&gt;2),(AM377*2*база!$L$4*Таблица14[[#This Row],[коэф]]),
IF(AND(G377="4/4",AM377&gt;2),(AM377*2*база!$I$5*Таблица14[[#This Row],[коэф]]),
IF(AND(G377="3/4",AM377&gt;2),(AM377*2*база!$I$4*Таблица14[[#This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(AM377*2*база!$L$4*Таблица14[[#This Row],[коэф]]))))))))))))),
(IF(AND(G377="5/24",AM377&gt;2),(AM377*2*база!$M$6*Таблица14[[#This Row],[коэф]]),
IF(OR(AND(G377="4/24",AM377&gt;2),AND(G377="3/24",AM377&gt;2)),(AM377*2*база!$M$5*Таблица14[[#This Row],[коэф]]),
IF(AND(G377="5/16",AM377&gt;2),(AM377*2*база!$L$6*Таблица14[[#This Row],[коэф]]),
IF(OR(AND(G377="4/16",AM377&gt;2),AND(G377="3/16",AM377&gt;2)),(AM377*2*база!$L$5*Таблица14[[#This Row],[коэф]]),
IF(OR(AND(G377="4/4",AM377&gt;2),AND(G377="3/4",AM377&gt;2)),(AM377*2*база!$I$5*Таблица14[[#This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(AM377*2*база!$L$5*Таблица14[[#This Row],[коэф]])))))))))))</f>
        <v>0</v>
      </c>
      <c r="AO377" s="114">
        <f>IFERROR(INDEX(база!$D$2:$D$120, MATCH(Таблица14[[#This Row],[Ф. И. О.]],база!$B$2:$B$100,0)),"")</f>
        <v>0</v>
      </c>
    </row>
    <row r="378" spans="1:41">
      <c r="A378" s="192"/>
      <c r="B378" s="189"/>
      <c r="C378" s="619"/>
      <c r="D378" s="562"/>
      <c r="E378" s="224"/>
      <c r="F378" s="651"/>
      <c r="G378" s="225"/>
      <c r="H378" s="563"/>
      <c r="I378" s="563"/>
      <c r="J378" s="563"/>
      <c r="K378" s="563"/>
      <c r="L378" s="563"/>
      <c r="M378" s="563"/>
      <c r="N378" s="563"/>
      <c r="O378" s="563"/>
      <c r="P378" s="563"/>
      <c r="Q378" s="563"/>
      <c r="R378" s="563"/>
      <c r="S378" s="563"/>
      <c r="T378" s="563"/>
      <c r="U378" s="563"/>
      <c r="V378" s="563"/>
      <c r="W378" s="563"/>
      <c r="X378" s="563"/>
      <c r="Y378" s="563"/>
      <c r="Z378" s="563"/>
      <c r="AA378" s="563"/>
      <c r="AB378" s="563"/>
      <c r="AC378" s="563"/>
      <c r="AD378" s="563"/>
      <c r="AE378" s="563"/>
      <c r="AF378" s="563"/>
      <c r="AG378" s="563"/>
      <c r="AH378" s="563"/>
      <c r="AI378" s="563"/>
      <c r="AJ378" s="563"/>
      <c r="AK378" s="563"/>
      <c r="AL378" s="563"/>
      <c r="AM378" s="113">
        <f t="shared" si="5"/>
        <v>0</v>
      </c>
      <c r="AN378" s="561">
        <f>IF(AO378&lt;=3,(IF(AND(G378="5/24",AM378&gt;2),(AM378*2*база!$M$6*Таблица14[[#This Row],[коэф]]),
IF(AND(G378="4/24",AM378&gt;2),(AM378*2*база!$M$5*Таблица14[[#This Row],[коэф]]),
IF(AND(G378="3/24",AM378&gt;2),(AM378*2*база!$M$4*Таблица14[[#This Row],[коэф]]),
IF(AND(G378="5/16",AM378&gt;2),(AM378*2*база!$L$6*Таблица14[[#This Row],[коэф]]),
IF(AND(G378="4/16",AM378&gt;2),(AM378*2*база!$L$5*Таблица14[[#This Row],[коэф]]),
IF(AND(G378="3/16",AM378&gt;2),(AM378*2*база!$L$4*Таблица14[[#This Row],[коэф]]),
IF(AND(G378="4/4",AM378&gt;2),(AM378*2*база!$I$5*Таблица14[[#This Row],[коэф]]),
IF(AND(G378="3/4",AM378&gt;2),(AM378*2*база!$I$4*Таблица14[[#This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(AM378*2*база!$L$4*Таблица14[[#This Row],[коэф]]))))))))))))),
(IF(AND(G378="5/24",AM378&gt;2),(AM378*2*база!$M$6*Таблица14[[#This Row],[коэф]]),
IF(OR(AND(G378="4/24",AM378&gt;2),AND(G378="3/24",AM378&gt;2)),(AM378*2*база!$M$5*Таблица14[[#This Row],[коэф]]),
IF(AND(G378="5/16",AM378&gt;2),(AM378*2*база!$L$6*Таблица14[[#This Row],[коэф]]),
IF(OR(AND(G378="4/16",AM378&gt;2),AND(G378="3/16",AM378&gt;2)),(AM378*2*база!$L$5*Таблица14[[#This Row],[коэф]]),
IF(OR(AND(G378="4/4",AM378&gt;2),AND(G378="3/4",AM378&gt;2)),(AM378*2*база!$I$5*Таблица14[[#This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(AM378*2*база!$L$5*Таблица14[[#This Row],[коэф]])))))))))))</f>
        <v>0</v>
      </c>
      <c r="AO378" s="114">
        <f>IFERROR(INDEX(база!$D$2:$D$120, MATCH(Таблица14[[#This Row],[Ф. И. О.]],база!$B$2:$B$100,0)),"")</f>
        <v>0</v>
      </c>
    </row>
    <row r="379" spans="1:41">
      <c r="A379" s="192"/>
      <c r="B379" s="223"/>
      <c r="C379" s="543"/>
      <c r="D379" s="190"/>
      <c r="E379" s="226"/>
      <c r="F379" s="651"/>
      <c r="G379" s="225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113">
        <f t="shared" si="5"/>
        <v>0</v>
      </c>
      <c r="AN379" s="540">
        <f>IF(AO379&lt;=3,(IF(AND(G379="5/24",AM379&gt;2),(AM379*2*база!$M$6*Таблица14[[#This Row],[коэф]]),
IF(AND(G379="4/24",AM379&gt;2),(AM379*2*база!$M$5*Таблица14[[#This Row],[коэф]]),
IF(AND(G379="3/24",AM379&gt;2),(AM379*2*база!$M$4*Таблица14[[#This Row],[коэф]]),
IF(AND(G379="5/16",AM379&gt;2),(AM379*2*база!$L$6*Таблица14[[#This Row],[коэф]]),
IF(AND(G379="4/16",AM379&gt;2),(AM379*2*база!$L$5*Таблица14[[#This Row],[коэф]]),
IF(AND(G379="3/16",AM379&gt;2),(AM379*2*база!$L$4*Таблица14[[#This Row],[коэф]]),
IF(AND(G379="4/4",AM379&gt;2),(AM379*2*база!$I$5*Таблица14[[#This Row],[коэф]]),
IF(AND(G379="3/4",AM379&gt;2),(AM379*2*база!$I$4*Таблица14[[#This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(AM379*2*база!$L$4*Таблица14[[#This Row],[коэф]]))))))))))))),
(IF(AND(G379="5/24",AM379&gt;2),(AM379*2*база!$M$6*Таблица14[[#This Row],[коэф]]),
IF(OR(AND(G379="4/24",AM379&gt;2),AND(G379="3/24",AM379&gt;2)),(AM379*2*база!$M$5*Таблица14[[#This Row],[коэф]]),
IF(AND(G379="5/16",AM379&gt;2),(AM379*2*база!$L$6*Таблица14[[#This Row],[коэф]]),
IF(OR(AND(G379="4/16",AM379&gt;2),AND(G379="3/16",AM379&gt;2)),(AM379*2*база!$L$5*Таблица14[[#This Row],[коэф]]),
IF(OR(AND(G379="4/4",AM379&gt;2),AND(G379="3/4",AM379&gt;2)),(AM379*2*база!$I$5*Таблица14[[#This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(AM379*2*база!$L$5*Таблица14[[#This Row],[коэф]])))))))))))</f>
        <v>0</v>
      </c>
      <c r="AO379" s="114">
        <f>IFERROR(INDEX(база!$D$2:$D$120, MATCH(Таблица14[[#This Row],[Ф. И. О.]],база!$B$2:$B$100,0)),"")</f>
        <v>0</v>
      </c>
    </row>
    <row r="380" spans="1:41">
      <c r="A380" s="192"/>
      <c r="B380" s="189"/>
      <c r="C380" s="619"/>
      <c r="D380" s="562"/>
      <c r="E380" s="224"/>
      <c r="F380" s="651"/>
      <c r="G380" s="225"/>
      <c r="H380" s="563"/>
      <c r="I380" s="563"/>
      <c r="J380" s="563"/>
      <c r="K380" s="563"/>
      <c r="L380" s="563"/>
      <c r="M380" s="563"/>
      <c r="N380" s="563"/>
      <c r="O380" s="563"/>
      <c r="P380" s="563"/>
      <c r="Q380" s="563"/>
      <c r="R380" s="563"/>
      <c r="S380" s="563"/>
      <c r="T380" s="563"/>
      <c r="U380" s="563"/>
      <c r="V380" s="563"/>
      <c r="W380" s="563"/>
      <c r="X380" s="563"/>
      <c r="Y380" s="563"/>
      <c r="Z380" s="563"/>
      <c r="AA380" s="563"/>
      <c r="AB380" s="563"/>
      <c r="AC380" s="563"/>
      <c r="AD380" s="563"/>
      <c r="AE380" s="563"/>
      <c r="AF380" s="563"/>
      <c r="AG380" s="563"/>
      <c r="AH380" s="563"/>
      <c r="AI380" s="563"/>
      <c r="AJ380" s="563"/>
      <c r="AK380" s="563"/>
      <c r="AL380" s="563"/>
      <c r="AM380" s="113">
        <f t="shared" si="5"/>
        <v>0</v>
      </c>
      <c r="AN380" s="561">
        <f>IF(AO380&lt;=3,(IF(AND(G380="5/24",AM380&gt;2),(AM380*2*база!$M$6*Таблица14[[#This Row],[коэф]]),
IF(AND(G380="4/24",AM380&gt;2),(AM380*2*база!$M$5*Таблица14[[#This Row],[коэф]]),
IF(AND(G380="3/24",AM380&gt;2),(AM380*2*база!$M$4*Таблица14[[#This Row],[коэф]]),
IF(AND(G380="5/16",AM380&gt;2),(AM380*2*база!$L$6*Таблица14[[#This Row],[коэф]]),
IF(AND(G380="4/16",AM380&gt;2),(AM380*2*база!$L$5*Таблица14[[#This Row],[коэф]]),
IF(AND(G380="3/16",AM380&gt;2),(AM380*2*база!$L$4*Таблица14[[#This Row],[коэф]]),
IF(AND(G380="4/4",AM380&gt;2),(AM380*2*база!$I$5*Таблица14[[#This Row],[коэф]]),
IF(AND(G380="3/4",AM380&gt;2),(AM380*2*база!$I$4*Таблица14[[#This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(AM380*2*база!$L$4*Таблица14[[#This Row],[коэф]]))))))))))))),
(IF(AND(G380="5/24",AM380&gt;2),(AM380*2*база!$M$6*Таблица14[[#This Row],[коэф]]),
IF(OR(AND(G380="4/24",AM380&gt;2),AND(G380="3/24",AM380&gt;2)),(AM380*2*база!$M$5*Таблица14[[#This Row],[коэф]]),
IF(AND(G380="5/16",AM380&gt;2),(AM380*2*база!$L$6*Таблица14[[#This Row],[коэф]]),
IF(OR(AND(G380="4/16",AM380&gt;2),AND(G380="3/16",AM380&gt;2)),(AM380*2*база!$L$5*Таблица14[[#This Row],[коэф]]),
IF(OR(AND(G380="4/4",AM380&gt;2),AND(G380="3/4",AM380&gt;2)),(AM380*2*база!$I$5*Таблица14[[#This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(AM380*2*база!$L$5*Таблица14[[#This Row],[коэф]])))))))))))</f>
        <v>0</v>
      </c>
      <c r="AO380" s="114">
        <f>IFERROR(INDEX(база!$D$2:$D$120, MATCH(Таблица14[[#This Row],[Ф. И. О.]],база!$B$2:$B$100,0)),"")</f>
        <v>0</v>
      </c>
    </row>
    <row r="381" spans="1:41">
      <c r="A381" s="192"/>
      <c r="B381" s="223"/>
      <c r="C381" s="543"/>
      <c r="D381" s="190"/>
      <c r="E381" s="226"/>
      <c r="F381" s="651"/>
      <c r="G381" s="225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113">
        <f t="shared" si="5"/>
        <v>0</v>
      </c>
      <c r="AN381" s="540">
        <f>IF(AO381&lt;=3,(IF(AND(G381="5/24",AM381&gt;2),(AM381*2*база!$M$6*Таблица14[[#This Row],[коэф]]),
IF(AND(G381="4/24",AM381&gt;2),(AM381*2*база!$M$5*Таблица14[[#This Row],[коэф]]),
IF(AND(G381="3/24",AM381&gt;2),(AM381*2*база!$M$4*Таблица14[[#This Row],[коэф]]),
IF(AND(G381="5/16",AM381&gt;2),(AM381*2*база!$L$6*Таблица14[[#This Row],[коэф]]),
IF(AND(G381="4/16",AM381&gt;2),(AM381*2*база!$L$5*Таблица14[[#This Row],[коэф]]),
IF(AND(G381="3/16",AM381&gt;2),(AM381*2*база!$L$4*Таблица14[[#This Row],[коэф]]),
IF(AND(G381="4/4",AM381&gt;2),(AM381*2*база!$I$5*Таблица14[[#This Row],[коэф]]),
IF(AND(G381="3/4",AM381&gt;2),(AM381*2*база!$I$4*Таблица14[[#This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(AM381*2*база!$L$4*Таблица14[[#This Row],[коэф]]))))))))))))),
(IF(AND(G381="5/24",AM381&gt;2),(AM381*2*база!$M$6*Таблица14[[#This Row],[коэф]]),
IF(OR(AND(G381="4/24",AM381&gt;2),AND(G381="3/24",AM381&gt;2)),(AM381*2*база!$M$5*Таблица14[[#This Row],[коэф]]),
IF(AND(G381="5/16",AM381&gt;2),(AM381*2*база!$L$6*Таблица14[[#This Row],[коэф]]),
IF(OR(AND(G381="4/16",AM381&gt;2),AND(G381="3/16",AM381&gt;2)),(AM381*2*база!$L$5*Таблица14[[#This Row],[коэф]]),
IF(OR(AND(G381="4/4",AM381&gt;2),AND(G381="3/4",AM381&gt;2)),(AM381*2*база!$I$5*Таблица14[[#This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(AM381*2*база!$L$5*Таблица14[[#This Row],[коэф]])))))))))))</f>
        <v>0</v>
      </c>
      <c r="AO381" s="114">
        <f>IFERROR(INDEX(база!$D$2:$D$120, MATCH(Таблица14[[#This Row],[Ф. И. О.]],база!$B$2:$B$100,0)),"")</f>
        <v>0</v>
      </c>
    </row>
    <row r="382" spans="1:41">
      <c r="A382" s="192"/>
      <c r="B382" s="189"/>
      <c r="C382" s="619"/>
      <c r="D382" s="562"/>
      <c r="E382" s="224"/>
      <c r="F382" s="651"/>
      <c r="G382" s="225"/>
      <c r="H382" s="563"/>
      <c r="I382" s="563"/>
      <c r="J382" s="563"/>
      <c r="K382" s="563"/>
      <c r="L382" s="563"/>
      <c r="M382" s="563"/>
      <c r="N382" s="563"/>
      <c r="O382" s="563"/>
      <c r="P382" s="563"/>
      <c r="Q382" s="563"/>
      <c r="R382" s="563"/>
      <c r="S382" s="563"/>
      <c r="T382" s="563"/>
      <c r="U382" s="563"/>
      <c r="V382" s="563"/>
      <c r="W382" s="563"/>
      <c r="X382" s="563"/>
      <c r="Y382" s="563"/>
      <c r="Z382" s="563"/>
      <c r="AA382" s="563"/>
      <c r="AB382" s="563"/>
      <c r="AC382" s="563"/>
      <c r="AD382" s="563"/>
      <c r="AE382" s="563"/>
      <c r="AF382" s="563"/>
      <c r="AG382" s="563"/>
      <c r="AH382" s="563"/>
      <c r="AI382" s="563"/>
      <c r="AJ382" s="563"/>
      <c r="AK382" s="563"/>
      <c r="AL382" s="563"/>
      <c r="AM382" s="113">
        <f t="shared" si="5"/>
        <v>0</v>
      </c>
      <c r="AN382" s="561">
        <f>IF(AO382&lt;=3,(IF(AND(G382="5/24",AM382&gt;2),(AM382*2*база!$M$6*Таблица14[[#This Row],[коэф]]),
IF(AND(G382="4/24",AM382&gt;2),(AM382*2*база!$M$5*Таблица14[[#This Row],[коэф]]),
IF(AND(G382="3/24",AM382&gt;2),(AM382*2*база!$M$4*Таблица14[[#This Row],[коэф]]),
IF(AND(G382="5/16",AM382&gt;2),(AM382*2*база!$L$6*Таблица14[[#This Row],[коэф]]),
IF(AND(G382="4/16",AM382&gt;2),(AM382*2*база!$L$5*Таблица14[[#This Row],[коэф]]),
IF(AND(G382="3/16",AM382&gt;2),(AM382*2*база!$L$4*Таблица14[[#This Row],[коэф]]),
IF(AND(G382="4/4",AM382&gt;2),(AM382*2*база!$I$5*Таблица14[[#This Row],[коэф]]),
IF(AND(G382="3/4",AM382&gt;2),(AM382*2*база!$I$4*Таблица14[[#This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(AM382*2*база!$L$4*Таблица14[[#This Row],[коэф]]))))))))))))),
(IF(AND(G382="5/24",AM382&gt;2),(AM382*2*база!$M$6*Таблица14[[#This Row],[коэф]]),
IF(OR(AND(G382="4/24",AM382&gt;2),AND(G382="3/24",AM382&gt;2)),(AM382*2*база!$M$5*Таблица14[[#This Row],[коэф]]),
IF(AND(G382="5/16",AM382&gt;2),(AM382*2*база!$L$6*Таблица14[[#This Row],[коэф]]),
IF(OR(AND(G382="4/16",AM382&gt;2),AND(G382="3/16",AM382&gt;2)),(AM382*2*база!$L$5*Таблица14[[#This Row],[коэф]]),
IF(OR(AND(G382="4/4",AM382&gt;2),AND(G382="3/4",AM382&gt;2)),(AM382*2*база!$I$5*Таблица14[[#This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(AM382*2*база!$L$5*Таблица14[[#This Row],[коэф]])))))))))))</f>
        <v>0</v>
      </c>
      <c r="AO382" s="114">
        <f>IFERROR(INDEX(база!$D$2:$D$120, MATCH(Таблица14[[#This Row],[Ф. И. О.]],база!$B$2:$B$100,0)),"")</f>
        <v>0</v>
      </c>
    </row>
    <row r="383" spans="1:41">
      <c r="A383" s="192"/>
      <c r="B383" s="223"/>
      <c r="C383" s="543"/>
      <c r="D383" s="190"/>
      <c r="E383" s="226"/>
      <c r="F383" s="651"/>
      <c r="G383" s="225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113">
        <f t="shared" si="5"/>
        <v>0</v>
      </c>
      <c r="AN383" s="540">
        <f>IF(AO383&lt;=3,(IF(AND(G383="5/24",AM383&gt;2),(AM383*2*база!$M$6*Таблица14[[#This Row],[коэф]]),
IF(AND(G383="4/24",AM383&gt;2),(AM383*2*база!$M$5*Таблица14[[#This Row],[коэф]]),
IF(AND(G383="3/24",AM383&gt;2),(AM383*2*база!$M$4*Таблица14[[#This Row],[коэф]]),
IF(AND(G383="5/16",AM383&gt;2),(AM383*2*база!$L$6*Таблица14[[#This Row],[коэф]]),
IF(AND(G383="4/16",AM383&gt;2),(AM383*2*база!$L$5*Таблица14[[#This Row],[коэф]]),
IF(AND(G383="3/16",AM383&gt;2),(AM383*2*база!$L$4*Таблица14[[#This Row],[коэф]]),
IF(AND(G383="4/4",AM383&gt;2),(AM383*2*база!$I$5*Таблица14[[#This Row],[коэф]]),
IF(AND(G383="3/4",AM383&gt;2),(AM383*2*база!$I$4*Таблица14[[#This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(AM383*2*база!$L$4*Таблица14[[#This Row],[коэф]]))))))))))))),
(IF(AND(G383="5/24",AM383&gt;2),(AM383*2*база!$M$6*Таблица14[[#This Row],[коэф]]),
IF(OR(AND(G383="4/24",AM383&gt;2),AND(G383="3/24",AM383&gt;2)),(AM383*2*база!$M$5*Таблица14[[#This Row],[коэф]]),
IF(AND(G383="5/16",AM383&gt;2),(AM383*2*база!$L$6*Таблица14[[#This Row],[коэф]]),
IF(OR(AND(G383="4/16",AM383&gt;2),AND(G383="3/16",AM383&gt;2)),(AM383*2*база!$L$5*Таблица14[[#This Row],[коэф]]),
IF(OR(AND(G383="4/4",AM383&gt;2),AND(G383="3/4",AM383&gt;2)),(AM383*2*база!$I$5*Таблица14[[#This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(AM383*2*база!$L$5*Таблица14[[#This Row],[коэф]])))))))))))</f>
        <v>0</v>
      </c>
      <c r="AO383" s="114">
        <f>IFERROR(INDEX(база!$D$2:$D$120, MATCH(Таблица14[[#This Row],[Ф. И. О.]],база!$B$2:$B$100,0)),"")</f>
        <v>0</v>
      </c>
    </row>
    <row r="384" spans="1:41">
      <c r="A384" s="192"/>
      <c r="B384" s="189"/>
      <c r="C384" s="619"/>
      <c r="D384" s="562"/>
      <c r="E384" s="224"/>
      <c r="F384" s="651"/>
      <c r="G384" s="225"/>
      <c r="H384" s="563"/>
      <c r="I384" s="563"/>
      <c r="J384" s="563"/>
      <c r="K384" s="563"/>
      <c r="L384" s="563"/>
      <c r="M384" s="563"/>
      <c r="N384" s="563"/>
      <c r="O384" s="563"/>
      <c r="P384" s="563"/>
      <c r="Q384" s="563"/>
      <c r="R384" s="563"/>
      <c r="S384" s="563"/>
      <c r="T384" s="563"/>
      <c r="U384" s="563"/>
      <c r="V384" s="563"/>
      <c r="W384" s="563"/>
      <c r="X384" s="563"/>
      <c r="Y384" s="563"/>
      <c r="Z384" s="563"/>
      <c r="AA384" s="563"/>
      <c r="AB384" s="563"/>
      <c r="AC384" s="563"/>
      <c r="AD384" s="563"/>
      <c r="AE384" s="563"/>
      <c r="AF384" s="563"/>
      <c r="AG384" s="563"/>
      <c r="AH384" s="563"/>
      <c r="AI384" s="563"/>
      <c r="AJ384" s="563"/>
      <c r="AK384" s="563"/>
      <c r="AL384" s="563"/>
      <c r="AM384" s="113">
        <f t="shared" si="5"/>
        <v>0</v>
      </c>
      <c r="AN384" s="561">
        <f>IF(AO384&lt;=3,(IF(AND(G384="5/24",AM384&gt;2),(AM384*2*база!$M$6*Таблица14[[#This Row],[коэф]]),
IF(AND(G384="4/24",AM384&gt;2),(AM384*2*база!$M$5*Таблица14[[#This Row],[коэф]]),
IF(AND(G384="3/24",AM384&gt;2),(AM384*2*база!$M$4*Таблица14[[#This Row],[коэф]]),
IF(AND(G384="5/16",AM384&gt;2),(AM384*2*база!$L$6*Таблица14[[#This Row],[коэф]]),
IF(AND(G384="4/16",AM384&gt;2),(AM384*2*база!$L$5*Таблица14[[#This Row],[коэф]]),
IF(AND(G384="3/16",AM384&gt;2),(AM384*2*база!$L$4*Таблица14[[#This Row],[коэф]]),
IF(AND(G384="4/4",AM384&gt;2),(AM384*2*база!$I$5*Таблица14[[#This Row],[коэф]]),
IF(AND(G384="3/4",AM384&gt;2),(AM384*2*база!$I$4*Таблица14[[#This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(AM384*2*база!$L$4*Таблица14[[#This Row],[коэф]]))))))))))))),
(IF(AND(G384="5/24",AM384&gt;2),(AM384*2*база!$M$6*Таблица14[[#This Row],[коэф]]),
IF(OR(AND(G384="4/24",AM384&gt;2),AND(G384="3/24",AM384&gt;2)),(AM384*2*база!$M$5*Таблица14[[#This Row],[коэф]]),
IF(AND(G384="5/16",AM384&gt;2),(AM384*2*база!$L$6*Таблица14[[#This Row],[коэф]]),
IF(OR(AND(G384="4/16",AM384&gt;2),AND(G384="3/16",AM384&gt;2)),(AM384*2*база!$L$5*Таблица14[[#This Row],[коэф]]),
IF(OR(AND(G384="4/4",AM384&gt;2),AND(G384="3/4",AM384&gt;2)),(AM384*2*база!$I$5*Таблица14[[#This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(AM384*2*база!$L$5*Таблица14[[#This Row],[коэф]])))))))))))</f>
        <v>0</v>
      </c>
      <c r="AO384" s="114">
        <f>IFERROR(INDEX(база!$D$2:$D$120, MATCH(Таблица14[[#This Row],[Ф. И. О.]],база!$B$2:$B$100,0)),"")</f>
        <v>0</v>
      </c>
    </row>
    <row r="385" spans="1:41">
      <c r="A385" s="192"/>
      <c r="B385" s="223"/>
      <c r="C385" s="543"/>
      <c r="D385" s="190"/>
      <c r="E385" s="226"/>
      <c r="F385" s="651"/>
      <c r="G385" s="191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113">
        <f t="shared" si="5"/>
        <v>0</v>
      </c>
      <c r="AN385" s="540">
        <f>IF(AO385&lt;=3,(IF(AND(G385="5/24",AM385&gt;2),(AM385*2*база!$M$6*Таблица14[[#This Row],[коэф]]),
IF(AND(G385="4/24",AM385&gt;2),(AM385*2*база!$M$5*Таблица14[[#This Row],[коэф]]),
IF(AND(G385="3/24",AM385&gt;2),(AM385*2*база!$M$4*Таблица14[[#This Row],[коэф]]),
IF(AND(G385="5/16",AM385&gt;2),(AM385*2*база!$L$6*Таблица14[[#This Row],[коэф]]),
IF(AND(G385="4/16",AM385&gt;2),(AM385*2*база!$L$5*Таблица14[[#This Row],[коэф]]),
IF(AND(G385="3/16",AM385&gt;2),(AM385*2*база!$L$4*Таблица14[[#This Row],[коэф]]),
IF(AND(G385="4/4",AM385&gt;2),(AM385*2*база!$I$5*Таблица14[[#This Row],[коэф]]),
IF(AND(G385="3/4",AM385&gt;2),(AM385*2*база!$I$4*Таблица14[[#This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(AM385*2*база!$L$4*Таблица14[[#This Row],[коэф]]))))))))))))),
(IF(AND(G385="5/24",AM385&gt;2),(AM385*2*база!$M$6*Таблица14[[#This Row],[коэф]]),
IF(OR(AND(G385="4/24",AM385&gt;2),AND(G385="3/24",AM385&gt;2)),(AM385*2*база!$M$5*Таблица14[[#This Row],[коэф]]),
IF(AND(G385="5/16",AM385&gt;2),(AM385*2*база!$L$6*Таблица14[[#This Row],[коэф]]),
IF(OR(AND(G385="4/16",AM385&gt;2),AND(G385="3/16",AM385&gt;2)),(AM385*2*база!$L$5*Таблица14[[#This Row],[коэф]]),
IF(OR(AND(G385="4/4",AM385&gt;2),AND(G385="3/4",AM385&gt;2)),(AM385*2*база!$I$5*Таблица14[[#This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(AM385*2*база!$L$5*Таблица14[[#This Row],[коэф]])))))))))))</f>
        <v>0</v>
      </c>
      <c r="AO385" s="114">
        <f>IFERROR(INDEX(база!$D$2:$D$120, MATCH(Таблица14[[#This Row],[Ф. И. О.]],база!$B$2:$B$100,0)),"")</f>
        <v>0</v>
      </c>
    </row>
    <row r="386" spans="1:41">
      <c r="A386" s="192"/>
      <c r="B386" s="189"/>
      <c r="C386" s="619"/>
      <c r="D386" s="562"/>
      <c r="E386" s="226"/>
      <c r="F386" s="651"/>
      <c r="G386" s="225"/>
      <c r="H386" s="563"/>
      <c r="I386" s="563"/>
      <c r="J386" s="563"/>
      <c r="K386" s="563"/>
      <c r="L386" s="563"/>
      <c r="M386" s="563"/>
      <c r="N386" s="563"/>
      <c r="O386" s="563"/>
      <c r="P386" s="563"/>
      <c r="Q386" s="563"/>
      <c r="R386" s="563"/>
      <c r="S386" s="563"/>
      <c r="T386" s="563"/>
      <c r="U386" s="563"/>
      <c r="V386" s="563"/>
      <c r="W386" s="563"/>
      <c r="X386" s="563"/>
      <c r="Y386" s="563"/>
      <c r="Z386" s="563"/>
      <c r="AA386" s="563"/>
      <c r="AB386" s="563"/>
      <c r="AC386" s="563"/>
      <c r="AD386" s="563"/>
      <c r="AE386" s="563"/>
      <c r="AF386" s="563"/>
      <c r="AG386" s="563"/>
      <c r="AH386" s="563"/>
      <c r="AI386" s="563"/>
      <c r="AJ386" s="563"/>
      <c r="AK386" s="563"/>
      <c r="AL386" s="563"/>
      <c r="AM386" s="113">
        <f t="shared" si="5"/>
        <v>0</v>
      </c>
      <c r="AN386" s="561">
        <f>IF(AO386&lt;=3,(IF(AND(G386="5/24",AM386&gt;2),(AM386*2*база!$M$6*Таблица14[[#This Row],[коэф]]),
IF(AND(G386="4/24",AM386&gt;2),(AM386*2*база!$M$5*Таблица14[[#This Row],[коэф]]),
IF(AND(G386="3/24",AM386&gt;2),(AM386*2*база!$M$4*Таблица14[[#This Row],[коэф]]),
IF(AND(G386="5/16",AM386&gt;2),(AM386*2*база!$L$6*Таблица14[[#This Row],[коэф]]),
IF(AND(G386="4/16",AM386&gt;2),(AM386*2*база!$L$5*Таблица14[[#This Row],[коэф]]),
IF(AND(G386="3/16",AM386&gt;2),(AM386*2*база!$L$4*Таблица14[[#This Row],[коэф]]),
IF(AND(G386="4/4",AM386&gt;2),(AM386*2*база!$I$5*Таблица14[[#This Row],[коэф]]),
IF(AND(G386="3/4",AM386&gt;2),(AM386*2*база!$I$4*Таблица14[[#This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(AM386*2*база!$L$4*Таблица14[[#This Row],[коэф]]))))))))))))),
(IF(AND(G386="5/24",AM386&gt;2),(AM386*2*база!$M$6*Таблица14[[#This Row],[коэф]]),
IF(OR(AND(G386="4/24",AM386&gt;2),AND(G386="3/24",AM386&gt;2)),(AM386*2*база!$M$5*Таблица14[[#This Row],[коэф]]),
IF(AND(G386="5/16",AM386&gt;2),(AM386*2*база!$L$6*Таблица14[[#This Row],[коэф]]),
IF(OR(AND(G386="4/16",AM386&gt;2),AND(G386="3/16",AM386&gt;2)),(AM386*2*база!$L$5*Таблица14[[#This Row],[коэф]]),
IF(OR(AND(G386="4/4",AM386&gt;2),AND(G386="3/4",AM386&gt;2)),(AM386*2*база!$I$5*Таблица14[[#This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(AM386*2*база!$L$5*Таблица14[[#This Row],[коэф]])))))))))))</f>
        <v>0</v>
      </c>
      <c r="AO386" s="114">
        <f>IFERROR(INDEX(база!$D$2:$D$120, MATCH(Таблица14[[#This Row],[Ф. И. О.]],база!$B$2:$B$100,0)),"")</f>
        <v>0</v>
      </c>
    </row>
    <row r="387" spans="1:41">
      <c r="A387" s="192"/>
      <c r="B387" s="223"/>
      <c r="C387" s="543"/>
      <c r="D387" s="190"/>
      <c r="E387" s="226"/>
      <c r="F387" s="652"/>
      <c r="G387" s="191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113">
        <f t="shared" si="5"/>
        <v>0</v>
      </c>
      <c r="AN387" s="540">
        <f>IF(AO387&lt;=3,(IF(AND(G387="5/24",AM387&gt;2),(AM387*2*база!$M$6*Таблица14[[#This Row],[коэф]]),
IF(AND(G387="4/24",AM387&gt;2),(AM387*2*база!$M$5*Таблица14[[#This Row],[коэф]]),
IF(AND(G387="3/24",AM387&gt;2),(AM387*2*база!$M$4*Таблица14[[#This Row],[коэф]]),
IF(AND(G387="5/16",AM387&gt;2),(AM387*2*база!$L$6*Таблица14[[#This Row],[коэф]]),
IF(AND(G387="4/16",AM387&gt;2),(AM387*2*база!$L$5*Таблица14[[#This Row],[коэф]]),
IF(AND(G387="3/16",AM387&gt;2),(AM387*2*база!$L$4*Таблица14[[#This Row],[коэф]]),
IF(AND(G387="4/4",AM387&gt;2),(AM387*2*база!$I$5*Таблица14[[#This Row],[коэф]]),
IF(AND(G387="3/4",AM387&gt;2),(AM387*2*база!$I$4*Таблица14[[#This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(AM387*2*база!$L$4*Таблица14[[#This Row],[коэф]]))))))))))))),
(IF(AND(G387="5/24",AM387&gt;2),(AM387*2*база!$M$6*Таблица14[[#This Row],[коэф]]),
IF(OR(AND(G387="4/24",AM387&gt;2),AND(G387="3/24",AM387&gt;2)),(AM387*2*база!$M$5*Таблица14[[#This Row],[коэф]]),
IF(AND(G387="5/16",AM387&gt;2),(AM387*2*база!$L$6*Таблица14[[#This Row],[коэф]]),
IF(OR(AND(G387="4/16",AM387&gt;2),AND(G387="3/16",AM387&gt;2)),(AM387*2*база!$L$5*Таблица14[[#This Row],[коэф]]),
IF(OR(AND(G387="4/4",AM387&gt;2),AND(G387="3/4",AM387&gt;2)),(AM387*2*база!$I$5*Таблица14[[#This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(AM387*2*база!$L$5*Таблица14[[#This Row],[коэф]])))))))))))</f>
        <v>0</v>
      </c>
      <c r="AO387" s="114">
        <f>IFERROR(INDEX(база!$D$2:$D$120, MATCH(Таблица14[[#This Row],[Ф. И. О.]],база!$B$2:$B$100,0)),"")</f>
        <v>0</v>
      </c>
    </row>
    <row r="388" spans="1:41">
      <c r="A388" s="192"/>
      <c r="B388" s="189"/>
      <c r="C388" s="619"/>
      <c r="D388" s="562"/>
      <c r="E388" s="226"/>
      <c r="F388" s="652"/>
      <c r="G388" s="225"/>
      <c r="H388" s="563"/>
      <c r="I388" s="563"/>
      <c r="J388" s="563"/>
      <c r="K388" s="563"/>
      <c r="L388" s="563"/>
      <c r="M388" s="563"/>
      <c r="N388" s="563"/>
      <c r="O388" s="563"/>
      <c r="P388" s="563"/>
      <c r="Q388" s="563"/>
      <c r="R388" s="563"/>
      <c r="S388" s="563"/>
      <c r="T388" s="563"/>
      <c r="U388" s="563"/>
      <c r="V388" s="563"/>
      <c r="W388" s="563"/>
      <c r="X388" s="563"/>
      <c r="Y388" s="563"/>
      <c r="Z388" s="563"/>
      <c r="AA388" s="563"/>
      <c r="AB388" s="563"/>
      <c r="AC388" s="563"/>
      <c r="AD388" s="563"/>
      <c r="AE388" s="563"/>
      <c r="AF388" s="563"/>
      <c r="AG388" s="563"/>
      <c r="AH388" s="563"/>
      <c r="AI388" s="563"/>
      <c r="AJ388" s="563"/>
      <c r="AK388" s="563"/>
      <c r="AL388" s="563"/>
      <c r="AM388" s="113">
        <f t="shared" ref="AM388:AM451" si="6">SUM(H388:AL388)</f>
        <v>0</v>
      </c>
      <c r="AN388" s="561">
        <f>IF(AO388&lt;=3,(IF(AND(G388="5/24",AM388&gt;2),(AM388*2*база!$M$6*Таблица14[[#This Row],[коэф]]),
IF(AND(G388="4/24",AM388&gt;2),(AM388*2*база!$M$5*Таблица14[[#This Row],[коэф]]),
IF(AND(G388="3/24",AM388&gt;2),(AM388*2*база!$M$4*Таблица14[[#This Row],[коэф]]),
IF(AND(G388="5/16",AM388&gt;2),(AM388*2*база!$L$6*Таблица14[[#This Row],[коэф]]),
IF(AND(G388="4/16",AM388&gt;2),(AM388*2*база!$L$5*Таблица14[[#This Row],[коэф]]),
IF(AND(G388="3/16",AM388&gt;2),(AM388*2*база!$L$4*Таблица14[[#This Row],[коэф]]),
IF(AND(G388="4/4",AM388&gt;2),(AM388*2*база!$I$5*Таблица14[[#This Row],[коэф]]),
IF(AND(G388="3/4",AM388&gt;2),(AM388*2*база!$I$4*Таблица14[[#This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(AM388*2*база!$L$4*Таблица14[[#This Row],[коэф]]))))))))))))),
(IF(AND(G388="5/24",AM388&gt;2),(AM388*2*база!$M$6*Таблица14[[#This Row],[коэф]]),
IF(OR(AND(G388="4/24",AM388&gt;2),AND(G388="3/24",AM388&gt;2)),(AM388*2*база!$M$5*Таблица14[[#This Row],[коэф]]),
IF(AND(G388="5/16",AM388&gt;2),(AM388*2*база!$L$6*Таблица14[[#This Row],[коэф]]),
IF(OR(AND(G388="4/16",AM388&gt;2),AND(G388="3/16",AM388&gt;2)),(AM388*2*база!$L$5*Таблица14[[#This Row],[коэф]]),
IF(OR(AND(G388="4/4",AM388&gt;2),AND(G388="3/4",AM388&gt;2)),(AM388*2*база!$I$5*Таблица14[[#This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(AM388*2*база!$L$5*Таблица14[[#This Row],[коэф]])))))))))))</f>
        <v>0</v>
      </c>
      <c r="AO388" s="114">
        <f>IFERROR(INDEX(база!$D$2:$D$120, MATCH(Таблица14[[#This Row],[Ф. И. О.]],база!$B$2:$B$100,0)),"")</f>
        <v>0</v>
      </c>
    </row>
    <row r="389" spans="1:41">
      <c r="A389" s="192"/>
      <c r="B389" s="223"/>
      <c r="C389" s="543"/>
      <c r="D389" s="190"/>
      <c r="E389" s="226"/>
      <c r="F389" s="652"/>
      <c r="G389" s="191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113">
        <f t="shared" si="6"/>
        <v>0</v>
      </c>
      <c r="AN389" s="540">
        <f>IF(AO389&lt;=3,(IF(AND(G389="5/24",AM389&gt;2),(AM389*2*база!$M$6*Таблица14[[#This Row],[коэф]]),
IF(AND(G389="4/24",AM389&gt;2),(AM389*2*база!$M$5*Таблица14[[#This Row],[коэф]]),
IF(AND(G389="3/24",AM389&gt;2),(AM389*2*база!$M$4*Таблица14[[#This Row],[коэф]]),
IF(AND(G389="5/16",AM389&gt;2),(AM389*2*база!$L$6*Таблица14[[#This Row],[коэф]]),
IF(AND(G389="4/16",AM389&gt;2),(AM389*2*база!$L$5*Таблица14[[#This Row],[коэф]]),
IF(AND(G389="3/16",AM389&gt;2),(AM389*2*база!$L$4*Таблица14[[#This Row],[коэф]]),
IF(AND(G389="4/4",AM389&gt;2),(AM389*2*база!$I$5*Таблица14[[#This Row],[коэф]]),
IF(AND(G389="3/4",AM389&gt;2),(AM389*2*база!$I$4*Таблица14[[#This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(AM389*2*база!$L$4*Таблица14[[#This Row],[коэф]]))))))))))))),
(IF(AND(G389="5/24",AM389&gt;2),(AM389*2*база!$M$6*Таблица14[[#This Row],[коэф]]),
IF(OR(AND(G389="4/24",AM389&gt;2),AND(G389="3/24",AM389&gt;2)),(AM389*2*база!$M$5*Таблица14[[#This Row],[коэф]]),
IF(AND(G389="5/16",AM389&gt;2),(AM389*2*база!$L$6*Таблица14[[#This Row],[коэф]]),
IF(OR(AND(G389="4/16",AM389&gt;2),AND(G389="3/16",AM389&gt;2)),(AM389*2*база!$L$5*Таблица14[[#This Row],[коэф]]),
IF(OR(AND(G389="4/4",AM389&gt;2),AND(G389="3/4",AM389&gt;2)),(AM389*2*база!$I$5*Таблица14[[#This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(AM389*2*база!$L$5*Таблица14[[#This Row],[коэф]])))))))))))</f>
        <v>0</v>
      </c>
      <c r="AO389" s="114">
        <f>IFERROR(INDEX(база!$D$2:$D$120, MATCH(Таблица14[[#This Row],[Ф. И. О.]],база!$B$2:$B$100,0)),"")</f>
        <v>0</v>
      </c>
    </row>
    <row r="390" spans="1:41">
      <c r="A390" s="192"/>
      <c r="B390" s="189"/>
      <c r="C390" s="619"/>
      <c r="D390" s="562"/>
      <c r="E390" s="226"/>
      <c r="F390" s="644"/>
      <c r="G390" s="225"/>
      <c r="H390" s="563"/>
      <c r="I390" s="563"/>
      <c r="J390" s="563"/>
      <c r="K390" s="563"/>
      <c r="L390" s="563"/>
      <c r="M390" s="563"/>
      <c r="N390" s="563"/>
      <c r="O390" s="563"/>
      <c r="P390" s="563"/>
      <c r="Q390" s="563"/>
      <c r="R390" s="563"/>
      <c r="S390" s="563"/>
      <c r="T390" s="563"/>
      <c r="U390" s="563"/>
      <c r="V390" s="563"/>
      <c r="W390" s="563"/>
      <c r="X390" s="563"/>
      <c r="Y390" s="563"/>
      <c r="Z390" s="563"/>
      <c r="AA390" s="563"/>
      <c r="AB390" s="563"/>
      <c r="AC390" s="563"/>
      <c r="AD390" s="563"/>
      <c r="AE390" s="563"/>
      <c r="AF390" s="563"/>
      <c r="AG390" s="563"/>
      <c r="AH390" s="563"/>
      <c r="AI390" s="563"/>
      <c r="AJ390" s="563"/>
      <c r="AK390" s="563"/>
      <c r="AL390" s="563"/>
      <c r="AM390" s="113">
        <f t="shared" si="6"/>
        <v>0</v>
      </c>
      <c r="AN390" s="561">
        <f>IF(AO390&lt;=3,(IF(AND(G390="5/24",AM390&gt;2),(AM390*2*база!$M$6*Таблица14[[#This Row],[коэф]]),
IF(AND(G390="4/24",AM390&gt;2),(AM390*2*база!$M$5*Таблица14[[#This Row],[коэф]]),
IF(AND(G390="3/24",AM390&gt;2),(AM390*2*база!$M$4*Таблица14[[#This Row],[коэф]]),
IF(AND(G390="5/16",AM390&gt;2),(AM390*2*база!$L$6*Таблица14[[#This Row],[коэф]]),
IF(AND(G390="4/16",AM390&gt;2),(AM390*2*база!$L$5*Таблица14[[#This Row],[коэф]]),
IF(AND(G390="3/16",AM390&gt;2),(AM390*2*база!$L$4*Таблица14[[#This Row],[коэф]]),
IF(AND(G390="4/4",AM390&gt;2),(AM390*2*база!$I$5*Таблица14[[#This Row],[коэф]]),
IF(AND(G390="3/4",AM390&gt;2),(AM390*2*база!$I$4*Таблица14[[#This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(AM390*2*база!$L$4*Таблица14[[#This Row],[коэф]]))))))))))))),
(IF(AND(G390="5/24",AM390&gt;2),(AM390*2*база!$M$6*Таблица14[[#This Row],[коэф]]),
IF(OR(AND(G390="4/24",AM390&gt;2),AND(G390="3/24",AM390&gt;2)),(AM390*2*база!$M$5*Таблица14[[#This Row],[коэф]]),
IF(AND(G390="5/16",AM390&gt;2),(AM390*2*база!$L$6*Таблица14[[#This Row],[коэф]]),
IF(OR(AND(G390="4/16",AM390&gt;2),AND(G390="3/16",AM390&gt;2)),(AM390*2*база!$L$5*Таблица14[[#This Row],[коэф]]),
IF(OR(AND(G390="4/4",AM390&gt;2),AND(G390="3/4",AM390&gt;2)),(AM390*2*база!$I$5*Таблица14[[#This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(AM390*2*база!$L$5*Таблица14[[#This Row],[коэф]])))))))))))</f>
        <v>0</v>
      </c>
      <c r="AO390" s="114">
        <f>IFERROR(INDEX(база!$D$2:$D$120, MATCH(Таблица14[[#This Row],[Ф. И. О.]],база!$B$2:$B$100,0)),"")</f>
        <v>0</v>
      </c>
    </row>
    <row r="391" spans="1:41">
      <c r="A391" s="192"/>
      <c r="B391" s="223"/>
      <c r="C391" s="543"/>
      <c r="D391" s="190"/>
      <c r="E391" s="226"/>
      <c r="F391" s="652"/>
      <c r="G391" s="191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113">
        <f t="shared" si="6"/>
        <v>0</v>
      </c>
      <c r="AN391" s="540">
        <f>IF(AO391&lt;=3,(IF(AND(G391="5/24",AM391&gt;2),(AM391*2*база!$M$6*Таблица14[[#This Row],[коэф]]),
IF(AND(G391="4/24",AM391&gt;2),(AM391*2*база!$M$5*Таблица14[[#This Row],[коэф]]),
IF(AND(G391="3/24",AM391&gt;2),(AM391*2*база!$M$4*Таблица14[[#This Row],[коэф]]),
IF(AND(G391="5/16",AM391&gt;2),(AM391*2*база!$L$6*Таблица14[[#This Row],[коэф]]),
IF(AND(G391="4/16",AM391&gt;2),(AM391*2*база!$L$5*Таблица14[[#This Row],[коэф]]),
IF(AND(G391="3/16",AM391&gt;2),(AM391*2*база!$L$4*Таблица14[[#This Row],[коэф]]),
IF(AND(G391="4/4",AM391&gt;2),(AM391*2*база!$I$5*Таблица14[[#This Row],[коэф]]),
IF(AND(G391="3/4",AM391&gt;2),(AM391*2*база!$I$4*Таблица14[[#This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(AM391*2*база!$L$4*Таблица14[[#This Row],[коэф]]))))))))))))),
(IF(AND(G391="5/24",AM391&gt;2),(AM391*2*база!$M$6*Таблица14[[#This Row],[коэф]]),
IF(OR(AND(G391="4/24",AM391&gt;2),AND(G391="3/24",AM391&gt;2)),(AM391*2*база!$M$5*Таблица14[[#This Row],[коэф]]),
IF(AND(G391="5/16",AM391&gt;2),(AM391*2*база!$L$6*Таблица14[[#This Row],[коэф]]),
IF(OR(AND(G391="4/16",AM391&gt;2),AND(G391="3/16",AM391&gt;2)),(AM391*2*база!$L$5*Таблица14[[#This Row],[коэф]]),
IF(OR(AND(G391="4/4",AM391&gt;2),AND(G391="3/4",AM391&gt;2)),(AM391*2*база!$I$5*Таблица14[[#This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(AM391*2*база!$L$5*Таблица14[[#This Row],[коэф]])))))))))))</f>
        <v>0</v>
      </c>
      <c r="AO391" s="114">
        <f>IFERROR(INDEX(база!$D$2:$D$120, MATCH(Таблица14[[#This Row],[Ф. И. О.]],база!$B$2:$B$100,0)),"")</f>
        <v>0</v>
      </c>
    </row>
    <row r="392" spans="1:41">
      <c r="A392" s="192"/>
      <c r="B392" s="189"/>
      <c r="C392" s="619"/>
      <c r="D392" s="562"/>
      <c r="E392" s="226"/>
      <c r="F392" s="651"/>
      <c r="G392" s="225"/>
      <c r="H392" s="563"/>
      <c r="I392" s="563"/>
      <c r="J392" s="563"/>
      <c r="K392" s="563"/>
      <c r="L392" s="563"/>
      <c r="M392" s="563"/>
      <c r="N392" s="563"/>
      <c r="O392" s="563"/>
      <c r="P392" s="563"/>
      <c r="Q392" s="563"/>
      <c r="R392" s="563"/>
      <c r="S392" s="563"/>
      <c r="T392" s="563"/>
      <c r="U392" s="563"/>
      <c r="V392" s="563"/>
      <c r="W392" s="563"/>
      <c r="X392" s="563"/>
      <c r="Y392" s="563"/>
      <c r="Z392" s="563"/>
      <c r="AA392" s="563"/>
      <c r="AB392" s="563"/>
      <c r="AC392" s="563"/>
      <c r="AD392" s="563"/>
      <c r="AE392" s="563"/>
      <c r="AF392" s="563"/>
      <c r="AG392" s="563"/>
      <c r="AH392" s="563"/>
      <c r="AI392" s="563"/>
      <c r="AJ392" s="563"/>
      <c r="AK392" s="563"/>
      <c r="AL392" s="563"/>
      <c r="AM392" s="113">
        <f t="shared" si="6"/>
        <v>0</v>
      </c>
      <c r="AN392" s="561">
        <f>IF(AO392&lt;=3,(IF(AND(G392="5/24",AM392&gt;2),(AM392*2*база!$M$6*Таблица14[[#This Row],[коэф]]),
IF(AND(G392="4/24",AM392&gt;2),(AM392*2*база!$M$5*Таблица14[[#This Row],[коэф]]),
IF(AND(G392="3/24",AM392&gt;2),(AM392*2*база!$M$4*Таблица14[[#This Row],[коэф]]),
IF(AND(G392="5/16",AM392&gt;2),(AM392*2*база!$L$6*Таблица14[[#This Row],[коэф]]),
IF(AND(G392="4/16",AM392&gt;2),(AM392*2*база!$L$5*Таблица14[[#This Row],[коэф]]),
IF(AND(G392="3/16",AM392&gt;2),(AM392*2*база!$L$4*Таблица14[[#This Row],[коэф]]),
IF(AND(G392="4/4",AM392&gt;2),(AM392*2*база!$I$5*Таблица14[[#This Row],[коэф]]),
IF(AND(G392="3/4",AM392&gt;2),(AM392*2*база!$I$4*Таблица14[[#This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(AM392*2*база!$L$4*Таблица14[[#This Row],[коэф]]))))))))))))),
(IF(AND(G392="5/24",AM392&gt;2),(AM392*2*база!$M$6*Таблица14[[#This Row],[коэф]]),
IF(OR(AND(G392="4/24",AM392&gt;2),AND(G392="3/24",AM392&gt;2)),(AM392*2*база!$M$5*Таблица14[[#This Row],[коэф]]),
IF(AND(G392="5/16",AM392&gt;2),(AM392*2*база!$L$6*Таблица14[[#This Row],[коэф]]),
IF(OR(AND(G392="4/16",AM392&gt;2),AND(G392="3/16",AM392&gt;2)),(AM392*2*база!$L$5*Таблица14[[#This Row],[коэф]]),
IF(OR(AND(G392="4/4",AM392&gt;2),AND(G392="3/4",AM392&gt;2)),(AM392*2*база!$I$5*Таблица14[[#This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(AM392*2*база!$L$5*Таблица14[[#This Row],[коэф]])))))))))))</f>
        <v>0</v>
      </c>
      <c r="AO392" s="114">
        <f>IFERROR(INDEX(база!$D$2:$D$120, MATCH(Таблица14[[#This Row],[Ф. И. О.]],база!$B$2:$B$100,0)),"")</f>
        <v>0</v>
      </c>
    </row>
    <row r="393" spans="1:41">
      <c r="A393" s="192"/>
      <c r="B393" s="223"/>
      <c r="C393" s="543"/>
      <c r="D393" s="190"/>
      <c r="E393" s="226"/>
      <c r="F393" s="652"/>
      <c r="G393" s="191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113">
        <f t="shared" si="6"/>
        <v>0</v>
      </c>
      <c r="AN393" s="540">
        <f>IF(AO393&lt;=3,(IF(AND(G393="5/24",AM393&gt;2),(AM393*2*база!$M$6*Таблица14[[#This Row],[коэф]]),
IF(AND(G393="4/24",AM393&gt;2),(AM393*2*база!$M$5*Таблица14[[#This Row],[коэф]]),
IF(AND(G393="3/24",AM393&gt;2),(AM393*2*база!$M$4*Таблица14[[#This Row],[коэф]]),
IF(AND(G393="5/16",AM393&gt;2),(AM393*2*база!$L$6*Таблица14[[#This Row],[коэф]]),
IF(AND(G393="4/16",AM393&gt;2),(AM393*2*база!$L$5*Таблица14[[#This Row],[коэф]]),
IF(AND(G393="3/16",AM393&gt;2),(AM393*2*база!$L$4*Таблица14[[#This Row],[коэф]]),
IF(AND(G393="4/4",AM393&gt;2),(AM393*2*база!$I$5*Таблица14[[#This Row],[коэф]]),
IF(AND(G393="3/4",AM393&gt;2),(AM393*2*база!$I$4*Таблица14[[#This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(AM393*2*база!$L$4*Таблица14[[#This Row],[коэф]]))))))))))))),
(IF(AND(G393="5/24",AM393&gt;2),(AM393*2*база!$M$6*Таблица14[[#This Row],[коэф]]),
IF(OR(AND(G393="4/24",AM393&gt;2),AND(G393="3/24",AM393&gt;2)),(AM393*2*база!$M$5*Таблица14[[#This Row],[коэф]]),
IF(AND(G393="5/16",AM393&gt;2),(AM393*2*база!$L$6*Таблица14[[#This Row],[коэф]]),
IF(OR(AND(G393="4/16",AM393&gt;2),AND(G393="3/16",AM393&gt;2)),(AM393*2*база!$L$5*Таблица14[[#This Row],[коэф]]),
IF(OR(AND(G393="4/4",AM393&gt;2),AND(G393="3/4",AM393&gt;2)),(AM393*2*база!$I$5*Таблица14[[#This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(AM393*2*база!$L$5*Таблица14[[#This Row],[коэф]])))))))))))</f>
        <v>0</v>
      </c>
      <c r="AO393" s="114">
        <f>IFERROR(INDEX(база!$D$2:$D$120, MATCH(Таблица14[[#This Row],[Ф. И. О.]],база!$B$2:$B$100,0)),"")</f>
        <v>0</v>
      </c>
    </row>
    <row r="394" spans="1:41">
      <c r="A394" s="192"/>
      <c r="B394" s="189"/>
      <c r="C394" s="619"/>
      <c r="D394" s="562"/>
      <c r="E394" s="226"/>
      <c r="F394" s="651"/>
      <c r="G394" s="225"/>
      <c r="H394" s="563"/>
      <c r="I394" s="563"/>
      <c r="J394" s="563"/>
      <c r="K394" s="563"/>
      <c r="L394" s="563"/>
      <c r="M394" s="563"/>
      <c r="N394" s="563"/>
      <c r="O394" s="563"/>
      <c r="P394" s="563"/>
      <c r="Q394" s="563"/>
      <c r="R394" s="563"/>
      <c r="S394" s="563"/>
      <c r="T394" s="563"/>
      <c r="U394" s="563"/>
      <c r="V394" s="563"/>
      <c r="W394" s="563"/>
      <c r="X394" s="563"/>
      <c r="Y394" s="563"/>
      <c r="Z394" s="563"/>
      <c r="AA394" s="563"/>
      <c r="AB394" s="563"/>
      <c r="AC394" s="563"/>
      <c r="AD394" s="563"/>
      <c r="AE394" s="563"/>
      <c r="AF394" s="563"/>
      <c r="AG394" s="563"/>
      <c r="AH394" s="563"/>
      <c r="AI394" s="563"/>
      <c r="AJ394" s="563"/>
      <c r="AK394" s="563"/>
      <c r="AL394" s="563"/>
      <c r="AM394" s="113">
        <f t="shared" si="6"/>
        <v>0</v>
      </c>
      <c r="AN394" s="561">
        <f>IF(AO394&lt;=3,(IF(AND(G394="5/24",AM394&gt;2),(AM394*2*база!$M$6*Таблица14[[#This Row],[коэф]]),
IF(AND(G394="4/24",AM394&gt;2),(AM394*2*база!$M$5*Таблица14[[#This Row],[коэф]]),
IF(AND(G394="3/24",AM394&gt;2),(AM394*2*база!$M$4*Таблица14[[#This Row],[коэф]]),
IF(AND(G394="5/16",AM394&gt;2),(AM394*2*база!$L$6*Таблица14[[#This Row],[коэф]]),
IF(AND(G394="4/16",AM394&gt;2),(AM394*2*база!$L$5*Таблица14[[#This Row],[коэф]]),
IF(AND(G394="3/16",AM394&gt;2),(AM394*2*база!$L$4*Таблица14[[#This Row],[коэф]]),
IF(AND(G394="4/4",AM394&gt;2),(AM394*2*база!$I$5*Таблица14[[#This Row],[коэф]]),
IF(AND(G394="3/4",AM394&gt;2),(AM394*2*база!$I$4*Таблица14[[#This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(AM394*2*база!$L$4*Таблица14[[#This Row],[коэф]]))))))))))))),
(IF(AND(G394="5/24",AM394&gt;2),(AM394*2*база!$M$6*Таблица14[[#This Row],[коэф]]),
IF(OR(AND(G394="4/24",AM394&gt;2),AND(G394="3/24",AM394&gt;2)),(AM394*2*база!$M$5*Таблица14[[#This Row],[коэф]]),
IF(AND(G394="5/16",AM394&gt;2),(AM394*2*база!$L$6*Таблица14[[#This Row],[коэф]]),
IF(OR(AND(G394="4/16",AM394&gt;2),AND(G394="3/16",AM394&gt;2)),(AM394*2*база!$L$5*Таблица14[[#This Row],[коэф]]),
IF(OR(AND(G394="4/4",AM394&gt;2),AND(G394="3/4",AM394&gt;2)),(AM394*2*база!$I$5*Таблица14[[#This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(AM394*2*база!$L$5*Таблица14[[#This Row],[коэф]])))))))))))</f>
        <v>0</v>
      </c>
      <c r="AO394" s="114">
        <f>IFERROR(INDEX(база!$D$2:$D$120, MATCH(Таблица14[[#This Row],[Ф. И. О.]],база!$B$2:$B$100,0)),"")</f>
        <v>0</v>
      </c>
    </row>
    <row r="395" spans="1:41">
      <c r="A395" s="192"/>
      <c r="B395" s="223"/>
      <c r="C395" s="543"/>
      <c r="D395" s="190"/>
      <c r="E395" s="226"/>
      <c r="F395" s="652"/>
      <c r="G395" s="191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113">
        <f t="shared" si="6"/>
        <v>0</v>
      </c>
      <c r="AN395" s="540">
        <f>IF(AO395&lt;=3,(IF(AND(G395="5/24",AM395&gt;2),(AM395*2*база!$M$6*Таблица14[[#This Row],[коэф]]),
IF(AND(G395="4/24",AM395&gt;2),(AM395*2*база!$M$5*Таблица14[[#This Row],[коэф]]),
IF(AND(G395="3/24",AM395&gt;2),(AM395*2*база!$M$4*Таблица14[[#This Row],[коэф]]),
IF(AND(G395="5/16",AM395&gt;2),(AM395*2*база!$L$6*Таблица14[[#This Row],[коэф]]),
IF(AND(G395="4/16",AM395&gt;2),(AM395*2*база!$L$5*Таблица14[[#This Row],[коэф]]),
IF(AND(G395="3/16",AM395&gt;2),(AM395*2*база!$L$4*Таблица14[[#This Row],[коэф]]),
IF(AND(G395="4/4",AM395&gt;2),(AM395*2*база!$I$5*Таблица14[[#This Row],[коэф]]),
IF(AND(G395="3/4",AM395&gt;2),(AM395*2*база!$I$4*Таблица14[[#This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(AM395*2*база!$L$4*Таблица14[[#This Row],[коэф]]))))))))))))),
(IF(AND(G395="5/24",AM395&gt;2),(AM395*2*база!$M$6*Таблица14[[#This Row],[коэф]]),
IF(OR(AND(G395="4/24",AM395&gt;2),AND(G395="3/24",AM395&gt;2)),(AM395*2*база!$M$5*Таблица14[[#This Row],[коэф]]),
IF(AND(G395="5/16",AM395&gt;2),(AM395*2*база!$L$6*Таблица14[[#This Row],[коэф]]),
IF(OR(AND(G395="4/16",AM395&gt;2),AND(G395="3/16",AM395&gt;2)),(AM395*2*база!$L$5*Таблица14[[#This Row],[коэф]]),
IF(OR(AND(G395="4/4",AM395&gt;2),AND(G395="3/4",AM395&gt;2)),(AM395*2*база!$I$5*Таблица14[[#This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(AM395*2*база!$L$5*Таблица14[[#This Row],[коэф]])))))))))))</f>
        <v>0</v>
      </c>
      <c r="AO395" s="114">
        <f>IFERROR(INDEX(база!$D$2:$D$120, MATCH(Таблица14[[#This Row],[Ф. И. О.]],база!$B$2:$B$100,0)),"")</f>
        <v>0</v>
      </c>
    </row>
    <row r="396" spans="1:41">
      <c r="A396" s="192"/>
      <c r="B396" s="189"/>
      <c r="C396" s="619"/>
      <c r="D396" s="562"/>
      <c r="E396" s="226"/>
      <c r="F396" s="652"/>
      <c r="G396" s="225"/>
      <c r="H396" s="563"/>
      <c r="I396" s="563"/>
      <c r="J396" s="563"/>
      <c r="K396" s="563"/>
      <c r="L396" s="563"/>
      <c r="M396" s="563"/>
      <c r="N396" s="563"/>
      <c r="O396" s="563"/>
      <c r="P396" s="563"/>
      <c r="Q396" s="563"/>
      <c r="R396" s="563"/>
      <c r="S396" s="563"/>
      <c r="T396" s="563"/>
      <c r="U396" s="563"/>
      <c r="V396" s="563"/>
      <c r="W396" s="563"/>
      <c r="X396" s="563"/>
      <c r="Y396" s="563"/>
      <c r="Z396" s="563"/>
      <c r="AA396" s="563"/>
      <c r="AB396" s="563"/>
      <c r="AC396" s="563"/>
      <c r="AD396" s="563"/>
      <c r="AE396" s="563"/>
      <c r="AF396" s="563"/>
      <c r="AG396" s="563"/>
      <c r="AH396" s="563"/>
      <c r="AI396" s="563"/>
      <c r="AJ396" s="563"/>
      <c r="AK396" s="563"/>
      <c r="AL396" s="563"/>
      <c r="AM396" s="113">
        <f t="shared" si="6"/>
        <v>0</v>
      </c>
      <c r="AN396" s="561">
        <f>IF(AO396&lt;=3,(IF(AND(G396="5/24",AM396&gt;2),(AM396*2*база!$M$6*Таблица14[[#This Row],[коэф]]),
IF(AND(G396="4/24",AM396&gt;2),(AM396*2*база!$M$5*Таблица14[[#This Row],[коэф]]),
IF(AND(G396="3/24",AM396&gt;2),(AM396*2*база!$M$4*Таблица14[[#This Row],[коэф]]),
IF(AND(G396="5/16",AM396&gt;2),(AM396*2*база!$L$6*Таблица14[[#This Row],[коэф]]),
IF(AND(G396="4/16",AM396&gt;2),(AM396*2*база!$L$5*Таблица14[[#This Row],[коэф]]),
IF(AND(G396="3/16",AM396&gt;2),(AM396*2*база!$L$4*Таблица14[[#This Row],[коэф]]),
IF(AND(G396="4/4",AM396&gt;2),(AM396*2*база!$I$5*Таблица14[[#This Row],[коэф]]),
IF(AND(G396="3/4",AM396&gt;2),(AM396*2*база!$I$4*Таблица14[[#This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(AM396*2*база!$L$4*Таблица14[[#This Row],[коэф]]))))))))))))),
(IF(AND(G396="5/24",AM396&gt;2),(AM396*2*база!$M$6*Таблица14[[#This Row],[коэф]]),
IF(OR(AND(G396="4/24",AM396&gt;2),AND(G396="3/24",AM396&gt;2)),(AM396*2*база!$M$5*Таблица14[[#This Row],[коэф]]),
IF(AND(G396="5/16",AM396&gt;2),(AM396*2*база!$L$6*Таблица14[[#This Row],[коэф]]),
IF(OR(AND(G396="4/16",AM396&gt;2),AND(G396="3/16",AM396&gt;2)),(AM396*2*база!$L$5*Таблица14[[#This Row],[коэф]]),
IF(OR(AND(G396="4/4",AM396&gt;2),AND(G396="3/4",AM396&gt;2)),(AM396*2*база!$I$5*Таблица14[[#This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(AM396*2*база!$L$5*Таблица14[[#This Row],[коэф]])))))))))))</f>
        <v>0</v>
      </c>
      <c r="AO396" s="114">
        <f>IFERROR(INDEX(база!$D$2:$D$120, MATCH(Таблица14[[#This Row],[Ф. И. О.]],база!$B$2:$B$100,0)),"")</f>
        <v>0</v>
      </c>
    </row>
    <row r="397" spans="1:41">
      <c r="A397" s="192"/>
      <c r="B397" s="223"/>
      <c r="C397" s="543"/>
      <c r="D397" s="190"/>
      <c r="E397" s="226"/>
      <c r="F397" s="651"/>
      <c r="G397" s="191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113">
        <f t="shared" si="6"/>
        <v>0</v>
      </c>
      <c r="AN397" s="540">
        <f>IF(AO397&lt;=3,(IF(AND(G397="5/24",AM397&gt;2),(AM397*2*база!$M$6*Таблица14[[#This Row],[коэф]]),
IF(AND(G397="4/24",AM397&gt;2),(AM397*2*база!$M$5*Таблица14[[#This Row],[коэф]]),
IF(AND(G397="3/24",AM397&gt;2),(AM397*2*база!$M$4*Таблица14[[#This Row],[коэф]]),
IF(AND(G397="5/16",AM397&gt;2),(AM397*2*база!$L$6*Таблица14[[#This Row],[коэф]]),
IF(AND(G397="4/16",AM397&gt;2),(AM397*2*база!$L$5*Таблица14[[#This Row],[коэф]]),
IF(AND(G397="3/16",AM397&gt;2),(AM397*2*база!$L$4*Таблица14[[#This Row],[коэф]]),
IF(AND(G397="4/4",AM397&gt;2),(AM397*2*база!$I$5*Таблица14[[#This Row],[коэф]]),
IF(AND(G397="3/4",AM397&gt;2),(AM397*2*база!$I$4*Таблица14[[#This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(AM397*2*база!$L$4*Таблица14[[#This Row],[коэф]]))))))))))))),
(IF(AND(G397="5/24",AM397&gt;2),(AM397*2*база!$M$6*Таблица14[[#This Row],[коэф]]),
IF(OR(AND(G397="4/24",AM397&gt;2),AND(G397="3/24",AM397&gt;2)),(AM397*2*база!$M$5*Таблица14[[#This Row],[коэф]]),
IF(AND(G397="5/16",AM397&gt;2),(AM397*2*база!$L$6*Таблица14[[#This Row],[коэф]]),
IF(OR(AND(G397="4/16",AM397&gt;2),AND(G397="3/16",AM397&gt;2)),(AM397*2*база!$L$5*Таблица14[[#This Row],[коэф]]),
IF(OR(AND(G397="4/4",AM397&gt;2),AND(G397="3/4",AM397&gt;2)),(AM397*2*база!$I$5*Таблица14[[#This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(AM397*2*база!$L$5*Таблица14[[#This Row],[коэф]])))))))))))</f>
        <v>0</v>
      </c>
      <c r="AO397" s="114">
        <f>IFERROR(INDEX(база!$D$2:$D$120, MATCH(Таблица14[[#This Row],[Ф. И. О.]],база!$B$2:$B$100,0)),"")</f>
        <v>0</v>
      </c>
    </row>
    <row r="398" spans="1:41">
      <c r="A398" s="192"/>
      <c r="B398" s="189"/>
      <c r="C398" s="619"/>
      <c r="D398" s="562"/>
      <c r="E398" s="226"/>
      <c r="F398" s="651"/>
      <c r="G398" s="225"/>
      <c r="H398" s="563"/>
      <c r="I398" s="563"/>
      <c r="J398" s="563"/>
      <c r="K398" s="563"/>
      <c r="L398" s="563"/>
      <c r="M398" s="563"/>
      <c r="N398" s="563"/>
      <c r="O398" s="563"/>
      <c r="P398" s="563"/>
      <c r="Q398" s="563"/>
      <c r="R398" s="563"/>
      <c r="S398" s="563"/>
      <c r="T398" s="563"/>
      <c r="U398" s="563"/>
      <c r="V398" s="563"/>
      <c r="W398" s="563"/>
      <c r="X398" s="563"/>
      <c r="Y398" s="563"/>
      <c r="Z398" s="563"/>
      <c r="AA398" s="563"/>
      <c r="AB398" s="563"/>
      <c r="AC398" s="563"/>
      <c r="AD398" s="563"/>
      <c r="AE398" s="563"/>
      <c r="AF398" s="563"/>
      <c r="AG398" s="563"/>
      <c r="AH398" s="563"/>
      <c r="AI398" s="563"/>
      <c r="AJ398" s="563"/>
      <c r="AK398" s="563"/>
      <c r="AL398" s="563"/>
      <c r="AM398" s="113">
        <f t="shared" si="6"/>
        <v>0</v>
      </c>
      <c r="AN398" s="561">
        <f>IF(AO398&lt;=3,(IF(AND(G398="5/24",AM398&gt;2),(AM398*2*база!$M$6*Таблица14[[#This Row],[коэф]]),
IF(AND(G398="4/24",AM398&gt;2),(AM398*2*база!$M$5*Таблица14[[#This Row],[коэф]]),
IF(AND(G398="3/24",AM398&gt;2),(AM398*2*база!$M$4*Таблица14[[#This Row],[коэф]]),
IF(AND(G398="5/16",AM398&gt;2),(AM398*2*база!$L$6*Таблица14[[#This Row],[коэф]]),
IF(AND(G398="4/16",AM398&gt;2),(AM398*2*база!$L$5*Таблица14[[#This Row],[коэф]]),
IF(AND(G398="3/16",AM398&gt;2),(AM398*2*база!$L$4*Таблица14[[#This Row],[коэф]]),
IF(AND(G398="4/4",AM398&gt;2),(AM398*2*база!$I$5*Таблица14[[#This Row],[коэф]]),
IF(AND(G398="3/4",AM398&gt;2),(AM398*2*база!$I$4*Таблица14[[#This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(AM398*2*база!$L$4*Таблица14[[#This Row],[коэф]]))))))))))))),
(IF(AND(G398="5/24",AM398&gt;2),(AM398*2*база!$M$6*Таблица14[[#This Row],[коэф]]),
IF(OR(AND(G398="4/24",AM398&gt;2),AND(G398="3/24",AM398&gt;2)),(AM398*2*база!$M$5*Таблица14[[#This Row],[коэф]]),
IF(AND(G398="5/16",AM398&gt;2),(AM398*2*база!$L$6*Таблица14[[#This Row],[коэф]]),
IF(OR(AND(G398="4/16",AM398&gt;2),AND(G398="3/16",AM398&gt;2)),(AM398*2*база!$L$5*Таблица14[[#This Row],[коэф]]),
IF(OR(AND(G398="4/4",AM398&gt;2),AND(G398="3/4",AM398&gt;2)),(AM398*2*база!$I$5*Таблица14[[#This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(AM398*2*база!$L$5*Таблица14[[#This Row],[коэф]])))))))))))</f>
        <v>0</v>
      </c>
      <c r="AO398" s="114">
        <f>IFERROR(INDEX(база!$D$2:$D$120, MATCH(Таблица14[[#This Row],[Ф. И. О.]],база!$B$2:$B$100,0)),"")</f>
        <v>0</v>
      </c>
    </row>
    <row r="399" spans="1:41">
      <c r="A399" s="192"/>
      <c r="B399" s="223"/>
      <c r="C399" s="543"/>
      <c r="D399" s="190"/>
      <c r="E399" s="226"/>
      <c r="F399" s="651"/>
      <c r="G399" s="191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113">
        <f t="shared" si="6"/>
        <v>0</v>
      </c>
      <c r="AN399" s="540">
        <f>IF(AO399&lt;=3,(IF(AND(G399="5/24",AM399&gt;2),(AM399*2*база!$M$6*Таблица14[[#This Row],[коэф]]),
IF(AND(G399="4/24",AM399&gt;2),(AM399*2*база!$M$5*Таблица14[[#This Row],[коэф]]),
IF(AND(G399="3/24",AM399&gt;2),(AM399*2*база!$M$4*Таблица14[[#This Row],[коэф]]),
IF(AND(G399="5/16",AM399&gt;2),(AM399*2*база!$L$6*Таблица14[[#This Row],[коэф]]),
IF(AND(G399="4/16",AM399&gt;2),(AM399*2*база!$L$5*Таблица14[[#This Row],[коэф]]),
IF(AND(G399="3/16",AM399&gt;2),(AM399*2*база!$L$4*Таблица14[[#This Row],[коэф]]),
IF(AND(G399="4/4",AM399&gt;2),(AM399*2*база!$I$5*Таблица14[[#This Row],[коэф]]),
IF(AND(G399="3/4",AM399&gt;2),(AM399*2*база!$I$4*Таблица14[[#This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(AM399*2*база!$L$4*Таблица14[[#This Row],[коэф]]))))))))))))),
(IF(AND(G399="5/24",AM399&gt;2),(AM399*2*база!$M$6*Таблица14[[#This Row],[коэф]]),
IF(OR(AND(G399="4/24",AM399&gt;2),AND(G399="3/24",AM399&gt;2)),(AM399*2*база!$M$5*Таблица14[[#This Row],[коэф]]),
IF(AND(G399="5/16",AM399&gt;2),(AM399*2*база!$L$6*Таблица14[[#This Row],[коэф]]),
IF(OR(AND(G399="4/16",AM399&gt;2),AND(G399="3/16",AM399&gt;2)),(AM399*2*база!$L$5*Таблица14[[#This Row],[коэф]]),
IF(OR(AND(G399="4/4",AM399&gt;2),AND(G399="3/4",AM399&gt;2)),(AM399*2*база!$I$5*Таблица14[[#This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(AM399*2*база!$L$5*Таблица14[[#This Row],[коэф]])))))))))))</f>
        <v>0</v>
      </c>
      <c r="AO399" s="114">
        <f>IFERROR(INDEX(база!$D$2:$D$120, MATCH(Таблица14[[#This Row],[Ф. И. О.]],база!$B$2:$B$100,0)),"")</f>
        <v>0</v>
      </c>
    </row>
    <row r="400" spans="1:41">
      <c r="A400" s="192"/>
      <c r="B400" s="189"/>
      <c r="C400" s="619"/>
      <c r="D400" s="562"/>
      <c r="E400" s="226"/>
      <c r="F400" s="651"/>
      <c r="G400" s="225"/>
      <c r="H400" s="563"/>
      <c r="I400" s="563"/>
      <c r="J400" s="563"/>
      <c r="K400" s="563"/>
      <c r="L400" s="563"/>
      <c r="M400" s="563"/>
      <c r="N400" s="563"/>
      <c r="O400" s="563"/>
      <c r="P400" s="563"/>
      <c r="Q400" s="563"/>
      <c r="R400" s="563"/>
      <c r="S400" s="563"/>
      <c r="T400" s="563"/>
      <c r="U400" s="563"/>
      <c r="V400" s="563"/>
      <c r="W400" s="563"/>
      <c r="X400" s="563"/>
      <c r="Y400" s="563"/>
      <c r="Z400" s="563"/>
      <c r="AA400" s="563"/>
      <c r="AB400" s="563"/>
      <c r="AC400" s="563"/>
      <c r="AD400" s="563"/>
      <c r="AE400" s="563"/>
      <c r="AF400" s="563"/>
      <c r="AG400" s="563"/>
      <c r="AH400" s="563"/>
      <c r="AI400" s="563"/>
      <c r="AJ400" s="563"/>
      <c r="AK400" s="563"/>
      <c r="AL400" s="563"/>
      <c r="AM400" s="113">
        <f t="shared" si="6"/>
        <v>0</v>
      </c>
      <c r="AN400" s="561">
        <f>IF(AO400&lt;=3,(IF(AND(G400="5/24",AM400&gt;2),(AM400*2*база!$M$6*Таблица14[[#This Row],[коэф]]),
IF(AND(G400="4/24",AM400&gt;2),(AM400*2*база!$M$5*Таблица14[[#This Row],[коэф]]),
IF(AND(G400="3/24",AM400&gt;2),(AM400*2*база!$M$4*Таблица14[[#This Row],[коэф]]),
IF(AND(G400="5/16",AM400&gt;2),(AM400*2*база!$L$6*Таблица14[[#This Row],[коэф]]),
IF(AND(G400="4/16",AM400&gt;2),(AM400*2*база!$L$5*Таблица14[[#This Row],[коэф]]),
IF(AND(G400="3/16",AM400&gt;2),(AM400*2*база!$L$4*Таблица14[[#This Row],[коэф]]),
IF(AND(G400="4/4",AM400&gt;2),(AM400*2*база!$I$5*Таблица14[[#This Row],[коэф]]),
IF(AND(G400="3/4",AM400&gt;2),(AM400*2*база!$I$4*Таблица14[[#This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(AM400*2*база!$L$4*Таблица14[[#This Row],[коэф]]))))))))))))),
(IF(AND(G400="5/24",AM400&gt;2),(AM400*2*база!$M$6*Таблица14[[#This Row],[коэф]]),
IF(OR(AND(G400="4/24",AM400&gt;2),AND(G400="3/24",AM400&gt;2)),(AM400*2*база!$M$5*Таблица14[[#This Row],[коэф]]),
IF(AND(G400="5/16",AM400&gt;2),(AM400*2*база!$L$6*Таблица14[[#This Row],[коэф]]),
IF(OR(AND(G400="4/16",AM400&gt;2),AND(G400="3/16",AM400&gt;2)),(AM400*2*база!$L$5*Таблица14[[#This Row],[коэф]]),
IF(OR(AND(G400="4/4",AM400&gt;2),AND(G400="3/4",AM400&gt;2)),(AM400*2*база!$I$5*Таблица14[[#This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(AM400*2*база!$L$5*Таблица14[[#This Row],[коэф]])))))))))))</f>
        <v>0</v>
      </c>
      <c r="AO400" s="114">
        <f>IFERROR(INDEX(база!$D$2:$D$120, MATCH(Таблица14[[#This Row],[Ф. И. О.]],база!$B$2:$B$100,0)),"")</f>
        <v>0</v>
      </c>
    </row>
    <row r="401" spans="1:41">
      <c r="A401" s="192"/>
      <c r="B401" s="223"/>
      <c r="C401" s="543"/>
      <c r="D401" s="190"/>
      <c r="E401" s="226"/>
      <c r="F401" s="651"/>
      <c r="G401" s="191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113">
        <f t="shared" si="6"/>
        <v>0</v>
      </c>
      <c r="AN401" s="540">
        <f>IF(AO401&lt;=3,(IF(AND(G401="5/24",AM401&gt;2),(AM401*2*база!$M$6*Таблица14[[#This Row],[коэф]]),
IF(AND(G401="4/24",AM401&gt;2),(AM401*2*база!$M$5*Таблица14[[#This Row],[коэф]]),
IF(AND(G401="3/24",AM401&gt;2),(AM401*2*база!$M$4*Таблица14[[#This Row],[коэф]]),
IF(AND(G401="5/16",AM401&gt;2),(AM401*2*база!$L$6*Таблица14[[#This Row],[коэф]]),
IF(AND(G401="4/16",AM401&gt;2),(AM401*2*база!$L$5*Таблица14[[#This Row],[коэф]]),
IF(AND(G401="3/16",AM401&gt;2),(AM401*2*база!$L$4*Таблица14[[#This Row],[коэф]]),
IF(AND(G401="4/4",AM401&gt;2),(AM401*2*база!$I$5*Таблица14[[#This Row],[коэф]]),
IF(AND(G401="3/4",AM401&gt;2),(AM401*2*база!$I$4*Таблица14[[#This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(AM401*2*база!$L$4*Таблица14[[#This Row],[коэф]]))))))))))))),
(IF(AND(G401="5/24",AM401&gt;2),(AM401*2*база!$M$6*Таблица14[[#This Row],[коэф]]),
IF(OR(AND(G401="4/24",AM401&gt;2),AND(G401="3/24",AM401&gt;2)),(AM401*2*база!$M$5*Таблица14[[#This Row],[коэф]]),
IF(AND(G401="5/16",AM401&gt;2),(AM401*2*база!$L$6*Таблица14[[#This Row],[коэф]]),
IF(OR(AND(G401="4/16",AM401&gt;2),AND(G401="3/16",AM401&gt;2)),(AM401*2*база!$L$5*Таблица14[[#This Row],[коэф]]),
IF(OR(AND(G401="4/4",AM401&gt;2),AND(G401="3/4",AM401&gt;2)),(AM401*2*база!$I$5*Таблица14[[#This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(AM401*2*база!$L$5*Таблица14[[#This Row],[коэф]])))))))))))</f>
        <v>0</v>
      </c>
      <c r="AO401" s="114">
        <f>IFERROR(INDEX(база!$D$2:$D$120, MATCH(Таблица14[[#This Row],[Ф. И. О.]],база!$B$2:$B$100,0)),"")</f>
        <v>0</v>
      </c>
    </row>
    <row r="402" spans="1:41">
      <c r="A402" s="192"/>
      <c r="B402" s="189"/>
      <c r="C402" s="619"/>
      <c r="D402" s="562"/>
      <c r="E402" s="226"/>
      <c r="F402" s="651"/>
      <c r="G402" s="225"/>
      <c r="H402" s="563"/>
      <c r="I402" s="563"/>
      <c r="J402" s="563"/>
      <c r="K402" s="563"/>
      <c r="L402" s="563"/>
      <c r="M402" s="563"/>
      <c r="N402" s="563"/>
      <c r="O402" s="563"/>
      <c r="P402" s="563"/>
      <c r="Q402" s="563"/>
      <c r="R402" s="563"/>
      <c r="S402" s="563"/>
      <c r="T402" s="563"/>
      <c r="U402" s="563"/>
      <c r="V402" s="563"/>
      <c r="W402" s="563"/>
      <c r="X402" s="563"/>
      <c r="Y402" s="563"/>
      <c r="Z402" s="563"/>
      <c r="AA402" s="563"/>
      <c r="AB402" s="563"/>
      <c r="AC402" s="563"/>
      <c r="AD402" s="563"/>
      <c r="AE402" s="563"/>
      <c r="AF402" s="563"/>
      <c r="AG402" s="563"/>
      <c r="AH402" s="563"/>
      <c r="AI402" s="563"/>
      <c r="AJ402" s="563"/>
      <c r="AK402" s="563"/>
      <c r="AL402" s="563"/>
      <c r="AM402" s="113">
        <f t="shared" si="6"/>
        <v>0</v>
      </c>
      <c r="AN402" s="561">
        <f>IF(AO402&lt;=3,(IF(AND(G402="5/24",AM402&gt;2),(AM402*2*база!$M$6*Таблица14[[#This Row],[коэф]]),
IF(AND(G402="4/24",AM402&gt;2),(AM402*2*база!$M$5*Таблица14[[#This Row],[коэф]]),
IF(AND(G402="3/24",AM402&gt;2),(AM402*2*база!$M$4*Таблица14[[#This Row],[коэф]]),
IF(AND(G402="5/16",AM402&gt;2),(AM402*2*база!$L$6*Таблица14[[#This Row],[коэф]]),
IF(AND(G402="4/16",AM402&gt;2),(AM402*2*база!$L$5*Таблица14[[#This Row],[коэф]]),
IF(AND(G402="3/16",AM402&gt;2),(AM402*2*база!$L$4*Таблица14[[#This Row],[коэф]]),
IF(AND(G402="4/4",AM402&gt;2),(AM402*2*база!$I$5*Таблица14[[#This Row],[коэф]]),
IF(AND(G402="3/4",AM402&gt;2),(AM402*2*база!$I$4*Таблица14[[#This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(AM402*2*база!$L$4*Таблица14[[#This Row],[коэф]]))))))))))))),
(IF(AND(G402="5/24",AM402&gt;2),(AM402*2*база!$M$6*Таблица14[[#This Row],[коэф]]),
IF(OR(AND(G402="4/24",AM402&gt;2),AND(G402="3/24",AM402&gt;2)),(AM402*2*база!$M$5*Таблица14[[#This Row],[коэф]]),
IF(AND(G402="5/16",AM402&gt;2),(AM402*2*база!$L$6*Таблица14[[#This Row],[коэф]]),
IF(OR(AND(G402="4/16",AM402&gt;2),AND(G402="3/16",AM402&gt;2)),(AM402*2*база!$L$5*Таблица14[[#This Row],[коэф]]),
IF(OR(AND(G402="4/4",AM402&gt;2),AND(G402="3/4",AM402&gt;2)),(AM402*2*база!$I$5*Таблица14[[#This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(AM402*2*база!$L$5*Таблица14[[#This Row],[коэф]])))))))))))</f>
        <v>0</v>
      </c>
      <c r="AO402" s="114">
        <f>IFERROR(INDEX(база!$D$2:$D$120, MATCH(Таблица14[[#This Row],[Ф. И. О.]],база!$B$2:$B$100,0)),"")</f>
        <v>0</v>
      </c>
    </row>
    <row r="403" spans="1:41">
      <c r="A403" s="192"/>
      <c r="B403" s="223"/>
      <c r="C403" s="543"/>
      <c r="D403" s="190"/>
      <c r="E403" s="226"/>
      <c r="F403" s="651"/>
      <c r="G403" s="191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113">
        <f t="shared" si="6"/>
        <v>0</v>
      </c>
      <c r="AN403" s="540">
        <f>IF(AO403&lt;=3,(IF(AND(G403="5/24",AM403&gt;2),(AM403*2*база!$M$6*Таблица14[[#This Row],[коэф]]),
IF(AND(G403="4/24",AM403&gt;2),(AM403*2*база!$M$5*Таблица14[[#This Row],[коэф]]),
IF(AND(G403="3/24",AM403&gt;2),(AM403*2*база!$M$4*Таблица14[[#This Row],[коэф]]),
IF(AND(G403="5/16",AM403&gt;2),(AM403*2*база!$L$6*Таблица14[[#This Row],[коэф]]),
IF(AND(G403="4/16",AM403&gt;2),(AM403*2*база!$L$5*Таблица14[[#This Row],[коэф]]),
IF(AND(G403="3/16",AM403&gt;2),(AM403*2*база!$L$4*Таблица14[[#This Row],[коэф]]),
IF(AND(G403="4/4",AM403&gt;2),(AM403*2*база!$I$5*Таблица14[[#This Row],[коэф]]),
IF(AND(G403="3/4",AM403&gt;2),(AM403*2*база!$I$4*Таблица14[[#This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(AM403*2*база!$L$4*Таблица14[[#This Row],[коэф]]))))))))))))),
(IF(AND(G403="5/24",AM403&gt;2),(AM403*2*база!$M$6*Таблица14[[#This Row],[коэф]]),
IF(OR(AND(G403="4/24",AM403&gt;2),AND(G403="3/24",AM403&gt;2)),(AM403*2*база!$M$5*Таблица14[[#This Row],[коэф]]),
IF(AND(G403="5/16",AM403&gt;2),(AM403*2*база!$L$6*Таблица14[[#This Row],[коэф]]),
IF(OR(AND(G403="4/16",AM403&gt;2),AND(G403="3/16",AM403&gt;2)),(AM403*2*база!$L$5*Таблица14[[#This Row],[коэф]]),
IF(OR(AND(G403="4/4",AM403&gt;2),AND(G403="3/4",AM403&gt;2)),(AM403*2*база!$I$5*Таблица14[[#This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(AM403*2*база!$L$5*Таблица14[[#This Row],[коэф]])))))))))))</f>
        <v>0</v>
      </c>
      <c r="AO403" s="114">
        <f>IFERROR(INDEX(база!$D$2:$D$120, MATCH(Таблица14[[#This Row],[Ф. И. О.]],база!$B$2:$B$100,0)),"")</f>
        <v>0</v>
      </c>
    </row>
    <row r="404" spans="1:41">
      <c r="A404" s="192"/>
      <c r="B404" s="189"/>
      <c r="C404" s="619"/>
      <c r="D404" s="562"/>
      <c r="E404" s="226"/>
      <c r="F404" s="651"/>
      <c r="G404" s="225"/>
      <c r="H404" s="563"/>
      <c r="I404" s="563"/>
      <c r="J404" s="563"/>
      <c r="K404" s="563"/>
      <c r="L404" s="563"/>
      <c r="M404" s="563"/>
      <c r="N404" s="563"/>
      <c r="O404" s="563"/>
      <c r="P404" s="563"/>
      <c r="Q404" s="563"/>
      <c r="R404" s="563"/>
      <c r="S404" s="563"/>
      <c r="T404" s="563"/>
      <c r="U404" s="563"/>
      <c r="V404" s="563"/>
      <c r="W404" s="563"/>
      <c r="X404" s="563"/>
      <c r="Y404" s="563"/>
      <c r="Z404" s="563"/>
      <c r="AA404" s="563"/>
      <c r="AB404" s="563"/>
      <c r="AC404" s="563"/>
      <c r="AD404" s="563"/>
      <c r="AE404" s="563"/>
      <c r="AF404" s="563"/>
      <c r="AG404" s="563"/>
      <c r="AH404" s="563"/>
      <c r="AI404" s="563"/>
      <c r="AJ404" s="563"/>
      <c r="AK404" s="563"/>
      <c r="AL404" s="563"/>
      <c r="AM404" s="113">
        <f t="shared" si="6"/>
        <v>0</v>
      </c>
      <c r="AN404" s="561">
        <f>IF(AO404&lt;=3,(IF(AND(G404="5/24",AM404&gt;2),(AM404*2*база!$M$6*Таблица14[[#This Row],[коэф]]),
IF(AND(G404="4/24",AM404&gt;2),(AM404*2*база!$M$5*Таблица14[[#This Row],[коэф]]),
IF(AND(G404="3/24",AM404&gt;2),(AM404*2*база!$M$4*Таблица14[[#This Row],[коэф]]),
IF(AND(G404="5/16",AM404&gt;2),(AM404*2*база!$L$6*Таблица14[[#This Row],[коэф]]),
IF(AND(G404="4/16",AM404&gt;2),(AM404*2*база!$L$5*Таблица14[[#This Row],[коэф]]),
IF(AND(G404="3/16",AM404&gt;2),(AM404*2*база!$L$4*Таблица14[[#This Row],[коэф]]),
IF(AND(G404="4/4",AM404&gt;2),(AM404*2*база!$I$5*Таблица14[[#This Row],[коэф]]),
IF(AND(G404="3/4",AM404&gt;2),(AM404*2*база!$I$4*Таблица14[[#This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(AM404*2*база!$L$4*Таблица14[[#This Row],[коэф]]))))))))))))),
(IF(AND(G404="5/24",AM404&gt;2),(AM404*2*база!$M$6*Таблица14[[#This Row],[коэф]]),
IF(OR(AND(G404="4/24",AM404&gt;2),AND(G404="3/24",AM404&gt;2)),(AM404*2*база!$M$5*Таблица14[[#This Row],[коэф]]),
IF(AND(G404="5/16",AM404&gt;2),(AM404*2*база!$L$6*Таблица14[[#This Row],[коэф]]),
IF(OR(AND(G404="4/16",AM404&gt;2),AND(G404="3/16",AM404&gt;2)),(AM404*2*база!$L$5*Таблица14[[#This Row],[коэф]]),
IF(OR(AND(G404="4/4",AM404&gt;2),AND(G404="3/4",AM404&gt;2)),(AM404*2*база!$I$5*Таблица14[[#This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(AM404*2*база!$L$5*Таблица14[[#This Row],[коэф]])))))))))))</f>
        <v>0</v>
      </c>
      <c r="AO404" s="114">
        <f>IFERROR(INDEX(база!$D$2:$D$120, MATCH(Таблица14[[#This Row],[Ф. И. О.]],база!$B$2:$B$100,0)),"")</f>
        <v>0</v>
      </c>
    </row>
    <row r="405" spans="1:41">
      <c r="A405" s="192"/>
      <c r="B405" s="223"/>
      <c r="C405" s="543"/>
      <c r="D405" s="190"/>
      <c r="E405" s="226"/>
      <c r="F405" s="651"/>
      <c r="G405" s="191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113">
        <f t="shared" si="6"/>
        <v>0</v>
      </c>
      <c r="AN405" s="540">
        <f>IF(AO405&lt;=3,(IF(AND(G405="5/24",AM405&gt;2),(AM405*2*база!$M$6*Таблица14[[#This Row],[коэф]]),
IF(AND(G405="4/24",AM405&gt;2),(AM405*2*база!$M$5*Таблица14[[#This Row],[коэф]]),
IF(AND(G405="3/24",AM405&gt;2),(AM405*2*база!$M$4*Таблица14[[#This Row],[коэф]]),
IF(AND(G405="5/16",AM405&gt;2),(AM405*2*база!$L$6*Таблица14[[#This Row],[коэф]]),
IF(AND(G405="4/16",AM405&gt;2),(AM405*2*база!$L$5*Таблица14[[#This Row],[коэф]]),
IF(AND(G405="3/16",AM405&gt;2),(AM405*2*база!$L$4*Таблица14[[#This Row],[коэф]]),
IF(AND(G405="4/4",AM405&gt;2),(AM405*2*база!$I$5*Таблица14[[#This Row],[коэф]]),
IF(AND(G405="3/4",AM405&gt;2),(AM405*2*база!$I$4*Таблица14[[#This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(AM405*2*база!$L$4*Таблица14[[#This Row],[коэф]]))))))))))))),
(IF(AND(G405="5/24",AM405&gt;2),(AM405*2*база!$M$6*Таблица14[[#This Row],[коэф]]),
IF(OR(AND(G405="4/24",AM405&gt;2),AND(G405="3/24",AM405&gt;2)),(AM405*2*база!$M$5*Таблица14[[#This Row],[коэф]]),
IF(AND(G405="5/16",AM405&gt;2),(AM405*2*база!$L$6*Таблица14[[#This Row],[коэф]]),
IF(OR(AND(G405="4/16",AM405&gt;2),AND(G405="3/16",AM405&gt;2)),(AM405*2*база!$L$5*Таблица14[[#This Row],[коэф]]),
IF(OR(AND(G405="4/4",AM405&gt;2),AND(G405="3/4",AM405&gt;2)),(AM405*2*база!$I$5*Таблица14[[#This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(AM405*2*база!$L$5*Таблица14[[#This Row],[коэф]])))))))))))</f>
        <v>0</v>
      </c>
      <c r="AO405" s="114">
        <f>IFERROR(INDEX(база!$D$2:$D$120, MATCH(Таблица14[[#This Row],[Ф. И. О.]],база!$B$2:$B$100,0)),"")</f>
        <v>0</v>
      </c>
    </row>
    <row r="406" spans="1:41">
      <c r="A406" s="192"/>
      <c r="B406" s="189"/>
      <c r="C406" s="619"/>
      <c r="D406" s="562"/>
      <c r="E406" s="226"/>
      <c r="F406" s="651"/>
      <c r="G406" s="225"/>
      <c r="H406" s="563"/>
      <c r="I406" s="563"/>
      <c r="J406" s="563"/>
      <c r="K406" s="563"/>
      <c r="L406" s="563"/>
      <c r="M406" s="563"/>
      <c r="N406" s="563"/>
      <c r="O406" s="563"/>
      <c r="P406" s="563"/>
      <c r="Q406" s="563"/>
      <c r="R406" s="563"/>
      <c r="S406" s="563"/>
      <c r="T406" s="563"/>
      <c r="U406" s="563"/>
      <c r="V406" s="563"/>
      <c r="W406" s="563"/>
      <c r="X406" s="563"/>
      <c r="Y406" s="563"/>
      <c r="Z406" s="563"/>
      <c r="AA406" s="563"/>
      <c r="AB406" s="563"/>
      <c r="AC406" s="563"/>
      <c r="AD406" s="563"/>
      <c r="AE406" s="563"/>
      <c r="AF406" s="563"/>
      <c r="AG406" s="563"/>
      <c r="AH406" s="563"/>
      <c r="AI406" s="563"/>
      <c r="AJ406" s="563"/>
      <c r="AK406" s="563"/>
      <c r="AL406" s="563"/>
      <c r="AM406" s="113">
        <f t="shared" si="6"/>
        <v>0</v>
      </c>
      <c r="AN406" s="561">
        <f>IF(AO406&lt;=3,(IF(AND(G406="5/24",AM406&gt;2),(AM406*2*база!$M$6*Таблица14[[#This Row],[коэф]]),
IF(AND(G406="4/24",AM406&gt;2),(AM406*2*база!$M$5*Таблица14[[#This Row],[коэф]]),
IF(AND(G406="3/24",AM406&gt;2),(AM406*2*база!$M$4*Таблица14[[#This Row],[коэф]]),
IF(AND(G406="5/16",AM406&gt;2),(AM406*2*база!$L$6*Таблица14[[#This Row],[коэф]]),
IF(AND(G406="4/16",AM406&gt;2),(AM406*2*база!$L$5*Таблица14[[#This Row],[коэф]]),
IF(AND(G406="3/16",AM406&gt;2),(AM406*2*база!$L$4*Таблица14[[#This Row],[коэф]]),
IF(AND(G406="4/4",AM406&gt;2),(AM406*2*база!$I$5*Таблица14[[#This Row],[коэф]]),
IF(AND(G406="3/4",AM406&gt;2),(AM406*2*база!$I$4*Таблица14[[#This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(AM406*2*база!$L$4*Таблица14[[#This Row],[коэф]]))))))))))))),
(IF(AND(G406="5/24",AM406&gt;2),(AM406*2*база!$M$6*Таблица14[[#This Row],[коэф]]),
IF(OR(AND(G406="4/24",AM406&gt;2),AND(G406="3/24",AM406&gt;2)),(AM406*2*база!$M$5*Таблица14[[#This Row],[коэф]]),
IF(AND(G406="5/16",AM406&gt;2),(AM406*2*база!$L$6*Таблица14[[#This Row],[коэф]]),
IF(OR(AND(G406="4/16",AM406&gt;2),AND(G406="3/16",AM406&gt;2)),(AM406*2*база!$L$5*Таблица14[[#This Row],[коэф]]),
IF(OR(AND(G406="4/4",AM406&gt;2),AND(G406="3/4",AM406&gt;2)),(AM406*2*база!$I$5*Таблица14[[#This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(AM406*2*база!$L$5*Таблица14[[#This Row],[коэф]])))))))))))</f>
        <v>0</v>
      </c>
      <c r="AO406" s="114">
        <f>IFERROR(INDEX(база!$D$2:$D$120, MATCH(Таблица14[[#This Row],[Ф. И. О.]],база!$B$2:$B$100,0)),"")</f>
        <v>0</v>
      </c>
    </row>
    <row r="407" spans="1:41">
      <c r="A407" s="192"/>
      <c r="B407" s="223"/>
      <c r="C407" s="543"/>
      <c r="D407" s="190"/>
      <c r="E407" s="226"/>
      <c r="F407" s="651"/>
      <c r="G407" s="191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113">
        <f t="shared" si="6"/>
        <v>0</v>
      </c>
      <c r="AN407" s="540">
        <f>IF(AO407&lt;=3,(IF(AND(G407="5/24",AM407&gt;2),(AM407*2*база!$M$6*Таблица14[[#This Row],[коэф]]),
IF(AND(G407="4/24",AM407&gt;2),(AM407*2*база!$M$5*Таблица14[[#This Row],[коэф]]),
IF(AND(G407="3/24",AM407&gt;2),(AM407*2*база!$M$4*Таблица14[[#This Row],[коэф]]),
IF(AND(G407="5/16",AM407&gt;2),(AM407*2*база!$L$6*Таблица14[[#This Row],[коэф]]),
IF(AND(G407="4/16",AM407&gt;2),(AM407*2*база!$L$5*Таблица14[[#This Row],[коэф]]),
IF(AND(G407="3/16",AM407&gt;2),(AM407*2*база!$L$4*Таблица14[[#This Row],[коэф]]),
IF(AND(G407="4/4",AM407&gt;2),(AM407*2*база!$I$5*Таблица14[[#This Row],[коэф]]),
IF(AND(G407="3/4",AM407&gt;2),(AM407*2*база!$I$4*Таблица14[[#This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(AM407*2*база!$L$4*Таблица14[[#This Row],[коэф]]))))))))))))),
(IF(AND(G407="5/24",AM407&gt;2),(AM407*2*база!$M$6*Таблица14[[#This Row],[коэф]]),
IF(OR(AND(G407="4/24",AM407&gt;2),AND(G407="3/24",AM407&gt;2)),(AM407*2*база!$M$5*Таблица14[[#This Row],[коэф]]),
IF(AND(G407="5/16",AM407&gt;2),(AM407*2*база!$L$6*Таблица14[[#This Row],[коэф]]),
IF(OR(AND(G407="4/16",AM407&gt;2),AND(G407="3/16",AM407&gt;2)),(AM407*2*база!$L$5*Таблица14[[#This Row],[коэф]]),
IF(OR(AND(G407="4/4",AM407&gt;2),AND(G407="3/4",AM407&gt;2)),(AM407*2*база!$I$5*Таблица14[[#This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(AM407*2*база!$L$5*Таблица14[[#This Row],[коэф]])))))))))))</f>
        <v>0</v>
      </c>
      <c r="AO407" s="114">
        <f>IFERROR(INDEX(база!$D$2:$D$120, MATCH(Таблица14[[#This Row],[Ф. И. О.]],база!$B$2:$B$100,0)),"")</f>
        <v>0</v>
      </c>
    </row>
    <row r="408" spans="1:41">
      <c r="A408" s="192"/>
      <c r="B408" s="189"/>
      <c r="C408" s="619"/>
      <c r="D408" s="190"/>
      <c r="E408" s="226"/>
      <c r="F408" s="651"/>
      <c r="G408" s="225"/>
      <c r="H408" s="563"/>
      <c r="I408" s="563"/>
      <c r="J408" s="563"/>
      <c r="K408" s="563"/>
      <c r="L408" s="563"/>
      <c r="M408" s="563"/>
      <c r="N408" s="563"/>
      <c r="O408" s="563"/>
      <c r="P408" s="563"/>
      <c r="Q408" s="563"/>
      <c r="R408" s="563"/>
      <c r="S408" s="563"/>
      <c r="T408" s="563"/>
      <c r="U408" s="563"/>
      <c r="V408" s="563"/>
      <c r="W408" s="563"/>
      <c r="X408" s="563"/>
      <c r="Y408" s="563"/>
      <c r="Z408" s="563"/>
      <c r="AA408" s="563"/>
      <c r="AB408" s="563"/>
      <c r="AC408" s="563"/>
      <c r="AD408" s="563"/>
      <c r="AE408" s="563"/>
      <c r="AF408" s="563"/>
      <c r="AG408" s="563"/>
      <c r="AH408" s="563"/>
      <c r="AI408" s="563"/>
      <c r="AJ408" s="563"/>
      <c r="AK408" s="563"/>
      <c r="AL408" s="563"/>
      <c r="AM408" s="113">
        <f t="shared" si="6"/>
        <v>0</v>
      </c>
      <c r="AN408" s="561">
        <f>IF(AO408&lt;=3,(IF(AND(G408="5/24",AM408&gt;2),(AM408*2*база!$M$6*Таблица14[[#This Row],[коэф]]),
IF(AND(G408="4/24",AM408&gt;2),(AM408*2*база!$M$5*Таблица14[[#This Row],[коэф]]),
IF(AND(G408="3/24",AM408&gt;2),(AM408*2*база!$M$4*Таблица14[[#This Row],[коэф]]),
IF(AND(G408="5/16",AM408&gt;2),(AM408*2*база!$L$6*Таблица14[[#This Row],[коэф]]),
IF(AND(G408="4/16",AM408&gt;2),(AM408*2*база!$L$5*Таблица14[[#This Row],[коэф]]),
IF(AND(G408="3/16",AM408&gt;2),(AM408*2*база!$L$4*Таблица14[[#This Row],[коэф]]),
IF(AND(G408="4/4",AM408&gt;2),(AM408*2*база!$I$5*Таблица14[[#This Row],[коэф]]),
IF(AND(G408="3/4",AM408&gt;2),(AM408*2*база!$I$4*Таблица14[[#This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(AM408*2*база!$L$4*Таблица14[[#This Row],[коэф]]))))))))))))),
(IF(AND(G408="5/24",AM408&gt;2),(AM408*2*база!$M$6*Таблица14[[#This Row],[коэф]]),
IF(OR(AND(G408="4/24",AM408&gt;2),AND(G408="3/24",AM408&gt;2)),(AM408*2*база!$M$5*Таблица14[[#This Row],[коэф]]),
IF(AND(G408="5/16",AM408&gt;2),(AM408*2*база!$L$6*Таблица14[[#This Row],[коэф]]),
IF(OR(AND(G408="4/16",AM408&gt;2),AND(G408="3/16",AM408&gt;2)),(AM408*2*база!$L$5*Таблица14[[#This Row],[коэф]]),
IF(OR(AND(G408="4/4",AM408&gt;2),AND(G408="3/4",AM408&gt;2)),(AM408*2*база!$I$5*Таблица14[[#This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(AM408*2*база!$L$5*Таблица14[[#This Row],[коэф]])))))))))))</f>
        <v>0</v>
      </c>
      <c r="AO408" s="114">
        <f>IFERROR(INDEX(база!$D$2:$D$120, MATCH(Таблица14[[#This Row],[Ф. И. О.]],база!$B$2:$B$100,0)),"")</f>
        <v>0</v>
      </c>
    </row>
    <row r="409" spans="1:41">
      <c r="A409" s="192"/>
      <c r="B409" s="223"/>
      <c r="C409" s="543"/>
      <c r="D409" s="190"/>
      <c r="E409" s="226"/>
      <c r="F409" s="651"/>
      <c r="G409" s="191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113">
        <f t="shared" si="6"/>
        <v>0</v>
      </c>
      <c r="AN409" s="540">
        <f>IF(AO409&lt;=3,(IF(AND(G409="5/24",AM409&gt;2),(AM409*2*база!$M$6*Таблица14[[#This Row],[коэф]]),
IF(AND(G409="4/24",AM409&gt;2),(AM409*2*база!$M$5*Таблица14[[#This Row],[коэф]]),
IF(AND(G409="3/24",AM409&gt;2),(AM409*2*база!$M$4*Таблица14[[#This Row],[коэф]]),
IF(AND(G409="5/16",AM409&gt;2),(AM409*2*база!$L$6*Таблица14[[#This Row],[коэф]]),
IF(AND(G409="4/16",AM409&gt;2),(AM409*2*база!$L$5*Таблица14[[#This Row],[коэф]]),
IF(AND(G409="3/16",AM409&gt;2),(AM409*2*база!$L$4*Таблица14[[#This Row],[коэф]]),
IF(AND(G409="4/4",AM409&gt;2),(AM409*2*база!$I$5*Таблица14[[#This Row],[коэф]]),
IF(AND(G409="3/4",AM409&gt;2),(AM409*2*база!$I$4*Таблица14[[#This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(AM409*2*база!$L$4*Таблица14[[#This Row],[коэф]]))))))))))))),
(IF(AND(G409="5/24",AM409&gt;2),(AM409*2*база!$M$6*Таблица14[[#This Row],[коэф]]),
IF(OR(AND(G409="4/24",AM409&gt;2),AND(G409="3/24",AM409&gt;2)),(AM409*2*база!$M$5*Таблица14[[#This Row],[коэф]]),
IF(AND(G409="5/16",AM409&gt;2),(AM409*2*база!$L$6*Таблица14[[#This Row],[коэф]]),
IF(OR(AND(G409="4/16",AM409&gt;2),AND(G409="3/16",AM409&gt;2)),(AM409*2*база!$L$5*Таблица14[[#This Row],[коэф]]),
IF(OR(AND(G409="4/4",AM409&gt;2),AND(G409="3/4",AM409&gt;2)),(AM409*2*база!$I$5*Таблица14[[#This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(AM409*2*база!$L$5*Таблица14[[#This Row],[коэф]])))))))))))</f>
        <v>0</v>
      </c>
      <c r="AO409" s="114">
        <f>IFERROR(INDEX(база!$D$2:$D$120, MATCH(Таблица14[[#This Row],[Ф. И. О.]],база!$B$2:$B$100,0)),"")</f>
        <v>0</v>
      </c>
    </row>
    <row r="410" spans="1:41">
      <c r="A410" s="192"/>
      <c r="B410" s="189"/>
      <c r="C410" s="619"/>
      <c r="D410" s="562"/>
      <c r="E410" s="226"/>
      <c r="F410" s="651"/>
      <c r="G410" s="225"/>
      <c r="H410" s="563"/>
      <c r="I410" s="563"/>
      <c r="J410" s="563"/>
      <c r="K410" s="563"/>
      <c r="L410" s="563"/>
      <c r="M410" s="563"/>
      <c r="N410" s="563"/>
      <c r="O410" s="563"/>
      <c r="P410" s="563"/>
      <c r="Q410" s="563"/>
      <c r="R410" s="563"/>
      <c r="S410" s="563"/>
      <c r="T410" s="563"/>
      <c r="U410" s="563"/>
      <c r="V410" s="563"/>
      <c r="W410" s="563"/>
      <c r="X410" s="563"/>
      <c r="Y410" s="563"/>
      <c r="Z410" s="563"/>
      <c r="AA410" s="563"/>
      <c r="AB410" s="563"/>
      <c r="AC410" s="563"/>
      <c r="AD410" s="563"/>
      <c r="AE410" s="563"/>
      <c r="AF410" s="563"/>
      <c r="AG410" s="563"/>
      <c r="AH410" s="563"/>
      <c r="AI410" s="563"/>
      <c r="AJ410" s="563"/>
      <c r="AK410" s="563"/>
      <c r="AL410" s="563"/>
      <c r="AM410" s="113">
        <f t="shared" si="6"/>
        <v>0</v>
      </c>
      <c r="AN410" s="561">
        <f>IF(AO410&lt;=3,(IF(AND(G410="5/24",AM410&gt;2),(AM410*2*база!$M$6*Таблица14[[#This Row],[коэф]]),
IF(AND(G410="4/24",AM410&gt;2),(AM410*2*база!$M$5*Таблица14[[#This Row],[коэф]]),
IF(AND(G410="3/24",AM410&gt;2),(AM410*2*база!$M$4*Таблица14[[#This Row],[коэф]]),
IF(AND(G410="5/16",AM410&gt;2),(AM410*2*база!$L$6*Таблица14[[#This Row],[коэф]]),
IF(AND(G410="4/16",AM410&gt;2),(AM410*2*база!$L$5*Таблица14[[#This Row],[коэф]]),
IF(AND(G410="3/16",AM410&gt;2),(AM410*2*база!$L$4*Таблица14[[#This Row],[коэф]]),
IF(AND(G410="4/4",AM410&gt;2),(AM410*2*база!$I$5*Таблица14[[#This Row],[коэф]]),
IF(AND(G410="3/4",AM410&gt;2),(AM410*2*база!$I$4*Таблица14[[#This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(AM410*2*база!$L$4*Таблица14[[#This Row],[коэф]]))))))))))))),
(IF(AND(G410="5/24",AM410&gt;2),(AM410*2*база!$M$6*Таблица14[[#This Row],[коэф]]),
IF(OR(AND(G410="4/24",AM410&gt;2),AND(G410="3/24",AM410&gt;2)),(AM410*2*база!$M$5*Таблица14[[#This Row],[коэф]]),
IF(AND(G410="5/16",AM410&gt;2),(AM410*2*база!$L$6*Таблица14[[#This Row],[коэф]]),
IF(OR(AND(G410="4/16",AM410&gt;2),AND(G410="3/16",AM410&gt;2)),(AM410*2*база!$L$5*Таблица14[[#This Row],[коэф]]),
IF(OR(AND(G410="4/4",AM410&gt;2),AND(G410="3/4",AM410&gt;2)),(AM410*2*база!$I$5*Таблица14[[#This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(AM410*2*база!$L$5*Таблица14[[#This Row],[коэф]])))))))))))</f>
        <v>0</v>
      </c>
      <c r="AO410" s="114">
        <f>IFERROR(INDEX(база!$D$2:$D$120, MATCH(Таблица14[[#This Row],[Ф. И. О.]],база!$B$2:$B$100,0)),"")</f>
        <v>0</v>
      </c>
    </row>
    <row r="411" spans="1:41">
      <c r="A411" s="192"/>
      <c r="B411" s="223"/>
      <c r="C411" s="543"/>
      <c r="D411" s="190"/>
      <c r="E411" s="226"/>
      <c r="F411" s="651"/>
      <c r="G411" s="191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113">
        <f t="shared" si="6"/>
        <v>0</v>
      </c>
      <c r="AN411" s="540">
        <f>IF(AO411&lt;=3,(IF(AND(G411="5/24",AM411&gt;2),(AM411*2*база!$M$6*Таблица14[[#This Row],[коэф]]),
IF(AND(G411="4/24",AM411&gt;2),(AM411*2*база!$M$5*Таблица14[[#This Row],[коэф]]),
IF(AND(G411="3/24",AM411&gt;2),(AM411*2*база!$M$4*Таблица14[[#This Row],[коэф]]),
IF(AND(G411="5/16",AM411&gt;2),(AM411*2*база!$L$6*Таблица14[[#This Row],[коэф]]),
IF(AND(G411="4/16",AM411&gt;2),(AM411*2*база!$L$5*Таблица14[[#This Row],[коэф]]),
IF(AND(G411="3/16",AM411&gt;2),(AM411*2*база!$L$4*Таблица14[[#This Row],[коэф]]),
IF(AND(G411="4/4",AM411&gt;2),(AM411*2*база!$I$5*Таблица14[[#This Row],[коэф]]),
IF(AND(G411="3/4",AM411&gt;2),(AM411*2*база!$I$4*Таблица14[[#This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(AM411*2*база!$L$4*Таблица14[[#This Row],[коэф]]))))))))))))),
(IF(AND(G411="5/24",AM411&gt;2),(AM411*2*база!$M$6*Таблица14[[#This Row],[коэф]]),
IF(OR(AND(G411="4/24",AM411&gt;2),AND(G411="3/24",AM411&gt;2)),(AM411*2*база!$M$5*Таблица14[[#This Row],[коэф]]),
IF(AND(G411="5/16",AM411&gt;2),(AM411*2*база!$L$6*Таблица14[[#This Row],[коэф]]),
IF(OR(AND(G411="4/16",AM411&gt;2),AND(G411="3/16",AM411&gt;2)),(AM411*2*база!$L$5*Таблица14[[#This Row],[коэф]]),
IF(OR(AND(G411="4/4",AM411&gt;2),AND(G411="3/4",AM411&gt;2)),(AM411*2*база!$I$5*Таблица14[[#This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(AM411*2*база!$L$5*Таблица14[[#This Row],[коэф]])))))))))))</f>
        <v>0</v>
      </c>
      <c r="AO411" s="114">
        <f>IFERROR(INDEX(база!$D$2:$D$120, MATCH(Таблица14[[#This Row],[Ф. И. О.]],база!$B$2:$B$100,0)),"")</f>
        <v>0</v>
      </c>
    </row>
    <row r="412" spans="1:41">
      <c r="A412" s="192"/>
      <c r="B412" s="189"/>
      <c r="C412" s="619"/>
      <c r="D412" s="562"/>
      <c r="E412" s="226"/>
      <c r="F412" s="651"/>
      <c r="G412" s="225"/>
      <c r="H412" s="563"/>
      <c r="I412" s="563"/>
      <c r="J412" s="563"/>
      <c r="K412" s="563"/>
      <c r="L412" s="563"/>
      <c r="M412" s="563"/>
      <c r="N412" s="563"/>
      <c r="O412" s="563"/>
      <c r="P412" s="563"/>
      <c r="Q412" s="563"/>
      <c r="R412" s="563"/>
      <c r="S412" s="563"/>
      <c r="T412" s="563"/>
      <c r="U412" s="563"/>
      <c r="V412" s="563"/>
      <c r="W412" s="563"/>
      <c r="X412" s="563"/>
      <c r="Y412" s="563"/>
      <c r="Z412" s="563"/>
      <c r="AA412" s="563"/>
      <c r="AB412" s="563"/>
      <c r="AC412" s="563"/>
      <c r="AD412" s="563"/>
      <c r="AE412" s="563"/>
      <c r="AF412" s="563"/>
      <c r="AG412" s="563"/>
      <c r="AH412" s="563"/>
      <c r="AI412" s="563"/>
      <c r="AJ412" s="563"/>
      <c r="AK412" s="563"/>
      <c r="AL412" s="563"/>
      <c r="AM412" s="113">
        <f t="shared" si="6"/>
        <v>0</v>
      </c>
      <c r="AN412" s="561">
        <f>IF(AO412&lt;=3,(IF(AND(G412="5/24",AM412&gt;2),(AM412*2*база!$M$6*Таблица14[[#This Row],[коэф]]),
IF(AND(G412="4/24",AM412&gt;2),(AM412*2*база!$M$5*Таблица14[[#This Row],[коэф]]),
IF(AND(G412="3/24",AM412&gt;2),(AM412*2*база!$M$4*Таблица14[[#This Row],[коэф]]),
IF(AND(G412="5/16",AM412&gt;2),(AM412*2*база!$L$6*Таблица14[[#This Row],[коэф]]),
IF(AND(G412="4/16",AM412&gt;2),(AM412*2*база!$L$5*Таблица14[[#This Row],[коэф]]),
IF(AND(G412="3/16",AM412&gt;2),(AM412*2*база!$L$4*Таблица14[[#This Row],[коэф]]),
IF(AND(G412="4/4",AM412&gt;2),(AM412*2*база!$I$5*Таблица14[[#This Row],[коэф]]),
IF(AND(G412="3/4",AM412&gt;2),(AM412*2*база!$I$4*Таблица14[[#This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(AM412*2*база!$L$4*Таблица14[[#This Row],[коэф]]))))))))))))),
(IF(AND(G412="5/24",AM412&gt;2),(AM412*2*база!$M$6*Таблица14[[#This Row],[коэф]]),
IF(OR(AND(G412="4/24",AM412&gt;2),AND(G412="3/24",AM412&gt;2)),(AM412*2*база!$M$5*Таблица14[[#This Row],[коэф]]),
IF(AND(G412="5/16",AM412&gt;2),(AM412*2*база!$L$6*Таблица14[[#This Row],[коэф]]),
IF(OR(AND(G412="4/16",AM412&gt;2),AND(G412="3/16",AM412&gt;2)),(AM412*2*база!$L$5*Таблица14[[#This Row],[коэф]]),
IF(OR(AND(G412="4/4",AM412&gt;2),AND(G412="3/4",AM412&gt;2)),(AM412*2*база!$I$5*Таблица14[[#This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(AM412*2*база!$L$5*Таблица14[[#This Row],[коэф]])))))))))))</f>
        <v>0</v>
      </c>
      <c r="AO412" s="114">
        <f>IFERROR(INDEX(база!$D$2:$D$120, MATCH(Таблица14[[#This Row],[Ф. И. О.]],база!$B$2:$B$100,0)),"")</f>
        <v>0</v>
      </c>
    </row>
    <row r="413" spans="1:41">
      <c r="A413" s="192"/>
      <c r="B413" s="223"/>
      <c r="C413" s="543"/>
      <c r="D413" s="190"/>
      <c r="E413" s="226"/>
      <c r="F413" s="651"/>
      <c r="G413" s="191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113">
        <f t="shared" si="6"/>
        <v>0</v>
      </c>
      <c r="AN413" s="540">
        <f>IF(AO413&lt;=3,(IF(AND(G413="5/24",AM413&gt;2),(AM413*2*база!$M$6*Таблица14[[#This Row],[коэф]]),
IF(AND(G413="4/24",AM413&gt;2),(AM413*2*база!$M$5*Таблица14[[#This Row],[коэф]]),
IF(AND(G413="3/24",AM413&gt;2),(AM413*2*база!$M$4*Таблица14[[#This Row],[коэф]]),
IF(AND(G413="5/16",AM413&gt;2),(AM413*2*база!$L$6*Таблица14[[#This Row],[коэф]]),
IF(AND(G413="4/16",AM413&gt;2),(AM413*2*база!$L$5*Таблица14[[#This Row],[коэф]]),
IF(AND(G413="3/16",AM413&gt;2),(AM413*2*база!$L$4*Таблица14[[#This Row],[коэф]]),
IF(AND(G413="4/4",AM413&gt;2),(AM413*2*база!$I$5*Таблица14[[#This Row],[коэф]]),
IF(AND(G413="3/4",AM413&gt;2),(AM413*2*база!$I$4*Таблица14[[#This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(AM413*2*база!$L$4*Таблица14[[#This Row],[коэф]]))))))))))))),
(IF(AND(G413="5/24",AM413&gt;2),(AM413*2*база!$M$6*Таблица14[[#This Row],[коэф]]),
IF(OR(AND(G413="4/24",AM413&gt;2),AND(G413="3/24",AM413&gt;2)),(AM413*2*база!$M$5*Таблица14[[#This Row],[коэф]]),
IF(AND(G413="5/16",AM413&gt;2),(AM413*2*база!$L$6*Таблица14[[#This Row],[коэф]]),
IF(OR(AND(G413="4/16",AM413&gt;2),AND(G413="3/16",AM413&gt;2)),(AM413*2*база!$L$5*Таблица14[[#This Row],[коэф]]),
IF(OR(AND(G413="4/4",AM413&gt;2),AND(G413="3/4",AM413&gt;2)),(AM413*2*база!$I$5*Таблица14[[#This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(AM413*2*база!$L$5*Таблица14[[#This Row],[коэф]])))))))))))</f>
        <v>0</v>
      </c>
      <c r="AO413" s="114">
        <f>IFERROR(INDEX(база!$D$2:$D$120, MATCH(Таблица14[[#This Row],[Ф. И. О.]],база!$B$2:$B$100,0)),"")</f>
        <v>0</v>
      </c>
    </row>
    <row r="414" spans="1:41">
      <c r="A414" s="192"/>
      <c r="B414" s="189"/>
      <c r="C414" s="619"/>
      <c r="D414" s="562"/>
      <c r="E414" s="226"/>
      <c r="F414" s="651"/>
      <c r="G414" s="225"/>
      <c r="H414" s="563"/>
      <c r="I414" s="563"/>
      <c r="J414" s="563"/>
      <c r="K414" s="563"/>
      <c r="L414" s="563"/>
      <c r="M414" s="563"/>
      <c r="N414" s="563"/>
      <c r="O414" s="563"/>
      <c r="P414" s="563"/>
      <c r="Q414" s="563"/>
      <c r="R414" s="563"/>
      <c r="S414" s="563"/>
      <c r="T414" s="563"/>
      <c r="U414" s="563"/>
      <c r="V414" s="563"/>
      <c r="W414" s="563"/>
      <c r="X414" s="563"/>
      <c r="Y414" s="563"/>
      <c r="Z414" s="563"/>
      <c r="AA414" s="563"/>
      <c r="AB414" s="563"/>
      <c r="AC414" s="563"/>
      <c r="AD414" s="563"/>
      <c r="AE414" s="563"/>
      <c r="AF414" s="563"/>
      <c r="AG414" s="563"/>
      <c r="AH414" s="563"/>
      <c r="AI414" s="563"/>
      <c r="AJ414" s="563"/>
      <c r="AK414" s="563"/>
      <c r="AL414" s="563"/>
      <c r="AM414" s="113">
        <f t="shared" si="6"/>
        <v>0</v>
      </c>
      <c r="AN414" s="561">
        <f>IF(AO414&lt;=3,(IF(AND(G414="5/24",AM414&gt;2),(AM414*2*база!$M$6*Таблица14[[#This Row],[коэф]]),
IF(AND(G414="4/24",AM414&gt;2),(AM414*2*база!$M$5*Таблица14[[#This Row],[коэф]]),
IF(AND(G414="3/24",AM414&gt;2),(AM414*2*база!$M$4*Таблица14[[#This Row],[коэф]]),
IF(AND(G414="5/16",AM414&gt;2),(AM414*2*база!$L$6*Таблица14[[#This Row],[коэф]]),
IF(AND(G414="4/16",AM414&gt;2),(AM414*2*база!$L$5*Таблица14[[#This Row],[коэф]]),
IF(AND(G414="3/16",AM414&gt;2),(AM414*2*база!$L$4*Таблица14[[#This Row],[коэф]]),
IF(AND(G414="4/4",AM414&gt;2),(AM414*2*база!$I$5*Таблица14[[#This Row],[коэф]]),
IF(AND(G414="3/4",AM414&gt;2),(AM414*2*база!$I$4*Таблица14[[#This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(AM414*2*база!$L$4*Таблица14[[#This Row],[коэф]]))))))))))))),
(IF(AND(G414="5/24",AM414&gt;2),(AM414*2*база!$M$6*Таблица14[[#This Row],[коэф]]),
IF(OR(AND(G414="4/24",AM414&gt;2),AND(G414="3/24",AM414&gt;2)),(AM414*2*база!$M$5*Таблица14[[#This Row],[коэф]]),
IF(AND(G414="5/16",AM414&gt;2),(AM414*2*база!$L$6*Таблица14[[#This Row],[коэф]]),
IF(OR(AND(G414="4/16",AM414&gt;2),AND(G414="3/16",AM414&gt;2)),(AM414*2*база!$L$5*Таблица14[[#This Row],[коэф]]),
IF(OR(AND(G414="4/4",AM414&gt;2),AND(G414="3/4",AM414&gt;2)),(AM414*2*база!$I$5*Таблица14[[#This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(AM414*2*база!$L$5*Таблица14[[#This Row],[коэф]])))))))))))</f>
        <v>0</v>
      </c>
      <c r="AO414" s="114">
        <f>IFERROR(INDEX(база!$D$2:$D$120, MATCH(Таблица14[[#This Row],[Ф. И. О.]],база!$B$2:$B$100,0)),"")</f>
        <v>0</v>
      </c>
    </row>
    <row r="415" spans="1:41">
      <c r="A415" s="192"/>
      <c r="B415" s="223"/>
      <c r="C415" s="543"/>
      <c r="D415" s="190"/>
      <c r="E415" s="226"/>
      <c r="F415" s="651"/>
      <c r="G415" s="191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113">
        <f t="shared" si="6"/>
        <v>0</v>
      </c>
      <c r="AN415" s="540">
        <f>IF(AO415&lt;=3,(IF(AND(G415="5/24",AM415&gt;2),(AM415*2*база!$M$6*Таблица14[[#This Row],[коэф]]),
IF(AND(G415="4/24",AM415&gt;2),(AM415*2*база!$M$5*Таблица14[[#This Row],[коэф]]),
IF(AND(G415="3/24",AM415&gt;2),(AM415*2*база!$M$4*Таблица14[[#This Row],[коэф]]),
IF(AND(G415="5/16",AM415&gt;2),(AM415*2*база!$L$6*Таблица14[[#This Row],[коэф]]),
IF(AND(G415="4/16",AM415&gt;2),(AM415*2*база!$L$5*Таблица14[[#This Row],[коэф]]),
IF(AND(G415="3/16",AM415&gt;2),(AM415*2*база!$L$4*Таблица14[[#This Row],[коэф]]),
IF(AND(G415="4/4",AM415&gt;2),(AM415*2*база!$I$5*Таблица14[[#This Row],[коэф]]),
IF(AND(G415="3/4",AM415&gt;2),(AM415*2*база!$I$4*Таблица14[[#This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(AM415*2*база!$L$4*Таблица14[[#This Row],[коэф]]))))))))))))),
(IF(AND(G415="5/24",AM415&gt;2),(AM415*2*база!$M$6*Таблица14[[#This Row],[коэф]]),
IF(OR(AND(G415="4/24",AM415&gt;2),AND(G415="3/24",AM415&gt;2)),(AM415*2*база!$M$5*Таблица14[[#This Row],[коэф]]),
IF(AND(G415="5/16",AM415&gt;2),(AM415*2*база!$L$6*Таблица14[[#This Row],[коэф]]),
IF(OR(AND(G415="4/16",AM415&gt;2),AND(G415="3/16",AM415&gt;2)),(AM415*2*база!$L$5*Таблица14[[#This Row],[коэф]]),
IF(OR(AND(G415="4/4",AM415&gt;2),AND(G415="3/4",AM415&gt;2)),(AM415*2*база!$I$5*Таблица14[[#This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(AM415*2*база!$L$5*Таблица14[[#This Row],[коэф]])))))))))))</f>
        <v>0</v>
      </c>
      <c r="AO415" s="114">
        <f>IFERROR(INDEX(база!$D$2:$D$120, MATCH(Таблица14[[#This Row],[Ф. И. О.]],база!$B$2:$B$100,0)),"")</f>
        <v>0</v>
      </c>
    </row>
    <row r="416" spans="1:41">
      <c r="A416" s="192"/>
      <c r="B416" s="189"/>
      <c r="C416" s="619"/>
      <c r="D416" s="562"/>
      <c r="E416" s="226"/>
      <c r="F416" s="652"/>
      <c r="G416" s="225"/>
      <c r="H416" s="563"/>
      <c r="I416" s="563"/>
      <c r="J416" s="563"/>
      <c r="K416" s="563"/>
      <c r="L416" s="563"/>
      <c r="M416" s="563"/>
      <c r="N416" s="563"/>
      <c r="O416" s="563"/>
      <c r="P416" s="563"/>
      <c r="Q416" s="563"/>
      <c r="R416" s="563"/>
      <c r="S416" s="563"/>
      <c r="T416" s="563"/>
      <c r="U416" s="563"/>
      <c r="V416" s="563"/>
      <c r="W416" s="563"/>
      <c r="X416" s="563"/>
      <c r="Y416" s="563"/>
      <c r="Z416" s="563"/>
      <c r="AA416" s="563"/>
      <c r="AB416" s="563"/>
      <c r="AC416" s="563"/>
      <c r="AD416" s="563"/>
      <c r="AE416" s="563"/>
      <c r="AF416" s="563"/>
      <c r="AG416" s="563"/>
      <c r="AH416" s="563"/>
      <c r="AI416" s="563"/>
      <c r="AJ416" s="563"/>
      <c r="AK416" s="563"/>
      <c r="AL416" s="563"/>
      <c r="AM416" s="113">
        <f t="shared" si="6"/>
        <v>0</v>
      </c>
      <c r="AN416" s="561">
        <f>IF(AO416&lt;=3,(IF(AND(G416="5/24",AM416&gt;2),(AM416*2*база!$M$6*Таблица14[[#This Row],[коэф]]),
IF(AND(G416="4/24",AM416&gt;2),(AM416*2*база!$M$5*Таблица14[[#This Row],[коэф]]),
IF(AND(G416="3/24",AM416&gt;2),(AM416*2*база!$M$4*Таблица14[[#This Row],[коэф]]),
IF(AND(G416="5/16",AM416&gt;2),(AM416*2*база!$L$6*Таблица14[[#This Row],[коэф]]),
IF(AND(G416="4/16",AM416&gt;2),(AM416*2*база!$L$5*Таблица14[[#This Row],[коэф]]),
IF(AND(G416="3/16",AM416&gt;2),(AM416*2*база!$L$4*Таблица14[[#This Row],[коэф]]),
IF(AND(G416="4/4",AM416&gt;2),(AM416*2*база!$I$5*Таблица14[[#This Row],[коэф]]),
IF(AND(G416="3/4",AM416&gt;2),(AM416*2*база!$I$4*Таблица14[[#This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(AM416*2*база!$L$4*Таблица14[[#This Row],[коэф]]))))))))))))),
(IF(AND(G416="5/24",AM416&gt;2),(AM416*2*база!$M$6*Таблица14[[#This Row],[коэф]]),
IF(OR(AND(G416="4/24",AM416&gt;2),AND(G416="3/24",AM416&gt;2)),(AM416*2*база!$M$5*Таблица14[[#This Row],[коэф]]),
IF(AND(G416="5/16",AM416&gt;2),(AM416*2*база!$L$6*Таблица14[[#This Row],[коэф]]),
IF(OR(AND(G416="4/16",AM416&gt;2),AND(G416="3/16",AM416&gt;2)),(AM416*2*база!$L$5*Таблица14[[#This Row],[коэф]]),
IF(OR(AND(G416="4/4",AM416&gt;2),AND(G416="3/4",AM416&gt;2)),(AM416*2*база!$I$5*Таблица14[[#This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(AM416*2*база!$L$5*Таблица14[[#This Row],[коэф]])))))))))))</f>
        <v>0</v>
      </c>
      <c r="AO416" s="114">
        <f>IFERROR(INDEX(база!$D$2:$D$120, MATCH(Таблица14[[#This Row],[Ф. И. О.]],база!$B$2:$B$100,0)),"")</f>
        <v>0</v>
      </c>
    </row>
    <row r="417" spans="1:41">
      <c r="A417" s="192"/>
      <c r="B417" s="223"/>
      <c r="C417" s="543"/>
      <c r="D417" s="190"/>
      <c r="E417" s="226"/>
      <c r="F417" s="652"/>
      <c r="G417" s="191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113">
        <f t="shared" si="6"/>
        <v>0</v>
      </c>
      <c r="AN417" s="540">
        <f>IF(AO417&lt;=3,(IF(AND(G417="5/24",AM417&gt;2),(AM417*2*база!$M$6*Таблица14[[#This Row],[коэф]]),
IF(AND(G417="4/24",AM417&gt;2),(AM417*2*база!$M$5*Таблица14[[#This Row],[коэф]]),
IF(AND(G417="3/24",AM417&gt;2),(AM417*2*база!$M$4*Таблица14[[#This Row],[коэф]]),
IF(AND(G417="5/16",AM417&gt;2),(AM417*2*база!$L$6*Таблица14[[#This Row],[коэф]]),
IF(AND(G417="4/16",AM417&gt;2),(AM417*2*база!$L$5*Таблица14[[#This Row],[коэф]]),
IF(AND(G417="3/16",AM417&gt;2),(AM417*2*база!$L$4*Таблица14[[#This Row],[коэф]]),
IF(AND(G417="4/4",AM417&gt;2),(AM417*2*база!$I$5*Таблица14[[#This Row],[коэф]]),
IF(AND(G417="3/4",AM417&gt;2),(AM417*2*база!$I$4*Таблица14[[#This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(AM417*2*база!$L$4*Таблица14[[#This Row],[коэф]]))))))))))))),
(IF(AND(G417="5/24",AM417&gt;2),(AM417*2*база!$M$6*Таблица14[[#This Row],[коэф]]),
IF(OR(AND(G417="4/24",AM417&gt;2),AND(G417="3/24",AM417&gt;2)),(AM417*2*база!$M$5*Таблица14[[#This Row],[коэф]]),
IF(AND(G417="5/16",AM417&gt;2),(AM417*2*база!$L$6*Таблица14[[#This Row],[коэф]]),
IF(OR(AND(G417="4/16",AM417&gt;2),AND(G417="3/16",AM417&gt;2)),(AM417*2*база!$L$5*Таблица14[[#This Row],[коэф]]),
IF(OR(AND(G417="4/4",AM417&gt;2),AND(G417="3/4",AM417&gt;2)),(AM417*2*база!$I$5*Таблица14[[#This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(AM417*2*база!$L$5*Таблица14[[#This Row],[коэф]])))))))))))</f>
        <v>0</v>
      </c>
      <c r="AO417" s="114">
        <f>IFERROR(INDEX(база!$D$2:$D$120, MATCH(Таблица14[[#This Row],[Ф. И. О.]],база!$B$2:$B$100,0)),"")</f>
        <v>0</v>
      </c>
    </row>
    <row r="418" spans="1:41">
      <c r="A418" s="192"/>
      <c r="B418" s="189"/>
      <c r="C418" s="619"/>
      <c r="D418" s="562"/>
      <c r="E418" s="226"/>
      <c r="F418" s="652"/>
      <c r="G418" s="225"/>
      <c r="H418" s="563"/>
      <c r="I418" s="563"/>
      <c r="J418" s="563"/>
      <c r="K418" s="563"/>
      <c r="L418" s="563"/>
      <c r="M418" s="563"/>
      <c r="N418" s="563"/>
      <c r="O418" s="563"/>
      <c r="P418" s="563"/>
      <c r="Q418" s="563"/>
      <c r="R418" s="563"/>
      <c r="S418" s="563"/>
      <c r="T418" s="563"/>
      <c r="U418" s="563"/>
      <c r="V418" s="563"/>
      <c r="W418" s="563"/>
      <c r="X418" s="563"/>
      <c r="Y418" s="563"/>
      <c r="Z418" s="563"/>
      <c r="AA418" s="563"/>
      <c r="AB418" s="563"/>
      <c r="AC418" s="563"/>
      <c r="AD418" s="563"/>
      <c r="AE418" s="563"/>
      <c r="AF418" s="563"/>
      <c r="AG418" s="563"/>
      <c r="AH418" s="563"/>
      <c r="AI418" s="563"/>
      <c r="AJ418" s="563"/>
      <c r="AK418" s="563"/>
      <c r="AL418" s="563"/>
      <c r="AM418" s="113">
        <f t="shared" si="6"/>
        <v>0</v>
      </c>
      <c r="AN418" s="561">
        <f>IF(AO418&lt;=3,(IF(AND(G418="5/24",AM418&gt;2),(AM418*2*база!$M$6*Таблица14[[#This Row],[коэф]]),
IF(AND(G418="4/24",AM418&gt;2),(AM418*2*база!$M$5*Таблица14[[#This Row],[коэф]]),
IF(AND(G418="3/24",AM418&gt;2),(AM418*2*база!$M$4*Таблица14[[#This Row],[коэф]]),
IF(AND(G418="5/16",AM418&gt;2),(AM418*2*база!$L$6*Таблица14[[#This Row],[коэф]]),
IF(AND(G418="4/16",AM418&gt;2),(AM418*2*база!$L$5*Таблица14[[#This Row],[коэф]]),
IF(AND(G418="3/16",AM418&gt;2),(AM418*2*база!$L$4*Таблица14[[#This Row],[коэф]]),
IF(AND(G418="4/4",AM418&gt;2),(AM418*2*база!$I$5*Таблица14[[#This Row],[коэф]]),
IF(AND(G418="3/4",AM418&gt;2),(AM418*2*база!$I$4*Таблица14[[#This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(AM418*2*база!$L$4*Таблица14[[#This Row],[коэф]]))))))))))))),
(IF(AND(G418="5/24",AM418&gt;2),(AM418*2*база!$M$6*Таблица14[[#This Row],[коэф]]),
IF(OR(AND(G418="4/24",AM418&gt;2),AND(G418="3/24",AM418&gt;2)),(AM418*2*база!$M$5*Таблица14[[#This Row],[коэф]]),
IF(AND(G418="5/16",AM418&gt;2),(AM418*2*база!$L$6*Таблица14[[#This Row],[коэф]]),
IF(OR(AND(G418="4/16",AM418&gt;2),AND(G418="3/16",AM418&gt;2)),(AM418*2*база!$L$5*Таблица14[[#This Row],[коэф]]),
IF(OR(AND(G418="4/4",AM418&gt;2),AND(G418="3/4",AM418&gt;2)),(AM418*2*база!$I$5*Таблица14[[#This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(AM418*2*база!$L$5*Таблица14[[#This Row],[коэф]])))))))))))</f>
        <v>0</v>
      </c>
      <c r="AO418" s="114">
        <f>IFERROR(INDEX(база!$D$2:$D$120, MATCH(Таблица14[[#This Row],[Ф. И. О.]],база!$B$2:$B$100,0)),"")</f>
        <v>0</v>
      </c>
    </row>
    <row r="419" spans="1:41">
      <c r="A419" s="192"/>
      <c r="B419" s="223"/>
      <c r="C419" s="543"/>
      <c r="D419" s="190"/>
      <c r="E419" s="226"/>
      <c r="F419" s="651"/>
      <c r="G419" s="191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113">
        <f t="shared" si="6"/>
        <v>0</v>
      </c>
      <c r="AN419" s="540">
        <f>IF(AO419&lt;=3,(IF(AND(G419="5/24",AM419&gt;2),(AM419*2*база!$M$6*Таблица14[[#This Row],[коэф]]),
IF(AND(G419="4/24",AM419&gt;2),(AM419*2*база!$M$5*Таблица14[[#This Row],[коэф]]),
IF(AND(G419="3/24",AM419&gt;2),(AM419*2*база!$M$4*Таблица14[[#This Row],[коэф]]),
IF(AND(G419="5/16",AM419&gt;2),(AM419*2*база!$L$6*Таблица14[[#This Row],[коэф]]),
IF(AND(G419="4/16",AM419&gt;2),(AM419*2*база!$L$5*Таблица14[[#This Row],[коэф]]),
IF(AND(G419="3/16",AM419&gt;2),(AM419*2*база!$L$4*Таблица14[[#This Row],[коэф]]),
IF(AND(G419="4/4",AM419&gt;2),(AM419*2*база!$I$5*Таблица14[[#This Row],[коэф]]),
IF(AND(G419="3/4",AM419&gt;2),(AM419*2*база!$I$4*Таблица14[[#This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(AM419*2*база!$L$4*Таблица14[[#This Row],[коэф]]))))))))))))),
(IF(AND(G419="5/24",AM419&gt;2),(AM419*2*база!$M$6*Таблица14[[#This Row],[коэф]]),
IF(OR(AND(G419="4/24",AM419&gt;2),AND(G419="3/24",AM419&gt;2)),(AM419*2*база!$M$5*Таблица14[[#This Row],[коэф]]),
IF(AND(G419="5/16",AM419&gt;2),(AM419*2*база!$L$6*Таблица14[[#This Row],[коэф]]),
IF(OR(AND(G419="4/16",AM419&gt;2),AND(G419="3/16",AM419&gt;2)),(AM419*2*база!$L$5*Таблица14[[#This Row],[коэф]]),
IF(OR(AND(G419="4/4",AM419&gt;2),AND(G419="3/4",AM419&gt;2)),(AM419*2*база!$I$5*Таблица14[[#This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(AM419*2*база!$L$5*Таблица14[[#This Row],[коэф]])))))))))))</f>
        <v>0</v>
      </c>
      <c r="AO419" s="114">
        <f>IFERROR(INDEX(база!$D$2:$D$120, MATCH(Таблица14[[#This Row],[Ф. И. О.]],база!$B$2:$B$100,0)),"")</f>
        <v>0</v>
      </c>
    </row>
    <row r="420" spans="1:41">
      <c r="A420" s="192"/>
      <c r="B420" s="189"/>
      <c r="C420" s="619"/>
      <c r="D420" s="562"/>
      <c r="E420" s="226"/>
      <c r="F420" s="644"/>
      <c r="G420" s="225"/>
      <c r="H420" s="563"/>
      <c r="I420" s="563"/>
      <c r="J420" s="563"/>
      <c r="K420" s="563"/>
      <c r="L420" s="563"/>
      <c r="M420" s="563"/>
      <c r="N420" s="563"/>
      <c r="O420" s="563"/>
      <c r="P420" s="563"/>
      <c r="Q420" s="563"/>
      <c r="R420" s="563"/>
      <c r="S420" s="563"/>
      <c r="T420" s="563"/>
      <c r="U420" s="563"/>
      <c r="V420" s="563"/>
      <c r="W420" s="563"/>
      <c r="X420" s="563"/>
      <c r="Y420" s="563"/>
      <c r="Z420" s="563"/>
      <c r="AA420" s="563"/>
      <c r="AB420" s="563"/>
      <c r="AC420" s="563"/>
      <c r="AD420" s="563"/>
      <c r="AE420" s="563"/>
      <c r="AF420" s="563"/>
      <c r="AG420" s="563"/>
      <c r="AH420" s="563"/>
      <c r="AI420" s="563"/>
      <c r="AJ420" s="563"/>
      <c r="AK420" s="563"/>
      <c r="AL420" s="563"/>
      <c r="AM420" s="113">
        <f t="shared" si="6"/>
        <v>0</v>
      </c>
      <c r="AN420" s="561">
        <f>IF(AO420&lt;=3,(IF(AND(G420="5/24",AM420&gt;2),(AM420*2*база!$M$6*Таблица14[[#This Row],[коэф]]),
IF(AND(G420="4/24",AM420&gt;2),(AM420*2*база!$M$5*Таблица14[[#This Row],[коэф]]),
IF(AND(G420="3/24",AM420&gt;2),(AM420*2*база!$M$4*Таблица14[[#This Row],[коэф]]),
IF(AND(G420="5/16",AM420&gt;2),(AM420*2*база!$L$6*Таблица14[[#This Row],[коэф]]),
IF(AND(G420="4/16",AM420&gt;2),(AM420*2*база!$L$5*Таблица14[[#This Row],[коэф]]),
IF(AND(G420="3/16",AM420&gt;2),(AM420*2*база!$L$4*Таблица14[[#This Row],[коэф]]),
IF(AND(G420="4/4",AM420&gt;2),(AM420*2*база!$I$5*Таблица14[[#This Row],[коэф]]),
IF(AND(G420="3/4",AM420&gt;2),(AM420*2*база!$I$4*Таблица14[[#This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(AM420*2*база!$L$4*Таблица14[[#This Row],[коэф]]))))))))))))),
(IF(AND(G420="5/24",AM420&gt;2),(AM420*2*база!$M$6*Таблица14[[#This Row],[коэф]]),
IF(OR(AND(G420="4/24",AM420&gt;2),AND(G420="3/24",AM420&gt;2)),(AM420*2*база!$M$5*Таблица14[[#This Row],[коэф]]),
IF(AND(G420="5/16",AM420&gt;2),(AM420*2*база!$L$6*Таблица14[[#This Row],[коэф]]),
IF(OR(AND(G420="4/16",AM420&gt;2),AND(G420="3/16",AM420&gt;2)),(AM420*2*база!$L$5*Таблица14[[#This Row],[коэф]]),
IF(OR(AND(G420="4/4",AM420&gt;2),AND(G420="3/4",AM420&gt;2)),(AM420*2*база!$I$5*Таблица14[[#This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(AM420*2*база!$L$5*Таблица14[[#This Row],[коэф]])))))))))))</f>
        <v>0</v>
      </c>
      <c r="AO420" s="114">
        <f>IFERROR(INDEX(база!$D$2:$D$120, MATCH(Таблица14[[#This Row],[Ф. И. О.]],база!$B$2:$B$100,0)),"")</f>
        <v>0</v>
      </c>
    </row>
    <row r="421" spans="1:41">
      <c r="A421" s="192"/>
      <c r="B421" s="223"/>
      <c r="C421" s="543"/>
      <c r="D421" s="190"/>
      <c r="E421" s="226"/>
      <c r="F421" s="652"/>
      <c r="G421" s="191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113">
        <f t="shared" si="6"/>
        <v>0</v>
      </c>
      <c r="AN421" s="540">
        <f>IF(AO421&lt;=3,(IF(AND(G421="5/24",AM421&gt;2),(AM421*2*база!$M$6*Таблица14[[#This Row],[коэф]]),
IF(AND(G421="4/24",AM421&gt;2),(AM421*2*база!$M$5*Таблица14[[#This Row],[коэф]]),
IF(AND(G421="3/24",AM421&gt;2),(AM421*2*база!$M$4*Таблица14[[#This Row],[коэф]]),
IF(AND(G421="5/16",AM421&gt;2),(AM421*2*база!$L$6*Таблица14[[#This Row],[коэф]]),
IF(AND(G421="4/16",AM421&gt;2),(AM421*2*база!$L$5*Таблица14[[#This Row],[коэф]]),
IF(AND(G421="3/16",AM421&gt;2),(AM421*2*база!$L$4*Таблица14[[#This Row],[коэф]]),
IF(AND(G421="4/4",AM421&gt;2),(AM421*2*база!$I$5*Таблица14[[#This Row],[коэф]]),
IF(AND(G421="3/4",AM421&gt;2),(AM421*2*база!$I$4*Таблица14[[#This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(AM421*2*база!$L$4*Таблица14[[#This Row],[коэф]]))))))))))))),
(IF(AND(G421="5/24",AM421&gt;2),(AM421*2*база!$M$6*Таблица14[[#This Row],[коэф]]),
IF(OR(AND(G421="4/24",AM421&gt;2),AND(G421="3/24",AM421&gt;2)),(AM421*2*база!$M$5*Таблица14[[#This Row],[коэф]]),
IF(AND(G421="5/16",AM421&gt;2),(AM421*2*база!$L$6*Таблица14[[#This Row],[коэф]]),
IF(OR(AND(G421="4/16",AM421&gt;2),AND(G421="3/16",AM421&gt;2)),(AM421*2*база!$L$5*Таблица14[[#This Row],[коэф]]),
IF(OR(AND(G421="4/4",AM421&gt;2),AND(G421="3/4",AM421&gt;2)),(AM421*2*база!$I$5*Таблица14[[#This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(AM421*2*база!$L$5*Таблица14[[#This Row],[коэф]])))))))))))</f>
        <v>0</v>
      </c>
      <c r="AO421" s="114">
        <f>IFERROR(INDEX(база!$D$2:$D$120, MATCH(Таблица14[[#This Row],[Ф. И. О.]],база!$B$2:$B$100,0)),"")</f>
        <v>0</v>
      </c>
    </row>
    <row r="422" spans="1:41">
      <c r="A422" s="192"/>
      <c r="B422" s="189"/>
      <c r="C422" s="619"/>
      <c r="D422" s="562"/>
      <c r="E422" s="226"/>
      <c r="F422" s="652"/>
      <c r="G422" s="225"/>
      <c r="H422" s="563"/>
      <c r="I422" s="563"/>
      <c r="J422" s="563"/>
      <c r="K422" s="563"/>
      <c r="L422" s="563"/>
      <c r="M422" s="563"/>
      <c r="N422" s="563"/>
      <c r="O422" s="563"/>
      <c r="P422" s="563"/>
      <c r="Q422" s="563"/>
      <c r="R422" s="563"/>
      <c r="S422" s="563"/>
      <c r="T422" s="563"/>
      <c r="U422" s="563"/>
      <c r="V422" s="563"/>
      <c r="W422" s="563"/>
      <c r="X422" s="563"/>
      <c r="Y422" s="563"/>
      <c r="Z422" s="563"/>
      <c r="AA422" s="563"/>
      <c r="AB422" s="563"/>
      <c r="AC422" s="563"/>
      <c r="AD422" s="563"/>
      <c r="AE422" s="563"/>
      <c r="AF422" s="563"/>
      <c r="AG422" s="563"/>
      <c r="AH422" s="563"/>
      <c r="AI422" s="563"/>
      <c r="AJ422" s="563"/>
      <c r="AK422" s="563"/>
      <c r="AL422" s="563"/>
      <c r="AM422" s="113">
        <f t="shared" si="6"/>
        <v>0</v>
      </c>
      <c r="AN422" s="561">
        <f>IF(AO422&lt;=3,(IF(AND(G422="5/24",AM422&gt;2),(AM422*2*база!$M$6*Таблица14[[#This Row],[коэф]]),
IF(AND(G422="4/24",AM422&gt;2),(AM422*2*база!$M$5*Таблица14[[#This Row],[коэф]]),
IF(AND(G422="3/24",AM422&gt;2),(AM422*2*база!$M$4*Таблица14[[#This Row],[коэф]]),
IF(AND(G422="5/16",AM422&gt;2),(AM422*2*база!$L$6*Таблица14[[#This Row],[коэф]]),
IF(AND(G422="4/16",AM422&gt;2),(AM422*2*база!$L$5*Таблица14[[#This Row],[коэф]]),
IF(AND(G422="3/16",AM422&gt;2),(AM422*2*база!$L$4*Таблица14[[#This Row],[коэф]]),
IF(AND(G422="4/4",AM422&gt;2),(AM422*2*база!$I$5*Таблица14[[#This Row],[коэф]]),
IF(AND(G422="3/4",AM422&gt;2),(AM422*2*база!$I$4*Таблица14[[#This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(AM422*2*база!$L$4*Таблица14[[#This Row],[коэф]]))))))))))))),
(IF(AND(G422="5/24",AM422&gt;2),(AM422*2*база!$M$6*Таблица14[[#This Row],[коэф]]),
IF(OR(AND(G422="4/24",AM422&gt;2),AND(G422="3/24",AM422&gt;2)),(AM422*2*база!$M$5*Таблица14[[#This Row],[коэф]]),
IF(AND(G422="5/16",AM422&gt;2),(AM422*2*база!$L$6*Таблица14[[#This Row],[коэф]]),
IF(OR(AND(G422="4/16",AM422&gt;2),AND(G422="3/16",AM422&gt;2)),(AM422*2*база!$L$5*Таблица14[[#This Row],[коэф]]),
IF(OR(AND(G422="4/4",AM422&gt;2),AND(G422="3/4",AM422&gt;2)),(AM422*2*база!$I$5*Таблица14[[#This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(AM422*2*база!$L$5*Таблица14[[#This Row],[коэф]])))))))))))</f>
        <v>0</v>
      </c>
      <c r="AO422" s="114">
        <f>IFERROR(INDEX(база!$D$2:$D$120, MATCH(Таблица14[[#This Row],[Ф. И. О.]],база!$B$2:$B$100,0)),"")</f>
        <v>0</v>
      </c>
    </row>
    <row r="423" spans="1:41">
      <c r="A423" s="192"/>
      <c r="B423" s="223"/>
      <c r="C423" s="543"/>
      <c r="D423" s="190"/>
      <c r="E423" s="226"/>
      <c r="F423" s="644"/>
      <c r="G423" s="191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113">
        <f t="shared" si="6"/>
        <v>0</v>
      </c>
      <c r="AN423" s="540">
        <f>IF(AO423&lt;=3,(IF(AND(G423="5/24",AM423&gt;2),(AM423*2*база!$M$6*Таблица14[[#This Row],[коэф]]),
IF(AND(G423="4/24",AM423&gt;2),(AM423*2*база!$M$5*Таблица14[[#This Row],[коэф]]),
IF(AND(G423="3/24",AM423&gt;2),(AM423*2*база!$M$4*Таблица14[[#This Row],[коэф]]),
IF(AND(G423="5/16",AM423&gt;2),(AM423*2*база!$L$6*Таблица14[[#This Row],[коэф]]),
IF(AND(G423="4/16",AM423&gt;2),(AM423*2*база!$L$5*Таблица14[[#This Row],[коэф]]),
IF(AND(G423="3/16",AM423&gt;2),(AM423*2*база!$L$4*Таблица14[[#This Row],[коэф]]),
IF(AND(G423="4/4",AM423&gt;2),(AM423*2*база!$I$5*Таблица14[[#This Row],[коэф]]),
IF(AND(G423="3/4",AM423&gt;2),(AM423*2*база!$I$4*Таблица14[[#This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(AM423*2*база!$L$4*Таблица14[[#This Row],[коэф]]))))))))))))),
(IF(AND(G423="5/24",AM423&gt;2),(AM423*2*база!$M$6*Таблица14[[#This Row],[коэф]]),
IF(OR(AND(G423="4/24",AM423&gt;2),AND(G423="3/24",AM423&gt;2)),(AM423*2*база!$M$5*Таблица14[[#This Row],[коэф]]),
IF(AND(G423="5/16",AM423&gt;2),(AM423*2*база!$L$6*Таблица14[[#This Row],[коэф]]),
IF(OR(AND(G423="4/16",AM423&gt;2),AND(G423="3/16",AM423&gt;2)),(AM423*2*база!$L$5*Таблица14[[#This Row],[коэф]]),
IF(OR(AND(G423="4/4",AM423&gt;2),AND(G423="3/4",AM423&gt;2)),(AM423*2*база!$I$5*Таблица14[[#This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(AM423*2*база!$L$5*Таблица14[[#This Row],[коэф]])))))))))))</f>
        <v>0</v>
      </c>
      <c r="AO423" s="114">
        <f>IFERROR(INDEX(база!$D$2:$D$120, MATCH(Таблица14[[#This Row],[Ф. И. О.]],база!$B$2:$B$100,0)),"")</f>
        <v>0</v>
      </c>
    </row>
    <row r="424" spans="1:41">
      <c r="A424" s="192"/>
      <c r="B424" s="189"/>
      <c r="C424" s="619"/>
      <c r="D424" s="562"/>
      <c r="E424" s="226"/>
      <c r="F424" s="644"/>
      <c r="G424" s="225"/>
      <c r="H424" s="563"/>
      <c r="I424" s="563"/>
      <c r="J424" s="563"/>
      <c r="K424" s="563"/>
      <c r="L424" s="563"/>
      <c r="M424" s="563"/>
      <c r="N424" s="563"/>
      <c r="O424" s="563"/>
      <c r="P424" s="563"/>
      <c r="Q424" s="563"/>
      <c r="R424" s="563"/>
      <c r="S424" s="563"/>
      <c r="T424" s="563"/>
      <c r="U424" s="563"/>
      <c r="V424" s="563"/>
      <c r="W424" s="563"/>
      <c r="X424" s="563"/>
      <c r="Y424" s="563"/>
      <c r="Z424" s="563"/>
      <c r="AA424" s="563"/>
      <c r="AB424" s="563"/>
      <c r="AC424" s="563"/>
      <c r="AD424" s="563"/>
      <c r="AE424" s="563"/>
      <c r="AF424" s="563"/>
      <c r="AG424" s="563"/>
      <c r="AH424" s="563"/>
      <c r="AI424" s="563"/>
      <c r="AJ424" s="563"/>
      <c r="AK424" s="563"/>
      <c r="AL424" s="563"/>
      <c r="AM424" s="113">
        <f t="shared" si="6"/>
        <v>0</v>
      </c>
      <c r="AN424" s="561">
        <f>IF(AO424&lt;=3,(IF(AND(G424="5/24",AM424&gt;2),(AM424*2*база!$M$6*Таблица14[[#This Row],[коэф]]),
IF(AND(G424="4/24",AM424&gt;2),(AM424*2*база!$M$5*Таблица14[[#This Row],[коэф]]),
IF(AND(G424="3/24",AM424&gt;2),(AM424*2*база!$M$4*Таблица14[[#This Row],[коэф]]),
IF(AND(G424="5/16",AM424&gt;2),(AM424*2*база!$L$6*Таблица14[[#This Row],[коэф]]),
IF(AND(G424="4/16",AM424&gt;2),(AM424*2*база!$L$5*Таблица14[[#This Row],[коэф]]),
IF(AND(G424="3/16",AM424&gt;2),(AM424*2*база!$L$4*Таблица14[[#This Row],[коэф]]),
IF(AND(G424="4/4",AM424&gt;2),(AM424*2*база!$I$5*Таблица14[[#This Row],[коэф]]),
IF(AND(G424="3/4",AM424&gt;2),(AM424*2*база!$I$4*Таблица14[[#This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(AM424*2*база!$L$4*Таблица14[[#This Row],[коэф]]))))))))))))),
(IF(AND(G424="5/24",AM424&gt;2),(AM424*2*база!$M$6*Таблица14[[#This Row],[коэф]]),
IF(OR(AND(G424="4/24",AM424&gt;2),AND(G424="3/24",AM424&gt;2)),(AM424*2*база!$M$5*Таблица14[[#This Row],[коэф]]),
IF(AND(G424="5/16",AM424&gt;2),(AM424*2*база!$L$6*Таблица14[[#This Row],[коэф]]),
IF(OR(AND(G424="4/16",AM424&gt;2),AND(G424="3/16",AM424&gt;2)),(AM424*2*база!$L$5*Таблица14[[#This Row],[коэф]]),
IF(OR(AND(G424="4/4",AM424&gt;2),AND(G424="3/4",AM424&gt;2)),(AM424*2*база!$I$5*Таблица14[[#This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(AM424*2*база!$L$5*Таблица14[[#This Row],[коэф]])))))))))))</f>
        <v>0</v>
      </c>
      <c r="AO424" s="114">
        <f>IFERROR(INDEX(база!$D$2:$D$120, MATCH(Таблица14[[#This Row],[Ф. И. О.]],база!$B$2:$B$100,0)),"")</f>
        <v>0</v>
      </c>
    </row>
    <row r="425" spans="1:41">
      <c r="A425" s="192"/>
      <c r="B425" s="223"/>
      <c r="C425" s="543"/>
      <c r="D425" s="190"/>
      <c r="E425" s="226"/>
      <c r="F425" s="652"/>
      <c r="G425" s="191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113">
        <f t="shared" si="6"/>
        <v>0</v>
      </c>
      <c r="AN425" s="540">
        <f>IF(AO425&lt;=3,(IF(AND(G425="5/24",AM425&gt;2),(AM425*2*база!$M$6*Таблица14[[#This Row],[коэф]]),
IF(AND(G425="4/24",AM425&gt;2),(AM425*2*база!$M$5*Таблица14[[#This Row],[коэф]]),
IF(AND(G425="3/24",AM425&gt;2),(AM425*2*база!$M$4*Таблица14[[#This Row],[коэф]]),
IF(AND(G425="5/16",AM425&gt;2),(AM425*2*база!$L$6*Таблица14[[#This Row],[коэф]]),
IF(AND(G425="4/16",AM425&gt;2),(AM425*2*база!$L$5*Таблица14[[#This Row],[коэф]]),
IF(AND(G425="3/16",AM425&gt;2),(AM425*2*база!$L$4*Таблица14[[#This Row],[коэф]]),
IF(AND(G425="4/4",AM425&gt;2),(AM425*2*база!$I$5*Таблица14[[#This Row],[коэф]]),
IF(AND(G425="3/4",AM425&gt;2),(AM425*2*база!$I$4*Таблица14[[#This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(AM425*2*база!$L$4*Таблица14[[#This Row],[коэф]]))))))))))))),
(IF(AND(G425="5/24",AM425&gt;2),(AM425*2*база!$M$6*Таблица14[[#This Row],[коэф]]),
IF(OR(AND(G425="4/24",AM425&gt;2),AND(G425="3/24",AM425&gt;2)),(AM425*2*база!$M$5*Таблица14[[#This Row],[коэф]]),
IF(AND(G425="5/16",AM425&gt;2),(AM425*2*база!$L$6*Таблица14[[#This Row],[коэф]]),
IF(OR(AND(G425="4/16",AM425&gt;2),AND(G425="3/16",AM425&gt;2)),(AM425*2*база!$L$5*Таблица14[[#This Row],[коэф]]),
IF(OR(AND(G425="4/4",AM425&gt;2),AND(G425="3/4",AM425&gt;2)),(AM425*2*база!$I$5*Таблица14[[#This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(AM425*2*база!$L$5*Таблица14[[#This Row],[коэф]])))))))))))</f>
        <v>0</v>
      </c>
      <c r="AO425" s="114">
        <f>IFERROR(INDEX(база!$D$2:$D$120, MATCH(Таблица14[[#This Row],[Ф. И. О.]],база!$B$2:$B$100,0)),"")</f>
        <v>0</v>
      </c>
    </row>
    <row r="426" spans="1:41">
      <c r="A426" s="192"/>
      <c r="B426" s="189"/>
      <c r="C426" s="619"/>
      <c r="D426" s="562"/>
      <c r="E426" s="226"/>
      <c r="F426" s="651"/>
      <c r="G426" s="225"/>
      <c r="H426" s="563"/>
      <c r="I426" s="563"/>
      <c r="J426" s="563"/>
      <c r="K426" s="563"/>
      <c r="L426" s="563"/>
      <c r="M426" s="563"/>
      <c r="N426" s="563"/>
      <c r="O426" s="563"/>
      <c r="P426" s="563"/>
      <c r="Q426" s="563"/>
      <c r="R426" s="563"/>
      <c r="S426" s="563"/>
      <c r="T426" s="563"/>
      <c r="U426" s="563"/>
      <c r="V426" s="563"/>
      <c r="W426" s="563"/>
      <c r="X426" s="563"/>
      <c r="Y426" s="563"/>
      <c r="Z426" s="563"/>
      <c r="AA426" s="563"/>
      <c r="AB426" s="563"/>
      <c r="AC426" s="563"/>
      <c r="AD426" s="563"/>
      <c r="AE426" s="563"/>
      <c r="AF426" s="563"/>
      <c r="AG426" s="563"/>
      <c r="AH426" s="563"/>
      <c r="AI426" s="563"/>
      <c r="AJ426" s="563"/>
      <c r="AK426" s="563"/>
      <c r="AL426" s="563"/>
      <c r="AM426" s="113">
        <f t="shared" si="6"/>
        <v>0</v>
      </c>
      <c r="AN426" s="561">
        <f>IF(AO426&lt;=3,(IF(AND(G426="5/24",AM426&gt;2),(AM426*2*база!$M$6*Таблица14[[#This Row],[коэф]]),
IF(AND(G426="4/24",AM426&gt;2),(AM426*2*база!$M$5*Таблица14[[#This Row],[коэф]]),
IF(AND(G426="3/24",AM426&gt;2),(AM426*2*база!$M$4*Таблица14[[#This Row],[коэф]]),
IF(AND(G426="5/16",AM426&gt;2),(AM426*2*база!$L$6*Таблица14[[#This Row],[коэф]]),
IF(AND(G426="4/16",AM426&gt;2),(AM426*2*база!$L$5*Таблица14[[#This Row],[коэф]]),
IF(AND(G426="3/16",AM426&gt;2),(AM426*2*база!$L$4*Таблица14[[#This Row],[коэф]]),
IF(AND(G426="4/4",AM426&gt;2),(AM426*2*база!$I$5*Таблица14[[#This Row],[коэф]]),
IF(AND(G426="3/4",AM426&gt;2),(AM426*2*база!$I$4*Таблица14[[#This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(AM426*2*база!$L$4*Таблица14[[#This Row],[коэф]]))))))))))))),
(IF(AND(G426="5/24",AM426&gt;2),(AM426*2*база!$M$6*Таблица14[[#This Row],[коэф]]),
IF(OR(AND(G426="4/24",AM426&gt;2),AND(G426="3/24",AM426&gt;2)),(AM426*2*база!$M$5*Таблица14[[#This Row],[коэф]]),
IF(AND(G426="5/16",AM426&gt;2),(AM426*2*база!$L$6*Таблица14[[#This Row],[коэф]]),
IF(OR(AND(G426="4/16",AM426&gt;2),AND(G426="3/16",AM426&gt;2)),(AM426*2*база!$L$5*Таблица14[[#This Row],[коэф]]),
IF(OR(AND(G426="4/4",AM426&gt;2),AND(G426="3/4",AM426&gt;2)),(AM426*2*база!$I$5*Таблица14[[#This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(AM426*2*база!$L$5*Таблица14[[#This Row],[коэф]])))))))))))</f>
        <v>0</v>
      </c>
      <c r="AO426" s="114">
        <f>IFERROR(INDEX(база!$D$2:$D$120, MATCH(Таблица14[[#This Row],[Ф. И. О.]],база!$B$2:$B$100,0)),"")</f>
        <v>0</v>
      </c>
    </row>
    <row r="427" spans="1:41">
      <c r="A427" s="192"/>
      <c r="B427" s="223"/>
      <c r="C427" s="543"/>
      <c r="D427" s="190"/>
      <c r="E427" s="226"/>
      <c r="F427" s="651"/>
      <c r="G427" s="191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113">
        <f t="shared" si="6"/>
        <v>0</v>
      </c>
      <c r="AN427" s="540">
        <f>IF(AO427&lt;=3,(IF(AND(G427="5/24",AM427&gt;2),(AM427*2*база!$M$6*Таблица14[[#This Row],[коэф]]),
IF(AND(G427="4/24",AM427&gt;2),(AM427*2*база!$M$5*Таблица14[[#This Row],[коэф]]),
IF(AND(G427="3/24",AM427&gt;2),(AM427*2*база!$M$4*Таблица14[[#This Row],[коэф]]),
IF(AND(G427="5/16",AM427&gt;2),(AM427*2*база!$L$6*Таблица14[[#This Row],[коэф]]),
IF(AND(G427="4/16",AM427&gt;2),(AM427*2*база!$L$5*Таблица14[[#This Row],[коэф]]),
IF(AND(G427="3/16",AM427&gt;2),(AM427*2*база!$L$4*Таблица14[[#This Row],[коэф]]),
IF(AND(G427="4/4",AM427&gt;2),(AM427*2*база!$I$5*Таблица14[[#This Row],[коэф]]),
IF(AND(G427="3/4",AM427&gt;2),(AM427*2*база!$I$4*Таблица14[[#This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(AM427*2*база!$L$4*Таблица14[[#This Row],[коэф]]))))))))))))),
(IF(AND(G427="5/24",AM427&gt;2),(AM427*2*база!$M$6*Таблица14[[#This Row],[коэф]]),
IF(OR(AND(G427="4/24",AM427&gt;2),AND(G427="3/24",AM427&gt;2)),(AM427*2*база!$M$5*Таблица14[[#This Row],[коэф]]),
IF(AND(G427="5/16",AM427&gt;2),(AM427*2*база!$L$6*Таблица14[[#This Row],[коэф]]),
IF(OR(AND(G427="4/16",AM427&gt;2),AND(G427="3/16",AM427&gt;2)),(AM427*2*база!$L$5*Таблица14[[#This Row],[коэф]]),
IF(OR(AND(G427="4/4",AM427&gt;2),AND(G427="3/4",AM427&gt;2)),(AM427*2*база!$I$5*Таблица14[[#This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(AM427*2*база!$L$5*Таблица14[[#This Row],[коэф]])))))))))))</f>
        <v>0</v>
      </c>
      <c r="AO427" s="114">
        <f>IFERROR(INDEX(база!$D$2:$D$120, MATCH(Таблица14[[#This Row],[Ф. И. О.]],база!$B$2:$B$100,0)),"")</f>
        <v>0</v>
      </c>
    </row>
    <row r="428" spans="1:41">
      <c r="A428" s="192"/>
      <c r="B428" s="189"/>
      <c r="C428" s="619"/>
      <c r="D428" s="562"/>
      <c r="E428" s="226"/>
      <c r="F428" s="651"/>
      <c r="G428" s="225"/>
      <c r="H428" s="563"/>
      <c r="I428" s="563"/>
      <c r="J428" s="563"/>
      <c r="K428" s="563"/>
      <c r="L428" s="563"/>
      <c r="M428" s="563"/>
      <c r="N428" s="563"/>
      <c r="O428" s="563"/>
      <c r="P428" s="563"/>
      <c r="Q428" s="563"/>
      <c r="R428" s="563"/>
      <c r="S428" s="563"/>
      <c r="T428" s="563"/>
      <c r="U428" s="563"/>
      <c r="V428" s="563"/>
      <c r="W428" s="563"/>
      <c r="X428" s="563"/>
      <c r="Y428" s="563"/>
      <c r="Z428" s="563"/>
      <c r="AA428" s="563"/>
      <c r="AB428" s="563"/>
      <c r="AC428" s="563"/>
      <c r="AD428" s="563"/>
      <c r="AE428" s="563"/>
      <c r="AF428" s="563"/>
      <c r="AG428" s="563"/>
      <c r="AH428" s="563"/>
      <c r="AI428" s="563"/>
      <c r="AJ428" s="563"/>
      <c r="AK428" s="563"/>
      <c r="AL428" s="563"/>
      <c r="AM428" s="113">
        <f t="shared" si="6"/>
        <v>0</v>
      </c>
      <c r="AN428" s="561">
        <f>IF(AO428&lt;=3,(IF(AND(G428="5/24",AM428&gt;2),(AM428*2*база!$M$6*Таблица14[[#This Row],[коэф]]),
IF(AND(G428="4/24",AM428&gt;2),(AM428*2*база!$M$5*Таблица14[[#This Row],[коэф]]),
IF(AND(G428="3/24",AM428&gt;2),(AM428*2*база!$M$4*Таблица14[[#This Row],[коэф]]),
IF(AND(G428="5/16",AM428&gt;2),(AM428*2*база!$L$6*Таблица14[[#This Row],[коэф]]),
IF(AND(G428="4/16",AM428&gt;2),(AM428*2*база!$L$5*Таблица14[[#This Row],[коэф]]),
IF(AND(G428="3/16",AM428&gt;2),(AM428*2*база!$L$4*Таблица14[[#This Row],[коэф]]),
IF(AND(G428="4/4",AM428&gt;2),(AM428*2*база!$I$5*Таблица14[[#This Row],[коэф]]),
IF(AND(G428="3/4",AM428&gt;2),(AM428*2*база!$I$4*Таблица14[[#This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(AM428*2*база!$L$4*Таблица14[[#This Row],[коэф]]))))))))))))),
(IF(AND(G428="5/24",AM428&gt;2),(AM428*2*база!$M$6*Таблица14[[#This Row],[коэф]]),
IF(OR(AND(G428="4/24",AM428&gt;2),AND(G428="3/24",AM428&gt;2)),(AM428*2*база!$M$5*Таблица14[[#This Row],[коэф]]),
IF(AND(G428="5/16",AM428&gt;2),(AM428*2*база!$L$6*Таблица14[[#This Row],[коэф]]),
IF(OR(AND(G428="4/16",AM428&gt;2),AND(G428="3/16",AM428&gt;2)),(AM428*2*база!$L$5*Таблица14[[#This Row],[коэф]]),
IF(OR(AND(G428="4/4",AM428&gt;2),AND(G428="3/4",AM428&gt;2)),(AM428*2*база!$I$5*Таблица14[[#This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(AM428*2*база!$L$5*Таблица14[[#This Row],[коэф]])))))))))))</f>
        <v>0</v>
      </c>
      <c r="AO428" s="114">
        <f>IFERROR(INDEX(база!$D$2:$D$120, MATCH(Таблица14[[#This Row],[Ф. И. О.]],база!$B$2:$B$100,0)),"")</f>
        <v>0</v>
      </c>
    </row>
    <row r="429" spans="1:41">
      <c r="A429" s="192"/>
      <c r="B429" s="223"/>
      <c r="C429" s="543"/>
      <c r="D429" s="190"/>
      <c r="E429" s="226"/>
      <c r="F429" s="651"/>
      <c r="G429" s="191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113">
        <f t="shared" si="6"/>
        <v>0</v>
      </c>
      <c r="AN429" s="540">
        <f>IF(AO429&lt;=3,(IF(AND(G429="5/24",AM429&gt;2),(AM429*2*база!$M$6*Таблица14[[#This Row],[коэф]]),
IF(AND(G429="4/24",AM429&gt;2),(AM429*2*база!$M$5*Таблица14[[#This Row],[коэф]]),
IF(AND(G429="3/24",AM429&gt;2),(AM429*2*база!$M$4*Таблица14[[#This Row],[коэф]]),
IF(AND(G429="5/16",AM429&gt;2),(AM429*2*база!$L$6*Таблица14[[#This Row],[коэф]]),
IF(AND(G429="4/16",AM429&gt;2),(AM429*2*база!$L$5*Таблица14[[#This Row],[коэф]]),
IF(AND(G429="3/16",AM429&gt;2),(AM429*2*база!$L$4*Таблица14[[#This Row],[коэф]]),
IF(AND(G429="4/4",AM429&gt;2),(AM429*2*база!$I$5*Таблица14[[#This Row],[коэф]]),
IF(AND(G429="3/4",AM429&gt;2),(AM429*2*база!$I$4*Таблица14[[#This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(AM429*2*база!$L$4*Таблица14[[#This Row],[коэф]]))))))))))))),
(IF(AND(G429="5/24",AM429&gt;2),(AM429*2*база!$M$6*Таблица14[[#This Row],[коэф]]),
IF(OR(AND(G429="4/24",AM429&gt;2),AND(G429="3/24",AM429&gt;2)),(AM429*2*база!$M$5*Таблица14[[#This Row],[коэф]]),
IF(AND(G429="5/16",AM429&gt;2),(AM429*2*база!$L$6*Таблица14[[#This Row],[коэф]]),
IF(OR(AND(G429="4/16",AM429&gt;2),AND(G429="3/16",AM429&gt;2)),(AM429*2*база!$L$5*Таблица14[[#This Row],[коэф]]),
IF(OR(AND(G429="4/4",AM429&gt;2),AND(G429="3/4",AM429&gt;2)),(AM429*2*база!$I$5*Таблица14[[#This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(AM429*2*база!$L$5*Таблица14[[#This Row],[коэф]])))))))))))</f>
        <v>0</v>
      </c>
      <c r="AO429" s="114">
        <f>IFERROR(INDEX(база!$D$2:$D$120, MATCH(Таблица14[[#This Row],[Ф. И. О.]],база!$B$2:$B$100,0)),"")</f>
        <v>0</v>
      </c>
    </row>
    <row r="430" spans="1:41">
      <c r="A430" s="192"/>
      <c r="B430" s="189"/>
      <c r="C430" s="619"/>
      <c r="D430" s="562"/>
      <c r="E430" s="226"/>
      <c r="F430" s="652"/>
      <c r="G430" s="225"/>
      <c r="H430" s="563"/>
      <c r="I430" s="563"/>
      <c r="J430" s="563"/>
      <c r="K430" s="563"/>
      <c r="L430" s="563"/>
      <c r="M430" s="563"/>
      <c r="N430" s="563"/>
      <c r="O430" s="563"/>
      <c r="P430" s="563"/>
      <c r="Q430" s="563"/>
      <c r="R430" s="563"/>
      <c r="S430" s="563"/>
      <c r="T430" s="563"/>
      <c r="U430" s="563"/>
      <c r="V430" s="563"/>
      <c r="W430" s="563"/>
      <c r="X430" s="563"/>
      <c r="Y430" s="563"/>
      <c r="Z430" s="563"/>
      <c r="AA430" s="563"/>
      <c r="AB430" s="563"/>
      <c r="AC430" s="563"/>
      <c r="AD430" s="563"/>
      <c r="AE430" s="563"/>
      <c r="AF430" s="563"/>
      <c r="AG430" s="563"/>
      <c r="AH430" s="563"/>
      <c r="AI430" s="563"/>
      <c r="AJ430" s="563"/>
      <c r="AK430" s="563"/>
      <c r="AL430" s="563"/>
      <c r="AM430" s="113">
        <f t="shared" si="6"/>
        <v>0</v>
      </c>
      <c r="AN430" s="561">
        <f>IF(AO430&lt;=3,(IF(AND(G430="5/24",AM430&gt;2),(AM430*2*база!$M$6*Таблица14[[#This Row],[коэф]]),
IF(AND(G430="4/24",AM430&gt;2),(AM430*2*база!$M$5*Таблица14[[#This Row],[коэф]]),
IF(AND(G430="3/24",AM430&gt;2),(AM430*2*база!$M$4*Таблица14[[#This Row],[коэф]]),
IF(AND(G430="5/16",AM430&gt;2),(AM430*2*база!$L$6*Таблица14[[#This Row],[коэф]]),
IF(AND(G430="4/16",AM430&gt;2),(AM430*2*база!$L$5*Таблица14[[#This Row],[коэф]]),
IF(AND(G430="3/16",AM430&gt;2),(AM430*2*база!$L$4*Таблица14[[#This Row],[коэф]]),
IF(AND(G430="4/4",AM430&gt;2),(AM430*2*база!$I$5*Таблица14[[#This Row],[коэф]]),
IF(AND(G430="3/4",AM430&gt;2),(AM430*2*база!$I$4*Таблица14[[#This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(AM430*2*база!$L$4*Таблица14[[#This Row],[коэф]]))))))))))))),
(IF(AND(G430="5/24",AM430&gt;2),(AM430*2*база!$M$6*Таблица14[[#This Row],[коэф]]),
IF(OR(AND(G430="4/24",AM430&gt;2),AND(G430="3/24",AM430&gt;2)),(AM430*2*база!$M$5*Таблица14[[#This Row],[коэф]]),
IF(AND(G430="5/16",AM430&gt;2),(AM430*2*база!$L$6*Таблица14[[#This Row],[коэф]]),
IF(OR(AND(G430="4/16",AM430&gt;2),AND(G430="3/16",AM430&gt;2)),(AM430*2*база!$L$5*Таблица14[[#This Row],[коэф]]),
IF(OR(AND(G430="4/4",AM430&gt;2),AND(G430="3/4",AM430&gt;2)),(AM430*2*база!$I$5*Таблица14[[#This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(AM430*2*база!$L$5*Таблица14[[#This Row],[коэф]])))))))))))</f>
        <v>0</v>
      </c>
      <c r="AO430" s="114">
        <f>IFERROR(INDEX(база!$D$2:$D$120, MATCH(Таблица14[[#This Row],[Ф. И. О.]],база!$B$2:$B$100,0)),"")</f>
        <v>0</v>
      </c>
    </row>
    <row r="431" spans="1:41">
      <c r="A431" s="192"/>
      <c r="B431" s="223"/>
      <c r="C431" s="543"/>
      <c r="D431" s="190"/>
      <c r="E431" s="226"/>
      <c r="F431" s="652"/>
      <c r="G431" s="191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113">
        <f t="shared" si="6"/>
        <v>0</v>
      </c>
      <c r="AN431" s="540">
        <f>IF(AO431&lt;=3,(IF(AND(G431="5/24",AM431&gt;2),(AM431*2*база!$M$6*Таблица14[[#This Row],[коэф]]),
IF(AND(G431="4/24",AM431&gt;2),(AM431*2*база!$M$5*Таблица14[[#This Row],[коэф]]),
IF(AND(G431="3/24",AM431&gt;2),(AM431*2*база!$M$4*Таблица14[[#This Row],[коэф]]),
IF(AND(G431="5/16",AM431&gt;2),(AM431*2*база!$L$6*Таблица14[[#This Row],[коэф]]),
IF(AND(G431="4/16",AM431&gt;2),(AM431*2*база!$L$5*Таблица14[[#This Row],[коэф]]),
IF(AND(G431="3/16",AM431&gt;2),(AM431*2*база!$L$4*Таблица14[[#This Row],[коэф]]),
IF(AND(G431="4/4",AM431&gt;2),(AM431*2*база!$I$5*Таблица14[[#This Row],[коэф]]),
IF(AND(G431="3/4",AM431&gt;2),(AM431*2*база!$I$4*Таблица14[[#This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(AM431*2*база!$L$4*Таблица14[[#This Row],[коэф]]))))))))))))),
(IF(AND(G431="5/24",AM431&gt;2),(AM431*2*база!$M$6*Таблица14[[#This Row],[коэф]]),
IF(OR(AND(G431="4/24",AM431&gt;2),AND(G431="3/24",AM431&gt;2)),(AM431*2*база!$M$5*Таблица14[[#This Row],[коэф]]),
IF(AND(G431="5/16",AM431&gt;2),(AM431*2*база!$L$6*Таблица14[[#This Row],[коэф]]),
IF(OR(AND(G431="4/16",AM431&gt;2),AND(G431="3/16",AM431&gt;2)),(AM431*2*база!$L$5*Таблица14[[#This Row],[коэф]]),
IF(OR(AND(G431="4/4",AM431&gt;2),AND(G431="3/4",AM431&gt;2)),(AM431*2*база!$I$5*Таблица14[[#This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(AM431*2*база!$L$5*Таблица14[[#This Row],[коэф]])))))))))))</f>
        <v>0</v>
      </c>
      <c r="AO431" s="114">
        <f>IFERROR(INDEX(база!$D$2:$D$120, MATCH(Таблица14[[#This Row],[Ф. И. О.]],база!$B$2:$B$100,0)),"")</f>
        <v>0</v>
      </c>
    </row>
    <row r="432" spans="1:41">
      <c r="A432" s="192"/>
      <c r="B432" s="189"/>
      <c r="C432" s="619"/>
      <c r="D432" s="562"/>
      <c r="E432" s="226"/>
      <c r="F432" s="644"/>
      <c r="G432" s="225"/>
      <c r="H432" s="563"/>
      <c r="I432" s="563"/>
      <c r="J432" s="563"/>
      <c r="K432" s="563"/>
      <c r="L432" s="563"/>
      <c r="M432" s="563"/>
      <c r="N432" s="563"/>
      <c r="O432" s="563"/>
      <c r="P432" s="563"/>
      <c r="Q432" s="563"/>
      <c r="R432" s="563"/>
      <c r="S432" s="563"/>
      <c r="T432" s="563"/>
      <c r="U432" s="563"/>
      <c r="V432" s="563"/>
      <c r="W432" s="563"/>
      <c r="X432" s="563"/>
      <c r="Y432" s="563"/>
      <c r="Z432" s="563"/>
      <c r="AA432" s="563"/>
      <c r="AB432" s="563"/>
      <c r="AC432" s="563"/>
      <c r="AD432" s="563"/>
      <c r="AE432" s="563"/>
      <c r="AF432" s="563"/>
      <c r="AG432" s="563"/>
      <c r="AH432" s="563"/>
      <c r="AI432" s="563"/>
      <c r="AJ432" s="563"/>
      <c r="AK432" s="563"/>
      <c r="AL432" s="563"/>
      <c r="AM432" s="113">
        <f t="shared" si="6"/>
        <v>0</v>
      </c>
      <c r="AN432" s="561">
        <f>IF(AO432&lt;=3,(IF(AND(G432="5/24",AM432&gt;2),(AM432*2*база!$M$6*Таблица14[[#This Row],[коэф]]),
IF(AND(G432="4/24",AM432&gt;2),(AM432*2*база!$M$5*Таблица14[[#This Row],[коэф]]),
IF(AND(G432="3/24",AM432&gt;2),(AM432*2*база!$M$4*Таблица14[[#This Row],[коэф]]),
IF(AND(G432="5/16",AM432&gt;2),(AM432*2*база!$L$6*Таблица14[[#This Row],[коэф]]),
IF(AND(G432="4/16",AM432&gt;2),(AM432*2*база!$L$5*Таблица14[[#This Row],[коэф]]),
IF(AND(G432="3/16",AM432&gt;2),(AM432*2*база!$L$4*Таблица14[[#This Row],[коэф]]),
IF(AND(G432="4/4",AM432&gt;2),(AM432*2*база!$I$5*Таблица14[[#This Row],[коэф]]),
IF(AND(G432="3/4",AM432&gt;2),(AM432*2*база!$I$4*Таблица14[[#This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(AM432*2*база!$L$4*Таблица14[[#This Row],[коэф]]))))))))))))),
(IF(AND(G432="5/24",AM432&gt;2),(AM432*2*база!$M$6*Таблица14[[#This Row],[коэф]]),
IF(OR(AND(G432="4/24",AM432&gt;2),AND(G432="3/24",AM432&gt;2)),(AM432*2*база!$M$5*Таблица14[[#This Row],[коэф]]),
IF(AND(G432="5/16",AM432&gt;2),(AM432*2*база!$L$6*Таблица14[[#This Row],[коэф]]),
IF(OR(AND(G432="4/16",AM432&gt;2),AND(G432="3/16",AM432&gt;2)),(AM432*2*база!$L$5*Таблица14[[#This Row],[коэф]]),
IF(OR(AND(G432="4/4",AM432&gt;2),AND(G432="3/4",AM432&gt;2)),(AM432*2*база!$I$5*Таблица14[[#This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(AM432*2*база!$L$5*Таблица14[[#This Row],[коэф]])))))))))))</f>
        <v>0</v>
      </c>
      <c r="AO432" s="114">
        <f>IFERROR(INDEX(база!$D$2:$D$120, MATCH(Таблица14[[#This Row],[Ф. И. О.]],база!$B$2:$B$100,0)),"")</f>
        <v>0</v>
      </c>
    </row>
    <row r="433" spans="1:41">
      <c r="A433" s="192"/>
      <c r="B433" s="223"/>
      <c r="C433" s="543"/>
      <c r="D433" s="190"/>
      <c r="E433" s="226"/>
      <c r="F433" s="652"/>
      <c r="G433" s="191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113">
        <f t="shared" si="6"/>
        <v>0</v>
      </c>
      <c r="AN433" s="540">
        <f>IF(AO433&lt;=3,(IF(AND(G433="5/24",AM433&gt;2),(AM433*2*база!$M$6*Таблица14[[#This Row],[коэф]]),
IF(AND(G433="4/24",AM433&gt;2),(AM433*2*база!$M$5*Таблица14[[#This Row],[коэф]]),
IF(AND(G433="3/24",AM433&gt;2),(AM433*2*база!$M$4*Таблица14[[#This Row],[коэф]]),
IF(AND(G433="5/16",AM433&gt;2),(AM433*2*база!$L$6*Таблица14[[#This Row],[коэф]]),
IF(AND(G433="4/16",AM433&gt;2),(AM433*2*база!$L$5*Таблица14[[#This Row],[коэф]]),
IF(AND(G433="3/16",AM433&gt;2),(AM433*2*база!$L$4*Таблица14[[#This Row],[коэф]]),
IF(AND(G433="4/4",AM433&gt;2),(AM433*2*база!$I$5*Таблица14[[#This Row],[коэф]]),
IF(AND(G433="3/4",AM433&gt;2),(AM433*2*база!$I$4*Таблица14[[#This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(AM433*2*база!$L$4*Таблица14[[#This Row],[коэф]]))))))))))))),
(IF(AND(G433="5/24",AM433&gt;2),(AM433*2*база!$M$6*Таблица14[[#This Row],[коэф]]),
IF(OR(AND(G433="4/24",AM433&gt;2),AND(G433="3/24",AM433&gt;2)),(AM433*2*база!$M$5*Таблица14[[#This Row],[коэф]]),
IF(AND(G433="5/16",AM433&gt;2),(AM433*2*база!$L$6*Таблица14[[#This Row],[коэф]]),
IF(OR(AND(G433="4/16",AM433&gt;2),AND(G433="3/16",AM433&gt;2)),(AM433*2*база!$L$5*Таблица14[[#This Row],[коэф]]),
IF(OR(AND(G433="4/4",AM433&gt;2),AND(G433="3/4",AM433&gt;2)),(AM433*2*база!$I$5*Таблица14[[#This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(AM433*2*база!$L$5*Таблица14[[#This Row],[коэф]])))))))))))</f>
        <v>0</v>
      </c>
      <c r="AO433" s="114">
        <f>IFERROR(INDEX(база!$D$2:$D$120, MATCH(Таблица14[[#This Row],[Ф. И. О.]],база!$B$2:$B$100,0)),"")</f>
        <v>0</v>
      </c>
    </row>
    <row r="434" spans="1:41">
      <c r="A434" s="192"/>
      <c r="B434" s="189"/>
      <c r="C434" s="619"/>
      <c r="D434" s="562"/>
      <c r="E434" s="226"/>
      <c r="F434" s="651"/>
      <c r="G434" s="225"/>
      <c r="H434" s="563"/>
      <c r="I434" s="563"/>
      <c r="J434" s="563"/>
      <c r="K434" s="563"/>
      <c r="L434" s="563"/>
      <c r="M434" s="563"/>
      <c r="N434" s="563"/>
      <c r="O434" s="563"/>
      <c r="P434" s="563"/>
      <c r="Q434" s="563"/>
      <c r="R434" s="563"/>
      <c r="S434" s="563"/>
      <c r="T434" s="563"/>
      <c r="U434" s="563"/>
      <c r="V434" s="563"/>
      <c r="W434" s="563"/>
      <c r="X434" s="563"/>
      <c r="Y434" s="563"/>
      <c r="Z434" s="563"/>
      <c r="AA434" s="563"/>
      <c r="AB434" s="563"/>
      <c r="AC434" s="563"/>
      <c r="AD434" s="563"/>
      <c r="AE434" s="563"/>
      <c r="AF434" s="563"/>
      <c r="AG434" s="563"/>
      <c r="AH434" s="563"/>
      <c r="AI434" s="563"/>
      <c r="AJ434" s="563"/>
      <c r="AK434" s="563"/>
      <c r="AL434" s="563"/>
      <c r="AM434" s="113">
        <f t="shared" si="6"/>
        <v>0</v>
      </c>
      <c r="AN434" s="561">
        <f>IF(AO434&lt;=3,(IF(AND(G434="5/24",AM434&gt;2),(AM434*2*база!$M$6*Таблица14[[#This Row],[коэф]]),
IF(AND(G434="4/24",AM434&gt;2),(AM434*2*база!$M$5*Таблица14[[#This Row],[коэф]]),
IF(AND(G434="3/24",AM434&gt;2),(AM434*2*база!$M$4*Таблица14[[#This Row],[коэф]]),
IF(AND(G434="5/16",AM434&gt;2),(AM434*2*база!$L$6*Таблица14[[#This Row],[коэф]]),
IF(AND(G434="4/16",AM434&gt;2),(AM434*2*база!$L$5*Таблица14[[#This Row],[коэф]]),
IF(AND(G434="3/16",AM434&gt;2),(AM434*2*база!$L$4*Таблица14[[#This Row],[коэф]]),
IF(AND(G434="4/4",AM434&gt;2),(AM434*2*база!$I$5*Таблица14[[#This Row],[коэф]]),
IF(AND(G434="3/4",AM434&gt;2),(AM434*2*база!$I$4*Таблица14[[#This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(AM434*2*база!$L$4*Таблица14[[#This Row],[коэф]]))))))))))))),
(IF(AND(G434="5/24",AM434&gt;2),(AM434*2*база!$M$6*Таблица14[[#This Row],[коэф]]),
IF(OR(AND(G434="4/24",AM434&gt;2),AND(G434="3/24",AM434&gt;2)),(AM434*2*база!$M$5*Таблица14[[#This Row],[коэф]]),
IF(AND(G434="5/16",AM434&gt;2),(AM434*2*база!$L$6*Таблица14[[#This Row],[коэф]]),
IF(OR(AND(G434="4/16",AM434&gt;2),AND(G434="3/16",AM434&gt;2)),(AM434*2*база!$L$5*Таблица14[[#This Row],[коэф]]),
IF(OR(AND(G434="4/4",AM434&gt;2),AND(G434="3/4",AM434&gt;2)),(AM434*2*база!$I$5*Таблица14[[#This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(AM434*2*база!$L$5*Таблица14[[#This Row],[коэф]])))))))))))</f>
        <v>0</v>
      </c>
      <c r="AO434" s="114">
        <f>IFERROR(INDEX(база!$D$2:$D$120, MATCH(Таблица14[[#This Row],[Ф. И. О.]],база!$B$2:$B$100,0)),"")</f>
        <v>0</v>
      </c>
    </row>
    <row r="435" spans="1:41">
      <c r="A435" s="192"/>
      <c r="B435" s="223"/>
      <c r="C435" s="543"/>
      <c r="D435" s="190"/>
      <c r="E435" s="226"/>
      <c r="F435" s="652"/>
      <c r="G435" s="191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113">
        <f t="shared" si="6"/>
        <v>0</v>
      </c>
      <c r="AN435" s="540">
        <f>IF(AO435&lt;=3,(IF(AND(G435="5/24",AM435&gt;2),(AM435*2*база!$M$6*Таблица14[[#This Row],[коэф]]),
IF(AND(G435="4/24",AM435&gt;2),(AM435*2*база!$M$5*Таблица14[[#This Row],[коэф]]),
IF(AND(G435="3/24",AM435&gt;2),(AM435*2*база!$M$4*Таблица14[[#This Row],[коэф]]),
IF(AND(G435="5/16",AM435&gt;2),(AM435*2*база!$L$6*Таблица14[[#This Row],[коэф]]),
IF(AND(G435="4/16",AM435&gt;2),(AM435*2*база!$L$5*Таблица14[[#This Row],[коэф]]),
IF(AND(G435="3/16",AM435&gt;2),(AM435*2*база!$L$4*Таблица14[[#This Row],[коэф]]),
IF(AND(G435="4/4",AM435&gt;2),(AM435*2*база!$I$5*Таблица14[[#This Row],[коэф]]),
IF(AND(G435="3/4",AM435&gt;2),(AM435*2*база!$I$4*Таблица14[[#This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(AM435*2*база!$L$4*Таблица14[[#This Row],[коэф]]))))))))))))),
(IF(AND(G435="5/24",AM435&gt;2),(AM435*2*база!$M$6*Таблица14[[#This Row],[коэф]]),
IF(OR(AND(G435="4/24",AM435&gt;2),AND(G435="3/24",AM435&gt;2)),(AM435*2*база!$M$5*Таблица14[[#This Row],[коэф]]),
IF(AND(G435="5/16",AM435&gt;2),(AM435*2*база!$L$6*Таблица14[[#This Row],[коэф]]),
IF(OR(AND(G435="4/16",AM435&gt;2),AND(G435="3/16",AM435&gt;2)),(AM435*2*база!$L$5*Таблица14[[#This Row],[коэф]]),
IF(OR(AND(G435="4/4",AM435&gt;2),AND(G435="3/4",AM435&gt;2)),(AM435*2*база!$I$5*Таблица14[[#This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(AM435*2*база!$L$5*Таблица14[[#This Row],[коэф]])))))))))))</f>
        <v>0</v>
      </c>
      <c r="AO435" s="114">
        <f>IFERROR(INDEX(база!$D$2:$D$120, MATCH(Таблица14[[#This Row],[Ф. И. О.]],база!$B$2:$B$100,0)),"")</f>
        <v>0</v>
      </c>
    </row>
    <row r="436" spans="1:41">
      <c r="A436" s="192"/>
      <c r="B436" s="189"/>
      <c r="C436" s="619"/>
      <c r="D436" s="562"/>
      <c r="E436" s="226"/>
      <c r="F436" s="652"/>
      <c r="G436" s="225"/>
      <c r="H436" s="563"/>
      <c r="I436" s="563"/>
      <c r="J436" s="563"/>
      <c r="K436" s="563"/>
      <c r="L436" s="563"/>
      <c r="M436" s="563"/>
      <c r="N436" s="563"/>
      <c r="O436" s="563"/>
      <c r="P436" s="563"/>
      <c r="Q436" s="563"/>
      <c r="R436" s="563"/>
      <c r="S436" s="563"/>
      <c r="T436" s="563"/>
      <c r="U436" s="563"/>
      <c r="V436" s="563"/>
      <c r="W436" s="563"/>
      <c r="X436" s="563"/>
      <c r="Y436" s="563"/>
      <c r="Z436" s="563"/>
      <c r="AA436" s="563"/>
      <c r="AB436" s="563"/>
      <c r="AC436" s="563"/>
      <c r="AD436" s="563"/>
      <c r="AE436" s="563"/>
      <c r="AF436" s="563"/>
      <c r="AG436" s="563"/>
      <c r="AH436" s="563"/>
      <c r="AI436" s="563"/>
      <c r="AJ436" s="563"/>
      <c r="AK436" s="563"/>
      <c r="AL436" s="563"/>
      <c r="AM436" s="113">
        <f t="shared" si="6"/>
        <v>0</v>
      </c>
      <c r="AN436" s="561">
        <f>IF(AO436&lt;=3,(IF(AND(G436="5/24",AM436&gt;2),(AM436*2*база!$M$6*Таблица14[[#This Row],[коэф]]),
IF(AND(G436="4/24",AM436&gt;2),(AM436*2*база!$M$5*Таблица14[[#This Row],[коэф]]),
IF(AND(G436="3/24",AM436&gt;2),(AM436*2*база!$M$4*Таблица14[[#This Row],[коэф]]),
IF(AND(G436="5/16",AM436&gt;2),(AM436*2*база!$L$6*Таблица14[[#This Row],[коэф]]),
IF(AND(G436="4/16",AM436&gt;2),(AM436*2*база!$L$5*Таблица14[[#This Row],[коэф]]),
IF(AND(G436="3/16",AM436&gt;2),(AM436*2*база!$L$4*Таблица14[[#This Row],[коэф]]),
IF(AND(G436="4/4",AM436&gt;2),(AM436*2*база!$I$5*Таблица14[[#This Row],[коэф]]),
IF(AND(G436="3/4",AM436&gt;2),(AM436*2*база!$I$4*Таблица14[[#This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(AM436*2*база!$L$4*Таблица14[[#This Row],[коэф]]))))))))))))),
(IF(AND(G436="5/24",AM436&gt;2),(AM436*2*база!$M$6*Таблица14[[#This Row],[коэф]]),
IF(OR(AND(G436="4/24",AM436&gt;2),AND(G436="3/24",AM436&gt;2)),(AM436*2*база!$M$5*Таблица14[[#This Row],[коэф]]),
IF(AND(G436="5/16",AM436&gt;2),(AM436*2*база!$L$6*Таблица14[[#This Row],[коэф]]),
IF(OR(AND(G436="4/16",AM436&gt;2),AND(G436="3/16",AM436&gt;2)),(AM436*2*база!$L$5*Таблица14[[#This Row],[коэф]]),
IF(OR(AND(G436="4/4",AM436&gt;2),AND(G436="3/4",AM436&gt;2)),(AM436*2*база!$I$5*Таблица14[[#This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(AM436*2*база!$L$5*Таблица14[[#This Row],[коэф]])))))))))))</f>
        <v>0</v>
      </c>
      <c r="AO436" s="114">
        <f>IFERROR(INDEX(база!$D$2:$D$120, MATCH(Таблица14[[#This Row],[Ф. И. О.]],база!$B$2:$B$100,0)),"")</f>
        <v>0</v>
      </c>
    </row>
    <row r="437" spans="1:41">
      <c r="A437" s="192"/>
      <c r="B437" s="223"/>
      <c r="C437" s="543"/>
      <c r="D437" s="190"/>
      <c r="E437" s="226"/>
      <c r="F437" s="651"/>
      <c r="G437" s="191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113">
        <f t="shared" si="6"/>
        <v>0</v>
      </c>
      <c r="AN437" s="540">
        <f>IF(AO437&lt;=3,(IF(AND(G437="5/24",AM437&gt;2),(AM437*2*база!$M$6*Таблица14[[#This Row],[коэф]]),
IF(AND(G437="4/24",AM437&gt;2),(AM437*2*база!$M$5*Таблица14[[#This Row],[коэф]]),
IF(AND(G437="3/24",AM437&gt;2),(AM437*2*база!$M$4*Таблица14[[#This Row],[коэф]]),
IF(AND(G437="5/16",AM437&gt;2),(AM437*2*база!$L$6*Таблица14[[#This Row],[коэф]]),
IF(AND(G437="4/16",AM437&gt;2),(AM437*2*база!$L$5*Таблица14[[#This Row],[коэф]]),
IF(AND(G437="3/16",AM437&gt;2),(AM437*2*база!$L$4*Таблица14[[#This Row],[коэф]]),
IF(AND(G437="4/4",AM437&gt;2),(AM437*2*база!$I$5*Таблица14[[#This Row],[коэф]]),
IF(AND(G437="3/4",AM437&gt;2),(AM437*2*база!$I$4*Таблица14[[#This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(AM437*2*база!$L$4*Таблица14[[#This Row],[коэф]]))))))))))))),
(IF(AND(G437="5/24",AM437&gt;2),(AM437*2*база!$M$6*Таблица14[[#This Row],[коэф]]),
IF(OR(AND(G437="4/24",AM437&gt;2),AND(G437="3/24",AM437&gt;2)),(AM437*2*база!$M$5*Таблица14[[#This Row],[коэф]]),
IF(AND(G437="5/16",AM437&gt;2),(AM437*2*база!$L$6*Таблица14[[#This Row],[коэф]]),
IF(OR(AND(G437="4/16",AM437&gt;2),AND(G437="3/16",AM437&gt;2)),(AM437*2*база!$L$5*Таблица14[[#This Row],[коэф]]),
IF(OR(AND(G437="4/4",AM437&gt;2),AND(G437="3/4",AM437&gt;2)),(AM437*2*база!$I$5*Таблица14[[#This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(AM437*2*база!$L$5*Таблица14[[#This Row],[коэф]])))))))))))</f>
        <v>0</v>
      </c>
      <c r="AO437" s="114">
        <f>IFERROR(INDEX(база!$D$2:$D$120, MATCH(Таблица14[[#This Row],[Ф. И. О.]],база!$B$2:$B$100,0)),"")</f>
        <v>0</v>
      </c>
    </row>
    <row r="438" spans="1:41">
      <c r="A438" s="192"/>
      <c r="B438" s="189"/>
      <c r="C438" s="619"/>
      <c r="D438" s="562"/>
      <c r="E438" s="226"/>
      <c r="F438" s="651"/>
      <c r="G438" s="225"/>
      <c r="H438" s="563"/>
      <c r="I438" s="563"/>
      <c r="J438" s="563"/>
      <c r="K438" s="563"/>
      <c r="L438" s="563"/>
      <c r="M438" s="563"/>
      <c r="N438" s="563"/>
      <c r="O438" s="563"/>
      <c r="P438" s="563"/>
      <c r="Q438" s="563"/>
      <c r="R438" s="563"/>
      <c r="S438" s="563"/>
      <c r="T438" s="563"/>
      <c r="U438" s="563"/>
      <c r="V438" s="563"/>
      <c r="W438" s="563"/>
      <c r="X438" s="563"/>
      <c r="Y438" s="563"/>
      <c r="Z438" s="563"/>
      <c r="AA438" s="563"/>
      <c r="AB438" s="563"/>
      <c r="AC438" s="563"/>
      <c r="AD438" s="563"/>
      <c r="AE438" s="563"/>
      <c r="AF438" s="563"/>
      <c r="AG438" s="563"/>
      <c r="AH438" s="563"/>
      <c r="AI438" s="563"/>
      <c r="AJ438" s="563"/>
      <c r="AK438" s="563"/>
      <c r="AL438" s="563"/>
      <c r="AM438" s="113">
        <f t="shared" si="6"/>
        <v>0</v>
      </c>
      <c r="AN438" s="561">
        <f>IF(AO438&lt;=3,(IF(AND(G438="5/24",AM438&gt;2),(AM438*2*база!$M$6*Таблица14[[#This Row],[коэф]]),
IF(AND(G438="4/24",AM438&gt;2),(AM438*2*база!$M$5*Таблица14[[#This Row],[коэф]]),
IF(AND(G438="3/24",AM438&gt;2),(AM438*2*база!$M$4*Таблица14[[#This Row],[коэф]]),
IF(AND(G438="5/16",AM438&gt;2),(AM438*2*база!$L$6*Таблица14[[#This Row],[коэф]]),
IF(AND(G438="4/16",AM438&gt;2),(AM438*2*база!$L$5*Таблица14[[#This Row],[коэф]]),
IF(AND(G438="3/16",AM438&gt;2),(AM438*2*база!$L$4*Таблица14[[#This Row],[коэф]]),
IF(AND(G438="4/4",AM438&gt;2),(AM438*2*база!$I$5*Таблица14[[#This Row],[коэф]]),
IF(AND(G438="3/4",AM438&gt;2),(AM438*2*база!$I$4*Таблица14[[#This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(AM438*2*база!$L$4*Таблица14[[#This Row],[коэф]]))))))))))))),
(IF(AND(G438="5/24",AM438&gt;2),(AM438*2*база!$M$6*Таблица14[[#This Row],[коэф]]),
IF(OR(AND(G438="4/24",AM438&gt;2),AND(G438="3/24",AM438&gt;2)),(AM438*2*база!$M$5*Таблица14[[#This Row],[коэф]]),
IF(AND(G438="5/16",AM438&gt;2),(AM438*2*база!$L$6*Таблица14[[#This Row],[коэф]]),
IF(OR(AND(G438="4/16",AM438&gt;2),AND(G438="3/16",AM438&gt;2)),(AM438*2*база!$L$5*Таблица14[[#This Row],[коэф]]),
IF(OR(AND(G438="4/4",AM438&gt;2),AND(G438="3/4",AM438&gt;2)),(AM438*2*база!$I$5*Таблица14[[#This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(AM438*2*база!$L$5*Таблица14[[#This Row],[коэф]])))))))))))</f>
        <v>0</v>
      </c>
      <c r="AO438" s="114">
        <f>IFERROR(INDEX(база!$D$2:$D$120, MATCH(Таблица14[[#This Row],[Ф. И. О.]],база!$B$2:$B$100,0)),"")</f>
        <v>0</v>
      </c>
    </row>
    <row r="439" spans="1:41">
      <c r="A439" s="192"/>
      <c r="B439" s="223"/>
      <c r="C439" s="543"/>
      <c r="D439" s="190"/>
      <c r="E439" s="226"/>
      <c r="F439" s="644"/>
      <c r="G439" s="191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113">
        <f t="shared" si="6"/>
        <v>0</v>
      </c>
      <c r="AN439" s="540">
        <f>IF(AO439&lt;=3,(IF(AND(G439="5/24",AM439&gt;2),(AM439*2*база!$M$6*Таблица14[[#This Row],[коэф]]),
IF(AND(G439="4/24",AM439&gt;2),(AM439*2*база!$M$5*Таблица14[[#This Row],[коэф]]),
IF(AND(G439="3/24",AM439&gt;2),(AM439*2*база!$M$4*Таблица14[[#This Row],[коэф]]),
IF(AND(G439="5/16",AM439&gt;2),(AM439*2*база!$L$6*Таблица14[[#This Row],[коэф]]),
IF(AND(G439="4/16",AM439&gt;2),(AM439*2*база!$L$5*Таблица14[[#This Row],[коэф]]),
IF(AND(G439="3/16",AM439&gt;2),(AM439*2*база!$L$4*Таблица14[[#This Row],[коэф]]),
IF(AND(G439="4/4",AM439&gt;2),(AM439*2*база!$I$5*Таблица14[[#This Row],[коэф]]),
IF(AND(G439="3/4",AM439&gt;2),(AM439*2*база!$I$4*Таблица14[[#This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(AM439*2*база!$L$4*Таблица14[[#This Row],[коэф]]))))))))))))),
(IF(AND(G439="5/24",AM439&gt;2),(AM439*2*база!$M$6*Таблица14[[#This Row],[коэф]]),
IF(OR(AND(G439="4/24",AM439&gt;2),AND(G439="3/24",AM439&gt;2)),(AM439*2*база!$M$5*Таблица14[[#This Row],[коэф]]),
IF(AND(G439="5/16",AM439&gt;2),(AM439*2*база!$L$6*Таблица14[[#This Row],[коэф]]),
IF(OR(AND(G439="4/16",AM439&gt;2),AND(G439="3/16",AM439&gt;2)),(AM439*2*база!$L$5*Таблица14[[#This Row],[коэф]]),
IF(OR(AND(G439="4/4",AM439&gt;2),AND(G439="3/4",AM439&gt;2)),(AM439*2*база!$I$5*Таблица14[[#This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(AM439*2*база!$L$5*Таблица14[[#This Row],[коэф]])))))))))))</f>
        <v>0</v>
      </c>
      <c r="AO439" s="114">
        <f>IFERROR(INDEX(база!$D$2:$D$120, MATCH(Таблица14[[#This Row],[Ф. И. О.]],база!$B$2:$B$100,0)),"")</f>
        <v>0</v>
      </c>
    </row>
    <row r="440" spans="1:41">
      <c r="A440" s="192"/>
      <c r="B440" s="189"/>
      <c r="C440" s="619"/>
      <c r="D440" s="562"/>
      <c r="E440" s="226"/>
      <c r="F440" s="646"/>
      <c r="G440" s="225"/>
      <c r="H440" s="563"/>
      <c r="I440" s="563"/>
      <c r="J440" s="563"/>
      <c r="K440" s="563"/>
      <c r="L440" s="563"/>
      <c r="M440" s="563"/>
      <c r="N440" s="563"/>
      <c r="O440" s="563"/>
      <c r="P440" s="563"/>
      <c r="Q440" s="563"/>
      <c r="R440" s="563"/>
      <c r="S440" s="563"/>
      <c r="T440" s="563"/>
      <c r="U440" s="563"/>
      <c r="V440" s="563"/>
      <c r="W440" s="563"/>
      <c r="X440" s="563"/>
      <c r="Y440" s="563"/>
      <c r="Z440" s="563"/>
      <c r="AA440" s="563"/>
      <c r="AB440" s="563"/>
      <c r="AC440" s="563"/>
      <c r="AD440" s="563"/>
      <c r="AE440" s="563"/>
      <c r="AF440" s="563"/>
      <c r="AG440" s="563"/>
      <c r="AH440" s="563"/>
      <c r="AI440" s="563"/>
      <c r="AJ440" s="563"/>
      <c r="AK440" s="563"/>
      <c r="AL440" s="563"/>
      <c r="AM440" s="113">
        <f t="shared" si="6"/>
        <v>0</v>
      </c>
      <c r="AN440" s="561">
        <f>IF(AO440&lt;=3,(IF(AND(G440="5/24",AM440&gt;2),(AM440*2*база!$M$6*Таблица14[[#This Row],[коэф]]),
IF(AND(G440="4/24",AM440&gt;2),(AM440*2*база!$M$5*Таблица14[[#This Row],[коэф]]),
IF(AND(G440="3/24",AM440&gt;2),(AM440*2*база!$M$4*Таблица14[[#This Row],[коэф]]),
IF(AND(G440="5/16",AM440&gt;2),(AM440*2*база!$L$6*Таблица14[[#This Row],[коэф]]),
IF(AND(G440="4/16",AM440&gt;2),(AM440*2*база!$L$5*Таблица14[[#This Row],[коэф]]),
IF(AND(G440="3/16",AM440&gt;2),(AM440*2*база!$L$4*Таблица14[[#This Row],[коэф]]),
IF(AND(G440="4/4",AM440&gt;2),(AM440*2*база!$I$5*Таблица14[[#This Row],[коэф]]),
IF(AND(G440="3/4",AM440&gt;2),(AM440*2*база!$I$4*Таблица14[[#This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(AM440*2*база!$L$4*Таблица14[[#This Row],[коэф]]))))))))))))),
(IF(AND(G440="5/24",AM440&gt;2),(AM440*2*база!$M$6*Таблица14[[#This Row],[коэф]]),
IF(OR(AND(G440="4/24",AM440&gt;2),AND(G440="3/24",AM440&gt;2)),(AM440*2*база!$M$5*Таблица14[[#This Row],[коэф]]),
IF(AND(G440="5/16",AM440&gt;2),(AM440*2*база!$L$6*Таблица14[[#This Row],[коэф]]),
IF(OR(AND(G440="4/16",AM440&gt;2),AND(G440="3/16",AM440&gt;2)),(AM440*2*база!$L$5*Таблица14[[#This Row],[коэф]]),
IF(OR(AND(G440="4/4",AM440&gt;2),AND(G440="3/4",AM440&gt;2)),(AM440*2*база!$I$5*Таблица14[[#This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(AM440*2*база!$L$5*Таблица14[[#This Row],[коэф]])))))))))))</f>
        <v>0</v>
      </c>
      <c r="AO440" s="114">
        <f>IFERROR(INDEX(база!$D$2:$D$120, MATCH(Таблица14[[#This Row],[Ф. И. О.]],база!$B$2:$B$100,0)),"")</f>
        <v>0</v>
      </c>
    </row>
    <row r="441" spans="1:41">
      <c r="A441" s="192"/>
      <c r="B441" s="223"/>
      <c r="C441" s="543"/>
      <c r="D441" s="190"/>
      <c r="E441" s="226"/>
      <c r="F441" s="644"/>
      <c r="G441" s="191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113">
        <f t="shared" si="6"/>
        <v>0</v>
      </c>
      <c r="AN441" s="540">
        <f>IF(AO441&lt;=3,(IF(AND(G441="5/24",AM441&gt;2),(AM441*2*база!$M$6*Таблица14[[#This Row],[коэф]]),
IF(AND(G441="4/24",AM441&gt;2),(AM441*2*база!$M$5*Таблица14[[#This Row],[коэф]]),
IF(AND(G441="3/24",AM441&gt;2),(AM441*2*база!$M$4*Таблица14[[#This Row],[коэф]]),
IF(AND(G441="5/16",AM441&gt;2),(AM441*2*база!$L$6*Таблица14[[#This Row],[коэф]]),
IF(AND(G441="4/16",AM441&gt;2),(AM441*2*база!$L$5*Таблица14[[#This Row],[коэф]]),
IF(AND(G441="3/16",AM441&gt;2),(AM441*2*база!$L$4*Таблица14[[#This Row],[коэф]]),
IF(AND(G441="4/4",AM441&gt;2),(AM441*2*база!$I$5*Таблица14[[#This Row],[коэф]]),
IF(AND(G441="3/4",AM441&gt;2),(AM441*2*база!$I$4*Таблица14[[#This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(AM441*2*база!$L$4*Таблица14[[#This Row],[коэф]]))))))))))))),
(IF(AND(G441="5/24",AM441&gt;2),(AM441*2*база!$M$6*Таблица14[[#This Row],[коэф]]),
IF(OR(AND(G441="4/24",AM441&gt;2),AND(G441="3/24",AM441&gt;2)),(AM441*2*база!$M$5*Таблица14[[#This Row],[коэф]]),
IF(AND(G441="5/16",AM441&gt;2),(AM441*2*база!$L$6*Таблица14[[#This Row],[коэф]]),
IF(OR(AND(G441="4/16",AM441&gt;2),AND(G441="3/16",AM441&gt;2)),(AM441*2*база!$L$5*Таблица14[[#This Row],[коэф]]),
IF(OR(AND(G441="4/4",AM441&gt;2),AND(G441="3/4",AM441&gt;2)),(AM441*2*база!$I$5*Таблица14[[#This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(AM441*2*база!$L$5*Таблица14[[#This Row],[коэф]])))))))))))</f>
        <v>0</v>
      </c>
      <c r="AO441" s="114">
        <f>IFERROR(INDEX(база!$D$2:$D$120, MATCH(Таблица14[[#This Row],[Ф. И. О.]],база!$B$2:$B$100,0)),"")</f>
        <v>0</v>
      </c>
    </row>
    <row r="442" spans="1:41">
      <c r="A442" s="192"/>
      <c r="B442" s="189"/>
      <c r="C442" s="619"/>
      <c r="D442" s="562"/>
      <c r="E442" s="226"/>
      <c r="F442" s="652"/>
      <c r="G442" s="225"/>
      <c r="H442" s="563"/>
      <c r="I442" s="563"/>
      <c r="J442" s="563"/>
      <c r="K442" s="563"/>
      <c r="L442" s="563"/>
      <c r="M442" s="563"/>
      <c r="N442" s="563"/>
      <c r="O442" s="563"/>
      <c r="P442" s="563"/>
      <c r="Q442" s="563"/>
      <c r="R442" s="563"/>
      <c r="S442" s="563"/>
      <c r="T442" s="563"/>
      <c r="U442" s="563"/>
      <c r="V442" s="563"/>
      <c r="W442" s="563"/>
      <c r="X442" s="563"/>
      <c r="Y442" s="563"/>
      <c r="Z442" s="563"/>
      <c r="AA442" s="563"/>
      <c r="AB442" s="563"/>
      <c r="AC442" s="563"/>
      <c r="AD442" s="563"/>
      <c r="AE442" s="563"/>
      <c r="AF442" s="563"/>
      <c r="AG442" s="563"/>
      <c r="AH442" s="563"/>
      <c r="AI442" s="563"/>
      <c r="AJ442" s="563"/>
      <c r="AK442" s="563"/>
      <c r="AL442" s="563"/>
      <c r="AM442" s="113">
        <f t="shared" si="6"/>
        <v>0</v>
      </c>
      <c r="AN442" s="561">
        <f>IF(AO442&lt;=3,(IF(AND(G442="5/24",AM442&gt;2),(AM442*2*база!$M$6*Таблица14[[#This Row],[коэф]]),
IF(AND(G442="4/24",AM442&gt;2),(AM442*2*база!$M$5*Таблица14[[#This Row],[коэф]]),
IF(AND(G442="3/24",AM442&gt;2),(AM442*2*база!$M$4*Таблица14[[#This Row],[коэф]]),
IF(AND(G442="5/16",AM442&gt;2),(AM442*2*база!$L$6*Таблица14[[#This Row],[коэф]]),
IF(AND(G442="4/16",AM442&gt;2),(AM442*2*база!$L$5*Таблица14[[#This Row],[коэф]]),
IF(AND(G442="3/16",AM442&gt;2),(AM442*2*база!$L$4*Таблица14[[#This Row],[коэф]]),
IF(AND(G442="4/4",AM442&gt;2),(AM442*2*база!$I$5*Таблица14[[#This Row],[коэф]]),
IF(AND(G442="3/4",AM442&gt;2),(AM442*2*база!$I$4*Таблица14[[#This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(AM442*2*база!$L$4*Таблица14[[#This Row],[коэф]]))))))))))))),
(IF(AND(G442="5/24",AM442&gt;2),(AM442*2*база!$M$6*Таблица14[[#This Row],[коэф]]),
IF(OR(AND(G442="4/24",AM442&gt;2),AND(G442="3/24",AM442&gt;2)),(AM442*2*база!$M$5*Таблица14[[#This Row],[коэф]]),
IF(AND(G442="5/16",AM442&gt;2),(AM442*2*база!$L$6*Таблица14[[#This Row],[коэф]]),
IF(OR(AND(G442="4/16",AM442&gt;2),AND(G442="3/16",AM442&gt;2)),(AM442*2*база!$L$5*Таблица14[[#This Row],[коэф]]),
IF(OR(AND(G442="4/4",AM442&gt;2),AND(G442="3/4",AM442&gt;2)),(AM442*2*база!$I$5*Таблица14[[#This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(AM442*2*база!$L$5*Таблица14[[#This Row],[коэф]])))))))))))</f>
        <v>0</v>
      </c>
      <c r="AO442" s="114">
        <f>IFERROR(INDEX(база!$D$2:$D$120, MATCH(Таблица14[[#This Row],[Ф. И. О.]],база!$B$2:$B$100,0)),"")</f>
        <v>0</v>
      </c>
    </row>
    <row r="443" spans="1:41">
      <c r="A443" s="192"/>
      <c r="B443" s="223"/>
      <c r="C443" s="543"/>
      <c r="D443" s="190"/>
      <c r="E443" s="226"/>
      <c r="F443" s="644"/>
      <c r="G443" s="191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113">
        <f t="shared" si="6"/>
        <v>0</v>
      </c>
      <c r="AN443" s="540">
        <f>IF(AO443&lt;=3,(IF(AND(G443="5/24",AM443&gt;2),(AM443*2*база!$M$6*Таблица14[[#This Row],[коэф]]),
IF(AND(G443="4/24",AM443&gt;2),(AM443*2*база!$M$5*Таблица14[[#This Row],[коэф]]),
IF(AND(G443="3/24",AM443&gt;2),(AM443*2*база!$M$4*Таблица14[[#This Row],[коэф]]),
IF(AND(G443="5/16",AM443&gt;2),(AM443*2*база!$L$6*Таблица14[[#This Row],[коэф]]),
IF(AND(G443="4/16",AM443&gt;2),(AM443*2*база!$L$5*Таблица14[[#This Row],[коэф]]),
IF(AND(G443="3/16",AM443&gt;2),(AM443*2*база!$L$4*Таблица14[[#This Row],[коэф]]),
IF(AND(G443="4/4",AM443&gt;2),(AM443*2*база!$I$5*Таблица14[[#This Row],[коэф]]),
IF(AND(G443="3/4",AM443&gt;2),(AM443*2*база!$I$4*Таблица14[[#This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(AM443*2*база!$L$4*Таблица14[[#This Row],[коэф]]))))))))))))),
(IF(AND(G443="5/24",AM443&gt;2),(AM443*2*база!$M$6*Таблица14[[#This Row],[коэф]]),
IF(OR(AND(G443="4/24",AM443&gt;2),AND(G443="3/24",AM443&gt;2)),(AM443*2*база!$M$5*Таблица14[[#This Row],[коэф]]),
IF(AND(G443="5/16",AM443&gt;2),(AM443*2*база!$L$6*Таблица14[[#This Row],[коэф]]),
IF(OR(AND(G443="4/16",AM443&gt;2),AND(G443="3/16",AM443&gt;2)),(AM443*2*база!$L$5*Таблица14[[#This Row],[коэф]]),
IF(OR(AND(G443="4/4",AM443&gt;2),AND(G443="3/4",AM443&gt;2)),(AM443*2*база!$I$5*Таблица14[[#This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(AM443*2*база!$L$5*Таблица14[[#This Row],[коэф]])))))))))))</f>
        <v>0</v>
      </c>
      <c r="AO443" s="114">
        <f>IFERROR(INDEX(база!$D$2:$D$120, MATCH(Таблица14[[#This Row],[Ф. И. О.]],база!$B$2:$B$100,0)),"")</f>
        <v>0</v>
      </c>
    </row>
    <row r="444" spans="1:41">
      <c r="A444" s="192"/>
      <c r="B444" s="189"/>
      <c r="C444" s="619"/>
      <c r="D444" s="562"/>
      <c r="E444" s="226"/>
      <c r="F444" s="644"/>
      <c r="G444" s="225"/>
      <c r="H444" s="563"/>
      <c r="I444" s="563"/>
      <c r="J444" s="563"/>
      <c r="K444" s="563"/>
      <c r="L444" s="563"/>
      <c r="M444" s="563"/>
      <c r="N444" s="563"/>
      <c r="O444" s="563"/>
      <c r="P444" s="563"/>
      <c r="Q444" s="563"/>
      <c r="R444" s="563"/>
      <c r="S444" s="563"/>
      <c r="T444" s="563"/>
      <c r="U444" s="563"/>
      <c r="V444" s="563"/>
      <c r="W444" s="563"/>
      <c r="X444" s="563"/>
      <c r="Y444" s="563"/>
      <c r="Z444" s="563"/>
      <c r="AA444" s="563"/>
      <c r="AB444" s="563"/>
      <c r="AC444" s="563"/>
      <c r="AD444" s="563"/>
      <c r="AE444" s="563"/>
      <c r="AF444" s="563"/>
      <c r="AG444" s="563"/>
      <c r="AH444" s="563"/>
      <c r="AI444" s="563"/>
      <c r="AJ444" s="563"/>
      <c r="AK444" s="563"/>
      <c r="AL444" s="563"/>
      <c r="AM444" s="113">
        <f t="shared" si="6"/>
        <v>0</v>
      </c>
      <c r="AN444" s="561">
        <f>IF(AO444&lt;=3,(IF(AND(G444="5/24",AM444&gt;2),(AM444*2*база!$M$6*Таблица14[[#This Row],[коэф]]),
IF(AND(G444="4/24",AM444&gt;2),(AM444*2*база!$M$5*Таблица14[[#This Row],[коэф]]),
IF(AND(G444="3/24",AM444&gt;2),(AM444*2*база!$M$4*Таблица14[[#This Row],[коэф]]),
IF(AND(G444="5/16",AM444&gt;2),(AM444*2*база!$L$6*Таблица14[[#This Row],[коэф]]),
IF(AND(G444="4/16",AM444&gt;2),(AM444*2*база!$L$5*Таблица14[[#This Row],[коэф]]),
IF(AND(G444="3/16",AM444&gt;2),(AM444*2*база!$L$4*Таблица14[[#This Row],[коэф]]),
IF(AND(G444="4/4",AM444&gt;2),(AM444*2*база!$I$5*Таблица14[[#This Row],[коэф]]),
IF(AND(G444="3/4",AM444&gt;2),(AM444*2*база!$I$4*Таблица14[[#This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(AM444*2*база!$L$4*Таблица14[[#This Row],[коэф]]))))))))))))),
(IF(AND(G444="5/24",AM444&gt;2),(AM444*2*база!$M$6*Таблица14[[#This Row],[коэф]]),
IF(OR(AND(G444="4/24",AM444&gt;2),AND(G444="3/24",AM444&gt;2)),(AM444*2*база!$M$5*Таблица14[[#This Row],[коэф]]),
IF(AND(G444="5/16",AM444&gt;2),(AM444*2*база!$L$6*Таблица14[[#This Row],[коэф]]),
IF(OR(AND(G444="4/16",AM444&gt;2),AND(G444="3/16",AM444&gt;2)),(AM444*2*база!$L$5*Таблица14[[#This Row],[коэф]]),
IF(OR(AND(G444="4/4",AM444&gt;2),AND(G444="3/4",AM444&gt;2)),(AM444*2*база!$I$5*Таблица14[[#This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(AM444*2*база!$L$5*Таблица14[[#This Row],[коэф]])))))))))))</f>
        <v>0</v>
      </c>
      <c r="AO444" s="114">
        <f>IFERROR(INDEX(база!$D$2:$D$120, MATCH(Таблица14[[#This Row],[Ф. И. О.]],база!$B$2:$B$100,0)),"")</f>
        <v>0</v>
      </c>
    </row>
    <row r="445" spans="1:41">
      <c r="A445" s="192"/>
      <c r="B445" s="223"/>
      <c r="C445" s="543"/>
      <c r="D445" s="190"/>
      <c r="E445" s="226"/>
      <c r="F445" s="644"/>
      <c r="G445" s="191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113">
        <f t="shared" si="6"/>
        <v>0</v>
      </c>
      <c r="AN445" s="540">
        <f>IF(AO445&lt;=3,(IF(AND(G445="5/24",AM445&gt;2),(AM445*2*база!$M$6*Таблица14[[#This Row],[коэф]]),
IF(AND(G445="4/24",AM445&gt;2),(AM445*2*база!$M$5*Таблица14[[#This Row],[коэф]]),
IF(AND(G445="3/24",AM445&gt;2),(AM445*2*база!$M$4*Таблица14[[#This Row],[коэф]]),
IF(AND(G445="5/16",AM445&gt;2),(AM445*2*база!$L$6*Таблица14[[#This Row],[коэф]]),
IF(AND(G445="4/16",AM445&gt;2),(AM445*2*база!$L$5*Таблица14[[#This Row],[коэф]]),
IF(AND(G445="3/16",AM445&gt;2),(AM445*2*база!$L$4*Таблица14[[#This Row],[коэф]]),
IF(AND(G445="4/4",AM445&gt;2),(AM445*2*база!$I$5*Таблица14[[#This Row],[коэф]]),
IF(AND(G445="3/4",AM445&gt;2),(AM445*2*база!$I$4*Таблица14[[#This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(AM445*2*база!$L$4*Таблица14[[#This Row],[коэф]]))))))))))))),
(IF(AND(G445="5/24",AM445&gt;2),(AM445*2*база!$M$6*Таблица14[[#This Row],[коэф]]),
IF(OR(AND(G445="4/24",AM445&gt;2),AND(G445="3/24",AM445&gt;2)),(AM445*2*база!$M$5*Таблица14[[#This Row],[коэф]]),
IF(AND(G445="5/16",AM445&gt;2),(AM445*2*база!$L$6*Таблица14[[#This Row],[коэф]]),
IF(OR(AND(G445="4/16",AM445&gt;2),AND(G445="3/16",AM445&gt;2)),(AM445*2*база!$L$5*Таблица14[[#This Row],[коэф]]),
IF(OR(AND(G445="4/4",AM445&gt;2),AND(G445="3/4",AM445&gt;2)),(AM445*2*база!$I$5*Таблица14[[#This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(AM445*2*база!$L$5*Таблица14[[#This Row],[коэф]])))))))))))</f>
        <v>0</v>
      </c>
      <c r="AO445" s="114">
        <f>IFERROR(INDEX(база!$D$2:$D$120, MATCH(Таблица14[[#This Row],[Ф. И. О.]],база!$B$2:$B$100,0)),"")</f>
        <v>0</v>
      </c>
    </row>
    <row r="446" spans="1:41">
      <c r="A446" s="192"/>
      <c r="B446" s="189"/>
      <c r="C446" s="619"/>
      <c r="D446" s="562"/>
      <c r="E446" s="226"/>
      <c r="F446" s="652"/>
      <c r="G446" s="225"/>
      <c r="H446" s="563"/>
      <c r="I446" s="563"/>
      <c r="J446" s="563"/>
      <c r="K446" s="563"/>
      <c r="L446" s="563"/>
      <c r="M446" s="563"/>
      <c r="N446" s="563"/>
      <c r="O446" s="563"/>
      <c r="P446" s="563"/>
      <c r="Q446" s="563"/>
      <c r="R446" s="563"/>
      <c r="S446" s="563"/>
      <c r="T446" s="563"/>
      <c r="U446" s="563"/>
      <c r="V446" s="563"/>
      <c r="W446" s="563"/>
      <c r="X446" s="563"/>
      <c r="Y446" s="563"/>
      <c r="Z446" s="563"/>
      <c r="AA446" s="563"/>
      <c r="AB446" s="563"/>
      <c r="AC446" s="563"/>
      <c r="AD446" s="563"/>
      <c r="AE446" s="563"/>
      <c r="AF446" s="563"/>
      <c r="AG446" s="563"/>
      <c r="AH446" s="563"/>
      <c r="AI446" s="563"/>
      <c r="AJ446" s="563"/>
      <c r="AK446" s="563"/>
      <c r="AL446" s="563"/>
      <c r="AM446" s="113">
        <f t="shared" si="6"/>
        <v>0</v>
      </c>
      <c r="AN446" s="561">
        <f>IF(AO446&lt;=3,(IF(AND(G446="5/24",AM446&gt;2),(AM446*2*база!$M$6*Таблица14[[#This Row],[коэф]]),
IF(AND(G446="4/24",AM446&gt;2),(AM446*2*база!$M$5*Таблица14[[#This Row],[коэф]]),
IF(AND(G446="3/24",AM446&gt;2),(AM446*2*база!$M$4*Таблица14[[#This Row],[коэф]]),
IF(AND(G446="5/16",AM446&gt;2),(AM446*2*база!$L$6*Таблица14[[#This Row],[коэф]]),
IF(AND(G446="4/16",AM446&gt;2),(AM446*2*база!$L$5*Таблица14[[#This Row],[коэф]]),
IF(AND(G446="3/16",AM446&gt;2),(AM446*2*база!$L$4*Таблица14[[#This Row],[коэф]]),
IF(AND(G446="4/4",AM446&gt;2),(AM446*2*база!$I$5*Таблица14[[#This Row],[коэф]]),
IF(AND(G446="3/4",AM446&gt;2),(AM446*2*база!$I$4*Таблица14[[#This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(AM446*2*база!$L$4*Таблица14[[#This Row],[коэф]]))))))))))))),
(IF(AND(G446="5/24",AM446&gt;2),(AM446*2*база!$M$6*Таблица14[[#This Row],[коэф]]),
IF(OR(AND(G446="4/24",AM446&gt;2),AND(G446="3/24",AM446&gt;2)),(AM446*2*база!$M$5*Таблица14[[#This Row],[коэф]]),
IF(AND(G446="5/16",AM446&gt;2),(AM446*2*база!$L$6*Таблица14[[#This Row],[коэф]]),
IF(OR(AND(G446="4/16",AM446&gt;2),AND(G446="3/16",AM446&gt;2)),(AM446*2*база!$L$5*Таблица14[[#This Row],[коэф]]),
IF(OR(AND(G446="4/4",AM446&gt;2),AND(G446="3/4",AM446&gt;2)),(AM446*2*база!$I$5*Таблица14[[#This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(AM446*2*база!$L$5*Таблица14[[#This Row],[коэф]])))))))))))</f>
        <v>0</v>
      </c>
      <c r="AO446" s="114">
        <f>IFERROR(INDEX(база!$D$2:$D$120, MATCH(Таблица14[[#This Row],[Ф. И. О.]],база!$B$2:$B$100,0)),"")</f>
        <v>0</v>
      </c>
    </row>
    <row r="447" spans="1:41">
      <c r="A447" s="192"/>
      <c r="B447" s="223"/>
      <c r="C447" s="543"/>
      <c r="D447" s="190"/>
      <c r="E447" s="226"/>
      <c r="F447" s="652"/>
      <c r="G447" s="191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113">
        <f t="shared" si="6"/>
        <v>0</v>
      </c>
      <c r="AN447" s="540">
        <f>IF(AO447&lt;=3,(IF(AND(G447="5/24",AM447&gt;2),(AM447*2*база!$M$6*Таблица14[[#This Row],[коэф]]),
IF(AND(G447="4/24",AM447&gt;2),(AM447*2*база!$M$5*Таблица14[[#This Row],[коэф]]),
IF(AND(G447="3/24",AM447&gt;2),(AM447*2*база!$M$4*Таблица14[[#This Row],[коэф]]),
IF(AND(G447="5/16",AM447&gt;2),(AM447*2*база!$L$6*Таблица14[[#This Row],[коэф]]),
IF(AND(G447="4/16",AM447&gt;2),(AM447*2*база!$L$5*Таблица14[[#This Row],[коэф]]),
IF(AND(G447="3/16",AM447&gt;2),(AM447*2*база!$L$4*Таблица14[[#This Row],[коэф]]),
IF(AND(G447="4/4",AM447&gt;2),(AM447*2*база!$I$5*Таблица14[[#This Row],[коэф]]),
IF(AND(G447="3/4",AM447&gt;2),(AM447*2*база!$I$4*Таблица14[[#This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(AM447*2*база!$L$4*Таблица14[[#This Row],[коэф]]))))))))))))),
(IF(AND(G447="5/24",AM447&gt;2),(AM447*2*база!$M$6*Таблица14[[#This Row],[коэф]]),
IF(OR(AND(G447="4/24",AM447&gt;2),AND(G447="3/24",AM447&gt;2)),(AM447*2*база!$M$5*Таблица14[[#This Row],[коэф]]),
IF(AND(G447="5/16",AM447&gt;2),(AM447*2*база!$L$6*Таблица14[[#This Row],[коэф]]),
IF(OR(AND(G447="4/16",AM447&gt;2),AND(G447="3/16",AM447&gt;2)),(AM447*2*база!$L$5*Таблица14[[#This Row],[коэф]]),
IF(OR(AND(G447="4/4",AM447&gt;2),AND(G447="3/4",AM447&gt;2)),(AM447*2*база!$I$5*Таблица14[[#This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(AM447*2*база!$L$5*Таблица14[[#This Row],[коэф]])))))))))))</f>
        <v>0</v>
      </c>
      <c r="AO447" s="114">
        <f>IFERROR(INDEX(база!$D$2:$D$120, MATCH(Таблица14[[#This Row],[Ф. И. О.]],база!$B$2:$B$100,0)),"")</f>
        <v>0</v>
      </c>
    </row>
    <row r="448" spans="1:41">
      <c r="A448" s="192"/>
      <c r="B448" s="189"/>
      <c r="C448" s="619"/>
      <c r="D448" s="562"/>
      <c r="E448" s="226"/>
      <c r="F448" s="652"/>
      <c r="G448" s="225"/>
      <c r="H448" s="563"/>
      <c r="I448" s="563"/>
      <c r="J448" s="563"/>
      <c r="K448" s="563"/>
      <c r="L448" s="563"/>
      <c r="M448" s="563"/>
      <c r="N448" s="563"/>
      <c r="O448" s="563"/>
      <c r="P448" s="563"/>
      <c r="Q448" s="563"/>
      <c r="R448" s="563"/>
      <c r="S448" s="563"/>
      <c r="T448" s="563"/>
      <c r="U448" s="563"/>
      <c r="V448" s="563"/>
      <c r="W448" s="563"/>
      <c r="X448" s="563"/>
      <c r="Y448" s="563"/>
      <c r="Z448" s="563"/>
      <c r="AA448" s="563"/>
      <c r="AB448" s="563"/>
      <c r="AC448" s="563"/>
      <c r="AD448" s="563"/>
      <c r="AE448" s="563"/>
      <c r="AF448" s="563"/>
      <c r="AG448" s="563"/>
      <c r="AH448" s="563"/>
      <c r="AI448" s="563"/>
      <c r="AJ448" s="563"/>
      <c r="AK448" s="563"/>
      <c r="AL448" s="563"/>
      <c r="AM448" s="113">
        <f t="shared" si="6"/>
        <v>0</v>
      </c>
      <c r="AN448" s="561">
        <f>IF(AO448&lt;=3,(IF(AND(G448="5/24",AM448&gt;2),(AM448*2*база!$M$6*Таблица14[[#This Row],[коэф]]),
IF(AND(G448="4/24",AM448&gt;2),(AM448*2*база!$M$5*Таблица14[[#This Row],[коэф]]),
IF(AND(G448="3/24",AM448&gt;2),(AM448*2*база!$M$4*Таблица14[[#This Row],[коэф]]),
IF(AND(G448="5/16",AM448&gt;2),(AM448*2*база!$L$6*Таблица14[[#This Row],[коэф]]),
IF(AND(G448="4/16",AM448&gt;2),(AM448*2*база!$L$5*Таблица14[[#This Row],[коэф]]),
IF(AND(G448="3/16",AM448&gt;2),(AM448*2*база!$L$4*Таблица14[[#This Row],[коэф]]),
IF(AND(G448="4/4",AM448&gt;2),(AM448*2*база!$I$5*Таблица14[[#This Row],[коэф]]),
IF(AND(G448="3/4",AM448&gt;2),(AM448*2*база!$I$4*Таблица14[[#This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(AM448*2*база!$L$4*Таблица14[[#This Row],[коэф]]))))))))))))),
(IF(AND(G448="5/24",AM448&gt;2),(AM448*2*база!$M$6*Таблица14[[#This Row],[коэф]]),
IF(OR(AND(G448="4/24",AM448&gt;2),AND(G448="3/24",AM448&gt;2)),(AM448*2*база!$M$5*Таблица14[[#This Row],[коэф]]),
IF(AND(G448="5/16",AM448&gt;2),(AM448*2*база!$L$6*Таблица14[[#This Row],[коэф]]),
IF(OR(AND(G448="4/16",AM448&gt;2),AND(G448="3/16",AM448&gt;2)),(AM448*2*база!$L$5*Таблица14[[#This Row],[коэф]]),
IF(OR(AND(G448="4/4",AM448&gt;2),AND(G448="3/4",AM448&gt;2)),(AM448*2*база!$I$5*Таблица14[[#This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(AM448*2*база!$L$5*Таблица14[[#This Row],[коэф]])))))))))))</f>
        <v>0</v>
      </c>
      <c r="AO448" s="114">
        <f>IFERROR(INDEX(база!$D$2:$D$120, MATCH(Таблица14[[#This Row],[Ф. И. О.]],база!$B$2:$B$100,0)),"")</f>
        <v>0</v>
      </c>
    </row>
    <row r="449" spans="1:41">
      <c r="A449" s="192"/>
      <c r="B449" s="223"/>
      <c r="C449" s="543"/>
      <c r="D449" s="190"/>
      <c r="E449" s="226"/>
      <c r="F449" s="652"/>
      <c r="G449" s="191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113">
        <f t="shared" si="6"/>
        <v>0</v>
      </c>
      <c r="AN449" s="540">
        <f>IF(AO449&lt;=3,(IF(AND(G449="5/24",AM449&gt;2),(AM449*2*база!$M$6*Таблица14[[#This Row],[коэф]]),
IF(AND(G449="4/24",AM449&gt;2),(AM449*2*база!$M$5*Таблица14[[#This Row],[коэф]]),
IF(AND(G449="3/24",AM449&gt;2),(AM449*2*база!$M$4*Таблица14[[#This Row],[коэф]]),
IF(AND(G449="5/16",AM449&gt;2),(AM449*2*база!$L$6*Таблица14[[#This Row],[коэф]]),
IF(AND(G449="4/16",AM449&gt;2),(AM449*2*база!$L$5*Таблица14[[#This Row],[коэф]]),
IF(AND(G449="3/16",AM449&gt;2),(AM449*2*база!$L$4*Таблица14[[#This Row],[коэф]]),
IF(AND(G449="4/4",AM449&gt;2),(AM449*2*база!$I$5*Таблица14[[#This Row],[коэф]]),
IF(AND(G449="3/4",AM449&gt;2),(AM449*2*база!$I$4*Таблица14[[#This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(AM449*2*база!$L$4*Таблица14[[#This Row],[коэф]]))))))))))))),
(IF(AND(G449="5/24",AM449&gt;2),(AM449*2*база!$M$6*Таблица14[[#This Row],[коэф]]),
IF(OR(AND(G449="4/24",AM449&gt;2),AND(G449="3/24",AM449&gt;2)),(AM449*2*база!$M$5*Таблица14[[#This Row],[коэф]]),
IF(AND(G449="5/16",AM449&gt;2),(AM449*2*база!$L$6*Таблица14[[#This Row],[коэф]]),
IF(OR(AND(G449="4/16",AM449&gt;2),AND(G449="3/16",AM449&gt;2)),(AM449*2*база!$L$5*Таблица14[[#This Row],[коэф]]),
IF(OR(AND(G449="4/4",AM449&gt;2),AND(G449="3/4",AM449&gt;2)),(AM449*2*база!$I$5*Таблица14[[#This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(AM449*2*база!$L$5*Таблица14[[#This Row],[коэф]])))))))))))</f>
        <v>0</v>
      </c>
      <c r="AO449" s="114">
        <f>IFERROR(INDEX(база!$D$2:$D$120, MATCH(Таблица14[[#This Row],[Ф. И. О.]],база!$B$2:$B$100,0)),"")</f>
        <v>0</v>
      </c>
    </row>
    <row r="450" spans="1:41">
      <c r="A450" s="192"/>
      <c r="B450" s="189"/>
      <c r="C450" s="619"/>
      <c r="D450" s="562"/>
      <c r="E450" s="226"/>
      <c r="F450" s="652"/>
      <c r="G450" s="225"/>
      <c r="H450" s="563"/>
      <c r="I450" s="563"/>
      <c r="J450" s="563"/>
      <c r="K450" s="563"/>
      <c r="L450" s="563"/>
      <c r="M450" s="563"/>
      <c r="N450" s="563"/>
      <c r="O450" s="563"/>
      <c r="P450" s="563"/>
      <c r="Q450" s="563"/>
      <c r="R450" s="563"/>
      <c r="S450" s="563"/>
      <c r="T450" s="563"/>
      <c r="U450" s="563"/>
      <c r="V450" s="563"/>
      <c r="W450" s="563"/>
      <c r="X450" s="563"/>
      <c r="Y450" s="563"/>
      <c r="Z450" s="563"/>
      <c r="AA450" s="563"/>
      <c r="AB450" s="563"/>
      <c r="AC450" s="563"/>
      <c r="AD450" s="563"/>
      <c r="AE450" s="563"/>
      <c r="AF450" s="563"/>
      <c r="AG450" s="563"/>
      <c r="AH450" s="563"/>
      <c r="AI450" s="563"/>
      <c r="AJ450" s="563"/>
      <c r="AK450" s="563"/>
      <c r="AL450" s="563"/>
      <c r="AM450" s="113">
        <f t="shared" si="6"/>
        <v>0</v>
      </c>
      <c r="AN450" s="561">
        <f>IF(AO450&lt;=3,(IF(AND(G450="5/24",AM450&gt;2),(AM450*2*база!$M$6*Таблица14[[#This Row],[коэф]]),
IF(AND(G450="4/24",AM450&gt;2),(AM450*2*база!$M$5*Таблица14[[#This Row],[коэф]]),
IF(AND(G450="3/24",AM450&gt;2),(AM450*2*база!$M$4*Таблица14[[#This Row],[коэф]]),
IF(AND(G450="5/16",AM450&gt;2),(AM450*2*база!$L$6*Таблица14[[#This Row],[коэф]]),
IF(AND(G450="4/16",AM450&gt;2),(AM450*2*база!$L$5*Таблица14[[#This Row],[коэф]]),
IF(AND(G450="3/16",AM450&gt;2),(AM450*2*база!$L$4*Таблица14[[#This Row],[коэф]]),
IF(AND(G450="4/4",AM450&gt;2),(AM450*2*база!$I$5*Таблица14[[#This Row],[коэф]]),
IF(AND(G450="3/4",AM450&gt;2),(AM450*2*база!$I$4*Таблица14[[#This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(AM450*2*база!$L$4*Таблица14[[#This Row],[коэф]]))))))))))))),
(IF(AND(G450="5/24",AM450&gt;2),(AM450*2*база!$M$6*Таблица14[[#This Row],[коэф]]),
IF(OR(AND(G450="4/24",AM450&gt;2),AND(G450="3/24",AM450&gt;2)),(AM450*2*база!$M$5*Таблица14[[#This Row],[коэф]]),
IF(AND(G450="5/16",AM450&gt;2),(AM450*2*база!$L$6*Таблица14[[#This Row],[коэф]]),
IF(OR(AND(G450="4/16",AM450&gt;2),AND(G450="3/16",AM450&gt;2)),(AM450*2*база!$L$5*Таблица14[[#This Row],[коэф]]),
IF(OR(AND(G450="4/4",AM450&gt;2),AND(G450="3/4",AM450&gt;2)),(AM450*2*база!$I$5*Таблица14[[#This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(AM450*2*база!$L$5*Таблица14[[#This Row],[коэф]])))))))))))</f>
        <v>0</v>
      </c>
      <c r="AO450" s="114">
        <f>IFERROR(INDEX(база!$D$2:$D$120, MATCH(Таблица14[[#This Row],[Ф. И. О.]],база!$B$2:$B$100,0)),"")</f>
        <v>0</v>
      </c>
    </row>
    <row r="451" spans="1:41">
      <c r="A451" s="192"/>
      <c r="B451" s="223"/>
      <c r="C451" s="543"/>
      <c r="D451" s="190"/>
      <c r="E451" s="226"/>
      <c r="F451" s="652"/>
      <c r="G451" s="191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113">
        <f t="shared" si="6"/>
        <v>0</v>
      </c>
      <c r="AN451" s="540">
        <f>IF(AO451&lt;=3,(IF(AND(G451="5/24",AM451&gt;2),(AM451*2*база!$M$6*Таблица14[[#This Row],[коэф]]),
IF(AND(G451="4/24",AM451&gt;2),(AM451*2*база!$M$5*Таблица14[[#This Row],[коэф]]),
IF(AND(G451="3/24",AM451&gt;2),(AM451*2*база!$M$4*Таблица14[[#This Row],[коэф]]),
IF(AND(G451="5/16",AM451&gt;2),(AM451*2*база!$L$6*Таблица14[[#This Row],[коэф]]),
IF(AND(G451="4/16",AM451&gt;2),(AM451*2*база!$L$5*Таблица14[[#This Row],[коэф]]),
IF(AND(G451="3/16",AM451&gt;2),(AM451*2*база!$L$4*Таблица14[[#This Row],[коэф]]),
IF(AND(G451="4/4",AM451&gt;2),(AM451*2*база!$I$5*Таблица14[[#This Row],[коэф]]),
IF(AND(G451="3/4",AM451&gt;2),(AM451*2*база!$I$4*Таблица14[[#This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(AM451*2*база!$L$4*Таблица14[[#This Row],[коэф]]))))))))))))),
(IF(AND(G451="5/24",AM451&gt;2),(AM451*2*база!$M$6*Таблица14[[#This Row],[коэф]]),
IF(OR(AND(G451="4/24",AM451&gt;2),AND(G451="3/24",AM451&gt;2)),(AM451*2*база!$M$5*Таблица14[[#This Row],[коэф]]),
IF(AND(G451="5/16",AM451&gt;2),(AM451*2*база!$L$6*Таблица14[[#This Row],[коэф]]),
IF(OR(AND(G451="4/16",AM451&gt;2),AND(G451="3/16",AM451&gt;2)),(AM451*2*база!$L$5*Таблица14[[#This Row],[коэф]]),
IF(OR(AND(G451="4/4",AM451&gt;2),AND(G451="3/4",AM451&gt;2)),(AM451*2*база!$I$5*Таблица14[[#This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(AM451*2*база!$L$5*Таблица14[[#This Row],[коэф]])))))))))))</f>
        <v>0</v>
      </c>
      <c r="AO451" s="114">
        <f>IFERROR(INDEX(база!$D$2:$D$120, MATCH(Таблица14[[#This Row],[Ф. И. О.]],база!$B$2:$B$100,0)),"")</f>
        <v>0</v>
      </c>
    </row>
    <row r="452" spans="1:41">
      <c r="A452" s="192"/>
      <c r="B452" s="189"/>
      <c r="C452" s="619"/>
      <c r="D452" s="562"/>
      <c r="E452" s="226"/>
      <c r="F452" s="652"/>
      <c r="G452" s="225"/>
      <c r="H452" s="563"/>
      <c r="I452" s="563"/>
      <c r="J452" s="563"/>
      <c r="K452" s="563"/>
      <c r="L452" s="563"/>
      <c r="M452" s="563"/>
      <c r="N452" s="563"/>
      <c r="O452" s="563"/>
      <c r="P452" s="563"/>
      <c r="Q452" s="563"/>
      <c r="R452" s="563"/>
      <c r="S452" s="563"/>
      <c r="T452" s="563"/>
      <c r="U452" s="563"/>
      <c r="V452" s="563"/>
      <c r="W452" s="563"/>
      <c r="X452" s="563"/>
      <c r="Y452" s="563"/>
      <c r="Z452" s="563"/>
      <c r="AA452" s="563"/>
      <c r="AB452" s="563"/>
      <c r="AC452" s="563"/>
      <c r="AD452" s="563"/>
      <c r="AE452" s="563"/>
      <c r="AF452" s="563"/>
      <c r="AG452" s="563"/>
      <c r="AH452" s="563"/>
      <c r="AI452" s="563"/>
      <c r="AJ452" s="563"/>
      <c r="AK452" s="563"/>
      <c r="AL452" s="563"/>
      <c r="AM452" s="113">
        <f t="shared" ref="AM452:AM478" si="7">SUM(H452:AL452)</f>
        <v>0</v>
      </c>
      <c r="AN452" s="561">
        <f>IF(AO452&lt;=3,(IF(AND(G452="5/24",AM452&gt;2),(AM452*2*база!$M$6*Таблица14[[#This Row],[коэф]]),
IF(AND(G452="4/24",AM452&gt;2),(AM452*2*база!$M$5*Таблица14[[#This Row],[коэф]]),
IF(AND(G452="3/24",AM452&gt;2),(AM452*2*база!$M$4*Таблица14[[#This Row],[коэф]]),
IF(AND(G452="5/16",AM452&gt;2),(AM452*2*база!$L$6*Таблица14[[#This Row],[коэф]]),
IF(AND(G452="4/16",AM452&gt;2),(AM452*2*база!$L$5*Таблица14[[#This Row],[коэф]]),
IF(AND(G452="3/16",AM452&gt;2),(AM452*2*база!$L$4*Таблица14[[#This Row],[коэф]]),
IF(AND(G452="4/4",AM452&gt;2),(AM452*2*база!$I$5*Таблица14[[#This Row],[коэф]]),
IF(AND(G452="3/4",AM452&gt;2),(AM452*2*база!$I$4*Таблица14[[#This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(AM452*2*база!$L$4*Таблица14[[#This Row],[коэф]]))))))))))))),
(IF(AND(G452="5/24",AM452&gt;2),(AM452*2*база!$M$6*Таблица14[[#This Row],[коэф]]),
IF(OR(AND(G452="4/24",AM452&gt;2),AND(G452="3/24",AM452&gt;2)),(AM452*2*база!$M$5*Таблица14[[#This Row],[коэф]]),
IF(AND(G452="5/16",AM452&gt;2),(AM452*2*база!$L$6*Таблица14[[#This Row],[коэф]]),
IF(OR(AND(G452="4/16",AM452&gt;2),AND(G452="3/16",AM452&gt;2)),(AM452*2*база!$L$5*Таблица14[[#This Row],[коэф]]),
IF(OR(AND(G452="4/4",AM452&gt;2),AND(G452="3/4",AM452&gt;2)),(AM452*2*база!$I$5*Таблица14[[#This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(AM452*2*база!$L$5*Таблица14[[#This Row],[коэф]])))))))))))</f>
        <v>0</v>
      </c>
      <c r="AO452" s="114">
        <f>IFERROR(INDEX(база!$D$2:$D$120, MATCH(Таблица14[[#This Row],[Ф. И. О.]],база!$B$2:$B$100,0)),"")</f>
        <v>0</v>
      </c>
    </row>
    <row r="453" spans="1:41">
      <c r="A453" s="192"/>
      <c r="B453" s="223"/>
      <c r="C453" s="543"/>
      <c r="D453" s="190"/>
      <c r="E453" s="226"/>
      <c r="F453" s="652"/>
      <c r="G453" s="191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113">
        <f t="shared" si="7"/>
        <v>0</v>
      </c>
      <c r="AN453" s="540">
        <f>IF(AO453&lt;=3,(IF(AND(G453="5/24",AM453&gt;2),(AM453*2*база!$M$6*Таблица14[[#This Row],[коэф]]),
IF(AND(G453="4/24",AM453&gt;2),(AM453*2*база!$M$5*Таблица14[[#This Row],[коэф]]),
IF(AND(G453="3/24",AM453&gt;2),(AM453*2*база!$M$4*Таблица14[[#This Row],[коэф]]),
IF(AND(G453="5/16",AM453&gt;2),(AM453*2*база!$L$6*Таблица14[[#This Row],[коэф]]),
IF(AND(G453="4/16",AM453&gt;2),(AM453*2*база!$L$5*Таблица14[[#This Row],[коэф]]),
IF(AND(G453="3/16",AM453&gt;2),(AM453*2*база!$L$4*Таблица14[[#This Row],[коэф]]),
IF(AND(G453="4/4",AM453&gt;2),(AM453*2*база!$I$5*Таблица14[[#This Row],[коэф]]),
IF(AND(G453="3/4",AM453&gt;2),(AM453*2*база!$I$4*Таблица14[[#This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(AM453*2*база!$L$4*Таблица14[[#This Row],[коэф]]))))))))))))),
(IF(AND(G453="5/24",AM453&gt;2),(AM453*2*база!$M$6*Таблица14[[#This Row],[коэф]]),
IF(OR(AND(G453="4/24",AM453&gt;2),AND(G453="3/24",AM453&gt;2)),(AM453*2*база!$M$5*Таблица14[[#This Row],[коэф]]),
IF(AND(G453="5/16",AM453&gt;2),(AM453*2*база!$L$6*Таблица14[[#This Row],[коэф]]),
IF(OR(AND(G453="4/16",AM453&gt;2),AND(G453="3/16",AM453&gt;2)),(AM453*2*база!$L$5*Таблица14[[#This Row],[коэф]]),
IF(OR(AND(G453="4/4",AM453&gt;2),AND(G453="3/4",AM453&gt;2)),(AM453*2*база!$I$5*Таблица14[[#This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(AM453*2*база!$L$5*Таблица14[[#This Row],[коэф]])))))))))))</f>
        <v>0</v>
      </c>
      <c r="AO453" s="114">
        <f>IFERROR(INDEX(база!$D$2:$D$120, MATCH(Таблица14[[#This Row],[Ф. И. О.]],база!$B$2:$B$100,0)),"")</f>
        <v>0</v>
      </c>
    </row>
    <row r="454" spans="1:41">
      <c r="A454" s="192"/>
      <c r="B454" s="189"/>
      <c r="C454" s="619"/>
      <c r="D454" s="562"/>
      <c r="E454" s="226"/>
      <c r="F454" s="652"/>
      <c r="G454" s="225"/>
      <c r="H454" s="563"/>
      <c r="I454" s="563"/>
      <c r="J454" s="563"/>
      <c r="K454" s="563"/>
      <c r="L454" s="563"/>
      <c r="M454" s="563"/>
      <c r="N454" s="563"/>
      <c r="O454" s="563"/>
      <c r="P454" s="563"/>
      <c r="Q454" s="563"/>
      <c r="R454" s="563"/>
      <c r="S454" s="563"/>
      <c r="T454" s="563"/>
      <c r="U454" s="563"/>
      <c r="V454" s="563"/>
      <c r="W454" s="563"/>
      <c r="X454" s="563"/>
      <c r="Y454" s="563"/>
      <c r="Z454" s="563"/>
      <c r="AA454" s="563"/>
      <c r="AB454" s="563"/>
      <c r="AC454" s="563"/>
      <c r="AD454" s="563"/>
      <c r="AE454" s="563"/>
      <c r="AF454" s="563"/>
      <c r="AG454" s="563"/>
      <c r="AH454" s="563"/>
      <c r="AI454" s="563"/>
      <c r="AJ454" s="563"/>
      <c r="AK454" s="563"/>
      <c r="AL454" s="563"/>
      <c r="AM454" s="113">
        <f t="shared" si="7"/>
        <v>0</v>
      </c>
      <c r="AN454" s="561">
        <f>IF(AO454&lt;=3,(IF(AND(G454="5/24",AM454&gt;2),(AM454*2*база!$M$6*Таблица14[[#This Row],[коэф]]),
IF(AND(G454="4/24",AM454&gt;2),(AM454*2*база!$M$5*Таблица14[[#This Row],[коэф]]),
IF(AND(G454="3/24",AM454&gt;2),(AM454*2*база!$M$4*Таблица14[[#This Row],[коэф]]),
IF(AND(G454="5/16",AM454&gt;2),(AM454*2*база!$L$6*Таблица14[[#This Row],[коэф]]),
IF(AND(G454="4/16",AM454&gt;2),(AM454*2*база!$L$5*Таблица14[[#This Row],[коэф]]),
IF(AND(G454="3/16",AM454&gt;2),(AM454*2*база!$L$4*Таблица14[[#This Row],[коэф]]),
IF(AND(G454="4/4",AM454&gt;2),(AM454*2*база!$I$5*Таблица14[[#This Row],[коэф]]),
IF(AND(G454="3/4",AM454&gt;2),(AM454*2*база!$I$4*Таблица14[[#This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(AM454*2*база!$L$4*Таблица14[[#This Row],[коэф]]))))))))))))),
(IF(AND(G454="5/24",AM454&gt;2),(AM454*2*база!$M$6*Таблица14[[#This Row],[коэф]]),
IF(OR(AND(G454="4/24",AM454&gt;2),AND(G454="3/24",AM454&gt;2)),(AM454*2*база!$M$5*Таблица14[[#This Row],[коэф]]),
IF(AND(G454="5/16",AM454&gt;2),(AM454*2*база!$L$6*Таблица14[[#This Row],[коэф]]),
IF(OR(AND(G454="4/16",AM454&gt;2),AND(G454="3/16",AM454&gt;2)),(AM454*2*база!$L$5*Таблица14[[#This Row],[коэф]]),
IF(OR(AND(G454="4/4",AM454&gt;2),AND(G454="3/4",AM454&gt;2)),(AM454*2*база!$I$5*Таблица14[[#This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(AM454*2*база!$L$5*Таблица14[[#This Row],[коэф]])))))))))))</f>
        <v>0</v>
      </c>
      <c r="AO454" s="114">
        <f>IFERROR(INDEX(база!$D$2:$D$120, MATCH(Таблица14[[#This Row],[Ф. И. О.]],база!$B$2:$B$100,0)),"")</f>
        <v>0</v>
      </c>
    </row>
    <row r="455" spans="1:41">
      <c r="A455" s="192"/>
      <c r="B455" s="223"/>
      <c r="C455" s="543"/>
      <c r="D455" s="190"/>
      <c r="E455" s="226"/>
      <c r="F455" s="652"/>
      <c r="G455" s="191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113">
        <f t="shared" si="7"/>
        <v>0</v>
      </c>
      <c r="AN455" s="540">
        <f>IF(AO455&lt;=3,(IF(AND(G455="5/24",AM455&gt;2),(AM455*2*база!$M$6*Таблица14[[#This Row],[коэф]]),
IF(AND(G455="4/24",AM455&gt;2),(AM455*2*база!$M$5*Таблица14[[#This Row],[коэф]]),
IF(AND(G455="3/24",AM455&gt;2),(AM455*2*база!$M$4*Таблица14[[#This Row],[коэф]]),
IF(AND(G455="5/16",AM455&gt;2),(AM455*2*база!$L$6*Таблица14[[#This Row],[коэф]]),
IF(AND(G455="4/16",AM455&gt;2),(AM455*2*база!$L$5*Таблица14[[#This Row],[коэф]]),
IF(AND(G455="3/16",AM455&gt;2),(AM455*2*база!$L$4*Таблица14[[#This Row],[коэф]]),
IF(AND(G455="4/4",AM455&gt;2),(AM455*2*база!$I$5*Таблица14[[#This Row],[коэф]]),
IF(AND(G455="3/4",AM455&gt;2),(AM455*2*база!$I$4*Таблица14[[#This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(AM455*2*база!$L$4*Таблица14[[#This Row],[коэф]]))))))))))))),
(IF(AND(G455="5/24",AM455&gt;2),(AM455*2*база!$M$6*Таблица14[[#This Row],[коэф]]),
IF(OR(AND(G455="4/24",AM455&gt;2),AND(G455="3/24",AM455&gt;2)),(AM455*2*база!$M$5*Таблица14[[#This Row],[коэф]]),
IF(AND(G455="5/16",AM455&gt;2),(AM455*2*база!$L$6*Таблица14[[#This Row],[коэф]]),
IF(OR(AND(G455="4/16",AM455&gt;2),AND(G455="3/16",AM455&gt;2)),(AM455*2*база!$L$5*Таблица14[[#This Row],[коэф]]),
IF(OR(AND(G455="4/4",AM455&gt;2),AND(G455="3/4",AM455&gt;2)),(AM455*2*база!$I$5*Таблица14[[#This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(AM455*2*база!$L$5*Таблица14[[#This Row],[коэф]])))))))))))</f>
        <v>0</v>
      </c>
      <c r="AO455" s="114">
        <f>IFERROR(INDEX(база!$D$2:$D$120, MATCH(Таблица14[[#This Row],[Ф. И. О.]],база!$B$2:$B$100,0)),"")</f>
        <v>0</v>
      </c>
    </row>
    <row r="456" spans="1:41">
      <c r="A456" s="192"/>
      <c r="B456" s="189"/>
      <c r="C456" s="619"/>
      <c r="D456" s="562"/>
      <c r="E456" s="226"/>
      <c r="F456" s="645"/>
      <c r="G456" s="225"/>
      <c r="H456" s="563"/>
      <c r="I456" s="563"/>
      <c r="J456" s="563"/>
      <c r="K456" s="563"/>
      <c r="L456" s="563"/>
      <c r="M456" s="563"/>
      <c r="N456" s="563"/>
      <c r="O456" s="563"/>
      <c r="P456" s="563"/>
      <c r="Q456" s="563"/>
      <c r="R456" s="563"/>
      <c r="S456" s="563"/>
      <c r="T456" s="563"/>
      <c r="U456" s="563"/>
      <c r="V456" s="563"/>
      <c r="W456" s="563"/>
      <c r="X456" s="563"/>
      <c r="Y456" s="563"/>
      <c r="Z456" s="563"/>
      <c r="AA456" s="563"/>
      <c r="AB456" s="563"/>
      <c r="AC456" s="563"/>
      <c r="AD456" s="563"/>
      <c r="AE456" s="563"/>
      <c r="AF456" s="563"/>
      <c r="AG456" s="563"/>
      <c r="AH456" s="563"/>
      <c r="AI456" s="563"/>
      <c r="AJ456" s="563"/>
      <c r="AK456" s="563"/>
      <c r="AL456" s="563"/>
      <c r="AM456" s="113">
        <f t="shared" si="7"/>
        <v>0</v>
      </c>
      <c r="AN456" s="561">
        <f>IF(AO456&lt;=3,(IF(AND(G456="5/24",AM456&gt;2),(AM456*2*база!$M$6*Таблица14[[#This Row],[коэф]]),
IF(AND(G456="4/24",AM456&gt;2),(AM456*2*база!$M$5*Таблица14[[#This Row],[коэф]]),
IF(AND(G456="3/24",AM456&gt;2),(AM456*2*база!$M$4*Таблица14[[#This Row],[коэф]]),
IF(AND(G456="5/16",AM456&gt;2),(AM456*2*база!$L$6*Таблица14[[#This Row],[коэф]]),
IF(AND(G456="4/16",AM456&gt;2),(AM456*2*база!$L$5*Таблица14[[#This Row],[коэф]]),
IF(AND(G456="3/16",AM456&gt;2),(AM456*2*база!$L$4*Таблица14[[#This Row],[коэф]]),
IF(AND(G456="4/4",AM456&gt;2),(AM456*2*база!$I$5*Таблица14[[#This Row],[коэф]]),
IF(AND(G456="3/4",AM456&gt;2),(AM456*2*база!$I$4*Таблица14[[#This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(AM456*2*база!$L$4*Таблица14[[#This Row],[коэф]]))))))))))))),
(IF(AND(G456="5/24",AM456&gt;2),(AM456*2*база!$M$6*Таблица14[[#This Row],[коэф]]),
IF(OR(AND(G456="4/24",AM456&gt;2),AND(G456="3/24",AM456&gt;2)),(AM456*2*база!$M$5*Таблица14[[#This Row],[коэф]]),
IF(AND(G456="5/16",AM456&gt;2),(AM456*2*база!$L$6*Таблица14[[#This Row],[коэф]]),
IF(OR(AND(G456="4/16",AM456&gt;2),AND(G456="3/16",AM456&gt;2)),(AM456*2*база!$L$5*Таблица14[[#This Row],[коэф]]),
IF(OR(AND(G456="4/4",AM456&gt;2),AND(G456="3/4",AM456&gt;2)),(AM456*2*база!$I$5*Таблица14[[#This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(AM456*2*база!$L$5*Таблица14[[#This Row],[коэф]])))))))))))</f>
        <v>0</v>
      </c>
      <c r="AO456" s="114">
        <f>IFERROR(INDEX(база!$D$2:$D$120, MATCH(Таблица14[[#This Row],[Ф. И. О.]],база!$B$2:$B$100,0)),"")</f>
        <v>0</v>
      </c>
    </row>
    <row r="457" spans="1:41">
      <c r="A457" s="192"/>
      <c r="B457" s="223"/>
      <c r="C457" s="543"/>
      <c r="D457" s="190"/>
      <c r="E457" s="226"/>
      <c r="F457" s="645"/>
      <c r="G457" s="191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113">
        <f t="shared" si="7"/>
        <v>0</v>
      </c>
      <c r="AN457" s="540">
        <f>IF(AO457&lt;=3,(IF(AND(G457="5/24",AM457&gt;2),(AM457*2*база!$M$6*Таблица14[[#This Row],[коэф]]),
IF(AND(G457="4/24",AM457&gt;2),(AM457*2*база!$M$5*Таблица14[[#This Row],[коэф]]),
IF(AND(G457="3/24",AM457&gt;2),(AM457*2*база!$M$4*Таблица14[[#This Row],[коэф]]),
IF(AND(G457="5/16",AM457&gt;2),(AM457*2*база!$L$6*Таблица14[[#This Row],[коэф]]),
IF(AND(G457="4/16",AM457&gt;2),(AM457*2*база!$L$5*Таблица14[[#This Row],[коэф]]),
IF(AND(G457="3/16",AM457&gt;2),(AM457*2*база!$L$4*Таблица14[[#This Row],[коэф]]),
IF(AND(G457="4/4",AM457&gt;2),(AM457*2*база!$I$5*Таблица14[[#This Row],[коэф]]),
IF(AND(G457="3/4",AM457&gt;2),(AM457*2*база!$I$4*Таблица14[[#This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(AM457*2*база!$L$4*Таблица14[[#This Row],[коэф]]))))))))))))),
(IF(AND(G457="5/24",AM457&gt;2),(AM457*2*база!$M$6*Таблица14[[#This Row],[коэф]]),
IF(OR(AND(G457="4/24",AM457&gt;2),AND(G457="3/24",AM457&gt;2)),(AM457*2*база!$M$5*Таблица14[[#This Row],[коэф]]),
IF(AND(G457="5/16",AM457&gt;2),(AM457*2*база!$L$6*Таблица14[[#This Row],[коэф]]),
IF(OR(AND(G457="4/16",AM457&gt;2),AND(G457="3/16",AM457&gt;2)),(AM457*2*база!$L$5*Таблица14[[#This Row],[коэф]]),
IF(OR(AND(G457="4/4",AM457&gt;2),AND(G457="3/4",AM457&gt;2)),(AM457*2*база!$I$5*Таблица14[[#This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(AM457*2*база!$L$5*Таблица14[[#This Row],[коэф]])))))))))))</f>
        <v>0</v>
      </c>
      <c r="AO457" s="114">
        <f>IFERROR(INDEX(база!$D$2:$D$120, MATCH(Таблица14[[#This Row],[Ф. И. О.]],база!$B$2:$B$100,0)),"")</f>
        <v>0</v>
      </c>
    </row>
    <row r="458" spans="1:41">
      <c r="A458" s="192"/>
      <c r="B458" s="189"/>
      <c r="C458" s="619"/>
      <c r="D458" s="562"/>
      <c r="E458" s="226"/>
      <c r="F458" s="645"/>
      <c r="G458" s="225"/>
      <c r="H458" s="563"/>
      <c r="I458" s="563"/>
      <c r="J458" s="563"/>
      <c r="K458" s="563"/>
      <c r="L458" s="563"/>
      <c r="M458" s="563"/>
      <c r="N458" s="563"/>
      <c r="O458" s="563"/>
      <c r="P458" s="563"/>
      <c r="Q458" s="563"/>
      <c r="R458" s="563"/>
      <c r="S458" s="563"/>
      <c r="T458" s="563"/>
      <c r="U458" s="563"/>
      <c r="V458" s="563"/>
      <c r="W458" s="563"/>
      <c r="X458" s="563"/>
      <c r="Y458" s="563"/>
      <c r="Z458" s="563"/>
      <c r="AA458" s="563"/>
      <c r="AB458" s="563"/>
      <c r="AC458" s="563"/>
      <c r="AD458" s="563"/>
      <c r="AE458" s="563"/>
      <c r="AF458" s="563"/>
      <c r="AG458" s="563"/>
      <c r="AH458" s="563"/>
      <c r="AI458" s="563"/>
      <c r="AJ458" s="563"/>
      <c r="AK458" s="563"/>
      <c r="AL458" s="563"/>
      <c r="AM458" s="113">
        <f t="shared" si="7"/>
        <v>0</v>
      </c>
      <c r="AN458" s="561">
        <f>IF(AO458&lt;=3,(IF(AND(G458="5/24",AM458&gt;2),(AM458*2*база!$M$6*Таблица14[[#This Row],[коэф]]),
IF(AND(G458="4/24",AM458&gt;2),(AM458*2*база!$M$5*Таблица14[[#This Row],[коэф]]),
IF(AND(G458="3/24",AM458&gt;2),(AM458*2*база!$M$4*Таблица14[[#This Row],[коэф]]),
IF(AND(G458="5/16",AM458&gt;2),(AM458*2*база!$L$6*Таблица14[[#This Row],[коэф]]),
IF(AND(G458="4/16",AM458&gt;2),(AM458*2*база!$L$5*Таблица14[[#This Row],[коэф]]),
IF(AND(G458="3/16",AM458&gt;2),(AM458*2*база!$L$4*Таблица14[[#This Row],[коэф]]),
IF(AND(G458="4/4",AM458&gt;2),(AM458*2*база!$I$5*Таблица14[[#This Row],[коэф]]),
IF(AND(G458="3/4",AM458&gt;2),(AM458*2*база!$I$4*Таблица14[[#This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(AM458*2*база!$L$4*Таблица14[[#This Row],[коэф]]))))))))))))),
(IF(AND(G458="5/24",AM458&gt;2),(AM458*2*база!$M$6*Таблица14[[#This Row],[коэф]]),
IF(OR(AND(G458="4/24",AM458&gt;2),AND(G458="3/24",AM458&gt;2)),(AM458*2*база!$M$5*Таблица14[[#This Row],[коэф]]),
IF(AND(G458="5/16",AM458&gt;2),(AM458*2*база!$L$6*Таблица14[[#This Row],[коэф]]),
IF(OR(AND(G458="4/16",AM458&gt;2),AND(G458="3/16",AM458&gt;2)),(AM458*2*база!$L$5*Таблица14[[#This Row],[коэф]]),
IF(OR(AND(G458="4/4",AM458&gt;2),AND(G458="3/4",AM458&gt;2)),(AM458*2*база!$I$5*Таблица14[[#This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(AM458*2*база!$L$5*Таблица14[[#This Row],[коэф]])))))))))))</f>
        <v>0</v>
      </c>
      <c r="AO458" s="114">
        <f>IFERROR(INDEX(база!$D$2:$D$120, MATCH(Таблица14[[#This Row],[Ф. И. О.]],база!$B$2:$B$100,0)),"")</f>
        <v>0</v>
      </c>
    </row>
    <row r="459" spans="1:41">
      <c r="A459" s="192"/>
      <c r="B459" s="223"/>
      <c r="C459" s="543"/>
      <c r="D459" s="190"/>
      <c r="E459" s="226"/>
      <c r="F459" s="645"/>
      <c r="G459" s="191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113">
        <f t="shared" si="7"/>
        <v>0</v>
      </c>
      <c r="AN459" s="540">
        <f>IF(AO459&lt;=3,(IF(AND(G459="5/24",AM459&gt;2),(AM459*2*база!$M$6*Таблица14[[#This Row],[коэф]]),
IF(AND(G459="4/24",AM459&gt;2),(AM459*2*база!$M$5*Таблица14[[#This Row],[коэф]]),
IF(AND(G459="3/24",AM459&gt;2),(AM459*2*база!$M$4*Таблица14[[#This Row],[коэф]]),
IF(AND(G459="5/16",AM459&gt;2),(AM459*2*база!$L$6*Таблица14[[#This Row],[коэф]]),
IF(AND(G459="4/16",AM459&gt;2),(AM459*2*база!$L$5*Таблица14[[#This Row],[коэф]]),
IF(AND(G459="3/16",AM459&gt;2),(AM459*2*база!$L$4*Таблица14[[#This Row],[коэф]]),
IF(AND(G459="4/4",AM459&gt;2),(AM459*2*база!$I$5*Таблица14[[#This Row],[коэф]]),
IF(AND(G459="3/4",AM459&gt;2),(AM459*2*база!$I$4*Таблица14[[#This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(AM459*2*база!$L$4*Таблица14[[#This Row],[коэф]]))))))))))))),
(IF(AND(G459="5/24",AM459&gt;2),(AM459*2*база!$M$6*Таблица14[[#This Row],[коэф]]),
IF(OR(AND(G459="4/24",AM459&gt;2),AND(G459="3/24",AM459&gt;2)),(AM459*2*база!$M$5*Таблица14[[#This Row],[коэф]]),
IF(AND(G459="5/16",AM459&gt;2),(AM459*2*база!$L$6*Таблица14[[#This Row],[коэф]]),
IF(OR(AND(G459="4/16",AM459&gt;2),AND(G459="3/16",AM459&gt;2)),(AM459*2*база!$L$5*Таблица14[[#This Row],[коэф]]),
IF(OR(AND(G459="4/4",AM459&gt;2),AND(G459="3/4",AM459&gt;2)),(AM459*2*база!$I$5*Таблица14[[#This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(AM459*2*база!$L$5*Таблица14[[#This Row],[коэф]])))))))))))</f>
        <v>0</v>
      </c>
      <c r="AO459" s="114">
        <f>IFERROR(INDEX(база!$D$2:$D$120, MATCH(Таблица14[[#This Row],[Ф. И. О.]],база!$B$2:$B$100,0)),"")</f>
        <v>0</v>
      </c>
    </row>
    <row r="460" spans="1:41">
      <c r="A460" s="192"/>
      <c r="B460" s="189"/>
      <c r="C460" s="619"/>
      <c r="D460" s="562"/>
      <c r="E460" s="226"/>
      <c r="F460" s="645"/>
      <c r="G460" s="225"/>
      <c r="H460" s="563"/>
      <c r="I460" s="563"/>
      <c r="J460" s="563"/>
      <c r="K460" s="563"/>
      <c r="L460" s="563"/>
      <c r="M460" s="563"/>
      <c r="N460" s="563"/>
      <c r="O460" s="563"/>
      <c r="P460" s="563"/>
      <c r="Q460" s="563"/>
      <c r="R460" s="563"/>
      <c r="S460" s="563"/>
      <c r="T460" s="563"/>
      <c r="U460" s="563"/>
      <c r="V460" s="563"/>
      <c r="W460" s="563"/>
      <c r="X460" s="563"/>
      <c r="Y460" s="563"/>
      <c r="Z460" s="563"/>
      <c r="AA460" s="563"/>
      <c r="AB460" s="563"/>
      <c r="AC460" s="563"/>
      <c r="AD460" s="563"/>
      <c r="AE460" s="563"/>
      <c r="AF460" s="563"/>
      <c r="AG460" s="563"/>
      <c r="AH460" s="563"/>
      <c r="AI460" s="563"/>
      <c r="AJ460" s="563"/>
      <c r="AK460" s="563"/>
      <c r="AL460" s="563"/>
      <c r="AM460" s="113">
        <f t="shared" si="7"/>
        <v>0</v>
      </c>
      <c r="AN460" s="561">
        <f>IF(AO460&lt;=3,(IF(AND(G460="5/24",AM460&gt;2),(AM460*2*база!$M$6*Таблица14[[#This Row],[коэф]]),
IF(AND(G460="4/24",AM460&gt;2),(AM460*2*база!$M$5*Таблица14[[#This Row],[коэф]]),
IF(AND(G460="3/24",AM460&gt;2),(AM460*2*база!$M$4*Таблица14[[#This Row],[коэф]]),
IF(AND(G460="5/16",AM460&gt;2),(AM460*2*база!$L$6*Таблица14[[#This Row],[коэф]]),
IF(AND(G460="4/16",AM460&gt;2),(AM460*2*база!$L$5*Таблица14[[#This Row],[коэф]]),
IF(AND(G460="3/16",AM460&gt;2),(AM460*2*база!$L$4*Таблица14[[#This Row],[коэф]]),
IF(AND(G460="4/4",AM460&gt;2),(AM460*2*база!$I$5*Таблица14[[#This Row],[коэф]]),
IF(AND(G460="3/4",AM460&gt;2),(AM460*2*база!$I$4*Таблица14[[#This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(AM460*2*база!$L$4*Таблица14[[#This Row],[коэф]]))))))))))))),
(IF(AND(G460="5/24",AM460&gt;2),(AM460*2*база!$M$6*Таблица14[[#This Row],[коэф]]),
IF(OR(AND(G460="4/24",AM460&gt;2),AND(G460="3/24",AM460&gt;2)),(AM460*2*база!$M$5*Таблица14[[#This Row],[коэф]]),
IF(AND(G460="5/16",AM460&gt;2),(AM460*2*база!$L$6*Таблица14[[#This Row],[коэф]]),
IF(OR(AND(G460="4/16",AM460&gt;2),AND(G460="3/16",AM460&gt;2)),(AM460*2*база!$L$5*Таблица14[[#This Row],[коэф]]),
IF(OR(AND(G460="4/4",AM460&gt;2),AND(G460="3/4",AM460&gt;2)),(AM460*2*база!$I$5*Таблица14[[#This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(AM460*2*база!$L$5*Таблица14[[#This Row],[коэф]])))))))))))</f>
        <v>0</v>
      </c>
      <c r="AO460" s="114">
        <f>IFERROR(INDEX(база!$D$2:$D$120, MATCH(Таблица14[[#This Row],[Ф. И. О.]],база!$B$2:$B$100,0)),"")</f>
        <v>0</v>
      </c>
    </row>
    <row r="461" spans="1:41">
      <c r="A461" s="192"/>
      <c r="B461" s="223"/>
      <c r="C461" s="543"/>
      <c r="D461" s="190"/>
      <c r="E461" s="226"/>
      <c r="F461" s="645"/>
      <c r="G461" s="191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113">
        <f t="shared" si="7"/>
        <v>0</v>
      </c>
      <c r="AN461" s="540">
        <f>IF(AO461&lt;=3,(IF(AND(G461="5/24",AM461&gt;2),(AM461*2*база!$M$6*Таблица14[[#This Row],[коэф]]),
IF(AND(G461="4/24",AM461&gt;2),(AM461*2*база!$M$5*Таблица14[[#This Row],[коэф]]),
IF(AND(G461="3/24",AM461&gt;2),(AM461*2*база!$M$4*Таблица14[[#This Row],[коэф]]),
IF(AND(G461="5/16",AM461&gt;2),(AM461*2*база!$L$6*Таблица14[[#This Row],[коэф]]),
IF(AND(G461="4/16",AM461&gt;2),(AM461*2*база!$L$5*Таблица14[[#This Row],[коэф]]),
IF(AND(G461="3/16",AM461&gt;2),(AM461*2*база!$L$4*Таблица14[[#This Row],[коэф]]),
IF(AND(G461="4/4",AM461&gt;2),(AM461*2*база!$I$5*Таблица14[[#This Row],[коэф]]),
IF(AND(G461="3/4",AM461&gt;2),(AM461*2*база!$I$4*Таблица14[[#This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(AM461*2*база!$L$4*Таблица14[[#This Row],[коэф]]))))))))))))),
(IF(AND(G461="5/24",AM461&gt;2),(AM461*2*база!$M$6*Таблица14[[#This Row],[коэф]]),
IF(OR(AND(G461="4/24",AM461&gt;2),AND(G461="3/24",AM461&gt;2)),(AM461*2*база!$M$5*Таблица14[[#This Row],[коэф]]),
IF(AND(G461="5/16",AM461&gt;2),(AM461*2*база!$L$6*Таблица14[[#This Row],[коэф]]),
IF(OR(AND(G461="4/16",AM461&gt;2),AND(G461="3/16",AM461&gt;2)),(AM461*2*база!$L$5*Таблица14[[#This Row],[коэф]]),
IF(OR(AND(G461="4/4",AM461&gt;2),AND(G461="3/4",AM461&gt;2)),(AM461*2*база!$I$5*Таблица14[[#This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(AM461*2*база!$L$5*Таблица14[[#This Row],[коэф]])))))))))))</f>
        <v>0</v>
      </c>
      <c r="AO461" s="114">
        <f>IFERROR(INDEX(база!$D$2:$D$120, MATCH(Таблица14[[#This Row],[Ф. И. О.]],база!$B$2:$B$100,0)),"")</f>
        <v>0</v>
      </c>
    </row>
    <row r="462" spans="1:41">
      <c r="A462" s="192"/>
      <c r="B462" s="189"/>
      <c r="C462" s="619"/>
      <c r="D462" s="562"/>
      <c r="E462" s="226"/>
      <c r="F462" s="645"/>
      <c r="G462" s="225"/>
      <c r="H462" s="563"/>
      <c r="I462" s="563"/>
      <c r="J462" s="563"/>
      <c r="K462" s="563"/>
      <c r="L462" s="563"/>
      <c r="M462" s="563"/>
      <c r="N462" s="563"/>
      <c r="O462" s="563"/>
      <c r="P462" s="563"/>
      <c r="Q462" s="563"/>
      <c r="R462" s="563"/>
      <c r="S462" s="563"/>
      <c r="T462" s="563"/>
      <c r="U462" s="563"/>
      <c r="V462" s="563"/>
      <c r="W462" s="563"/>
      <c r="X462" s="563"/>
      <c r="Y462" s="563"/>
      <c r="Z462" s="563"/>
      <c r="AA462" s="563"/>
      <c r="AB462" s="563"/>
      <c r="AC462" s="563"/>
      <c r="AD462" s="563"/>
      <c r="AE462" s="563"/>
      <c r="AF462" s="563"/>
      <c r="AG462" s="563"/>
      <c r="AH462" s="563"/>
      <c r="AI462" s="563"/>
      <c r="AJ462" s="563"/>
      <c r="AK462" s="563"/>
      <c r="AL462" s="563"/>
      <c r="AM462" s="113">
        <f t="shared" si="7"/>
        <v>0</v>
      </c>
      <c r="AN462" s="540">
        <f>IF(AO462&lt;=3,(IF(AND(G462="5/24",AM462&gt;2),(AM462*2*база!$M$6*Таблица14[[#This Row],[коэф]]),
IF(AND(G462="4/24",AM462&gt;2),(AM462*2*база!$M$5*Таблица14[[#This Row],[коэф]]),
IF(AND(G462="3/24",AM462&gt;2),(AM462*2*база!$M$4*Таблица14[[#This Row],[коэф]]),
IF(AND(G462="5/16",AM462&gt;2),(AM462*2*база!$L$6*Таблица14[[#This Row],[коэф]]),
IF(AND(G462="4/16",AM462&gt;2),(AM462*2*база!$L$5*Таблица14[[#This Row],[коэф]]),
IF(AND(G462="3/16",AM462&gt;2),(AM462*2*база!$L$4*Таблица14[[#This Row],[коэф]]),
IF(AND(G462="4/4",AM462&gt;2),(AM462*2*база!$I$5*Таблица14[[#This Row],[коэф]]),
IF(AND(G462="3/4",AM462&gt;2),(AM462*2*база!$I$4*Таблица14[[#This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(AM462*2*база!$L$4*Таблица14[[#This Row],[коэф]]))))))))))))),
(IF(AND(G462="5/24",AM462&gt;2),(AM462*2*база!$M$6*Таблица14[[#This Row],[коэф]]),
IF(OR(AND(G462="4/24",AM462&gt;2),AND(G462="3/24",AM462&gt;2)),(AM462*2*база!$M$5*Таблица14[[#This Row],[коэф]]),
IF(AND(G462="5/16",AM462&gt;2),(AM462*2*база!$L$6*Таблица14[[#This Row],[коэф]]),
IF(OR(AND(G462="4/16",AM462&gt;2),AND(G462="3/16",AM462&gt;2)),(AM462*2*база!$L$5*Таблица14[[#This Row],[коэф]]),
IF(OR(AND(G462="4/4",AM462&gt;2),AND(G462="3/4",AM462&gt;2)),(AM462*2*база!$I$5*Таблица14[[#This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(AM462*2*база!$L$5*Таблица14[[#This Row],[коэф]])))))))))))</f>
        <v>0</v>
      </c>
      <c r="AO462" s="114">
        <f>IFERROR(INDEX(база!$D$2:$D$120, MATCH(Таблица14[[#This Row],[Ф. И. О.]],база!$B$2:$B$100,0)),"")</f>
        <v>0</v>
      </c>
    </row>
    <row r="463" spans="1:41">
      <c r="A463" s="192"/>
      <c r="B463" s="223"/>
      <c r="C463" s="620"/>
      <c r="D463" s="617"/>
      <c r="E463" s="226"/>
      <c r="F463" s="645"/>
      <c r="G463" s="191"/>
      <c r="H463" s="618"/>
      <c r="I463" s="618"/>
      <c r="J463" s="618"/>
      <c r="K463" s="618"/>
      <c r="L463" s="618"/>
      <c r="M463" s="618"/>
      <c r="N463" s="618"/>
      <c r="O463" s="618"/>
      <c r="P463" s="618"/>
      <c r="Q463" s="618"/>
      <c r="R463" s="618"/>
      <c r="S463" s="618"/>
      <c r="T463" s="618"/>
      <c r="U463" s="618"/>
      <c r="V463" s="618"/>
      <c r="W463" s="618"/>
      <c r="X463" s="618"/>
      <c r="Y463" s="618"/>
      <c r="Z463" s="618"/>
      <c r="AA463" s="618"/>
      <c r="AB463" s="618"/>
      <c r="AC463" s="618"/>
      <c r="AD463" s="618"/>
      <c r="AE463" s="618"/>
      <c r="AF463" s="618"/>
      <c r="AG463" s="618"/>
      <c r="AH463" s="618"/>
      <c r="AI463" s="618"/>
      <c r="AJ463" s="618"/>
      <c r="AK463" s="618"/>
      <c r="AL463" s="618"/>
      <c r="AM463" s="113">
        <f t="shared" si="7"/>
        <v>0</v>
      </c>
      <c r="AN463" s="540">
        <f>IF(AO463&lt;=3,(IF(AND(G463="5/24",AM463&gt;2),(AM463*2*база!$M$6*Таблица14[[#This Row],[коэф]]),
IF(AND(G463="4/24",AM463&gt;2),(AM463*2*база!$M$5*Таблица14[[#This Row],[коэф]]),
IF(AND(G463="3/24",AM463&gt;2),(AM463*2*база!$M$4*Таблица14[[#This Row],[коэф]]),
IF(AND(G463="5/16",AM463&gt;2),(AM463*2*база!$L$6*Таблица14[[#This Row],[коэф]]),
IF(AND(G463="4/16",AM463&gt;2),(AM463*2*база!$L$5*Таблица14[[#This Row],[коэф]]),
IF(AND(G463="3/16",AM463&gt;2),(AM463*2*база!$L$4*Таблица14[[#This Row],[коэф]]),
IF(AND(G463="4/4",AM463&gt;2),(AM463*2*база!$I$5*Таблица14[[#This Row],[коэф]]),
IF(AND(G463="3/4",AM463&gt;2),(AM463*2*база!$I$4*Таблица14[[#This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(AM463*2*база!$L$4*Таблица14[[#This Row],[коэф]]))))))))))))),
(IF(AND(G463="5/24",AM463&gt;2),(AM463*2*база!$M$6*Таблица14[[#This Row],[коэф]]),
IF(OR(AND(G463="4/24",AM463&gt;2),AND(G463="3/24",AM463&gt;2)),(AM463*2*база!$M$5*Таблица14[[#This Row],[коэф]]),
IF(AND(G463="5/16",AM463&gt;2),(AM463*2*база!$L$6*Таблица14[[#This Row],[коэф]]),
IF(OR(AND(G463="4/16",AM463&gt;2),AND(G463="3/16",AM463&gt;2)),(AM463*2*база!$L$5*Таблица14[[#This Row],[коэф]]),
IF(OR(AND(G463="4/4",AM463&gt;2),AND(G463="3/4",AM463&gt;2)),(AM463*2*база!$I$5*Таблица14[[#This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(AM463*2*база!$L$5*Таблица14[[#This Row],[коэф]])))))))))))</f>
        <v>0</v>
      </c>
      <c r="AO463" s="114">
        <f>IFERROR(INDEX(база!$D$2:$D$120, MATCH(Таблица14[[#This Row],[Ф. И. О.]],база!$B$2:$B$100,0)),"")</f>
        <v>0</v>
      </c>
    </row>
    <row r="464" spans="1:41">
      <c r="A464" s="192"/>
      <c r="B464" s="189"/>
      <c r="C464" s="620"/>
      <c r="D464" s="653"/>
      <c r="E464" s="226"/>
      <c r="F464" s="656"/>
      <c r="G464" s="225"/>
      <c r="H464" s="654"/>
      <c r="I464" s="654"/>
      <c r="J464" s="654"/>
      <c r="K464" s="654"/>
      <c r="L464" s="654"/>
      <c r="M464" s="654"/>
      <c r="N464" s="654"/>
      <c r="O464" s="654"/>
      <c r="P464" s="654"/>
      <c r="Q464" s="654"/>
      <c r="R464" s="654"/>
      <c r="S464" s="654"/>
      <c r="T464" s="654"/>
      <c r="U464" s="654"/>
      <c r="V464" s="654"/>
      <c r="W464" s="654"/>
      <c r="X464" s="654"/>
      <c r="Y464" s="654"/>
      <c r="Z464" s="654"/>
      <c r="AA464" s="654"/>
      <c r="AB464" s="654"/>
      <c r="AC464" s="654"/>
      <c r="AD464" s="654"/>
      <c r="AE464" s="654"/>
      <c r="AF464" s="654"/>
      <c r="AG464" s="654"/>
      <c r="AH464" s="654"/>
      <c r="AI464" s="654"/>
      <c r="AJ464" s="654"/>
      <c r="AK464" s="654"/>
      <c r="AL464" s="654"/>
      <c r="AM464" s="113">
        <f t="shared" si="7"/>
        <v>0</v>
      </c>
      <c r="AN464" s="540">
        <f>IF(AO464&lt;=3,(IF(AND(G464="5/24",AM464&gt;2),(AM464*2*база!$M$6*Таблица14[[#This Row],[коэф]]),
IF(AND(G464="4/24",AM464&gt;2),(AM464*2*база!$M$5*Таблица14[[#This Row],[коэф]]),
IF(AND(G464="3/24",AM464&gt;2),(AM464*2*база!$M$4*Таблица14[[#This Row],[коэф]]),
IF(AND(G464="5/16",AM464&gt;2),(AM464*2*база!$L$6*Таблица14[[#This Row],[коэф]]),
IF(AND(G464="4/16",AM464&gt;2),(AM464*2*база!$L$5*Таблица14[[#This Row],[коэф]]),
IF(AND(G464="3/16",AM464&gt;2),(AM464*2*база!$L$4*Таблица14[[#This Row],[коэф]]),
IF(AND(G464="4/4",AM464&gt;2),(AM464*2*база!$I$5*Таблица14[[#This Row],[коэф]]),
IF(AND(G464="3/4",AM464&gt;2),(AM464*2*база!$I$4*Таблица14[[#This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(AM464*2*база!$L$4*Таблица14[[#This Row],[коэф]]))))))))))))),
(IF(AND(G464="5/24",AM464&gt;2),(AM464*2*база!$M$6*Таблица14[[#This Row],[коэф]]),
IF(OR(AND(G464="4/24",AM464&gt;2),AND(G464="3/24",AM464&gt;2)),(AM464*2*база!$M$5*Таблица14[[#This Row],[коэф]]),
IF(AND(G464="5/16",AM464&gt;2),(AM464*2*база!$L$6*Таблица14[[#This Row],[коэф]]),
IF(OR(AND(G464="4/16",AM464&gt;2),AND(G464="3/16",AM464&gt;2)),(AM464*2*база!$L$5*Таблица14[[#This Row],[коэф]]),
IF(OR(AND(G464="4/4",AM464&gt;2),AND(G464="3/4",AM464&gt;2)),(AM464*2*база!$I$5*Таблица14[[#This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(AM464*2*база!$L$5*Таблица14[[#This Row],[коэф]])))))))))))</f>
        <v>0</v>
      </c>
      <c r="AO464" s="655">
        <f>IFERROR(INDEX(база!$D$2:$D$120, MATCH(Таблица14[[#This Row],[Ф. И. О.]],база!$B$2:$B$100,0)),"")</f>
        <v>0</v>
      </c>
    </row>
    <row r="465" spans="1:41">
      <c r="A465" s="192"/>
      <c r="B465" s="223"/>
      <c r="C465" s="620"/>
      <c r="D465" s="653"/>
      <c r="E465" s="226"/>
      <c r="F465" s="656"/>
      <c r="G465" s="191"/>
      <c r="H465" s="654"/>
      <c r="I465" s="654"/>
      <c r="J465" s="654"/>
      <c r="K465" s="654"/>
      <c r="L465" s="654"/>
      <c r="M465" s="654"/>
      <c r="N465" s="654"/>
      <c r="O465" s="654"/>
      <c r="P465" s="654"/>
      <c r="Q465" s="654"/>
      <c r="R465" s="654"/>
      <c r="S465" s="654"/>
      <c r="T465" s="654"/>
      <c r="U465" s="654"/>
      <c r="V465" s="654"/>
      <c r="W465" s="654"/>
      <c r="X465" s="654"/>
      <c r="Y465" s="654"/>
      <c r="Z465" s="654"/>
      <c r="AA465" s="654"/>
      <c r="AB465" s="654"/>
      <c r="AC465" s="654"/>
      <c r="AD465" s="654"/>
      <c r="AE465" s="654"/>
      <c r="AF465" s="654"/>
      <c r="AG465" s="654"/>
      <c r="AH465" s="654"/>
      <c r="AI465" s="654"/>
      <c r="AJ465" s="654"/>
      <c r="AK465" s="654"/>
      <c r="AL465" s="654"/>
      <c r="AM465" s="113">
        <f t="shared" si="7"/>
        <v>0</v>
      </c>
      <c r="AN465" s="540">
        <f>IF(AO465&lt;=3,(IF(AND(G465="5/24",AM465&gt;2),(AM465*2*база!$M$6*Таблица14[[#This Row],[коэф]]),
IF(AND(G465="4/24",AM465&gt;2),(AM465*2*база!$M$5*Таблица14[[#This Row],[коэф]]),
IF(AND(G465="3/24",AM465&gt;2),(AM465*2*база!$M$4*Таблица14[[#This Row],[коэф]]),
IF(AND(G465="5/16",AM465&gt;2),(AM465*2*база!$L$6*Таблица14[[#This Row],[коэф]]),
IF(AND(G465="4/16",AM465&gt;2),(AM465*2*база!$L$5*Таблица14[[#This Row],[коэф]]),
IF(AND(G465="3/16",AM465&gt;2),(AM465*2*база!$L$4*Таблица14[[#This Row],[коэф]]),
IF(AND(G465="4/4",AM465&gt;2),(AM465*2*база!$I$5*Таблица14[[#This Row],[коэф]]),
IF(AND(G465="3/4",AM465&gt;2),(AM465*2*база!$I$4*Таблица14[[#This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(AM465*2*база!$L$4*Таблица14[[#This Row],[коэф]]))))))))))))),
(IF(AND(G465="5/24",AM465&gt;2),(AM465*2*база!$M$6*Таблица14[[#This Row],[коэф]]),
IF(OR(AND(G465="4/24",AM465&gt;2),AND(G465="3/24",AM465&gt;2)),(AM465*2*база!$M$5*Таблица14[[#This Row],[коэф]]),
IF(AND(G465="5/16",AM465&gt;2),(AM465*2*база!$L$6*Таблица14[[#This Row],[коэф]]),
IF(OR(AND(G465="4/16",AM465&gt;2),AND(G465="3/16",AM465&gt;2)),(AM465*2*база!$L$5*Таблица14[[#This Row],[коэф]]),
IF(OR(AND(G465="4/4",AM465&gt;2),AND(G465="3/4",AM465&gt;2)),(AM465*2*база!$I$5*Таблица14[[#This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(AM465*2*база!$L$5*Таблица14[[#This Row],[коэф]])))))))))))</f>
        <v>0</v>
      </c>
      <c r="AO465" s="655">
        <f>IFERROR(INDEX(база!$D$2:$D$120, MATCH(Таблица14[[#This Row],[Ф. И. О.]],база!$B$2:$B$100,0)),"")</f>
        <v>0</v>
      </c>
    </row>
    <row r="466" spans="1:41">
      <c r="A466" s="192"/>
      <c r="B466" s="189"/>
      <c r="C466" s="620"/>
      <c r="D466" s="653"/>
      <c r="E466" s="226"/>
      <c r="F466" s="656"/>
      <c r="G466" s="225"/>
      <c r="H466" s="654"/>
      <c r="I466" s="654"/>
      <c r="J466" s="654"/>
      <c r="K466" s="654"/>
      <c r="L466" s="654"/>
      <c r="M466" s="654"/>
      <c r="N466" s="654"/>
      <c r="O466" s="654"/>
      <c r="P466" s="654"/>
      <c r="Q466" s="654"/>
      <c r="R466" s="654"/>
      <c r="S466" s="654"/>
      <c r="T466" s="654"/>
      <c r="U466" s="654"/>
      <c r="V466" s="654"/>
      <c r="W466" s="654"/>
      <c r="X466" s="654"/>
      <c r="Y466" s="654"/>
      <c r="Z466" s="654"/>
      <c r="AA466" s="654"/>
      <c r="AB466" s="654"/>
      <c r="AC466" s="654"/>
      <c r="AD466" s="654"/>
      <c r="AE466" s="654"/>
      <c r="AF466" s="654"/>
      <c r="AG466" s="654"/>
      <c r="AH466" s="654"/>
      <c r="AI466" s="654"/>
      <c r="AJ466" s="654"/>
      <c r="AK466" s="654"/>
      <c r="AL466" s="654"/>
      <c r="AM466" s="113">
        <f t="shared" si="7"/>
        <v>0</v>
      </c>
      <c r="AN466" s="540">
        <f>IF(AO466&lt;=3,(IF(AND(G466="5/24",AM466&gt;2),(AM466*2*база!$M$6*Таблица14[[#This Row],[коэф]]),
IF(AND(G466="4/24",AM466&gt;2),(AM466*2*база!$M$5*Таблица14[[#This Row],[коэф]]),
IF(AND(G466="3/24",AM466&gt;2),(AM466*2*база!$M$4*Таблица14[[#This Row],[коэф]]),
IF(AND(G466="5/16",AM466&gt;2),(AM466*2*база!$L$6*Таблица14[[#This Row],[коэф]]),
IF(AND(G466="4/16",AM466&gt;2),(AM466*2*база!$L$5*Таблица14[[#This Row],[коэф]]),
IF(AND(G466="3/16",AM466&gt;2),(AM466*2*база!$L$4*Таблица14[[#This Row],[коэф]]),
IF(AND(G466="4/4",AM466&gt;2),(AM466*2*база!$I$5*Таблица14[[#This Row],[коэф]]),
IF(AND(G466="3/4",AM466&gt;2),(AM466*2*база!$I$4*Таблица14[[#This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(AM466*2*база!$L$4*Таблица14[[#This Row],[коэф]]))))))))))))),
(IF(AND(G466="5/24",AM466&gt;2),(AM466*2*база!$M$6*Таблица14[[#This Row],[коэф]]),
IF(OR(AND(G466="4/24",AM466&gt;2),AND(G466="3/24",AM466&gt;2)),(AM466*2*база!$M$5*Таблица14[[#This Row],[коэф]]),
IF(AND(G466="5/16",AM466&gt;2),(AM466*2*база!$L$6*Таблица14[[#This Row],[коэф]]),
IF(OR(AND(G466="4/16",AM466&gt;2),AND(G466="3/16",AM466&gt;2)),(AM466*2*база!$L$5*Таблица14[[#This Row],[коэф]]),
IF(OR(AND(G466="4/4",AM466&gt;2),AND(G466="3/4",AM466&gt;2)),(AM466*2*база!$I$5*Таблица14[[#This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(AM466*2*база!$L$5*Таблица14[[#This Row],[коэф]])))))))))))</f>
        <v>0</v>
      </c>
      <c r="AO466" s="655">
        <f>IFERROR(INDEX(база!$D$2:$D$120, MATCH(Таблица14[[#This Row],[Ф. И. О.]],база!$B$2:$B$100,0)),"")</f>
        <v>0</v>
      </c>
    </row>
    <row r="467" spans="1:41">
      <c r="A467" s="192"/>
      <c r="B467" s="223"/>
      <c r="C467" s="620"/>
      <c r="D467" s="653"/>
      <c r="E467" s="226"/>
      <c r="F467" s="656"/>
      <c r="G467" s="191"/>
      <c r="H467" s="654"/>
      <c r="I467" s="654"/>
      <c r="J467" s="654"/>
      <c r="K467" s="654"/>
      <c r="L467" s="654"/>
      <c r="M467" s="654"/>
      <c r="N467" s="654"/>
      <c r="O467" s="654"/>
      <c r="P467" s="654"/>
      <c r="Q467" s="654"/>
      <c r="R467" s="654"/>
      <c r="S467" s="654"/>
      <c r="T467" s="654"/>
      <c r="U467" s="654"/>
      <c r="V467" s="654"/>
      <c r="W467" s="654"/>
      <c r="X467" s="654"/>
      <c r="Y467" s="654"/>
      <c r="Z467" s="654"/>
      <c r="AA467" s="654"/>
      <c r="AB467" s="654"/>
      <c r="AC467" s="654"/>
      <c r="AD467" s="654"/>
      <c r="AE467" s="654"/>
      <c r="AF467" s="654"/>
      <c r="AG467" s="654"/>
      <c r="AH467" s="654"/>
      <c r="AI467" s="654"/>
      <c r="AJ467" s="654"/>
      <c r="AK467" s="654"/>
      <c r="AL467" s="654"/>
      <c r="AM467" s="113">
        <f t="shared" si="7"/>
        <v>0</v>
      </c>
      <c r="AN467" s="540">
        <f>IF(AO467&lt;=3,(IF(AND(G467="5/24",AM467&gt;2),(AM467*2*база!$M$6*Таблица14[[#This Row],[коэф]]),
IF(AND(G467="4/24",AM467&gt;2),(AM467*2*база!$M$5*Таблица14[[#This Row],[коэф]]),
IF(AND(G467="3/24",AM467&gt;2),(AM467*2*база!$M$4*Таблица14[[#This Row],[коэф]]),
IF(AND(G467="5/16",AM467&gt;2),(AM467*2*база!$L$6*Таблица14[[#This Row],[коэф]]),
IF(AND(G467="4/16",AM467&gt;2),(AM467*2*база!$L$5*Таблица14[[#This Row],[коэф]]),
IF(AND(G467="3/16",AM467&gt;2),(AM467*2*база!$L$4*Таблица14[[#This Row],[коэф]]),
IF(AND(G467="4/4",AM467&gt;2),(AM467*2*база!$I$5*Таблица14[[#This Row],[коэф]]),
IF(AND(G467="3/4",AM467&gt;2),(AM467*2*база!$I$4*Таблица14[[#This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(AM467*2*база!$L$4*Таблица14[[#This Row],[коэф]]))))))))))))),
(IF(AND(G467="5/24",AM467&gt;2),(AM467*2*база!$M$6*Таблица14[[#This Row],[коэф]]),
IF(OR(AND(G467="4/24",AM467&gt;2),AND(G467="3/24",AM467&gt;2)),(AM467*2*база!$M$5*Таблица14[[#This Row],[коэф]]),
IF(AND(G467="5/16",AM467&gt;2),(AM467*2*база!$L$6*Таблица14[[#This Row],[коэф]]),
IF(OR(AND(G467="4/16",AM467&gt;2),AND(G467="3/16",AM467&gt;2)),(AM467*2*база!$L$5*Таблица14[[#This Row],[коэф]]),
IF(OR(AND(G467="4/4",AM467&gt;2),AND(G467="3/4",AM467&gt;2)),(AM467*2*база!$I$5*Таблица14[[#This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(AM467*2*база!$L$5*Таблица14[[#This Row],[коэф]])))))))))))</f>
        <v>0</v>
      </c>
      <c r="AO467" s="655">
        <f>IFERROR(INDEX(база!$D$2:$D$120, MATCH(Таблица14[[#This Row],[Ф. И. О.]],база!$B$2:$B$100,0)),"")</f>
        <v>0</v>
      </c>
    </row>
    <row r="468" spans="1:41">
      <c r="A468" s="192"/>
      <c r="B468" s="189"/>
      <c r="C468" s="620"/>
      <c r="D468" s="653"/>
      <c r="E468" s="226"/>
      <c r="F468" s="656"/>
      <c r="G468" s="225"/>
      <c r="H468" s="654"/>
      <c r="I468" s="654"/>
      <c r="J468" s="654"/>
      <c r="K468" s="654"/>
      <c r="L468" s="654"/>
      <c r="M468" s="654"/>
      <c r="N468" s="654"/>
      <c r="O468" s="654"/>
      <c r="P468" s="654"/>
      <c r="Q468" s="654"/>
      <c r="R468" s="654"/>
      <c r="S468" s="654"/>
      <c r="T468" s="654"/>
      <c r="U468" s="654"/>
      <c r="V468" s="654"/>
      <c r="W468" s="654"/>
      <c r="X468" s="654"/>
      <c r="Y468" s="654"/>
      <c r="Z468" s="654"/>
      <c r="AA468" s="654"/>
      <c r="AB468" s="654"/>
      <c r="AC468" s="654"/>
      <c r="AD468" s="654"/>
      <c r="AE468" s="654"/>
      <c r="AF468" s="654"/>
      <c r="AG468" s="654"/>
      <c r="AH468" s="654"/>
      <c r="AI468" s="654"/>
      <c r="AJ468" s="654"/>
      <c r="AK468" s="654"/>
      <c r="AL468" s="654"/>
      <c r="AM468" s="113">
        <f t="shared" si="7"/>
        <v>0</v>
      </c>
      <c r="AN468" s="540">
        <f>IF(AO468&lt;=3,(IF(AND(G468="5/24",AM468&gt;2),(AM468*2*база!$M$6*Таблица14[[#This Row],[коэф]]),
IF(AND(G468="4/24",AM468&gt;2),(AM468*2*база!$M$5*Таблица14[[#This Row],[коэф]]),
IF(AND(G468="3/24",AM468&gt;2),(AM468*2*база!$M$4*Таблица14[[#This Row],[коэф]]),
IF(AND(G468="5/16",AM468&gt;2),(AM468*2*база!$L$6*Таблица14[[#This Row],[коэф]]),
IF(AND(G468="4/16",AM468&gt;2),(AM468*2*база!$L$5*Таблица14[[#This Row],[коэф]]),
IF(AND(G468="3/16",AM468&gt;2),(AM468*2*база!$L$4*Таблица14[[#This Row],[коэф]]),
IF(AND(G468="4/4",AM468&gt;2),(AM468*2*база!$I$5*Таблица14[[#This Row],[коэф]]),
IF(AND(G468="3/4",AM468&gt;2),(AM468*2*база!$I$4*Таблица14[[#This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(AM468*2*база!$L$4*Таблица14[[#This Row],[коэф]]))))))))))))),
(IF(AND(G468="5/24",AM468&gt;2),(AM468*2*база!$M$6*Таблица14[[#This Row],[коэф]]),
IF(OR(AND(G468="4/24",AM468&gt;2),AND(G468="3/24",AM468&gt;2)),(AM468*2*база!$M$5*Таблица14[[#This Row],[коэф]]),
IF(AND(G468="5/16",AM468&gt;2),(AM468*2*база!$L$6*Таблица14[[#This Row],[коэф]]),
IF(OR(AND(G468="4/16",AM468&gt;2),AND(G468="3/16",AM468&gt;2)),(AM468*2*база!$L$5*Таблица14[[#This Row],[коэф]]),
IF(OR(AND(G468="4/4",AM468&gt;2),AND(G468="3/4",AM468&gt;2)),(AM468*2*база!$I$5*Таблица14[[#This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(AM468*2*база!$L$5*Таблица14[[#This Row],[коэф]])))))))))))</f>
        <v>0</v>
      </c>
      <c r="AO468" s="655">
        <f>IFERROR(INDEX(база!$D$2:$D$120, MATCH(Таблица14[[#This Row],[Ф. И. О.]],база!$B$2:$B$100,0)),"")</f>
        <v>0</v>
      </c>
    </row>
    <row r="469" spans="1:41">
      <c r="A469" s="192"/>
      <c r="B469" s="223"/>
      <c r="C469" s="620"/>
      <c r="D469" s="653"/>
      <c r="E469" s="226"/>
      <c r="F469" s="656"/>
      <c r="G469" s="191"/>
      <c r="H469" s="654"/>
      <c r="I469" s="654"/>
      <c r="J469" s="654"/>
      <c r="K469" s="654"/>
      <c r="L469" s="654"/>
      <c r="M469" s="654"/>
      <c r="N469" s="654"/>
      <c r="O469" s="654"/>
      <c r="P469" s="654"/>
      <c r="Q469" s="654"/>
      <c r="R469" s="654"/>
      <c r="S469" s="654"/>
      <c r="T469" s="654"/>
      <c r="U469" s="654"/>
      <c r="V469" s="654"/>
      <c r="W469" s="654"/>
      <c r="X469" s="654"/>
      <c r="Y469" s="654"/>
      <c r="Z469" s="654"/>
      <c r="AA469" s="654"/>
      <c r="AB469" s="654"/>
      <c r="AC469" s="654"/>
      <c r="AD469" s="654"/>
      <c r="AE469" s="654"/>
      <c r="AF469" s="654"/>
      <c r="AG469" s="654"/>
      <c r="AH469" s="654"/>
      <c r="AI469" s="654"/>
      <c r="AJ469" s="654"/>
      <c r="AK469" s="654"/>
      <c r="AL469" s="654"/>
      <c r="AM469" s="113">
        <f t="shared" si="7"/>
        <v>0</v>
      </c>
      <c r="AN469" s="540">
        <f>IF(AO469&lt;=3,(IF(AND(G469="5/24",AM469&gt;2),(AM469*2*база!$M$6*Таблица14[[#This Row],[коэф]]),
IF(AND(G469="4/24",AM469&gt;2),(AM469*2*база!$M$5*Таблица14[[#This Row],[коэф]]),
IF(AND(G469="3/24",AM469&gt;2),(AM469*2*база!$M$4*Таблица14[[#This Row],[коэф]]),
IF(AND(G469="5/16",AM469&gt;2),(AM469*2*база!$L$6*Таблица14[[#This Row],[коэф]]),
IF(AND(G469="4/16",AM469&gt;2),(AM469*2*база!$L$5*Таблица14[[#This Row],[коэф]]),
IF(AND(G469="3/16",AM469&gt;2),(AM469*2*база!$L$4*Таблица14[[#This Row],[коэф]]),
IF(AND(G469="4/4",AM469&gt;2),(AM469*2*база!$I$5*Таблица14[[#This Row],[коэф]]),
IF(AND(G469="3/4",AM469&gt;2),(AM469*2*база!$I$4*Таблица14[[#This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(AM469*2*база!$L$4*Таблица14[[#This Row],[коэф]]))))))))))))),
(IF(AND(G469="5/24",AM469&gt;2),(AM469*2*база!$M$6*Таблица14[[#This Row],[коэф]]),
IF(OR(AND(G469="4/24",AM469&gt;2),AND(G469="3/24",AM469&gt;2)),(AM469*2*база!$M$5*Таблица14[[#This Row],[коэф]]),
IF(AND(G469="5/16",AM469&gt;2),(AM469*2*база!$L$6*Таблица14[[#This Row],[коэф]]),
IF(OR(AND(G469="4/16",AM469&gt;2),AND(G469="3/16",AM469&gt;2)),(AM469*2*база!$L$5*Таблица14[[#This Row],[коэф]]),
IF(OR(AND(G469="4/4",AM469&gt;2),AND(G469="3/4",AM469&gt;2)),(AM469*2*база!$I$5*Таблица14[[#This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(AM469*2*база!$L$5*Таблица14[[#This Row],[коэф]])))))))))))</f>
        <v>0</v>
      </c>
      <c r="AO469" s="655">
        <f>IFERROR(INDEX(база!$D$2:$D$120, MATCH(Таблица14[[#This Row],[Ф. И. О.]],база!$B$2:$B$100,0)),"")</f>
        <v>0</v>
      </c>
    </row>
    <row r="470" spans="1:41">
      <c r="A470" s="192"/>
      <c r="B470" s="189"/>
      <c r="C470" s="620"/>
      <c r="D470" s="653"/>
      <c r="E470" s="226"/>
      <c r="F470" s="656"/>
      <c r="G470" s="225"/>
      <c r="H470" s="654"/>
      <c r="I470" s="654"/>
      <c r="J470" s="654"/>
      <c r="K470" s="654"/>
      <c r="L470" s="654"/>
      <c r="M470" s="654"/>
      <c r="N470" s="654"/>
      <c r="O470" s="654"/>
      <c r="P470" s="654"/>
      <c r="Q470" s="654"/>
      <c r="R470" s="654"/>
      <c r="S470" s="654"/>
      <c r="T470" s="654"/>
      <c r="U470" s="654"/>
      <c r="V470" s="654"/>
      <c r="W470" s="654"/>
      <c r="X470" s="654"/>
      <c r="Y470" s="654"/>
      <c r="Z470" s="654"/>
      <c r="AA470" s="654"/>
      <c r="AB470" s="654"/>
      <c r="AC470" s="654"/>
      <c r="AD470" s="654"/>
      <c r="AE470" s="654"/>
      <c r="AF470" s="654"/>
      <c r="AG470" s="654"/>
      <c r="AH470" s="654"/>
      <c r="AI470" s="654"/>
      <c r="AJ470" s="654"/>
      <c r="AK470" s="654"/>
      <c r="AL470" s="654"/>
      <c r="AM470" s="113">
        <f t="shared" si="7"/>
        <v>0</v>
      </c>
      <c r="AN470" s="540">
        <f>IF(AO470&lt;=3,(IF(AND(G470="5/24",AM470&gt;2),(AM470*2*база!$M$6*Таблица14[[#This Row],[коэф]]),
IF(AND(G470="4/24",AM470&gt;2),(AM470*2*база!$M$5*Таблица14[[#This Row],[коэф]]),
IF(AND(G470="3/24",AM470&gt;2),(AM470*2*база!$M$4*Таблица14[[#This Row],[коэф]]),
IF(AND(G470="5/16",AM470&gt;2),(AM470*2*база!$L$6*Таблица14[[#This Row],[коэф]]),
IF(AND(G470="4/16",AM470&gt;2),(AM470*2*база!$L$5*Таблица14[[#This Row],[коэф]]),
IF(AND(G470="3/16",AM470&gt;2),(AM470*2*база!$L$4*Таблица14[[#This Row],[коэф]]),
IF(AND(G470="4/4",AM470&gt;2),(AM470*2*база!$I$5*Таблица14[[#This Row],[коэф]]),
IF(AND(G470="3/4",AM470&gt;2),(AM470*2*база!$I$4*Таблица14[[#This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(AM470*2*база!$L$4*Таблица14[[#This Row],[коэф]]))))))))))))),
(IF(AND(G470="5/24",AM470&gt;2),(AM470*2*база!$M$6*Таблица14[[#This Row],[коэф]]),
IF(OR(AND(G470="4/24",AM470&gt;2),AND(G470="3/24",AM470&gt;2)),(AM470*2*база!$M$5*Таблица14[[#This Row],[коэф]]),
IF(AND(G470="5/16",AM470&gt;2),(AM470*2*база!$L$6*Таблица14[[#This Row],[коэф]]),
IF(OR(AND(G470="4/16",AM470&gt;2),AND(G470="3/16",AM470&gt;2)),(AM470*2*база!$L$5*Таблица14[[#This Row],[коэф]]),
IF(OR(AND(G470="4/4",AM470&gt;2),AND(G470="3/4",AM470&gt;2)),(AM470*2*база!$I$5*Таблица14[[#This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(AM470*2*база!$L$5*Таблица14[[#This Row],[коэф]])))))))))))</f>
        <v>0</v>
      </c>
      <c r="AO470" s="655">
        <f>IFERROR(INDEX(база!$D$2:$D$120, MATCH(Таблица14[[#This Row],[Ф. И. О.]],база!$B$2:$B$100,0)),"")</f>
        <v>0</v>
      </c>
    </row>
    <row r="471" spans="1:41">
      <c r="A471" s="192"/>
      <c r="B471" s="223"/>
      <c r="C471" s="620"/>
      <c r="D471" s="653"/>
      <c r="E471" s="226"/>
      <c r="F471" s="656"/>
      <c r="G471" s="191"/>
      <c r="H471" s="654"/>
      <c r="I471" s="654"/>
      <c r="J471" s="654"/>
      <c r="K471" s="654"/>
      <c r="L471" s="654"/>
      <c r="M471" s="654"/>
      <c r="N471" s="654"/>
      <c r="O471" s="654"/>
      <c r="P471" s="654"/>
      <c r="Q471" s="654"/>
      <c r="R471" s="654"/>
      <c r="S471" s="654"/>
      <c r="T471" s="654"/>
      <c r="U471" s="654"/>
      <c r="V471" s="654"/>
      <c r="W471" s="654"/>
      <c r="X471" s="654"/>
      <c r="Y471" s="654"/>
      <c r="Z471" s="654"/>
      <c r="AA471" s="654"/>
      <c r="AB471" s="654"/>
      <c r="AC471" s="654"/>
      <c r="AD471" s="654"/>
      <c r="AE471" s="654"/>
      <c r="AF471" s="654"/>
      <c r="AG471" s="654"/>
      <c r="AH471" s="654"/>
      <c r="AI471" s="654"/>
      <c r="AJ471" s="654"/>
      <c r="AK471" s="654"/>
      <c r="AL471" s="654"/>
      <c r="AM471" s="113">
        <f t="shared" si="7"/>
        <v>0</v>
      </c>
      <c r="AN471" s="540">
        <f>IF(AO471&lt;=3,(IF(AND(G471="5/24",AM471&gt;2),(AM471*2*база!$M$6*Таблица14[[#This Row],[коэф]]),
IF(AND(G471="4/24",AM471&gt;2),(AM471*2*база!$M$5*Таблица14[[#This Row],[коэф]]),
IF(AND(G471="3/24",AM471&gt;2),(AM471*2*база!$M$4*Таблица14[[#This Row],[коэф]]),
IF(AND(G471="5/16",AM471&gt;2),(AM471*2*база!$L$6*Таблица14[[#This Row],[коэф]]),
IF(AND(G471="4/16",AM471&gt;2),(AM471*2*база!$L$5*Таблица14[[#This Row],[коэф]]),
IF(AND(G471="3/16",AM471&gt;2),(AM471*2*база!$L$4*Таблица14[[#This Row],[коэф]]),
IF(AND(G471="4/4",AM471&gt;2),(AM471*2*база!$I$5*Таблица14[[#This Row],[коэф]]),
IF(AND(G471="3/4",AM471&gt;2),(AM471*2*база!$I$4*Таблица14[[#This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(AM471*2*база!$L$4*Таблица14[[#This Row],[коэф]]))))))))))))),
(IF(AND(G471="5/24",AM471&gt;2),(AM471*2*база!$M$6*Таблица14[[#This Row],[коэф]]),
IF(OR(AND(G471="4/24",AM471&gt;2),AND(G471="3/24",AM471&gt;2)),(AM471*2*база!$M$5*Таблица14[[#This Row],[коэф]]),
IF(AND(G471="5/16",AM471&gt;2),(AM471*2*база!$L$6*Таблица14[[#This Row],[коэф]]),
IF(OR(AND(G471="4/16",AM471&gt;2),AND(G471="3/16",AM471&gt;2)),(AM471*2*база!$L$5*Таблица14[[#This Row],[коэф]]),
IF(OR(AND(G471="4/4",AM471&gt;2),AND(G471="3/4",AM471&gt;2)),(AM471*2*база!$I$5*Таблица14[[#This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(AM471*2*база!$L$5*Таблица14[[#This Row],[коэф]])))))))))))</f>
        <v>0</v>
      </c>
      <c r="AO471" s="655">
        <f>IFERROR(INDEX(база!$D$2:$D$120, MATCH(Таблица14[[#This Row],[Ф. И. О.]],база!$B$2:$B$100,0)),"")</f>
        <v>0</v>
      </c>
    </row>
    <row r="472" spans="1:41">
      <c r="A472" s="192"/>
      <c r="B472" s="189"/>
      <c r="C472" s="620"/>
      <c r="D472" s="653"/>
      <c r="E472" s="226"/>
      <c r="F472" s="656"/>
      <c r="G472" s="225"/>
      <c r="H472" s="654"/>
      <c r="I472" s="654"/>
      <c r="J472" s="654"/>
      <c r="K472" s="654"/>
      <c r="L472" s="654"/>
      <c r="M472" s="654"/>
      <c r="N472" s="654"/>
      <c r="O472" s="654"/>
      <c r="P472" s="654"/>
      <c r="Q472" s="654"/>
      <c r="R472" s="654"/>
      <c r="S472" s="654"/>
      <c r="T472" s="654"/>
      <c r="U472" s="654"/>
      <c r="V472" s="654"/>
      <c r="W472" s="654"/>
      <c r="X472" s="654"/>
      <c r="Y472" s="654"/>
      <c r="Z472" s="654"/>
      <c r="AA472" s="654"/>
      <c r="AB472" s="654"/>
      <c r="AC472" s="654"/>
      <c r="AD472" s="654"/>
      <c r="AE472" s="654"/>
      <c r="AF472" s="654"/>
      <c r="AG472" s="654"/>
      <c r="AH472" s="654"/>
      <c r="AI472" s="654"/>
      <c r="AJ472" s="654"/>
      <c r="AK472" s="654"/>
      <c r="AL472" s="654"/>
      <c r="AM472" s="113">
        <f t="shared" si="7"/>
        <v>0</v>
      </c>
      <c r="AN472" s="540">
        <f>IF(AO472&lt;=3,(IF(AND(G472="5/24",AM472&gt;2),(AM472*2*база!$M$6*Таблица14[[#This Row],[коэф]]),
IF(AND(G472="4/24",AM472&gt;2),(AM472*2*база!$M$5*Таблица14[[#This Row],[коэф]]),
IF(AND(G472="3/24",AM472&gt;2),(AM472*2*база!$M$4*Таблица14[[#This Row],[коэф]]),
IF(AND(G472="5/16",AM472&gt;2),(AM472*2*база!$L$6*Таблица14[[#This Row],[коэф]]),
IF(AND(G472="4/16",AM472&gt;2),(AM472*2*база!$L$5*Таблица14[[#This Row],[коэф]]),
IF(AND(G472="3/16",AM472&gt;2),(AM472*2*база!$L$4*Таблица14[[#This Row],[коэф]]),
IF(AND(G472="4/4",AM472&gt;2),(AM472*2*база!$I$5*Таблица14[[#This Row],[коэф]]),
IF(AND(G472="3/4",AM472&gt;2),(AM472*2*база!$I$4*Таблица14[[#This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(AM472*2*база!$L$4*Таблица14[[#This Row],[коэф]]))))))))))))),
(IF(AND(G472="5/24",AM472&gt;2),(AM472*2*база!$M$6*Таблица14[[#This Row],[коэф]]),
IF(OR(AND(G472="4/24",AM472&gt;2),AND(G472="3/24",AM472&gt;2)),(AM472*2*база!$M$5*Таблица14[[#This Row],[коэф]]),
IF(AND(G472="5/16",AM472&gt;2),(AM472*2*база!$L$6*Таблица14[[#This Row],[коэф]]),
IF(OR(AND(G472="4/16",AM472&gt;2),AND(G472="3/16",AM472&gt;2)),(AM472*2*база!$L$5*Таблица14[[#This Row],[коэф]]),
IF(OR(AND(G472="4/4",AM472&gt;2),AND(G472="3/4",AM472&gt;2)),(AM472*2*база!$I$5*Таблица14[[#This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(AM472*2*база!$L$5*Таблица14[[#This Row],[коэф]])))))))))))</f>
        <v>0</v>
      </c>
      <c r="AO472" s="655">
        <f>IFERROR(INDEX(база!$D$2:$D$120, MATCH(Таблица14[[#This Row],[Ф. И. О.]],база!$B$2:$B$100,0)),"")</f>
        <v>0</v>
      </c>
    </row>
    <row r="473" spans="1:41">
      <c r="A473" s="192"/>
      <c r="B473" s="223"/>
      <c r="C473" s="620"/>
      <c r="D473" s="653"/>
      <c r="E473" s="226"/>
      <c r="F473" s="656"/>
      <c r="G473" s="191"/>
      <c r="H473" s="654"/>
      <c r="I473" s="654"/>
      <c r="J473" s="654"/>
      <c r="K473" s="654"/>
      <c r="L473" s="654"/>
      <c r="M473" s="654"/>
      <c r="N473" s="654"/>
      <c r="O473" s="654"/>
      <c r="P473" s="654"/>
      <c r="Q473" s="654"/>
      <c r="R473" s="654"/>
      <c r="S473" s="654"/>
      <c r="T473" s="654"/>
      <c r="U473" s="654"/>
      <c r="V473" s="654"/>
      <c r="W473" s="654"/>
      <c r="X473" s="654"/>
      <c r="Y473" s="654"/>
      <c r="Z473" s="654"/>
      <c r="AA473" s="654"/>
      <c r="AB473" s="654"/>
      <c r="AC473" s="654"/>
      <c r="AD473" s="654"/>
      <c r="AE473" s="654"/>
      <c r="AF473" s="654"/>
      <c r="AG473" s="654"/>
      <c r="AH473" s="654"/>
      <c r="AI473" s="654"/>
      <c r="AJ473" s="654"/>
      <c r="AK473" s="654"/>
      <c r="AL473" s="654"/>
      <c r="AM473" s="113">
        <f t="shared" si="7"/>
        <v>0</v>
      </c>
      <c r="AN473" s="540">
        <f>IF(AO473&lt;=3,(IF(AND(G473="5/24",AM473&gt;2),(AM473*2*база!$M$6*Таблица14[[#This Row],[коэф]]),
IF(AND(G473="4/24",AM473&gt;2),(AM473*2*база!$M$5*Таблица14[[#This Row],[коэф]]),
IF(AND(G473="3/24",AM473&gt;2),(AM473*2*база!$M$4*Таблица14[[#This Row],[коэф]]),
IF(AND(G473="5/16",AM473&gt;2),(AM473*2*база!$L$6*Таблица14[[#This Row],[коэф]]),
IF(AND(G473="4/16",AM473&gt;2),(AM473*2*база!$L$5*Таблица14[[#This Row],[коэф]]),
IF(AND(G473="3/16",AM473&gt;2),(AM473*2*база!$L$4*Таблица14[[#This Row],[коэф]]),
IF(AND(G473="4/4",AM473&gt;2),(AM473*2*база!$I$5*Таблица14[[#This Row],[коэф]]),
IF(AND(G473="3/4",AM473&gt;2),(AM473*2*база!$I$4*Таблица14[[#This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(AM473*2*база!$L$4*Таблица14[[#This Row],[коэф]]))))))))))))),
(IF(AND(G473="5/24",AM473&gt;2),(AM473*2*база!$M$6*Таблица14[[#This Row],[коэф]]),
IF(OR(AND(G473="4/24",AM473&gt;2),AND(G473="3/24",AM473&gt;2)),(AM473*2*база!$M$5*Таблица14[[#This Row],[коэф]]),
IF(AND(G473="5/16",AM473&gt;2),(AM473*2*база!$L$6*Таблица14[[#This Row],[коэф]]),
IF(OR(AND(G473="4/16",AM473&gt;2),AND(G473="3/16",AM473&gt;2)),(AM473*2*база!$L$5*Таблица14[[#This Row],[коэф]]),
IF(OR(AND(G473="4/4",AM473&gt;2),AND(G473="3/4",AM473&gt;2)),(AM473*2*база!$I$5*Таблица14[[#This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(AM473*2*база!$L$5*Таблица14[[#This Row],[коэф]])))))))))))</f>
        <v>0</v>
      </c>
      <c r="AO473" s="655">
        <f>IFERROR(INDEX(база!$D$2:$D$120, MATCH(Таблица14[[#This Row],[Ф. И. О.]],база!$B$2:$B$100,0)),"")</f>
        <v>0</v>
      </c>
    </row>
    <row r="474" spans="1:41">
      <c r="A474" s="192"/>
      <c r="B474" s="189"/>
      <c r="C474" s="620"/>
      <c r="D474" s="653"/>
      <c r="E474" s="226"/>
      <c r="F474" s="656"/>
      <c r="G474" s="225"/>
      <c r="H474" s="654"/>
      <c r="I474" s="654"/>
      <c r="J474" s="654"/>
      <c r="K474" s="654"/>
      <c r="L474" s="654"/>
      <c r="M474" s="654"/>
      <c r="N474" s="654"/>
      <c r="O474" s="654"/>
      <c r="P474" s="654"/>
      <c r="Q474" s="654"/>
      <c r="R474" s="654"/>
      <c r="S474" s="654"/>
      <c r="T474" s="654"/>
      <c r="U474" s="654"/>
      <c r="V474" s="654"/>
      <c r="W474" s="654"/>
      <c r="X474" s="654"/>
      <c r="Y474" s="654"/>
      <c r="Z474" s="654"/>
      <c r="AA474" s="654"/>
      <c r="AB474" s="654"/>
      <c r="AC474" s="654"/>
      <c r="AD474" s="654"/>
      <c r="AE474" s="654"/>
      <c r="AF474" s="654"/>
      <c r="AG474" s="654"/>
      <c r="AH474" s="654"/>
      <c r="AI474" s="654"/>
      <c r="AJ474" s="654"/>
      <c r="AK474" s="654"/>
      <c r="AL474" s="654"/>
      <c r="AM474" s="113">
        <f t="shared" si="7"/>
        <v>0</v>
      </c>
      <c r="AN474" s="540">
        <f>IF(AO474&lt;=3,(IF(AND(G474="5/24",AM474&gt;2),(AM474*2*база!$M$6*Таблица14[[#This Row],[коэф]]),
IF(AND(G474="4/24",AM474&gt;2),(AM474*2*база!$M$5*Таблица14[[#This Row],[коэф]]),
IF(AND(G474="3/24",AM474&gt;2),(AM474*2*база!$M$4*Таблица14[[#This Row],[коэф]]),
IF(AND(G474="5/16",AM474&gt;2),(AM474*2*база!$L$6*Таблица14[[#This Row],[коэф]]),
IF(AND(G474="4/16",AM474&gt;2),(AM474*2*база!$L$5*Таблица14[[#This Row],[коэф]]),
IF(AND(G474="3/16",AM474&gt;2),(AM474*2*база!$L$4*Таблица14[[#This Row],[коэф]]),
IF(AND(G474="4/4",AM474&gt;2),(AM474*2*база!$I$5*Таблица14[[#This Row],[коэф]]),
IF(AND(G474="3/4",AM474&gt;2),(AM474*2*база!$I$4*Таблица14[[#This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(AM474*2*база!$L$4*Таблица14[[#This Row],[коэф]]))))))))))))),
(IF(AND(G474="5/24",AM474&gt;2),(AM474*2*база!$M$6*Таблица14[[#This Row],[коэф]]),
IF(OR(AND(G474="4/24",AM474&gt;2),AND(G474="3/24",AM474&gt;2)),(AM474*2*база!$M$5*Таблица14[[#This Row],[коэф]]),
IF(AND(G474="5/16",AM474&gt;2),(AM474*2*база!$L$6*Таблица14[[#This Row],[коэф]]),
IF(OR(AND(G474="4/16",AM474&gt;2),AND(G474="3/16",AM474&gt;2)),(AM474*2*база!$L$5*Таблица14[[#This Row],[коэф]]),
IF(OR(AND(G474="4/4",AM474&gt;2),AND(G474="3/4",AM474&gt;2)),(AM474*2*база!$I$5*Таблица14[[#This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(AM474*2*база!$L$5*Таблица14[[#This Row],[коэф]])))))))))))</f>
        <v>0</v>
      </c>
      <c r="AO474" s="655">
        <f>IFERROR(INDEX(база!$D$2:$D$120, MATCH(Таблица14[[#This Row],[Ф. И. О.]],база!$B$2:$B$100,0)),"")</f>
        <v>0</v>
      </c>
    </row>
    <row r="475" spans="1:41">
      <c r="A475" s="192"/>
      <c r="B475" s="223"/>
      <c r="C475" s="620"/>
      <c r="D475" s="653"/>
      <c r="E475" s="226"/>
      <c r="F475" s="656"/>
      <c r="G475" s="191"/>
      <c r="H475" s="654"/>
      <c r="I475" s="654"/>
      <c r="J475" s="654"/>
      <c r="K475" s="654"/>
      <c r="L475" s="654"/>
      <c r="M475" s="654"/>
      <c r="N475" s="654"/>
      <c r="O475" s="654"/>
      <c r="P475" s="654"/>
      <c r="Q475" s="654"/>
      <c r="R475" s="654"/>
      <c r="S475" s="654"/>
      <c r="T475" s="654"/>
      <c r="U475" s="654"/>
      <c r="V475" s="654"/>
      <c r="W475" s="654"/>
      <c r="X475" s="654"/>
      <c r="Y475" s="654"/>
      <c r="Z475" s="654"/>
      <c r="AA475" s="654"/>
      <c r="AB475" s="654"/>
      <c r="AC475" s="654"/>
      <c r="AD475" s="654"/>
      <c r="AE475" s="654"/>
      <c r="AF475" s="654"/>
      <c r="AG475" s="654"/>
      <c r="AH475" s="654"/>
      <c r="AI475" s="654"/>
      <c r="AJ475" s="654"/>
      <c r="AK475" s="654"/>
      <c r="AL475" s="654"/>
      <c r="AM475" s="113">
        <f t="shared" si="7"/>
        <v>0</v>
      </c>
      <c r="AN475" s="540">
        <f>IF(AO475&lt;=3,(IF(AND(G475="5/24",AM475&gt;2),(AM475*2*база!$M$6*Таблица14[[#This Row],[коэф]]),
IF(AND(G475="4/24",AM475&gt;2),(AM475*2*база!$M$5*Таблица14[[#This Row],[коэф]]),
IF(AND(G475="3/24",AM475&gt;2),(AM475*2*база!$M$4*Таблица14[[#This Row],[коэф]]),
IF(AND(G475="5/16",AM475&gt;2),(AM475*2*база!$L$6*Таблица14[[#This Row],[коэф]]),
IF(AND(G475="4/16",AM475&gt;2),(AM475*2*база!$L$5*Таблица14[[#This Row],[коэф]]),
IF(AND(G475="3/16",AM475&gt;2),(AM475*2*база!$L$4*Таблица14[[#This Row],[коэф]]),
IF(AND(G475="4/4",AM475&gt;2),(AM475*2*база!$I$5*Таблица14[[#This Row],[коэф]]),
IF(AND(G475="3/4",AM475&gt;2),(AM475*2*база!$I$4*Таблица14[[#This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(AM475*2*база!$L$4*Таблица14[[#This Row],[коэф]]))))))))))))),
(IF(AND(G475="5/24",AM475&gt;2),(AM475*2*база!$M$6*Таблица14[[#This Row],[коэф]]),
IF(OR(AND(G475="4/24",AM475&gt;2),AND(G475="3/24",AM475&gt;2)),(AM475*2*база!$M$5*Таблица14[[#This Row],[коэф]]),
IF(AND(G475="5/16",AM475&gt;2),(AM475*2*база!$L$6*Таблица14[[#This Row],[коэф]]),
IF(OR(AND(G475="4/16",AM475&gt;2),AND(G475="3/16",AM475&gt;2)),(AM475*2*база!$L$5*Таблица14[[#This Row],[коэф]]),
IF(OR(AND(G475="4/4",AM475&gt;2),AND(G475="3/4",AM475&gt;2)),(AM475*2*база!$I$5*Таблица14[[#This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(AM475*2*база!$L$5*Таблица14[[#This Row],[коэф]])))))))))))</f>
        <v>0</v>
      </c>
      <c r="AO475" s="655">
        <f>IFERROR(INDEX(база!$D$2:$D$120, MATCH(Таблица14[[#This Row],[Ф. И. О.]],база!$B$2:$B$100,0)),"")</f>
        <v>0</v>
      </c>
    </row>
    <row r="476" spans="1:41">
      <c r="A476" s="192"/>
      <c r="B476" s="189"/>
      <c r="C476" s="620"/>
      <c r="D476" s="653"/>
      <c r="E476" s="226"/>
      <c r="F476" s="656"/>
      <c r="G476" s="225"/>
      <c r="H476" s="654"/>
      <c r="I476" s="654"/>
      <c r="J476" s="654"/>
      <c r="K476" s="654"/>
      <c r="L476" s="654"/>
      <c r="M476" s="654"/>
      <c r="N476" s="654"/>
      <c r="O476" s="654"/>
      <c r="P476" s="654"/>
      <c r="Q476" s="654"/>
      <c r="R476" s="654"/>
      <c r="S476" s="654"/>
      <c r="T476" s="654"/>
      <c r="U476" s="654"/>
      <c r="V476" s="654"/>
      <c r="W476" s="654"/>
      <c r="X476" s="654"/>
      <c r="Y476" s="654"/>
      <c r="Z476" s="654"/>
      <c r="AA476" s="654"/>
      <c r="AB476" s="654"/>
      <c r="AC476" s="654"/>
      <c r="AD476" s="654"/>
      <c r="AE476" s="654"/>
      <c r="AF476" s="654"/>
      <c r="AG476" s="654"/>
      <c r="AH476" s="654"/>
      <c r="AI476" s="654"/>
      <c r="AJ476" s="654"/>
      <c r="AK476" s="654"/>
      <c r="AL476" s="654"/>
      <c r="AM476" s="113">
        <f t="shared" si="7"/>
        <v>0</v>
      </c>
      <c r="AN476" s="540">
        <f>IF(AO476&lt;=3,(IF(AND(G476="5/24",AM476&gt;2),(AM476*2*база!$M$6*Таблица14[[#This Row],[коэф]]),
IF(AND(G476="4/24",AM476&gt;2),(AM476*2*база!$M$5*Таблица14[[#This Row],[коэф]]),
IF(AND(G476="3/24",AM476&gt;2),(AM476*2*база!$M$4*Таблица14[[#This Row],[коэф]]),
IF(AND(G476="5/16",AM476&gt;2),(AM476*2*база!$L$6*Таблица14[[#This Row],[коэф]]),
IF(AND(G476="4/16",AM476&gt;2),(AM476*2*база!$L$5*Таблица14[[#This Row],[коэф]]),
IF(AND(G476="3/16",AM476&gt;2),(AM476*2*база!$L$4*Таблица14[[#This Row],[коэф]]),
IF(AND(G476="4/4",AM476&gt;2),(AM476*2*база!$I$5*Таблица14[[#This Row],[коэф]]),
IF(AND(G476="3/4",AM476&gt;2),(AM476*2*база!$I$4*Таблица14[[#This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(AM476*2*база!$L$4*Таблица14[[#This Row],[коэф]]))))))))))))),
(IF(AND(G476="5/24",AM476&gt;2),(AM476*2*база!$M$6*Таблица14[[#This Row],[коэф]]),
IF(OR(AND(G476="4/24",AM476&gt;2),AND(G476="3/24",AM476&gt;2)),(AM476*2*база!$M$5*Таблица14[[#This Row],[коэф]]),
IF(AND(G476="5/16",AM476&gt;2),(AM476*2*база!$L$6*Таблица14[[#This Row],[коэф]]),
IF(OR(AND(G476="4/16",AM476&gt;2),AND(G476="3/16",AM476&gt;2)),(AM476*2*база!$L$5*Таблица14[[#This Row],[коэф]]),
IF(OR(AND(G476="4/4",AM476&gt;2),AND(G476="3/4",AM476&gt;2)),(AM476*2*база!$I$5*Таблица14[[#This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(AM476*2*база!$L$5*Таблица14[[#This Row],[коэф]])))))))))))</f>
        <v>0</v>
      </c>
      <c r="AO476" s="655">
        <f>IFERROR(INDEX(база!$D$2:$D$120, MATCH(Таблица14[[#This Row],[Ф. И. О.]],база!$B$2:$B$100,0)),"")</f>
        <v>0</v>
      </c>
    </row>
    <row r="477" spans="1:41">
      <c r="A477" s="192"/>
      <c r="B477" s="223"/>
      <c r="C477" s="620"/>
      <c r="D477" s="653"/>
      <c r="E477" s="226"/>
      <c r="F477" s="656"/>
      <c r="G477" s="191"/>
      <c r="H477" s="654"/>
      <c r="I477" s="654"/>
      <c r="J477" s="654"/>
      <c r="K477" s="654"/>
      <c r="L477" s="654"/>
      <c r="M477" s="654"/>
      <c r="N477" s="654"/>
      <c r="O477" s="654"/>
      <c r="P477" s="654"/>
      <c r="Q477" s="654"/>
      <c r="R477" s="654"/>
      <c r="S477" s="654"/>
      <c r="T477" s="654"/>
      <c r="U477" s="654"/>
      <c r="V477" s="654"/>
      <c r="W477" s="654"/>
      <c r="X477" s="654"/>
      <c r="Y477" s="654"/>
      <c r="Z477" s="654"/>
      <c r="AA477" s="654"/>
      <c r="AB477" s="654"/>
      <c r="AC477" s="654"/>
      <c r="AD477" s="654"/>
      <c r="AE477" s="654"/>
      <c r="AF477" s="654"/>
      <c r="AG477" s="654"/>
      <c r="AH477" s="654"/>
      <c r="AI477" s="654"/>
      <c r="AJ477" s="654"/>
      <c r="AK477" s="654"/>
      <c r="AL477" s="654"/>
      <c r="AM477" s="113">
        <f t="shared" si="7"/>
        <v>0</v>
      </c>
      <c r="AN477" s="540">
        <f>IF(AO477&lt;=3,(IF(AND(G477="5/24",AM477&gt;2),(AM477*2*база!$M$6*Таблица14[[#This Row],[коэф]]),
IF(AND(G477="4/24",AM477&gt;2),(AM477*2*база!$M$5*Таблица14[[#This Row],[коэф]]),
IF(AND(G477="3/24",AM477&gt;2),(AM477*2*база!$M$4*Таблица14[[#This Row],[коэф]]),
IF(AND(G477="5/16",AM477&gt;2),(AM477*2*база!$L$6*Таблица14[[#This Row],[коэф]]),
IF(AND(G477="4/16",AM477&gt;2),(AM477*2*база!$L$5*Таблица14[[#This Row],[коэф]]),
IF(AND(G477="3/16",AM477&gt;2),(AM477*2*база!$L$4*Таблица14[[#This Row],[коэф]]),
IF(AND(G477="4/4",AM477&gt;2),(AM477*2*база!$I$5*Таблица14[[#This Row],[коэф]]),
IF(AND(G477="3/4",AM477&gt;2),(AM477*2*база!$I$4*Таблица14[[#This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(AM477*2*база!$L$4*Таблица14[[#This Row],[коэф]]))))))))))))),
(IF(AND(G477="5/24",AM477&gt;2),(AM477*2*база!$M$6*Таблица14[[#This Row],[коэф]]),
IF(OR(AND(G477="4/24",AM477&gt;2),AND(G477="3/24",AM477&gt;2)),(AM477*2*база!$M$5*Таблица14[[#This Row],[коэф]]),
IF(AND(G477="5/16",AM477&gt;2),(AM477*2*база!$L$6*Таблица14[[#This Row],[коэф]]),
IF(OR(AND(G477="4/16",AM477&gt;2),AND(G477="3/16",AM477&gt;2)),(AM477*2*база!$L$5*Таблица14[[#This Row],[коэф]]),
IF(OR(AND(G477="4/4",AM477&gt;2),AND(G477="3/4",AM477&gt;2)),(AM477*2*база!$I$5*Таблица14[[#This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(AM477*2*база!$L$5*Таблица14[[#This Row],[коэф]])))))))))))</f>
        <v>0</v>
      </c>
      <c r="AO477" s="655">
        <f>IFERROR(INDEX(база!$D$2:$D$120, MATCH(Таблица14[[#This Row],[Ф. И. О.]],база!$B$2:$B$100,0)),"")</f>
        <v>0</v>
      </c>
    </row>
    <row r="478" spans="1:41">
      <c r="A478" s="192"/>
      <c r="B478" s="189"/>
      <c r="C478" s="620"/>
      <c r="D478" s="653"/>
      <c r="E478" s="226"/>
      <c r="F478" s="656"/>
      <c r="G478" s="225"/>
      <c r="H478" s="654"/>
      <c r="I478" s="654"/>
      <c r="J478" s="654"/>
      <c r="K478" s="654"/>
      <c r="L478" s="654"/>
      <c r="M478" s="654"/>
      <c r="N478" s="654"/>
      <c r="O478" s="654"/>
      <c r="P478" s="654"/>
      <c r="Q478" s="654"/>
      <c r="R478" s="654"/>
      <c r="S478" s="654"/>
      <c r="T478" s="654"/>
      <c r="U478" s="654"/>
      <c r="V478" s="654"/>
      <c r="W478" s="654"/>
      <c r="X478" s="654"/>
      <c r="Y478" s="654"/>
      <c r="Z478" s="654"/>
      <c r="AA478" s="654"/>
      <c r="AB478" s="654"/>
      <c r="AC478" s="654"/>
      <c r="AD478" s="654"/>
      <c r="AE478" s="654"/>
      <c r="AF478" s="654"/>
      <c r="AG478" s="654"/>
      <c r="AH478" s="654"/>
      <c r="AI478" s="654"/>
      <c r="AJ478" s="654"/>
      <c r="AK478" s="654"/>
      <c r="AL478" s="654"/>
      <c r="AM478" s="113">
        <f t="shared" si="7"/>
        <v>0</v>
      </c>
      <c r="AN478" s="540">
        <f>IF(AO478&lt;=3,(IF(AND(G478="5/24",AM478&gt;2),(AM478*2*база!$M$6*Таблица14[[#This Row],[коэф]]),
IF(AND(G478="4/24",AM478&gt;2),(AM478*2*база!$M$5*Таблица14[[#This Row],[коэф]]),
IF(AND(G478="3/24",AM478&gt;2),(AM478*2*база!$M$4*Таблица14[[#This Row],[коэф]]),
IF(AND(G478="5/16",AM478&gt;2),(AM478*2*база!$L$6*Таблица14[[#This Row],[коэф]]),
IF(AND(G478="4/16",AM478&gt;2),(AM478*2*база!$L$5*Таблица14[[#This Row],[коэф]]),
IF(AND(G478="3/16",AM478&gt;2),(AM478*2*база!$L$4*Таблица14[[#This Row],[коэф]]),
IF(AND(G478="4/4",AM478&gt;2),(AM478*2*база!$I$5*Таблица14[[#This Row],[коэф]]),
IF(AND(G478="3/4",AM478&gt;2),(AM478*2*база!$I$4*Таблица14[[#This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(AM478*2*база!$L$4*Таблица14[[#This Row],[коэф]]))))))))))))),
(IF(AND(G478="5/24",AM478&gt;2),(AM478*2*база!$M$6*Таблица14[[#This Row],[коэф]]),
IF(OR(AND(G478="4/24",AM478&gt;2),AND(G478="3/24",AM478&gt;2)),(AM478*2*база!$M$5*Таблица14[[#This Row],[коэф]]),
IF(AND(G478="5/16",AM478&gt;2),(AM478*2*база!$L$6*Таблица14[[#This Row],[коэф]]),
IF(OR(AND(G478="4/16",AM478&gt;2),AND(G478="3/16",AM478&gt;2)),(AM478*2*база!$L$5*Таблица14[[#This Row],[коэф]]),
IF(OR(AND(G478="4/4",AM478&gt;2),AND(G478="3/4",AM478&gt;2)),(AM478*2*база!$I$5*Таблица14[[#This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(AM478*2*база!$L$5*Таблица14[[#This Row],[коэф]])))))))))))</f>
        <v>0</v>
      </c>
      <c r="AO478" s="655">
        <f>IFERROR(INDEX(база!$D$2:$D$120, MATCH(Таблица14[[#This Row],[Ф. И. О.]],база!$B$2:$B$100,0)),"")</f>
        <v>0</v>
      </c>
    </row>
    <row r="479" spans="1:41" ht="15">
      <c r="A479" s="737"/>
      <c r="B479" s="737"/>
      <c r="C479" s="737"/>
      <c r="D479" s="737"/>
      <c r="E479" s="737"/>
      <c r="F479" s="737"/>
      <c r="G479" s="737"/>
      <c r="H479" s="737"/>
      <c r="I479" s="737"/>
      <c r="J479" s="737"/>
      <c r="K479" s="737"/>
      <c r="L479" s="737"/>
      <c r="M479" s="737"/>
      <c r="N479" s="737"/>
      <c r="O479" s="737"/>
      <c r="P479" s="737"/>
      <c r="Q479" s="737"/>
      <c r="R479" s="737"/>
      <c r="S479" s="737"/>
      <c r="T479" s="737"/>
      <c r="U479" s="737"/>
      <c r="V479" s="737"/>
      <c r="W479" s="737"/>
      <c r="X479" s="737"/>
      <c r="Y479" s="737"/>
      <c r="Z479" s="737"/>
      <c r="AA479" s="737"/>
      <c r="AB479" s="737"/>
      <c r="AC479" s="721"/>
      <c r="AD479" s="721"/>
      <c r="AE479" s="721"/>
      <c r="AF479" s="721"/>
      <c r="AG479" s="721"/>
      <c r="AH479" s="721"/>
      <c r="AI479" s="721"/>
      <c r="AJ479" s="721"/>
      <c r="AK479" s="721"/>
      <c r="AL479" s="721"/>
      <c r="AM479" s="722"/>
      <c r="AN479" s="712"/>
      <c r="AO479" s="723"/>
    </row>
    <row r="480" spans="1:41">
      <c r="A480" s="716"/>
      <c r="B480" s="717"/>
      <c r="D480" s="718"/>
      <c r="E480" s="719"/>
      <c r="F480" s="724"/>
      <c r="G480" s="720"/>
      <c r="H480" s="721"/>
      <c r="I480" s="721"/>
      <c r="J480" s="721"/>
      <c r="K480" s="721"/>
      <c r="L480" s="721"/>
      <c r="M480" s="721"/>
      <c r="N480" s="721"/>
      <c r="O480" s="721"/>
      <c r="P480" s="721"/>
      <c r="Q480" s="721"/>
      <c r="R480" s="721"/>
      <c r="S480" s="721"/>
      <c r="T480" s="721"/>
      <c r="U480" s="721"/>
      <c r="V480" s="721"/>
      <c r="W480" s="721"/>
      <c r="X480" s="721"/>
      <c r="Y480" s="721"/>
      <c r="Z480" s="721"/>
      <c r="AA480" s="721"/>
      <c r="AB480" s="721"/>
      <c r="AC480" s="721"/>
      <c r="AD480" s="721"/>
      <c r="AE480" s="721"/>
      <c r="AF480" s="721"/>
      <c r="AG480" s="721"/>
      <c r="AH480" s="721"/>
      <c r="AI480" s="721"/>
      <c r="AJ480" s="721"/>
      <c r="AK480" s="721"/>
      <c r="AL480" s="721"/>
      <c r="AM480" s="722">
        <f t="shared" ref="AM480:AM493" si="8">SUM(H480:AL480)</f>
        <v>0</v>
      </c>
      <c r="AN480" s="712">
        <f>IF(AO480&lt;=3,(IF(AND(G480="5/24",AM480&gt;2),(AM480*2*база!$M$6*Таблица14[[#This Row],[коэф]]),
IF(AND(G480="4/24",AM480&gt;2),(AM480*2*база!$M$5*Таблица14[[#This Row],[коэф]]),
IF(AND(G480="3/24",AM480&gt;2),(AM480*2*база!$M$4*Таблица14[[#This Row],[коэф]]),
IF(AND(G480="5/16",AM480&gt;2),(AM480*2*база!$L$6*Таблица14[[#This Row],[коэф]]),
IF(AND(G480="4/16",AM480&gt;2),(AM480*2*база!$L$5*Таблица14[[#This Row],[коэф]]),
IF(AND(G480="3/16",AM480&gt;2),(AM480*2*база!$L$4*Таблица14[[#This Row],[коэф]]),
IF(AND(G480="4/4",AM480&gt;2),(AM480*2*база!$I$5*Таблица14[[#This Row],[коэф]]),
IF(AND(G480="3/4",AM480&gt;2),(AM480*2*база!$I$4*Таблица14[[#This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(AM480*2*база!$L$4*Таблица14[[#This Row],[коэф]]))))))))))))),
(IF(AND(G480="5/24",AM480&gt;2),(AM480*2*база!$M$6*Таблица14[[#This Row],[коэф]]),
IF(OR(AND(G480="4/24",AM480&gt;2),AND(G480="3/24",AM480&gt;2)),(AM480*2*база!$M$5*Таблица14[[#This Row],[коэф]]),
IF(AND(G480="5/16",AM480&gt;2),(AM480*2*база!$L$6*Таблица14[[#This Row],[коэф]]),
IF(OR(AND(G480="4/16",AM480&gt;2),AND(G480="3/16",AM480&gt;2)),(AM480*2*база!$L$5*Таблица14[[#This Row],[коэф]]),
IF(OR(AND(G480="4/4",AM480&gt;2),AND(G480="3/4",AM480&gt;2)),(AM480*2*база!$I$5*Таблица14[[#This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(AM480*2*база!$L$5*Таблица14[[#This Row],[коэф]])))))))))))</f>
        <v>0</v>
      </c>
      <c r="AO480" s="723">
        <f>IFERROR(INDEX(база!$D$2:$D$120, MATCH(Таблица14[[#This Row],[Ф. И. О.]],база!$B$2:$B$100,0)),"")</f>
        <v>0</v>
      </c>
    </row>
    <row r="481" spans="1:41">
      <c r="A481" s="716"/>
      <c r="B481" s="717"/>
      <c r="D481" s="718"/>
      <c r="E481" s="719"/>
      <c r="F481" s="724"/>
      <c r="G481" s="720"/>
      <c r="H481" s="721"/>
      <c r="I481" s="721"/>
      <c r="J481" s="721"/>
      <c r="K481" s="721"/>
      <c r="L481" s="721"/>
      <c r="M481" s="721"/>
      <c r="N481" s="721"/>
      <c r="O481" s="721"/>
      <c r="P481" s="721"/>
      <c r="Q481" s="721"/>
      <c r="R481" s="721"/>
      <c r="S481" s="721"/>
      <c r="T481" s="721"/>
      <c r="U481" s="721"/>
      <c r="V481" s="721"/>
      <c r="W481" s="721"/>
      <c r="X481" s="721"/>
      <c r="Y481" s="721"/>
      <c r="Z481" s="721"/>
      <c r="AA481" s="721"/>
      <c r="AB481" s="721"/>
      <c r="AC481" s="721"/>
      <c r="AD481" s="721"/>
      <c r="AE481" s="721"/>
      <c r="AF481" s="721"/>
      <c r="AG481" s="721"/>
      <c r="AH481" s="721"/>
      <c r="AI481" s="721"/>
      <c r="AJ481" s="721"/>
      <c r="AK481" s="721"/>
      <c r="AL481" s="721"/>
      <c r="AM481" s="722">
        <f t="shared" si="8"/>
        <v>0</v>
      </c>
      <c r="AN481" s="712">
        <f>IF(AO481&lt;=3,(IF(AND(G481="5/24",AM481&gt;2),(AM481*2*база!$M$6*Таблица14[[#This Row],[коэф]]),
IF(AND(G481="4/24",AM481&gt;2),(AM481*2*база!$M$5*Таблица14[[#This Row],[коэф]]),
IF(AND(G481="3/24",AM481&gt;2),(AM481*2*база!$M$4*Таблица14[[#This Row],[коэф]]),
IF(AND(G481="5/16",AM481&gt;2),(AM481*2*база!$L$6*Таблица14[[#This Row],[коэф]]),
IF(AND(G481="4/16",AM481&gt;2),(AM481*2*база!$L$5*Таблица14[[#This Row],[коэф]]),
IF(AND(G481="3/16",AM481&gt;2),(AM481*2*база!$L$4*Таблица14[[#This Row],[коэф]]),
IF(AND(G481="4/4",AM481&gt;2),(AM481*2*база!$I$5*Таблица14[[#This Row],[коэф]]),
IF(AND(G481="3/4",AM481&gt;2),(AM481*2*база!$I$4*Таблица14[[#This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(AM481*2*база!$L$4*Таблица14[[#This Row],[коэф]]))))))))))))),
(IF(AND(G481="5/24",AM481&gt;2),(AM481*2*база!$M$6*Таблица14[[#This Row],[коэф]]),
IF(OR(AND(G481="4/24",AM481&gt;2),AND(G481="3/24",AM481&gt;2)),(AM481*2*база!$M$5*Таблица14[[#This Row],[коэф]]),
IF(AND(G481="5/16",AM481&gt;2),(AM481*2*база!$L$6*Таблица14[[#This Row],[коэф]]),
IF(OR(AND(G481="4/16",AM481&gt;2),AND(G481="3/16",AM481&gt;2)),(AM481*2*база!$L$5*Таблица14[[#This Row],[коэф]]),
IF(OR(AND(G481="4/4",AM481&gt;2),AND(G481="3/4",AM481&gt;2)),(AM481*2*база!$I$5*Таблица14[[#This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(AM481*2*база!$L$5*Таблица14[[#This Row],[коэф]])))))))))))</f>
        <v>0</v>
      </c>
      <c r="AO481" s="723">
        <f>IFERROR(INDEX(база!$D$2:$D$120, MATCH(Таблица14[[#This Row],[Ф. И. О.]],база!$B$2:$B$100,0)),"")</f>
        <v>0</v>
      </c>
    </row>
    <row r="482" spans="1:41">
      <c r="A482" s="716"/>
      <c r="B482" s="717"/>
      <c r="D482" s="718"/>
      <c r="E482" s="719"/>
      <c r="F482" s="724"/>
      <c r="G482" s="720"/>
      <c r="H482" s="721"/>
      <c r="I482" s="721"/>
      <c r="J482" s="721"/>
      <c r="K482" s="721"/>
      <c r="L482" s="721"/>
      <c r="M482" s="721"/>
      <c r="N482" s="721"/>
      <c r="O482" s="721"/>
      <c r="P482" s="721"/>
      <c r="Q482" s="721"/>
      <c r="R482" s="721"/>
      <c r="S482" s="721"/>
      <c r="T482" s="721"/>
      <c r="U482" s="721"/>
      <c r="V482" s="721"/>
      <c r="W482" s="721"/>
      <c r="X482" s="721"/>
      <c r="Y482" s="721"/>
      <c r="Z482" s="721"/>
      <c r="AA482" s="721"/>
      <c r="AB482" s="721"/>
      <c r="AC482" s="721"/>
      <c r="AD482" s="721"/>
      <c r="AE482" s="721"/>
      <c r="AF482" s="721"/>
      <c r="AG482" s="721"/>
      <c r="AH482" s="721"/>
      <c r="AI482" s="721"/>
      <c r="AJ482" s="721"/>
      <c r="AK482" s="721"/>
      <c r="AL482" s="721"/>
      <c r="AM482" s="722">
        <f t="shared" si="8"/>
        <v>0</v>
      </c>
      <c r="AN482" s="712">
        <f>IF(AO482&lt;=3,(IF(AND(G482="5/24",AM482&gt;2),(AM482*2*база!$M$6*Таблица14[[#This Row],[коэф]]),
IF(AND(G482="4/24",AM482&gt;2),(AM482*2*база!$M$5*Таблица14[[#This Row],[коэф]]),
IF(AND(G482="3/24",AM482&gt;2),(AM482*2*база!$M$4*Таблица14[[#This Row],[коэф]]),
IF(AND(G482="5/16",AM482&gt;2),(AM482*2*база!$L$6*Таблица14[[#This Row],[коэф]]),
IF(AND(G482="4/16",AM482&gt;2),(AM482*2*база!$L$5*Таблица14[[#This Row],[коэф]]),
IF(AND(G482="3/16",AM482&gt;2),(AM482*2*база!$L$4*Таблица14[[#This Row],[коэф]]),
IF(AND(G482="4/4",AM482&gt;2),(AM482*2*база!$I$5*Таблица14[[#This Row],[коэф]]),
IF(AND(G482="3/4",AM482&gt;2),(AM482*2*база!$I$4*Таблица14[[#This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(AM482*2*база!$L$4*Таблица14[[#This Row],[коэф]]))))))))))))),
(IF(AND(G482="5/24",AM482&gt;2),(AM482*2*база!$M$6*Таблица14[[#This Row],[коэф]]),
IF(OR(AND(G482="4/24",AM482&gt;2),AND(G482="3/24",AM482&gt;2)),(AM482*2*база!$M$5*Таблица14[[#This Row],[коэф]]),
IF(AND(G482="5/16",AM482&gt;2),(AM482*2*база!$L$6*Таблица14[[#This Row],[коэф]]),
IF(OR(AND(G482="4/16",AM482&gt;2),AND(G482="3/16",AM482&gt;2)),(AM482*2*база!$L$5*Таблица14[[#This Row],[коэф]]),
IF(OR(AND(G482="4/4",AM482&gt;2),AND(G482="3/4",AM482&gt;2)),(AM482*2*база!$I$5*Таблица14[[#This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(AM482*2*база!$L$5*Таблица14[[#This Row],[коэф]])))))))))))</f>
        <v>0</v>
      </c>
      <c r="AO482" s="723">
        <f>IFERROR(INDEX(база!$D$2:$D$120, MATCH(Таблица14[[#This Row],[Ф. И. О.]],база!$B$2:$B$100,0)),"")</f>
        <v>0</v>
      </c>
    </row>
    <row r="483" spans="1:41">
      <c r="A483" s="716"/>
      <c r="B483" s="717"/>
      <c r="D483" s="718"/>
      <c r="E483" s="719"/>
      <c r="F483" s="724"/>
      <c r="G483" s="720"/>
      <c r="H483" s="721"/>
      <c r="I483" s="721"/>
      <c r="J483" s="721"/>
      <c r="K483" s="721"/>
      <c r="L483" s="721"/>
      <c r="M483" s="721"/>
      <c r="N483" s="721"/>
      <c r="O483" s="721"/>
      <c r="P483" s="721"/>
      <c r="Q483" s="721"/>
      <c r="R483" s="721"/>
      <c r="S483" s="721"/>
      <c r="T483" s="721"/>
      <c r="U483" s="721"/>
      <c r="V483" s="721"/>
      <c r="W483" s="721"/>
      <c r="X483" s="721"/>
      <c r="Y483" s="721"/>
      <c r="Z483" s="721"/>
      <c r="AA483" s="721"/>
      <c r="AB483" s="721"/>
      <c r="AC483" s="721"/>
      <c r="AD483" s="721"/>
      <c r="AE483" s="721"/>
      <c r="AF483" s="721"/>
      <c r="AG483" s="721"/>
      <c r="AH483" s="721"/>
      <c r="AI483" s="721"/>
      <c r="AJ483" s="721"/>
      <c r="AK483" s="721"/>
      <c r="AL483" s="721"/>
      <c r="AM483" s="722">
        <f t="shared" si="8"/>
        <v>0</v>
      </c>
      <c r="AN483" s="712">
        <f>IF(AO483&lt;=3,(IF(AND(G483="5/24",AM483&gt;2),(AM483*2*база!$M$6*Таблица14[[#This Row],[коэф]]),
IF(AND(G483="4/24",AM483&gt;2),(AM483*2*база!$M$5*Таблица14[[#This Row],[коэф]]),
IF(AND(G483="3/24",AM483&gt;2),(AM483*2*база!$M$4*Таблица14[[#This Row],[коэф]]),
IF(AND(G483="5/16",AM483&gt;2),(AM483*2*база!$L$6*Таблица14[[#This Row],[коэф]]),
IF(AND(G483="4/16",AM483&gt;2),(AM483*2*база!$L$5*Таблица14[[#This Row],[коэф]]),
IF(AND(G483="3/16",AM483&gt;2),(AM483*2*база!$L$4*Таблица14[[#This Row],[коэф]]),
IF(AND(G483="4/4",AM483&gt;2),(AM483*2*база!$I$5*Таблица14[[#This Row],[коэф]]),
IF(AND(G483="3/4",AM483&gt;2),(AM483*2*база!$I$4*Таблица14[[#This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(AM483*2*база!$L$4*Таблица14[[#This Row],[коэф]]))))))))))))),
(IF(AND(G483="5/24",AM483&gt;2),(AM483*2*база!$M$6*Таблица14[[#This Row],[коэф]]),
IF(OR(AND(G483="4/24",AM483&gt;2),AND(G483="3/24",AM483&gt;2)),(AM483*2*база!$M$5*Таблица14[[#This Row],[коэф]]),
IF(AND(G483="5/16",AM483&gt;2),(AM483*2*база!$L$6*Таблица14[[#This Row],[коэф]]),
IF(OR(AND(G483="4/16",AM483&gt;2),AND(G483="3/16",AM483&gt;2)),(AM483*2*база!$L$5*Таблица14[[#This Row],[коэф]]),
IF(OR(AND(G483="4/4",AM483&gt;2),AND(G483="3/4",AM483&gt;2)),(AM483*2*база!$I$5*Таблица14[[#This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(AM483*2*база!$L$5*Таблица14[[#This Row],[коэф]])))))))))))</f>
        <v>0</v>
      </c>
      <c r="AO483" s="723">
        <f>IFERROR(INDEX(база!$D$2:$D$120, MATCH(Таблица14[[#This Row],[Ф. И. О.]],база!$B$2:$B$100,0)),"")</f>
        <v>0</v>
      </c>
    </row>
    <row r="484" spans="1:41">
      <c r="A484" s="716"/>
      <c r="B484" s="717"/>
      <c r="D484" s="718"/>
      <c r="E484" s="719"/>
      <c r="F484" s="724"/>
      <c r="G484" s="720"/>
      <c r="H484" s="721"/>
      <c r="I484" s="721"/>
      <c r="J484" s="721"/>
      <c r="K484" s="721"/>
      <c r="L484" s="721"/>
      <c r="M484" s="721"/>
      <c r="N484" s="721"/>
      <c r="O484" s="721"/>
      <c r="P484" s="721"/>
      <c r="Q484" s="721"/>
      <c r="R484" s="721"/>
      <c r="S484" s="721"/>
      <c r="T484" s="721"/>
      <c r="U484" s="721"/>
      <c r="V484" s="721"/>
      <c r="W484" s="721"/>
      <c r="X484" s="721"/>
      <c r="Y484" s="721"/>
      <c r="Z484" s="721"/>
      <c r="AA484" s="721"/>
      <c r="AB484" s="721"/>
      <c r="AC484" s="721"/>
      <c r="AD484" s="721"/>
      <c r="AE484" s="721"/>
      <c r="AF484" s="721"/>
      <c r="AG484" s="721"/>
      <c r="AH484" s="721"/>
      <c r="AI484" s="721"/>
      <c r="AJ484" s="721"/>
      <c r="AK484" s="721"/>
      <c r="AL484" s="721"/>
      <c r="AM484" s="722">
        <f t="shared" si="8"/>
        <v>0</v>
      </c>
      <c r="AN484" s="712">
        <f>IF(AO484&lt;=3,(IF(AND(G484="5/24",AM484&gt;2),(AM484*2*база!$M$6*Таблица14[[#This Row],[коэф]]),
IF(AND(G484="4/24",AM484&gt;2),(AM484*2*база!$M$5*Таблица14[[#This Row],[коэф]]),
IF(AND(G484="3/24",AM484&gt;2),(AM484*2*база!$M$4*Таблица14[[#This Row],[коэф]]),
IF(AND(G484="5/16",AM484&gt;2),(AM484*2*база!$L$6*Таблица14[[#This Row],[коэф]]),
IF(AND(G484="4/16",AM484&gt;2),(AM484*2*база!$L$5*Таблица14[[#This Row],[коэф]]),
IF(AND(G484="3/16",AM484&gt;2),(AM484*2*база!$L$4*Таблица14[[#This Row],[коэф]]),
IF(AND(G484="4/4",AM484&gt;2),(AM484*2*база!$I$5*Таблица14[[#This Row],[коэф]]),
IF(AND(G484="3/4",AM484&gt;2),(AM484*2*база!$I$4*Таблица14[[#This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(AM484*2*база!$L$4*Таблица14[[#This Row],[коэф]]))))))))))))),
(IF(AND(G484="5/24",AM484&gt;2),(AM484*2*база!$M$6*Таблица14[[#This Row],[коэф]]),
IF(OR(AND(G484="4/24",AM484&gt;2),AND(G484="3/24",AM484&gt;2)),(AM484*2*база!$M$5*Таблица14[[#This Row],[коэф]]),
IF(AND(G484="5/16",AM484&gt;2),(AM484*2*база!$L$6*Таблица14[[#This Row],[коэф]]),
IF(OR(AND(G484="4/16",AM484&gt;2),AND(G484="3/16",AM484&gt;2)),(AM484*2*база!$L$5*Таблица14[[#This Row],[коэф]]),
IF(OR(AND(G484="4/4",AM484&gt;2),AND(G484="3/4",AM484&gt;2)),(AM484*2*база!$I$5*Таблица14[[#This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(AM484*2*база!$L$5*Таблица14[[#This Row],[коэф]])))))))))))</f>
        <v>0</v>
      </c>
      <c r="AO484" s="723">
        <f>IFERROR(INDEX(база!$D$2:$D$120, MATCH(Таблица14[[#This Row],[Ф. И. О.]],база!$B$2:$B$100,0)),"")</f>
        <v>0</v>
      </c>
    </row>
    <row r="485" spans="1:41">
      <c r="A485" s="716"/>
      <c r="B485" s="717"/>
      <c r="D485" s="718"/>
      <c r="E485" s="719"/>
      <c r="F485" s="724"/>
      <c r="G485" s="720"/>
      <c r="H485" s="721"/>
      <c r="I485" s="721"/>
      <c r="J485" s="721"/>
      <c r="K485" s="721"/>
      <c r="L485" s="721"/>
      <c r="M485" s="721"/>
      <c r="N485" s="721"/>
      <c r="O485" s="721"/>
      <c r="P485" s="721"/>
      <c r="Q485" s="721"/>
      <c r="R485" s="721"/>
      <c r="S485" s="721"/>
      <c r="T485" s="721"/>
      <c r="U485" s="721"/>
      <c r="V485" s="721"/>
      <c r="W485" s="721"/>
      <c r="X485" s="721"/>
      <c r="Y485" s="721"/>
      <c r="Z485" s="721"/>
      <c r="AA485" s="721"/>
      <c r="AB485" s="721"/>
      <c r="AC485" s="721"/>
      <c r="AD485" s="721"/>
      <c r="AE485" s="721"/>
      <c r="AF485" s="721"/>
      <c r="AG485" s="721"/>
      <c r="AH485" s="721"/>
      <c r="AI485" s="721"/>
      <c r="AJ485" s="721"/>
      <c r="AK485" s="721"/>
      <c r="AL485" s="721"/>
      <c r="AM485" s="722">
        <f t="shared" si="8"/>
        <v>0</v>
      </c>
      <c r="AN485" s="712">
        <f>IF(AO485&lt;=3,(IF(AND(G485="5/24",AM485&gt;2),(AM485*2*база!$M$6*Таблица14[[#This Row],[коэф]]),
IF(AND(G485="4/24",AM485&gt;2),(AM485*2*база!$M$5*Таблица14[[#This Row],[коэф]]),
IF(AND(G485="3/24",AM485&gt;2),(AM485*2*база!$M$4*Таблица14[[#This Row],[коэф]]),
IF(AND(G485="5/16",AM485&gt;2),(AM485*2*база!$L$6*Таблица14[[#This Row],[коэф]]),
IF(AND(G485="4/16",AM485&gt;2),(AM485*2*база!$L$5*Таблица14[[#This Row],[коэф]]),
IF(AND(G485="3/16",AM485&gt;2),(AM485*2*база!$L$4*Таблица14[[#This Row],[коэф]]),
IF(AND(G485="4/4",AM485&gt;2),(AM485*2*база!$I$5*Таблица14[[#This Row],[коэф]]),
IF(AND(G485="3/4",AM485&gt;2),(AM485*2*база!$I$4*Таблица14[[#This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(AM485*2*база!$L$4*Таблица14[[#This Row],[коэф]]))))))))))))),
(IF(AND(G485="5/24",AM485&gt;2),(AM485*2*база!$M$6*Таблица14[[#This Row],[коэф]]),
IF(OR(AND(G485="4/24",AM485&gt;2),AND(G485="3/24",AM485&gt;2)),(AM485*2*база!$M$5*Таблица14[[#This Row],[коэф]]),
IF(AND(G485="5/16",AM485&gt;2),(AM485*2*база!$L$6*Таблица14[[#This Row],[коэф]]),
IF(OR(AND(G485="4/16",AM485&gt;2),AND(G485="3/16",AM485&gt;2)),(AM485*2*база!$L$5*Таблица14[[#This Row],[коэф]]),
IF(OR(AND(G485="4/4",AM485&gt;2),AND(G485="3/4",AM485&gt;2)),(AM485*2*база!$I$5*Таблица14[[#This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(AM485*2*база!$L$5*Таблица14[[#This Row],[коэф]])))))))))))</f>
        <v>0</v>
      </c>
      <c r="AO485" s="723">
        <f>IFERROR(INDEX(база!$D$2:$D$120, MATCH(Таблица14[[#This Row],[Ф. И. О.]],база!$B$2:$B$100,0)),"")</f>
        <v>0</v>
      </c>
    </row>
    <row r="486" spans="1:41">
      <c r="A486" s="716"/>
      <c r="B486" s="717"/>
      <c r="D486" s="718"/>
      <c r="E486" s="719"/>
      <c r="F486" s="724"/>
      <c r="G486" s="720"/>
      <c r="H486" s="721"/>
      <c r="I486" s="721"/>
      <c r="J486" s="721"/>
      <c r="K486" s="721"/>
      <c r="L486" s="721"/>
      <c r="M486" s="721"/>
      <c r="N486" s="721"/>
      <c r="O486" s="721"/>
      <c r="P486" s="721"/>
      <c r="Q486" s="721"/>
      <c r="R486" s="721"/>
      <c r="S486" s="721"/>
      <c r="T486" s="721"/>
      <c r="U486" s="721"/>
      <c r="V486" s="721"/>
      <c r="W486" s="721"/>
      <c r="X486" s="721"/>
      <c r="Y486" s="721"/>
      <c r="Z486" s="721"/>
      <c r="AA486" s="721"/>
      <c r="AB486" s="721"/>
      <c r="AC486" s="721"/>
      <c r="AD486" s="721"/>
      <c r="AE486" s="721"/>
      <c r="AF486" s="721"/>
      <c r="AG486" s="721"/>
      <c r="AH486" s="721"/>
      <c r="AI486" s="721"/>
      <c r="AJ486" s="721"/>
      <c r="AK486" s="721"/>
      <c r="AL486" s="721"/>
      <c r="AM486" s="722">
        <f t="shared" si="8"/>
        <v>0</v>
      </c>
      <c r="AN486" s="712">
        <f>IF(AO486&lt;=3,(IF(AND(G486="5/24",AM486&gt;2),(AM486*2*база!$M$6*Таблица14[[#This Row],[коэф]]),
IF(AND(G486="4/24",AM486&gt;2),(AM486*2*база!$M$5*Таблица14[[#This Row],[коэф]]),
IF(AND(G486="3/24",AM486&gt;2),(AM486*2*база!$M$4*Таблица14[[#This Row],[коэф]]),
IF(AND(G486="5/16",AM486&gt;2),(AM486*2*база!$L$6*Таблица14[[#This Row],[коэф]]),
IF(AND(G486="4/16",AM486&gt;2),(AM486*2*база!$L$5*Таблица14[[#This Row],[коэф]]),
IF(AND(G486="3/16",AM486&gt;2),(AM486*2*база!$L$4*Таблица14[[#This Row],[коэф]]),
IF(AND(G486="4/4",AM486&gt;2),(AM486*2*база!$I$5*Таблица14[[#This Row],[коэф]]),
IF(AND(G486="3/4",AM486&gt;2),(AM486*2*база!$I$4*Таблица14[[#This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(AM486*2*база!$L$4*Таблица14[[#This Row],[коэф]]))))))))))))),
(IF(AND(G486="5/24",AM486&gt;2),(AM486*2*база!$M$6*Таблица14[[#This Row],[коэф]]),
IF(OR(AND(G486="4/24",AM486&gt;2),AND(G486="3/24",AM486&gt;2)),(AM486*2*база!$M$5*Таблица14[[#This Row],[коэф]]),
IF(AND(G486="5/16",AM486&gt;2),(AM486*2*база!$L$6*Таблица14[[#This Row],[коэф]]),
IF(OR(AND(G486="4/16",AM486&gt;2),AND(G486="3/16",AM486&gt;2)),(AM486*2*база!$L$5*Таблица14[[#This Row],[коэф]]),
IF(OR(AND(G486="4/4",AM486&gt;2),AND(G486="3/4",AM486&gt;2)),(AM486*2*база!$I$5*Таблица14[[#This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(AM486*2*база!$L$5*Таблица14[[#This Row],[коэф]])))))))))))</f>
        <v>0</v>
      </c>
      <c r="AO486" s="723">
        <f>IFERROR(INDEX(база!$D$2:$D$120, MATCH(Таблица14[[#This Row],[Ф. И. О.]],база!$B$2:$B$100,0)),"")</f>
        <v>0</v>
      </c>
    </row>
    <row r="487" spans="1:41">
      <c r="A487" s="716"/>
      <c r="B487" s="717"/>
      <c r="D487" s="718"/>
      <c r="E487" s="719"/>
      <c r="F487" s="724"/>
      <c r="G487" s="720"/>
      <c r="H487" s="721"/>
      <c r="I487" s="721"/>
      <c r="J487" s="721"/>
      <c r="K487" s="721"/>
      <c r="L487" s="721"/>
      <c r="M487" s="721"/>
      <c r="N487" s="721"/>
      <c r="O487" s="721"/>
      <c r="P487" s="721"/>
      <c r="Q487" s="721"/>
      <c r="R487" s="721"/>
      <c r="S487" s="721"/>
      <c r="T487" s="721"/>
      <c r="U487" s="721"/>
      <c r="V487" s="721"/>
      <c r="W487" s="721"/>
      <c r="X487" s="721"/>
      <c r="Y487" s="721"/>
      <c r="Z487" s="721"/>
      <c r="AA487" s="721"/>
      <c r="AB487" s="721"/>
      <c r="AC487" s="721"/>
      <c r="AD487" s="721"/>
      <c r="AE487" s="721"/>
      <c r="AF487" s="721"/>
      <c r="AG487" s="721"/>
      <c r="AH487" s="721"/>
      <c r="AI487" s="721"/>
      <c r="AJ487" s="721"/>
      <c r="AK487" s="721"/>
      <c r="AL487" s="721"/>
      <c r="AM487" s="722">
        <f t="shared" si="8"/>
        <v>0</v>
      </c>
      <c r="AN487" s="712">
        <f>IF(AO487&lt;=3,(IF(AND(G487="5/24",AM487&gt;2),(AM487*2*база!$M$6*Таблица14[[#This Row],[коэф]]),
IF(AND(G487="4/24",AM487&gt;2),(AM487*2*база!$M$5*Таблица14[[#This Row],[коэф]]),
IF(AND(G487="3/24",AM487&gt;2),(AM487*2*база!$M$4*Таблица14[[#This Row],[коэф]]),
IF(AND(G487="5/16",AM487&gt;2),(AM487*2*база!$L$6*Таблица14[[#This Row],[коэф]]),
IF(AND(G487="4/16",AM487&gt;2),(AM487*2*база!$L$5*Таблица14[[#This Row],[коэф]]),
IF(AND(G487="3/16",AM487&gt;2),(AM487*2*база!$L$4*Таблица14[[#This Row],[коэф]]),
IF(AND(G487="4/4",AM487&gt;2),(AM487*2*база!$I$5*Таблица14[[#This Row],[коэф]]),
IF(AND(G487="3/4",AM487&gt;2),(AM487*2*база!$I$4*Таблица14[[#This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(AM487*2*база!$L$4*Таблица14[[#This Row],[коэф]]))))))))))))),
(IF(AND(G487="5/24",AM487&gt;2),(AM487*2*база!$M$6*Таблица14[[#This Row],[коэф]]),
IF(OR(AND(G487="4/24",AM487&gt;2),AND(G487="3/24",AM487&gt;2)),(AM487*2*база!$M$5*Таблица14[[#This Row],[коэф]]),
IF(AND(G487="5/16",AM487&gt;2),(AM487*2*база!$L$6*Таблица14[[#This Row],[коэф]]),
IF(OR(AND(G487="4/16",AM487&gt;2),AND(G487="3/16",AM487&gt;2)),(AM487*2*база!$L$5*Таблица14[[#This Row],[коэф]]),
IF(OR(AND(G487="4/4",AM487&gt;2),AND(G487="3/4",AM487&gt;2)),(AM487*2*база!$I$5*Таблица14[[#This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(AM487*2*база!$L$5*Таблица14[[#This Row],[коэф]])))))))))))</f>
        <v>0</v>
      </c>
      <c r="AO487" s="723">
        <f>IFERROR(INDEX(база!$D$2:$D$120, MATCH(Таблица14[[#This Row],[Ф. И. О.]],база!$B$2:$B$100,0)),"")</f>
        <v>0</v>
      </c>
    </row>
    <row r="488" spans="1:41">
      <c r="A488" s="716"/>
      <c r="B488" s="717"/>
      <c r="D488" s="718"/>
      <c r="E488" s="719"/>
      <c r="F488" s="724"/>
      <c r="G488" s="720"/>
      <c r="H488" s="721"/>
      <c r="I488" s="721"/>
      <c r="J488" s="721"/>
      <c r="K488" s="721"/>
      <c r="L488" s="721"/>
      <c r="M488" s="721"/>
      <c r="N488" s="721"/>
      <c r="O488" s="721"/>
      <c r="P488" s="721"/>
      <c r="Q488" s="721"/>
      <c r="R488" s="721"/>
      <c r="S488" s="721"/>
      <c r="T488" s="721"/>
      <c r="U488" s="721"/>
      <c r="V488" s="721"/>
      <c r="W488" s="721"/>
      <c r="X488" s="721"/>
      <c r="Y488" s="721"/>
      <c r="Z488" s="721"/>
      <c r="AA488" s="721"/>
      <c r="AB488" s="721"/>
      <c r="AC488" s="721"/>
      <c r="AD488" s="721"/>
      <c r="AE488" s="721"/>
      <c r="AF488" s="721"/>
      <c r="AG488" s="721"/>
      <c r="AH488" s="721"/>
      <c r="AI488" s="721"/>
      <c r="AJ488" s="721"/>
      <c r="AK488" s="721"/>
      <c r="AL488" s="721"/>
      <c r="AM488" s="722">
        <f t="shared" si="8"/>
        <v>0</v>
      </c>
      <c r="AN488" s="712">
        <f>IF(AO488&lt;=3,(IF(AND(G488="5/24",AM488&gt;2),(AM488*2*база!$M$6*Таблица14[[#This Row],[коэф]]),
IF(AND(G488="4/24",AM488&gt;2),(AM488*2*база!$M$5*Таблица14[[#This Row],[коэф]]),
IF(AND(G488="3/24",AM488&gt;2),(AM488*2*база!$M$4*Таблица14[[#This Row],[коэф]]),
IF(AND(G488="5/16",AM488&gt;2),(AM488*2*база!$L$6*Таблица14[[#This Row],[коэф]]),
IF(AND(G488="4/16",AM488&gt;2),(AM488*2*база!$L$5*Таблица14[[#This Row],[коэф]]),
IF(AND(G488="3/16",AM488&gt;2),(AM488*2*база!$L$4*Таблица14[[#This Row],[коэф]]),
IF(AND(G488="4/4",AM488&gt;2),(AM488*2*база!$I$5*Таблица14[[#This Row],[коэф]]),
IF(AND(G488="3/4",AM488&gt;2),(AM488*2*база!$I$4*Таблица14[[#This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(AM488*2*база!$L$4*Таблица14[[#This Row],[коэф]]))))))))))))),
(IF(AND(G488="5/24",AM488&gt;2),(AM488*2*база!$M$6*Таблица14[[#This Row],[коэф]]),
IF(OR(AND(G488="4/24",AM488&gt;2),AND(G488="3/24",AM488&gt;2)),(AM488*2*база!$M$5*Таблица14[[#This Row],[коэф]]),
IF(AND(G488="5/16",AM488&gt;2),(AM488*2*база!$L$6*Таблица14[[#This Row],[коэф]]),
IF(OR(AND(G488="4/16",AM488&gt;2),AND(G488="3/16",AM488&gt;2)),(AM488*2*база!$L$5*Таблица14[[#This Row],[коэф]]),
IF(OR(AND(G488="4/4",AM488&gt;2),AND(G488="3/4",AM488&gt;2)),(AM488*2*база!$I$5*Таблица14[[#This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(AM488*2*база!$L$5*Таблица14[[#This Row],[коэф]])))))))))))</f>
        <v>0</v>
      </c>
      <c r="AO488" s="723">
        <f>IFERROR(INDEX(база!$D$2:$D$120, MATCH(Таблица14[[#This Row],[Ф. И. О.]],база!$B$2:$B$100,0)),"")</f>
        <v>0</v>
      </c>
    </row>
    <row r="489" spans="1:41">
      <c r="A489" s="716"/>
      <c r="B489" s="717"/>
      <c r="D489" s="718"/>
      <c r="E489" s="719"/>
      <c r="F489" s="724"/>
      <c r="G489" s="720"/>
      <c r="H489" s="721"/>
      <c r="I489" s="721"/>
      <c r="J489" s="721"/>
      <c r="K489" s="721"/>
      <c r="L489" s="721"/>
      <c r="M489" s="721"/>
      <c r="N489" s="721"/>
      <c r="O489" s="721"/>
      <c r="P489" s="721"/>
      <c r="Q489" s="721"/>
      <c r="R489" s="721"/>
      <c r="S489" s="721"/>
      <c r="T489" s="721"/>
      <c r="U489" s="721"/>
      <c r="V489" s="721"/>
      <c r="W489" s="721"/>
      <c r="X489" s="721"/>
      <c r="Y489" s="721"/>
      <c r="Z489" s="721"/>
      <c r="AA489" s="721"/>
      <c r="AB489" s="721"/>
      <c r="AC489" s="721"/>
      <c r="AD489" s="721"/>
      <c r="AE489" s="721"/>
      <c r="AF489" s="721"/>
      <c r="AG489" s="721"/>
      <c r="AH489" s="721"/>
      <c r="AI489" s="721"/>
      <c r="AJ489" s="721"/>
      <c r="AK489" s="721"/>
      <c r="AL489" s="721"/>
      <c r="AM489" s="722">
        <f t="shared" si="8"/>
        <v>0</v>
      </c>
      <c r="AN489" s="712">
        <f>IF(AO489&lt;=3,(IF(AND(G489="5/24",AM489&gt;2),(AM489*2*база!$M$6*Таблица14[[#This Row],[коэф]]),
IF(AND(G489="4/24",AM489&gt;2),(AM489*2*база!$M$5*Таблица14[[#This Row],[коэф]]),
IF(AND(G489="3/24",AM489&gt;2),(AM489*2*база!$M$4*Таблица14[[#This Row],[коэф]]),
IF(AND(G489="5/16",AM489&gt;2),(AM489*2*база!$L$6*Таблица14[[#This Row],[коэф]]),
IF(AND(G489="4/16",AM489&gt;2),(AM489*2*база!$L$5*Таблица14[[#This Row],[коэф]]),
IF(AND(G489="3/16",AM489&gt;2),(AM489*2*база!$L$4*Таблица14[[#This Row],[коэф]]),
IF(AND(G489="4/4",AM489&gt;2),(AM489*2*база!$I$5*Таблица14[[#This Row],[коэф]]),
IF(AND(G489="3/4",AM489&gt;2),(AM489*2*база!$I$4*Таблица14[[#This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(AM489*2*база!$L$4*Таблица14[[#This Row],[коэф]]))))))))))))),
(IF(AND(G489="5/24",AM489&gt;2),(AM489*2*база!$M$6*Таблица14[[#This Row],[коэф]]),
IF(OR(AND(G489="4/24",AM489&gt;2),AND(G489="3/24",AM489&gt;2)),(AM489*2*база!$M$5*Таблица14[[#This Row],[коэф]]),
IF(AND(G489="5/16",AM489&gt;2),(AM489*2*база!$L$6*Таблица14[[#This Row],[коэф]]),
IF(OR(AND(G489="4/16",AM489&gt;2),AND(G489="3/16",AM489&gt;2)),(AM489*2*база!$L$5*Таблица14[[#This Row],[коэф]]),
IF(OR(AND(G489="4/4",AM489&gt;2),AND(G489="3/4",AM489&gt;2)),(AM489*2*база!$I$5*Таблица14[[#This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(AM489*2*база!$L$5*Таблица14[[#This Row],[коэф]])))))))))))</f>
        <v>0</v>
      </c>
      <c r="AO489" s="723">
        <f>IFERROR(INDEX(база!$D$2:$D$120, MATCH(Таблица14[[#This Row],[Ф. И. О.]],база!$B$2:$B$100,0)),"")</f>
        <v>0</v>
      </c>
    </row>
    <row r="490" spans="1:41">
      <c r="A490" s="716"/>
      <c r="B490" s="717"/>
      <c r="D490" s="718"/>
      <c r="E490" s="719"/>
      <c r="F490" s="724"/>
      <c r="G490" s="720"/>
      <c r="H490" s="721"/>
      <c r="I490" s="721"/>
      <c r="J490" s="721"/>
      <c r="K490" s="721"/>
      <c r="L490" s="721"/>
      <c r="M490" s="721"/>
      <c r="N490" s="721"/>
      <c r="O490" s="721"/>
      <c r="P490" s="721"/>
      <c r="Q490" s="721"/>
      <c r="R490" s="721"/>
      <c r="S490" s="721"/>
      <c r="T490" s="721"/>
      <c r="U490" s="721"/>
      <c r="V490" s="721"/>
      <c r="W490" s="721"/>
      <c r="X490" s="721"/>
      <c r="Y490" s="721"/>
      <c r="Z490" s="721"/>
      <c r="AA490" s="721"/>
      <c r="AB490" s="721"/>
      <c r="AC490" s="721"/>
      <c r="AD490" s="721"/>
      <c r="AE490" s="721"/>
      <c r="AF490" s="721"/>
      <c r="AG490" s="721"/>
      <c r="AH490" s="721"/>
      <c r="AI490" s="721"/>
      <c r="AJ490" s="721"/>
      <c r="AK490" s="721"/>
      <c r="AL490" s="721"/>
      <c r="AM490" s="722">
        <f t="shared" si="8"/>
        <v>0</v>
      </c>
      <c r="AN490" s="712">
        <f>IF(AO490&lt;=3,(IF(AND(G490="5/24",AM490&gt;2),(AM490*2*база!$M$6*Таблица14[[#This Row],[коэф]]),
IF(AND(G490="4/24",AM490&gt;2),(AM490*2*база!$M$5*Таблица14[[#This Row],[коэф]]),
IF(AND(G490="3/24",AM490&gt;2),(AM490*2*база!$M$4*Таблица14[[#This Row],[коэф]]),
IF(AND(G490="5/16",AM490&gt;2),(AM490*2*база!$L$6*Таблица14[[#This Row],[коэф]]),
IF(AND(G490="4/16",AM490&gt;2),(AM490*2*база!$L$5*Таблица14[[#This Row],[коэф]]),
IF(AND(G490="3/16",AM490&gt;2),(AM490*2*база!$L$4*Таблица14[[#This Row],[коэф]]),
IF(AND(G490="4/4",AM490&gt;2),(AM490*2*база!$I$5*Таблица14[[#This Row],[коэф]]),
IF(AND(G490="3/4",AM490&gt;2),(AM490*2*база!$I$4*Таблица14[[#This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(AM490*2*база!$L$4*Таблица14[[#This Row],[коэф]]))))))))))))),
(IF(AND(G490="5/24",AM490&gt;2),(AM490*2*база!$M$6*Таблица14[[#This Row],[коэф]]),
IF(OR(AND(G490="4/24",AM490&gt;2),AND(G490="3/24",AM490&gt;2)),(AM490*2*база!$M$5*Таблица14[[#This Row],[коэф]]),
IF(AND(G490="5/16",AM490&gt;2),(AM490*2*база!$L$6*Таблица14[[#This Row],[коэф]]),
IF(OR(AND(G490="4/16",AM490&gt;2),AND(G490="3/16",AM490&gt;2)),(AM490*2*база!$L$5*Таблица14[[#This Row],[коэф]]),
IF(OR(AND(G490="4/4",AM490&gt;2),AND(G490="3/4",AM490&gt;2)),(AM490*2*база!$I$5*Таблица14[[#This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(AM490*2*база!$L$5*Таблица14[[#This Row],[коэф]])))))))))))</f>
        <v>0</v>
      </c>
      <c r="AO490" s="723">
        <f>IFERROR(INDEX(база!$D$2:$D$120, MATCH(Таблица14[[#This Row],[Ф. И. О.]],база!$B$2:$B$100,0)),"")</f>
        <v>0</v>
      </c>
    </row>
    <row r="491" spans="1:41">
      <c r="A491" s="716"/>
      <c r="B491" s="717"/>
      <c r="D491" s="718"/>
      <c r="E491" s="719"/>
      <c r="F491" s="724"/>
      <c r="G491" s="720"/>
      <c r="H491" s="721"/>
      <c r="I491" s="721"/>
      <c r="J491" s="721"/>
      <c r="K491" s="721"/>
      <c r="L491" s="721"/>
      <c r="M491" s="721"/>
      <c r="N491" s="721"/>
      <c r="O491" s="721"/>
      <c r="P491" s="721"/>
      <c r="Q491" s="721"/>
      <c r="R491" s="721"/>
      <c r="S491" s="721"/>
      <c r="T491" s="721"/>
      <c r="U491" s="721"/>
      <c r="V491" s="721"/>
      <c r="W491" s="721"/>
      <c r="X491" s="721"/>
      <c r="Y491" s="721"/>
      <c r="Z491" s="721"/>
      <c r="AA491" s="721"/>
      <c r="AB491" s="721"/>
      <c r="AC491" s="721"/>
      <c r="AD491" s="721"/>
      <c r="AE491" s="721"/>
      <c r="AF491" s="721"/>
      <c r="AG491" s="721"/>
      <c r="AH491" s="721"/>
      <c r="AI491" s="721"/>
      <c r="AJ491" s="721"/>
      <c r="AK491" s="721"/>
      <c r="AL491" s="721"/>
      <c r="AM491" s="722">
        <f t="shared" si="8"/>
        <v>0</v>
      </c>
      <c r="AN491" s="712">
        <f>IF(AO491&lt;=3,(IF(AND(G491="5/24",AM491&gt;2),(AM491*2*база!$M$6*Таблица14[[#This Row],[коэф]]),
IF(AND(G491="4/24",AM491&gt;2),(AM491*2*база!$M$5*Таблица14[[#This Row],[коэф]]),
IF(AND(G491="3/24",AM491&gt;2),(AM491*2*база!$M$4*Таблица14[[#This Row],[коэф]]),
IF(AND(G491="5/16",AM491&gt;2),(AM491*2*база!$L$6*Таблица14[[#This Row],[коэф]]),
IF(AND(G491="4/16",AM491&gt;2),(AM491*2*база!$L$5*Таблица14[[#This Row],[коэф]]),
IF(AND(G491="3/16",AM491&gt;2),(AM491*2*база!$L$4*Таблица14[[#This Row],[коэф]]),
IF(AND(G491="4/4",AM491&gt;2),(AM491*2*база!$I$5*Таблица14[[#This Row],[коэф]]),
IF(AND(G491="3/4",AM491&gt;2),(AM491*2*база!$I$4*Таблица14[[#This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(AM491*2*база!$L$4*Таблица14[[#This Row],[коэф]]))))))))))))),
(IF(AND(G491="5/24",AM491&gt;2),(AM491*2*база!$M$6*Таблица14[[#This Row],[коэф]]),
IF(OR(AND(G491="4/24",AM491&gt;2),AND(G491="3/24",AM491&gt;2)),(AM491*2*база!$M$5*Таблица14[[#This Row],[коэф]]),
IF(AND(G491="5/16",AM491&gt;2),(AM491*2*база!$L$6*Таблица14[[#This Row],[коэф]]),
IF(OR(AND(G491="4/16",AM491&gt;2),AND(G491="3/16",AM491&gt;2)),(AM491*2*база!$L$5*Таблица14[[#This Row],[коэф]]),
IF(OR(AND(G491="4/4",AM491&gt;2),AND(G491="3/4",AM491&gt;2)),(AM491*2*база!$I$5*Таблица14[[#This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(AM491*2*база!$L$5*Таблица14[[#This Row],[коэф]])))))))))))</f>
        <v>0</v>
      </c>
      <c r="AO491" s="723">
        <f>IFERROR(INDEX(база!$D$2:$D$120, MATCH(Таблица14[[#This Row],[Ф. И. О.]],база!$B$2:$B$100,0)),"")</f>
        <v>0</v>
      </c>
    </row>
    <row r="492" spans="1:41">
      <c r="A492" s="716"/>
      <c r="B492" s="717"/>
      <c r="D492" s="718"/>
      <c r="E492" s="719"/>
      <c r="F492" s="724"/>
      <c r="G492" s="720"/>
      <c r="H492" s="721"/>
      <c r="I492" s="721"/>
      <c r="J492" s="721"/>
      <c r="K492" s="721"/>
      <c r="L492" s="721"/>
      <c r="M492" s="721"/>
      <c r="N492" s="721"/>
      <c r="O492" s="721"/>
      <c r="P492" s="721"/>
      <c r="Q492" s="721"/>
      <c r="R492" s="721"/>
      <c r="S492" s="721"/>
      <c r="T492" s="721"/>
      <c r="U492" s="721"/>
      <c r="V492" s="721"/>
      <c r="W492" s="721"/>
      <c r="X492" s="721"/>
      <c r="Y492" s="721"/>
      <c r="Z492" s="721"/>
      <c r="AA492" s="721"/>
      <c r="AB492" s="721"/>
      <c r="AC492" s="721"/>
      <c r="AD492" s="721"/>
      <c r="AE492" s="721"/>
      <c r="AF492" s="721"/>
      <c r="AG492" s="721"/>
      <c r="AH492" s="721"/>
      <c r="AI492" s="721"/>
      <c r="AJ492" s="721"/>
      <c r="AK492" s="721"/>
      <c r="AL492" s="721"/>
      <c r="AM492" s="722">
        <f t="shared" si="8"/>
        <v>0</v>
      </c>
      <c r="AN492" s="712">
        <f>IF(AO492&lt;=3,(IF(AND(G492="5/24",AM492&gt;2),(AM492*2*база!$M$6*Таблица14[[#This Row],[коэф]]),
IF(AND(G492="4/24",AM492&gt;2),(AM492*2*база!$M$5*Таблица14[[#This Row],[коэф]]),
IF(AND(G492="3/24",AM492&gt;2),(AM492*2*база!$M$4*Таблица14[[#This Row],[коэф]]),
IF(AND(G492="5/16",AM492&gt;2),(AM492*2*база!$L$6*Таблица14[[#This Row],[коэф]]),
IF(AND(G492="4/16",AM492&gt;2),(AM492*2*база!$L$5*Таблица14[[#This Row],[коэф]]),
IF(AND(G492="3/16",AM492&gt;2),(AM492*2*база!$L$4*Таблица14[[#This Row],[коэф]]),
IF(AND(G492="4/4",AM492&gt;2),(AM492*2*база!$I$5*Таблица14[[#This Row],[коэф]]),
IF(AND(G492="3/4",AM492&gt;2),(AM492*2*база!$I$4*Таблица14[[#This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(AM492*2*база!$L$4*Таблица14[[#This Row],[коэф]]))))))))))))),
(IF(AND(G492="5/24",AM492&gt;2),(AM492*2*база!$M$6*Таблица14[[#This Row],[коэф]]),
IF(OR(AND(G492="4/24",AM492&gt;2),AND(G492="3/24",AM492&gt;2)),(AM492*2*база!$M$5*Таблица14[[#This Row],[коэф]]),
IF(AND(G492="5/16",AM492&gt;2),(AM492*2*база!$L$6*Таблица14[[#This Row],[коэф]]),
IF(OR(AND(G492="4/16",AM492&gt;2),AND(G492="3/16",AM492&gt;2)),(AM492*2*база!$L$5*Таблица14[[#This Row],[коэф]]),
IF(OR(AND(G492="4/4",AM492&gt;2),AND(G492="3/4",AM492&gt;2)),(AM492*2*база!$I$5*Таблица14[[#This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(AM492*2*база!$L$5*Таблица14[[#This Row],[коэф]])))))))))))</f>
        <v>0</v>
      </c>
      <c r="AO492" s="723">
        <f>IFERROR(INDEX(база!$D$2:$D$120, MATCH(Таблица14[[#This Row],[Ф. И. О.]],база!$B$2:$B$100,0)),"")</f>
        <v>0</v>
      </c>
    </row>
    <row r="493" spans="1:41">
      <c r="A493" s="716"/>
      <c r="B493" s="717"/>
      <c r="D493" s="718"/>
      <c r="E493" s="719"/>
      <c r="F493" s="724"/>
      <c r="G493" s="720"/>
      <c r="H493" s="721"/>
      <c r="I493" s="721"/>
      <c r="J493" s="721"/>
      <c r="K493" s="721"/>
      <c r="L493" s="721"/>
      <c r="M493" s="721"/>
      <c r="N493" s="721"/>
      <c r="O493" s="721"/>
      <c r="P493" s="721"/>
      <c r="Q493" s="721"/>
      <c r="R493" s="721"/>
      <c r="S493" s="721"/>
      <c r="T493" s="721"/>
      <c r="U493" s="721"/>
      <c r="V493" s="721"/>
      <c r="W493" s="721"/>
      <c r="X493" s="721"/>
      <c r="Y493" s="721"/>
      <c r="Z493" s="721"/>
      <c r="AA493" s="721"/>
      <c r="AB493" s="721"/>
      <c r="AC493" s="721"/>
      <c r="AD493" s="721"/>
      <c r="AE493" s="721"/>
      <c r="AF493" s="721"/>
      <c r="AG493" s="721"/>
      <c r="AH493" s="721"/>
      <c r="AI493" s="721"/>
      <c r="AJ493" s="721"/>
      <c r="AK493" s="721"/>
      <c r="AL493" s="721"/>
      <c r="AM493" s="722">
        <f t="shared" si="8"/>
        <v>0</v>
      </c>
      <c r="AN493" s="712">
        <f>IF(AO493&lt;=3,(IF(AND(G493="5/24",AM493&gt;2),(AM493*2*база!$M$6*Таблица14[[#This Row],[коэф]]),
IF(AND(G493="4/24",AM493&gt;2),(AM493*2*база!$M$5*Таблица14[[#This Row],[коэф]]),
IF(AND(G493="3/24",AM493&gt;2),(AM493*2*база!$M$4*Таблица14[[#This Row],[коэф]]),
IF(AND(G493="5/16",AM493&gt;2),(AM493*2*база!$L$6*Таблица14[[#This Row],[коэф]]),
IF(AND(G493="4/16",AM493&gt;2),(AM493*2*база!$L$5*Таблица14[[#This Row],[коэф]]),
IF(AND(G493="3/16",AM493&gt;2),(AM493*2*база!$L$4*Таблица14[[#This Row],[коэф]]),
IF(AND(G493="4/4",AM493&gt;2),(AM493*2*база!$I$5*Таблица14[[#This Row],[коэф]]),
IF(AND(G493="3/4",AM493&gt;2),(AM493*2*база!$I$4*Таблица14[[#This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(AM493*2*база!$L$4*Таблица14[[#This Row],[коэф]]))))))))))))),
(IF(AND(G493="5/24",AM493&gt;2),(AM493*2*база!$M$6*Таблица14[[#This Row],[коэф]]),
IF(OR(AND(G493="4/24",AM493&gt;2),AND(G493="3/24",AM493&gt;2)),(AM493*2*база!$M$5*Таблица14[[#This Row],[коэф]]),
IF(AND(G493="5/16",AM493&gt;2),(AM493*2*база!$L$6*Таблица14[[#This Row],[коэф]]),
IF(OR(AND(G493="4/16",AM493&gt;2),AND(G493="3/16",AM493&gt;2)),(AM493*2*база!$L$5*Таблица14[[#This Row],[коэф]]),
IF(OR(AND(G493="4/4",AM493&gt;2),AND(G493="3/4",AM493&gt;2)),(AM493*2*база!$I$5*Таблица14[[#This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(AM493*2*база!$L$5*Таблица14[[#This Row],[коэф]])))))))))))</f>
        <v>0</v>
      </c>
      <c r="AO493" s="723">
        <f>IFERROR(INDEX(база!$D$2:$D$120, MATCH(Таблица14[[#This Row],[Ф. И. О.]],база!$B$2:$B$100,0)),"")</f>
        <v>0</v>
      </c>
    </row>
    <row r="494" spans="1:41" ht="15">
      <c r="A494" s="704" t="s">
        <v>247</v>
      </c>
      <c r="B494" s="705"/>
      <c r="C494" s="706"/>
      <c r="D494" s="707"/>
      <c r="E494" s="708"/>
      <c r="F494" s="709"/>
      <c r="G494" s="710">
        <f>SUBTOTAL(109,Таблица14[р/р])</f>
        <v>0</v>
      </c>
      <c r="H494" s="710">
        <f>SUBTOTAL(109,Таблица14[1])</f>
        <v>0</v>
      </c>
      <c r="I494" s="710">
        <f>SUBTOTAL(109,Таблица14[2])</f>
        <v>0</v>
      </c>
      <c r="J494" s="710">
        <f>SUBTOTAL(109,Таблица14[3])</f>
        <v>0</v>
      </c>
      <c r="K494" s="710">
        <f>SUBTOTAL(109,Таблица14[4])</f>
        <v>0</v>
      </c>
      <c r="L494" s="710">
        <f>SUBTOTAL(109,Таблица14[5])</f>
        <v>0</v>
      </c>
      <c r="M494" s="710">
        <f>SUBTOTAL(109,Таблица14[6])</f>
        <v>0</v>
      </c>
      <c r="N494" s="710">
        <f>SUBTOTAL(109,Таблица14[7])</f>
        <v>0</v>
      </c>
      <c r="O494" s="710">
        <f>SUBTOTAL(109,Таблица14[8])</f>
        <v>0</v>
      </c>
      <c r="P494" s="710">
        <f>SUBTOTAL(109,Таблица14[9])</f>
        <v>0</v>
      </c>
      <c r="Q494" s="710">
        <f>SUBTOTAL(109,Таблица14[10])</f>
        <v>0</v>
      </c>
      <c r="R494" s="710">
        <f>SUBTOTAL(109,Таблица14[11])</f>
        <v>0</v>
      </c>
      <c r="S494" s="710">
        <f>SUBTOTAL(109,Таблица14[12])</f>
        <v>0</v>
      </c>
      <c r="T494" s="710">
        <f>SUBTOTAL(109,Таблица14[13])</f>
        <v>0</v>
      </c>
      <c r="U494" s="710">
        <f>SUBTOTAL(109,Таблица14[14])</f>
        <v>0</v>
      </c>
      <c r="V494" s="710">
        <f>SUBTOTAL(109,Таблица14[15])</f>
        <v>0</v>
      </c>
      <c r="W494" s="710">
        <f>SUBTOTAL(109,Таблица14[16])</f>
        <v>0</v>
      </c>
      <c r="X494" s="710">
        <f>SUBTOTAL(109,Таблица14[17])</f>
        <v>0</v>
      </c>
      <c r="Y494" s="710">
        <f>SUBTOTAL(109,Таблица14[18])</f>
        <v>0</v>
      </c>
      <c r="Z494" s="710">
        <f>SUBTOTAL(109,Таблица14[19])</f>
        <v>0</v>
      </c>
      <c r="AA494" s="710">
        <f>SUBTOTAL(109,Таблица14[20])</f>
        <v>0</v>
      </c>
      <c r="AB494" s="710">
        <f>SUBTOTAL(109,Таблица14[21])</f>
        <v>0</v>
      </c>
      <c r="AC494" s="710">
        <f>SUBTOTAL(109,Таблица14[22])</f>
        <v>0</v>
      </c>
      <c r="AD494" s="710">
        <f>SUBTOTAL(109,Таблица14[23])</f>
        <v>0</v>
      </c>
      <c r="AE494" s="710">
        <f>SUBTOTAL(109,Таблица14[24])</f>
        <v>0</v>
      </c>
      <c r="AF494" s="710">
        <f>SUBTOTAL(109,Таблица14[25])</f>
        <v>0</v>
      </c>
      <c r="AG494" s="710">
        <f>SUBTOTAL(109,Таблица14[26])</f>
        <v>0</v>
      </c>
      <c r="AH494" s="710">
        <f>SUBTOTAL(109,Таблица14[27])</f>
        <v>0</v>
      </c>
      <c r="AI494" s="710">
        <f>SUBTOTAL(109,Таблица14[28])</f>
        <v>0</v>
      </c>
      <c r="AJ494" s="710">
        <f>SUBTOTAL(109,Таблица14[29])</f>
        <v>0</v>
      </c>
      <c r="AK494" s="710"/>
      <c r="AL494" s="710">
        <f>SUBTOTAL(109,Таблица14[31])</f>
        <v>0</v>
      </c>
      <c r="AM494" s="711">
        <f>SUM(сверхур!$AM$2:$AM$493)</f>
        <v>0</v>
      </c>
      <c r="AN494" s="712">
        <f>SUM(Таблица14[Столбец2])</f>
        <v>0</v>
      </c>
      <c r="AO494" s="713"/>
    </row>
  </sheetData>
  <sheetProtection formatCells="0" formatColumns="0" formatRows="0" insertColumns="0" insertRows="0" insertHyperlinks="0" deleteColumns="0" deleteRows="0" sort="0" autoFilter="0" pivotTables="0"/>
  <phoneticPr fontId="3" type="noConversion"/>
  <pageMargins left="0.23622047244094491" right="0.23622047244094491" top="0.35433070866141736" bottom="0.35433070866141736" header="0" footer="0"/>
  <pageSetup paperSize="9" scale="4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E48"/>
  <sheetViews>
    <sheetView workbookViewId="0">
      <selection activeCell="E12" sqref="E12"/>
    </sheetView>
  </sheetViews>
  <sheetFormatPr defaultRowHeight="15"/>
  <cols>
    <col min="2" max="2" customWidth="true" width="30.42578125"/>
  </cols>
  <sheetData>
    <row r="3" spans="1:5">
      <c r="A3" s="0">
        <v>1</v>
      </c>
      <c r="B3" t="str" s="0">
        <f>расчет!B6</f>
        <v>Авдокушина Елена Николаевна</v>
      </c>
      <c r="C3" s="0">
        <f>расчет!C6</f>
        <v>15118</v>
      </c>
      <c r="D3" s="0">
        <f>расчет!Y6</f>
        <v>14.4</v>
      </c>
      <c r="E3" s="556">
        <f>расчет!Z6</f>
        <v>2988.16</v>
      </c>
    </row>
    <row r="4" spans="1:5">
      <c r="A4" s="0">
        <v>2</v>
      </c>
      <c r="B4" t="str" s="0">
        <f>расчет!B17</f>
        <v>Аксенов Александр Юрьевич</v>
      </c>
      <c r="C4" s="0">
        <f>расчет!C17</f>
        <v>15799</v>
      </c>
      <c r="D4" s="0">
        <f>расчет!Y17</f>
        <v>0</v>
      </c>
      <c r="E4" s="556">
        <f>расчет!Z17</f>
        <v>0</v>
      </c>
    </row>
    <row r="5" spans="1:5">
      <c r="A5" s="0">
        <v>3</v>
      </c>
      <c r="B5" t="str" s="0">
        <f>расчет!B33</f>
        <v>Аксенова Диана Владимировна</v>
      </c>
      <c r="C5" s="0">
        <f>расчет!C28</f>
        <v>15791</v>
      </c>
      <c r="D5" s="0">
        <f>расчет!Y28</f>
        <v>0</v>
      </c>
      <c r="E5" s="556">
        <f>расчет!Z28</f>
        <v>0</v>
      </c>
    </row>
    <row r="6" spans="1:5">
      <c r="A6" s="0">
        <v>4</v>
      </c>
      <c r="B6" t="str" s="0">
        <f>расчет!B44</f>
        <v>Александрович Екатерина Сергеевна</v>
      </c>
      <c r="C6" s="0">
        <f>расчет!C39</f>
        <v>15816</v>
      </c>
      <c r="D6" s="0">
        <f>расчет!Y39</f>
        <v>0</v>
      </c>
      <c r="E6" s="556">
        <f>расчет!Z39</f>
        <v>0</v>
      </c>
    </row>
    <row r="7" spans="1:5">
      <c r="A7" s="0">
        <v>5</v>
      </c>
      <c r="B7" t="str" s="0">
        <f>расчет!B55</f>
        <v>Алиева Диана Арифовна</v>
      </c>
      <c r="C7" s="0">
        <f>расчет!C50</f>
        <v>16475</v>
      </c>
      <c r="D7" s="0">
        <f>расчет!Y40</f>
        <v>0</v>
      </c>
      <c r="E7" s="556">
        <f>расчет!Z40</f>
        <v>0</v>
      </c>
    </row>
    <row r="8" spans="1:5">
      <c r="A8" s="0">
        <v>6</v>
      </c>
      <c r="B8" t="str" s="0">
        <f>расчет!B66</f>
        <v>Аполосова Ольга Николаевна</v>
      </c>
      <c r="C8" s="0">
        <f>расчет!C61</f>
        <v>17290</v>
      </c>
      <c r="D8" s="0">
        <f>расчет!Y61</f>
        <v>0</v>
      </c>
      <c r="E8" s="556">
        <f>расчет!Z61</f>
        <v>0</v>
      </c>
    </row>
    <row r="9" spans="1:5">
      <c r="A9" s="0">
        <v>7</v>
      </c>
      <c r="E9" s="556"/>
    </row>
    <row r="10" spans="1:5">
      <c r="A10" s="0">
        <v>8</v>
      </c>
      <c r="E10" s="556"/>
    </row>
    <row r="11" spans="1:5">
      <c r="A11" s="0">
        <v>9</v>
      </c>
      <c r="E11" s="556"/>
    </row>
    <row r="12" spans="1:5">
      <c r="A12" s="0">
        <v>10</v>
      </c>
    </row>
    <row r="13" spans="1:5">
      <c r="A13" s="0">
        <v>11</v>
      </c>
    </row>
    <row r="14" spans="1:5">
      <c r="A14" s="0">
        <v>12</v>
      </c>
    </row>
    <row r="15" spans="1:5">
      <c r="A15" s="0">
        <v>13</v>
      </c>
    </row>
    <row r="16" spans="1:5">
      <c r="A16" s="0">
        <v>14</v>
      </c>
    </row>
    <row r="17" spans="1:1">
      <c r="A17" s="0">
        <v>15</v>
      </c>
    </row>
    <row r="18" spans="1:1">
      <c r="A18" s="0">
        <v>16</v>
      </c>
    </row>
    <row r="19" spans="1:1">
      <c r="A19" s="0">
        <v>17</v>
      </c>
    </row>
    <row r="20" spans="1:1">
      <c r="A20" s="0">
        <v>18</v>
      </c>
    </row>
    <row r="21" spans="1:1">
      <c r="A21" s="0">
        <v>19</v>
      </c>
    </row>
    <row r="22" spans="1:1">
      <c r="A22" s="0">
        <v>20</v>
      </c>
    </row>
    <row r="23" spans="1:1">
      <c r="A23" s="0">
        <v>21</v>
      </c>
    </row>
    <row r="24" spans="1:1">
      <c r="A24" s="0">
        <v>22</v>
      </c>
    </row>
    <row r="25" spans="1:1">
      <c r="A25" s="0">
        <v>23</v>
      </c>
    </row>
    <row r="26" spans="1:1">
      <c r="A26" s="0">
        <v>24</v>
      </c>
    </row>
    <row r="27" spans="1:1">
      <c r="A27" s="0">
        <v>25</v>
      </c>
    </row>
    <row r="28" spans="1:1">
      <c r="A28" s="0">
        <v>26</v>
      </c>
    </row>
    <row r="29" spans="1:1">
      <c r="A29" s="0">
        <v>27</v>
      </c>
    </row>
    <row r="30" spans="1:1">
      <c r="A30" s="0">
        <v>28</v>
      </c>
    </row>
    <row r="31" spans="1:1">
      <c r="A31" s="0">
        <v>29</v>
      </c>
    </row>
    <row r="32" spans="1:1">
      <c r="A32" s="0">
        <v>30</v>
      </c>
    </row>
    <row r="33" spans="1:1">
      <c r="A33" s="0">
        <v>31</v>
      </c>
    </row>
    <row r="34" spans="1:1">
      <c r="A34" s="0">
        <v>32</v>
      </c>
    </row>
    <row r="35" spans="1:1">
      <c r="A35" s="0">
        <v>33</v>
      </c>
    </row>
    <row r="36" spans="1:1">
      <c r="A36" s="0">
        <v>34</v>
      </c>
    </row>
    <row r="37" spans="1:1">
      <c r="A37" s="0">
        <v>35</v>
      </c>
    </row>
    <row r="38" spans="1:1">
      <c r="A38" s="0">
        <v>36</v>
      </c>
    </row>
    <row r="39" spans="1:1">
      <c r="A39" s="0">
        <v>37</v>
      </c>
    </row>
    <row r="40" spans="1:1">
      <c r="A40" s="0">
        <v>38</v>
      </c>
    </row>
    <row r="41" spans="1:1">
      <c r="A41" s="0">
        <v>39</v>
      </c>
    </row>
    <row r="42" spans="1:1">
      <c r="A42" s="0">
        <v>40</v>
      </c>
    </row>
    <row r="43" spans="1:1">
      <c r="A43" s="0">
        <v>41</v>
      </c>
    </row>
    <row r="44" spans="1:1">
      <c r="A44" s="0">
        <v>42</v>
      </c>
    </row>
    <row r="45" spans="1:1">
      <c r="A45" s="0">
        <v>43</v>
      </c>
    </row>
    <row r="46" spans="1:1">
      <c r="A46" s="0">
        <v>44</v>
      </c>
    </row>
    <row r="47" spans="1:1">
      <c r="A47" s="0">
        <v>45</v>
      </c>
    </row>
    <row r="48" spans="1:1">
      <c r="A48" s="0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AC844"/>
  <sheetViews>
    <sheetView showZeros="0" view="pageBreakPreview" topLeftCell="A669" zoomScale="70" zoomScaleNormal="60" zoomScaleSheetLayoutView="70" workbookViewId="0">
      <selection activeCell="AE519" sqref="AE519"/>
    </sheetView>
  </sheetViews>
  <sheetFormatPr defaultColWidth="10.28515625" defaultRowHeight="15.75"/>
  <cols>
    <col min="1" max="1" customWidth="true" style="168" width="4.0"/>
    <col min="2" max="2" customWidth="true" style="168" width="46.42578125"/>
    <col min="3" max="3" customWidth="true" style="169" width="7.7109375"/>
    <col min="4" max="4" customWidth="true" style="170" width="6.7109375"/>
    <col min="5" max="5" customWidth="true" style="171" width="8.140625"/>
    <col min="6" max="6" customWidth="true" style="172" width="7.0"/>
    <col min="7" max="7" customWidth="true" style="172" width="9.140625"/>
    <col min="8" max="8" customWidth="true" style="171" width="13.140625"/>
    <col min="9" max="9" customWidth="true" style="171" width="8.0"/>
    <col min="10" max="10" customWidth="true" style="168" width="7.0"/>
    <col min="11" max="11" customWidth="true" style="172" width="7.0"/>
    <col min="12" max="12" customWidth="true" style="171" width="11.140625"/>
    <col min="13" max="13" customWidth="true" hidden="true" style="171" width="7.0"/>
    <col min="14" max="14" customWidth="true" hidden="true" style="172" width="7.0"/>
    <col min="15" max="15" customWidth="true" hidden="true" style="172" width="7.42578125"/>
    <col min="16" max="16" customWidth="true" hidden="true" style="171" width="8.85546875"/>
    <col min="17" max="17" customWidth="true" style="171" width="8.5703125"/>
    <col min="18" max="18" customWidth="true" style="172" width="7.0"/>
    <col min="19" max="19" bestFit="true" customWidth="true" style="172" width="9.42578125"/>
    <col min="20" max="20" bestFit="true" customWidth="true" style="171" width="13.0"/>
    <col min="21" max="21" bestFit="true" customWidth="true" style="171" width="8.140625"/>
    <col min="22" max="22" customWidth="true" style="172" width="7.0"/>
    <col min="23" max="23" bestFit="true" customWidth="true" style="172" width="9.42578125"/>
    <col min="24" max="24" bestFit="true" customWidth="true" style="173" width="13.0"/>
    <col min="25" max="25" customWidth="true" style="168" width="13.0"/>
    <col min="26" max="26" customWidth="true" style="171" width="15.28515625"/>
    <col min="27" max="27" customWidth="true" style="174" width="24.7109375"/>
    <col min="28" max="28" style="168" width="10.28515625"/>
    <col min="29" max="29" bestFit="true" customWidth="true" style="693" width="14.42578125"/>
    <col min="30" max="168" style="168" width="10.28515625"/>
    <col min="169" max="169" bestFit="true" customWidth="true" style="168" width="3.42578125"/>
    <col min="170" max="170" customWidth="true" style="168" width="23.28515625"/>
    <col min="171" max="171" bestFit="true" customWidth="true" style="168" width="7.0"/>
    <col min="172" max="172" customWidth="true" style="168" width="5.7109375"/>
    <col min="173" max="192" customWidth="true" style="168" width="7.0"/>
    <col min="193" max="193" bestFit="true" customWidth="true" style="168" width="7.42578125"/>
    <col min="194" max="194" bestFit="true" customWidth="true" style="168" width="14.28515625"/>
    <col min="195" max="195" customWidth="true" style="168" width="20.42578125"/>
    <col min="196" max="16384" style="168" width="10.28515625"/>
  </cols>
  <sheetData>
    <row r="1" spans="1:29" s="159" customFormat="1" ht="27" customHeight="1">
      <c r="A1" s="276"/>
      <c r="B1" s="276"/>
      <c r="C1" s="276"/>
      <c r="D1" s="276"/>
      <c r="E1" s="276"/>
      <c r="F1" s="276"/>
      <c r="G1" s="276"/>
      <c r="H1" s="756" t="str">
        <f>INDEX(база!AO:AO, MATCH(Data_Tech!AU7,база!AN:AN,0))</f>
        <v>Производственный цех №3, мастерская 39</v>
      </c>
      <c r="I1" s="756"/>
      <c r="J1" s="756"/>
      <c r="K1" s="756"/>
      <c r="L1" s="756"/>
      <c r="M1" s="756"/>
      <c r="N1" s="756"/>
      <c r="O1" s="756"/>
      <c r="P1" s="756"/>
      <c r="Q1" s="756"/>
      <c r="R1" s="756"/>
      <c r="S1" s="756"/>
      <c r="T1" s="756"/>
      <c r="U1" s="756"/>
      <c r="V1" s="276"/>
      <c r="W1" s="276"/>
      <c r="X1" s="276"/>
      <c r="Y1" s="276"/>
      <c r="Z1" s="276"/>
      <c r="AA1" s="276"/>
      <c r="AC1" s="690"/>
    </row>
    <row r="2" spans="1:29" s="159" customFormat="1">
      <c r="A2" s="156"/>
      <c r="B2" s="156"/>
      <c r="C2" s="156"/>
      <c r="D2" s="156"/>
      <c r="E2" s="157"/>
      <c r="F2" s="158"/>
      <c r="G2" s="158"/>
      <c r="H2" s="157"/>
      <c r="I2" s="157"/>
      <c r="L2" s="159" t="s">
        <v>43</v>
      </c>
      <c r="N2" s="158" t="s">
        <v>43</v>
      </c>
      <c r="Q2" s="160" t="str">
        <f>Data_Tech!$A$3</f>
        <v>декабрь</v>
      </c>
      <c r="R2" s="158"/>
      <c r="S2" s="158"/>
      <c r="T2" s="161">
        <v>2023</v>
      </c>
      <c r="U2" s="157"/>
      <c r="V2" s="158"/>
      <c r="W2" s="158"/>
      <c r="X2" s="162"/>
      <c r="Y2" s="156"/>
      <c r="Z2" s="157"/>
      <c r="AA2" s="163"/>
      <c r="AC2" s="690"/>
    </row>
    <row r="3" spans="1:29" s="167" customFormat="1" ht="16.5" thickBot="1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6"/>
      <c r="Q3" s="164"/>
      <c r="R3" s="165"/>
      <c r="S3" s="165"/>
      <c r="T3" s="165"/>
      <c r="U3" s="165"/>
      <c r="V3" s="165"/>
      <c r="W3" s="165"/>
      <c r="X3" s="165"/>
      <c r="Y3" s="165"/>
      <c r="Z3" s="165"/>
      <c r="AA3" s="165"/>
      <c r="AC3" s="691"/>
    </row>
    <row r="4" spans="1:29" s="348" customFormat="1" ht="16.5" thickBot="1">
      <c r="A4" s="757"/>
      <c r="B4" s="759" t="s">
        <v>33</v>
      </c>
      <c r="C4" s="761" t="s">
        <v>34</v>
      </c>
      <c r="D4" s="763" t="s">
        <v>35</v>
      </c>
      <c r="E4" s="765">
        <v>0.04</v>
      </c>
      <c r="F4" s="766"/>
      <c r="G4" s="766"/>
      <c r="H4" s="767"/>
      <c r="I4" s="765">
        <v>0.08</v>
      </c>
      <c r="J4" s="766"/>
      <c r="K4" s="766"/>
      <c r="L4" s="767"/>
      <c r="M4" s="765">
        <v>0.12</v>
      </c>
      <c r="N4" s="766"/>
      <c r="O4" s="766"/>
      <c r="P4" s="767"/>
      <c r="Q4" s="768">
        <v>0.16</v>
      </c>
      <c r="R4" s="769"/>
      <c r="S4" s="769"/>
      <c r="T4" s="770"/>
      <c r="U4" s="768">
        <v>0.24</v>
      </c>
      <c r="V4" s="769"/>
      <c r="W4" s="769"/>
      <c r="X4" s="770"/>
      <c r="Y4" s="771" t="s">
        <v>36</v>
      </c>
      <c r="Z4" s="773" t="s">
        <v>269</v>
      </c>
      <c r="AA4" s="775" t="s">
        <v>38</v>
      </c>
      <c r="AC4" s="692"/>
    </row>
    <row r="5" spans="1:29" ht="42.75" thickBot="1">
      <c r="A5" s="758"/>
      <c r="B5" s="760"/>
      <c r="C5" s="762"/>
      <c r="D5" s="764"/>
      <c r="E5" s="349" t="s">
        <v>39</v>
      </c>
      <c r="F5" s="350" t="s">
        <v>40</v>
      </c>
      <c r="G5" s="350" t="s">
        <v>41</v>
      </c>
      <c r="H5" s="351" t="s">
        <v>70</v>
      </c>
      <c r="I5" s="352" t="s">
        <v>39</v>
      </c>
      <c r="J5" s="350" t="s">
        <v>40</v>
      </c>
      <c r="K5" s="350" t="s">
        <v>41</v>
      </c>
      <c r="L5" s="351" t="s">
        <v>70</v>
      </c>
      <c r="M5" s="352" t="s">
        <v>39</v>
      </c>
      <c r="N5" s="350" t="s">
        <v>40</v>
      </c>
      <c r="O5" s="350" t="s">
        <v>41</v>
      </c>
      <c r="P5" s="351" t="s">
        <v>70</v>
      </c>
      <c r="Q5" s="352" t="s">
        <v>39</v>
      </c>
      <c r="R5" s="350" t="s">
        <v>40</v>
      </c>
      <c r="S5" s="350" t="s">
        <v>41</v>
      </c>
      <c r="T5" s="351" t="s">
        <v>70</v>
      </c>
      <c r="U5" s="352" t="s">
        <v>39</v>
      </c>
      <c r="V5" s="350" t="s">
        <v>40</v>
      </c>
      <c r="W5" s="350" t="s">
        <v>41</v>
      </c>
      <c r="X5" s="353" t="s">
        <v>70</v>
      </c>
      <c r="Y5" s="772"/>
      <c r="Z5" s="774"/>
      <c r="AA5" s="776"/>
    </row>
    <row r="6" spans="1:29" ht="18.75">
      <c r="A6" s="739">
        <v>1</v>
      </c>
      <c r="B6" s="221"/>
      <c r="C6" s="742">
        <f>INDEX(база!$E$2:$E$81, MATCH(B11,база!$B$2:$B$50,0))</f>
        <v>15118</v>
      </c>
      <c r="D6" s="745">
        <f>INDEX(база!$D$2:$D$89, MATCH(B11,база!$B$2:$B$50,0))</f>
        <v>4</v>
      </c>
      <c r="E6" s="354">
        <f>IF(D6&lt;=3,база!$I$4,
IF(D6=4,база!$I$5,
IF(D6=5,база!$I$6)))</f>
        <v>207.5112</v>
      </c>
      <c r="F6" s="355">
        <v>1</v>
      </c>
      <c r="G6" s="356">
        <f>SUMIFS(Таблица1[Столбец1],Таблица1[коэф],"1",Таблица1[р/р],"2/4",Таблица1[Ф. И. О.],B11)</f>
        <v>0</v>
      </c>
      <c r="H6" s="357">
        <f>ROUND(E6*F6*G6*2,2)</f>
        <v>0</v>
      </c>
      <c r="I6" s="358">
        <f>IF(D6&lt;=3,база!$J$4,
IF(D6=4,база!$J$5,
IF(D6=5,база!$J$6)))</f>
        <v>215.4924</v>
      </c>
      <c r="J6" s="355">
        <v>1</v>
      </c>
      <c r="K6" s="359">
        <f>SUMIFS(Таблица1[Столбец1],Таблица1[коэф],"1",Таблица1[р/р],"2/8",Таблица1[Ф. И. О.],B11)</f>
        <v>0</v>
      </c>
      <c r="L6" s="493">
        <f>ROUND(I6*J6*K6*2,2)</f>
        <v>0</v>
      </c>
      <c r="M6" s="361"/>
      <c r="N6" s="359">
        <v>1</v>
      </c>
      <c r="O6" s="359">
        <f>SUMIFS(Data_Tech!$AM$3:$AM$67,Data_Tech!$E$3:$E$67,"1",Data_Tech!$G$3:$G$67,"3/12",Data_Tech!$F$3:$F$67,B11)</f>
        <v>0</v>
      </c>
      <c r="P6" s="362">
        <f>ROUND(M6*N6*O6,2)</f>
        <v>0</v>
      </c>
      <c r="Q6" s="363">
        <f>IF(D6&lt;=3,база!$L$4,
IF(D6=4,база!$L$5,
IF(D6=5,база!$L$6)))</f>
        <v>231.45480000000001</v>
      </c>
      <c r="R6" s="355">
        <v>1</v>
      </c>
      <c r="S6" s="466">
        <f>SUMIFS(Таблица1[Столбец1],Таблица1[коэф],"1",Таблица1[р/р],"3/16",Таблица1[Ф. И. О.],B11)</f>
        <v>0</v>
      </c>
      <c r="T6" s="467">
        <f>ROUND(Q6*R6*S6*2,2)</f>
        <v>0</v>
      </c>
      <c r="U6" s="365">
        <f>IF(D6&lt;=3,база!$M$4,
IF(D6=4,база!$M$5,
IF(D6=5,база!$M$6)))</f>
        <v>247.41720000000001</v>
      </c>
      <c r="V6" s="355">
        <v>1</v>
      </c>
      <c r="W6" s="466">
        <f>SUMIFS(Таблица1[Столбец1],Таблица1[коэф],"1",Таблица1[р/р],"3/24",Таблица1[Ф. И. О.],B11)</f>
        <v>0</v>
      </c>
      <c r="X6" s="467">
        <f>ROUND(U6*V6*W6*2,2)</f>
        <v>0</v>
      </c>
      <c r="Y6" s="777">
        <f>SUM(G6:G16,K6:K16,O6:O16,S6:S16,W6:W16)</f>
        <v>0</v>
      </c>
      <c r="Z6" s="752">
        <f>IFERROR(SUM(H6:H16,L6:L16,T6:T16,X6:X16),"")</f>
        <v>0</v>
      </c>
      <c r="AA6" s="739"/>
    </row>
    <row r="7" spans="1:29" ht="18.75">
      <c r="A7" s="740"/>
      <c r="C7" s="743"/>
      <c r="D7" s="746"/>
      <c r="E7" s="366">
        <f>IF(D6&lt;=3,база!$I$4,
IF(D6=4,база!$I$5,
IF(D6=5,база!$I$6)))</f>
        <v>207.5112</v>
      </c>
      <c r="F7" s="367">
        <v>1</v>
      </c>
      <c r="G7" s="368">
        <f>SUMIFS(Таблица1[Столбец1],Таблица1[коэф],"1",Таблица1[р/р],"3/4",Таблица1[Ф. И. О.],B11)</f>
        <v>0</v>
      </c>
      <c r="H7" s="369">
        <f t="shared" ref="H7:H70" si="0">ROUND(E7*F7*G7*2,2)</f>
        <v>0</v>
      </c>
      <c r="I7" s="370">
        <f>IF(D6&lt;=3,база!$J$4,
IF(D6=4,база!$J$5,
IF(D6=5,база!$J$6)))</f>
        <v>215.4924</v>
      </c>
      <c r="J7" s="367">
        <v>1</v>
      </c>
      <c r="K7" s="371">
        <f>SUMIFS(Таблица1[Столбец1],Таблица1[коэф],"1",Таблица1[р/р],"3/8",Таблица1[Ф. И. О.],B11)</f>
        <v>0</v>
      </c>
      <c r="L7" s="372">
        <f t="shared" ref="L7:L70" si="1">ROUND(I7*J7*K7*2,2)</f>
        <v>0</v>
      </c>
      <c r="M7" s="382"/>
      <c r="N7" s="371">
        <v>1</v>
      </c>
      <c r="O7" s="371">
        <f>SUMIFS(Data_Tech!$AM$3:$AM$67,Data_Tech!$E$3:$E$67,"1",Data_Tech!$G$3:$G$67,"4/12",Data_Tech!$F$3:$F$67,B11)</f>
        <v>0</v>
      </c>
      <c r="P7" s="383">
        <f>ROUND(M7*O7,2)</f>
        <v>0</v>
      </c>
      <c r="Q7" s="376">
        <f>база!$L$5</f>
        <v>231.45480000000001</v>
      </c>
      <c r="R7" s="367">
        <v>1</v>
      </c>
      <c r="S7" s="468">
        <f>SUMIFS(Таблица1[Столбец1],Таблица1[коэф],"1",Таблица1[р/р],"4/16",Таблица1[Ф. И. О.],B11)</f>
        <v>0</v>
      </c>
      <c r="T7" s="470">
        <f t="shared" ref="T7:T70" si="2">ROUND(Q7*R7*S7*2,2)</f>
        <v>0</v>
      </c>
      <c r="U7" s="378">
        <f>база!$M$5</f>
        <v>247.41720000000001</v>
      </c>
      <c r="V7" s="367">
        <v>1</v>
      </c>
      <c r="W7" s="468">
        <f>SUMIFS(Таблица1[Столбец1],Таблица1[коэф],"1",Таблица1[р/р],"4/24",Таблица1[Ф. И. О.],B11)</f>
        <v>0</v>
      </c>
      <c r="X7" s="470">
        <f t="shared" ref="X7:X70" si="3">ROUND(U7*V7*W7*2,2)</f>
        <v>0</v>
      </c>
      <c r="Y7" s="748"/>
      <c r="Z7" s="750"/>
      <c r="AA7" s="740"/>
    </row>
    <row r="8" spans="1:29" ht="18.75">
      <c r="A8" s="740"/>
      <c r="C8" s="743"/>
      <c r="D8" s="746"/>
      <c r="E8" s="366"/>
      <c r="F8" s="367"/>
      <c r="G8" s="368"/>
      <c r="H8" s="417">
        <f t="shared" si="0"/>
        <v>0</v>
      </c>
      <c r="I8" s="370"/>
      <c r="J8" s="367"/>
      <c r="K8" s="371"/>
      <c r="L8" s="372">
        <f t="shared" si="1"/>
        <v>0</v>
      </c>
      <c r="M8" s="382"/>
      <c r="N8" s="371"/>
      <c r="O8" s="371"/>
      <c r="P8" s="383"/>
      <c r="Q8" s="376">
        <f>база!$L$6</f>
        <v>261.04640000000001</v>
      </c>
      <c r="R8" s="367">
        <v>1</v>
      </c>
      <c r="S8" s="468">
        <f>SUMIFS(Таблица1[Столбец1],Таблица1[коэф],"1",Таблица1[р/р],"5/16",Таблица1[Ф. И. О.],B11)</f>
        <v>0</v>
      </c>
      <c r="T8" s="470"/>
      <c r="U8" s="378">
        <f>база!$M$6</f>
        <v>279.0496</v>
      </c>
      <c r="V8" s="367">
        <v>1</v>
      </c>
      <c r="W8" s="468">
        <f>SUMIFS(Таблица1[Столбец1],Таблица1[коэф],"1",Таблица1[р/р],"5/24",Таблица1[Ф. И. О.],B11)</f>
        <v>0</v>
      </c>
      <c r="X8" s="470">
        <f t="shared" si="3"/>
        <v>0</v>
      </c>
      <c r="Y8" s="748"/>
      <c r="Z8" s="750"/>
      <c r="AA8" s="740"/>
    </row>
    <row r="9" spans="1:29" ht="18.75">
      <c r="A9" s="740"/>
      <c r="B9" s="201"/>
      <c r="C9" s="743"/>
      <c r="D9" s="746"/>
      <c r="E9" s="366"/>
      <c r="F9" s="367"/>
      <c r="G9" s="368"/>
      <c r="H9" s="386">
        <f t="shared" si="0"/>
        <v>0</v>
      </c>
      <c r="I9" s="370">
        <f>база!$J$5</f>
        <v>215.4924</v>
      </c>
      <c r="J9" s="367">
        <v>1.5</v>
      </c>
      <c r="K9" s="371">
        <f>SUMIFS(Таблица1[Столбец1],Таблица1[коэф],"1,5",Таблица1[р/р],"4/8",Таблица1[Ф. И. О.],B11)</f>
        <v>0</v>
      </c>
      <c r="L9" s="372">
        <f t="shared" si="1"/>
        <v>0</v>
      </c>
      <c r="M9" s="382"/>
      <c r="N9" s="371"/>
      <c r="O9" s="371"/>
      <c r="P9" s="383"/>
      <c r="Q9" s="376">
        <f>IF(D6&lt;=3,база!$L$4,
IF(D6=4,база!$L$5,
IF(D6=5,база!$L$6)))</f>
        <v>231.45480000000001</v>
      </c>
      <c r="R9" s="367">
        <v>1.2</v>
      </c>
      <c r="S9" s="468">
        <f>SUMIFS(Таблица1[Столбец1],Таблица1[коэф],"1,2",Таблица1[р/р],"3/16",Таблица1[Ф. И. О.],B11)</f>
        <v>0</v>
      </c>
      <c r="T9" s="470">
        <f t="shared" si="2"/>
        <v>0</v>
      </c>
      <c r="U9" s="378">
        <f>IF(D6&lt;=3,база!$M$4,
IF(D6=4,база!$M$5,
IF(D6=5,база!$M$6)))</f>
        <v>247.41720000000001</v>
      </c>
      <c r="V9" s="367">
        <v>1.2</v>
      </c>
      <c r="W9" s="468">
        <f>SUMIFS(Таблица1[Столбец1],Таблица1[коэф],"1,2",Таблица1[р/р],"3/24",Таблица1[Ф. И. О.],B11)</f>
        <v>0</v>
      </c>
      <c r="X9" s="470">
        <f t="shared" si="3"/>
        <v>0</v>
      </c>
      <c r="Y9" s="748"/>
      <c r="Z9" s="750"/>
      <c r="AA9" s="740"/>
    </row>
    <row r="10" spans="1:29" ht="18.75">
      <c r="A10" s="740"/>
      <c r="B10" s="201"/>
      <c r="C10" s="743"/>
      <c r="D10" s="746"/>
      <c r="E10" s="366"/>
      <c r="F10" s="367"/>
      <c r="G10" s="368"/>
      <c r="H10" s="386">
        <f t="shared" si="0"/>
        <v>0</v>
      </c>
      <c r="I10" s="370">
        <f>база!$J$6</f>
        <v>243.04319999999998</v>
      </c>
      <c r="J10" s="367">
        <v>1.5</v>
      </c>
      <c r="K10" s="371">
        <f>SUMIFS(Таблица1[Столбец1],Таблица1[коэф],"1,5",Таблица1[р/р],"5/8",Таблица1[Ф. И. О.],B11)</f>
        <v>0</v>
      </c>
      <c r="L10" s="401">
        <f t="shared" si="1"/>
        <v>0</v>
      </c>
      <c r="M10" s="382"/>
      <c r="N10" s="371"/>
      <c r="O10" s="371"/>
      <c r="P10" s="383"/>
      <c r="Q10" s="376">
        <f>база!$L$5</f>
        <v>231.45480000000001</v>
      </c>
      <c r="R10" s="380">
        <v>1.2</v>
      </c>
      <c r="S10" s="468">
        <f>SUMIFS(Таблица1[Столбец1],Таблица1[коэф],"1,2",Таблица1[р/р],"4/16",Таблица1[Ф. И. О.],B11)</f>
        <v>0</v>
      </c>
      <c r="T10" s="485"/>
      <c r="U10" s="378">
        <f>база!$M$5</f>
        <v>247.41720000000001</v>
      </c>
      <c r="V10" s="380">
        <v>1.2</v>
      </c>
      <c r="W10" s="468">
        <f>SUMIFS(Таблица1[Столбец1],Таблица1[коэф],"1,2",Таблица1[р/р],"4/24",Таблица1[Ф. И. О.],B11)</f>
        <v>0</v>
      </c>
      <c r="X10" s="485">
        <f t="shared" si="3"/>
        <v>0</v>
      </c>
      <c r="Y10" s="748"/>
      <c r="Z10" s="750"/>
      <c r="AA10" s="740"/>
    </row>
    <row r="11" spans="1:29" ht="18.75">
      <c r="A11" s="740"/>
      <c r="B11" s="201" t="str">
        <f>база!B2</f>
        <v>Авдокушина Елена Николаевна</v>
      </c>
      <c r="C11" s="743"/>
      <c r="D11" s="746"/>
      <c r="E11" s="366"/>
      <c r="F11" s="367"/>
      <c r="G11" s="368"/>
      <c r="H11" s="369">
        <f t="shared" si="0"/>
        <v>0</v>
      </c>
      <c r="I11" s="370"/>
      <c r="J11" s="367"/>
      <c r="K11" s="371"/>
      <c r="L11" s="372">
        <f t="shared" si="1"/>
        <v>0</v>
      </c>
      <c r="M11" s="373"/>
      <c r="N11" s="374"/>
      <c r="O11" s="374"/>
      <c r="P11" s="375"/>
      <c r="Q11" s="376">
        <f>база!$L$6</f>
        <v>261.04640000000001</v>
      </c>
      <c r="R11" s="367">
        <v>1.2</v>
      </c>
      <c r="S11" s="468">
        <f>SUMIFS(Таблица1[Столбец1],Таблица1[коэф],"1,2",Таблица1[р/р],"5/16",Таблица1[Ф. И. О.],B11)</f>
        <v>0</v>
      </c>
      <c r="T11" s="470">
        <f t="shared" si="2"/>
        <v>0</v>
      </c>
      <c r="U11" s="381">
        <f>база!$M$6</f>
        <v>279.0496</v>
      </c>
      <c r="V11" s="367">
        <v>1.2</v>
      </c>
      <c r="W11" s="468">
        <f>SUMIFS(Таблица1[Столбец1],Таблица1[коэф],"1,2",Таблица1[р/р],"5/24",Таблица1[Ф. И. О.],B11)</f>
        <v>0</v>
      </c>
      <c r="X11" s="470">
        <f t="shared" si="3"/>
        <v>0</v>
      </c>
      <c r="Y11" s="748"/>
      <c r="Z11" s="750"/>
      <c r="AA11" s="740"/>
      <c r="AC11" s="693" t="str">
        <f>IF(SUMIFS(Таблица1[Столбец3],Таблица1[Ф. И. О.],B11)-Z6=0,"",SUMIFS(Таблица1[Столбец3],Таблица1[Ф. И. О.],B11)-Z6)</f>
        <v/>
      </c>
    </row>
    <row r="12" spans="1:29" ht="18.75">
      <c r="A12" s="740"/>
      <c r="C12" s="743"/>
      <c r="D12" s="746"/>
      <c r="E12" s="366"/>
      <c r="F12" s="367"/>
      <c r="G12" s="368"/>
      <c r="H12" s="369">
        <f t="shared" si="0"/>
        <v>0</v>
      </c>
      <c r="I12" s="428"/>
      <c r="J12" s="394"/>
      <c r="K12" s="374"/>
      <c r="L12" s="372">
        <f t="shared" si="1"/>
        <v>0</v>
      </c>
      <c r="M12" s="373"/>
      <c r="N12" s="374"/>
      <c r="O12" s="374"/>
      <c r="P12" s="375"/>
      <c r="Q12" s="420">
        <f>IF(D6&lt;=3,база!$L$4,
IF(D6=4,база!$L$5,
IF(D6=5,база!$L$6)))</f>
        <v>231.45480000000001</v>
      </c>
      <c r="R12" s="415">
        <v>1.3</v>
      </c>
      <c r="S12" s="486">
        <f>SUMIFS(Таблица1[Столбец1],Таблица1[коэф],"1,3",Таблица1[р/р],"3/16",Таблица1[Ф. И. О.],B11)</f>
        <v>0</v>
      </c>
      <c r="T12" s="470"/>
      <c r="U12" s="431">
        <f>IF(D6&lt;=3,база!$M$4,
IF(D6=4,база!$M$5,
IF(D6=5,база!$M$6)))</f>
        <v>247.41720000000001</v>
      </c>
      <c r="V12" s="494">
        <v>1.3</v>
      </c>
      <c r="W12" s="477">
        <f>SUMIFS(Таблица1[Столбец1],Таблица1[коэф],"1,3",Таблица1[р/р],"3/24",Таблица1[Ф. И. О.],B11)</f>
        <v>0</v>
      </c>
      <c r="X12" s="470">
        <f t="shared" si="3"/>
        <v>0</v>
      </c>
      <c r="Y12" s="754"/>
      <c r="Z12" s="750"/>
      <c r="AA12" s="740"/>
      <c r="AC12" s="693" t="str">
        <f>IF(SUMIFS(Таблица1[Столбец1],Таблица1[Ф. И. О.],B11)=Y6,"",B11&amp;"  часы не верны")</f>
        <v/>
      </c>
    </row>
    <row r="13" spans="1:29" ht="18.75">
      <c r="A13" s="740"/>
      <c r="B13" s="201"/>
      <c r="C13" s="743"/>
      <c r="D13" s="746"/>
      <c r="E13" s="366"/>
      <c r="F13" s="367"/>
      <c r="G13" s="368"/>
      <c r="H13" s="369">
        <f t="shared" si="0"/>
        <v>0</v>
      </c>
      <c r="I13" s="370"/>
      <c r="J13" s="367"/>
      <c r="K13" s="371"/>
      <c r="L13" s="372">
        <f t="shared" si="1"/>
        <v>0</v>
      </c>
      <c r="M13" s="390"/>
      <c r="N13" s="391"/>
      <c r="O13" s="391"/>
      <c r="P13" s="392"/>
      <c r="Q13" s="376">
        <f>база!$L$5</f>
        <v>231.45480000000001</v>
      </c>
      <c r="R13" s="367">
        <v>1.3</v>
      </c>
      <c r="S13" s="468">
        <f>SUMIFS(Таблица1[Столбец1],Таблица1[коэф],"1,3",Таблица1[р/р],"4/16",Таблица1[Ф. И. О.],B11)</f>
        <v>0</v>
      </c>
      <c r="T13" s="470"/>
      <c r="U13" s="387">
        <f>база!$M$5</f>
        <v>247.41720000000001</v>
      </c>
      <c r="V13" s="388">
        <v>1.3</v>
      </c>
      <c r="W13" s="471">
        <f>SUMIFS(Таблица1[Столбец1],Таблица1[коэф],"1,3",Таблица1[р/р],"4/24",Таблица1[Ф. И. О.],B11)</f>
        <v>0</v>
      </c>
      <c r="X13" s="470">
        <f t="shared" si="3"/>
        <v>0</v>
      </c>
      <c r="Y13" s="754"/>
      <c r="Z13" s="750"/>
      <c r="AA13" s="740"/>
    </row>
    <row r="14" spans="1:29" ht="18.75">
      <c r="A14" s="740"/>
      <c r="B14" s="201"/>
      <c r="C14" s="743"/>
      <c r="D14" s="746"/>
      <c r="E14" s="366"/>
      <c r="F14" s="367"/>
      <c r="G14" s="368"/>
      <c r="H14" s="369">
        <f t="shared" si="0"/>
        <v>0</v>
      </c>
      <c r="I14" s="370"/>
      <c r="J14" s="367"/>
      <c r="K14" s="371"/>
      <c r="L14" s="372">
        <f t="shared" si="1"/>
        <v>0</v>
      </c>
      <c r="M14" s="390"/>
      <c r="N14" s="391"/>
      <c r="O14" s="391"/>
      <c r="P14" s="392"/>
      <c r="Q14" s="393">
        <f>IF(D6&lt;=3,база!$L$4,
IF(D6=4,база!$L$5,
IF(D6=5,база!$L$6)))</f>
        <v>231.45480000000001</v>
      </c>
      <c r="R14" s="394">
        <v>1.4</v>
      </c>
      <c r="S14" s="472">
        <f>SUMIFS(Таблица1[Столбец1],Таблица1[коэф],"1,4",Таблица1[р/р],"3/16",Таблица1[Ф. И. О.],B11)</f>
        <v>0</v>
      </c>
      <c r="T14" s="470">
        <f t="shared" si="2"/>
        <v>0</v>
      </c>
      <c r="U14" s="396">
        <f>IF(D6&lt;=3,база!$M$4,
IF(D6=4,база!$M$5,
IF(D6=5,база!$M$6)))</f>
        <v>247.41720000000001</v>
      </c>
      <c r="V14" s="394">
        <v>1.4</v>
      </c>
      <c r="W14" s="472">
        <f>SUMIFS(Таблица1[Столбец1],Таблица1[коэф],"1,4",Таблица1[р/р],"3/24",Таблица1[Ф. И. О.],B11)</f>
        <v>0</v>
      </c>
      <c r="X14" s="470">
        <f t="shared" si="3"/>
        <v>0</v>
      </c>
      <c r="Y14" s="754"/>
      <c r="Z14" s="750"/>
      <c r="AA14" s="740"/>
    </row>
    <row r="15" spans="1:29" ht="18.75">
      <c r="A15" s="740"/>
      <c r="B15" s="201"/>
      <c r="C15" s="743"/>
      <c r="D15" s="746"/>
      <c r="E15" s="397"/>
      <c r="F15" s="380"/>
      <c r="G15" s="398"/>
      <c r="H15" s="369">
        <f t="shared" si="0"/>
        <v>0</v>
      </c>
      <c r="I15" s="399"/>
      <c r="J15" s="380"/>
      <c r="K15" s="400"/>
      <c r="L15" s="372">
        <f t="shared" si="1"/>
        <v>0</v>
      </c>
      <c r="M15" s="390"/>
      <c r="N15" s="391"/>
      <c r="O15" s="391"/>
      <c r="P15" s="392"/>
      <c r="Q15" s="376">
        <f>база!$L$5</f>
        <v>231.45480000000001</v>
      </c>
      <c r="R15" s="367">
        <v>1.4</v>
      </c>
      <c r="S15" s="468">
        <f>SUMIFS(Таблица1[Столбец1],Таблица1[коэф],"1,4",Таблица1[р/р],"4/16",Таблица1[Ф. И. О.],B11)</f>
        <v>0</v>
      </c>
      <c r="T15" s="470">
        <f t="shared" si="2"/>
        <v>0</v>
      </c>
      <c r="U15" s="378">
        <f>база!$M$5</f>
        <v>247.41720000000001</v>
      </c>
      <c r="V15" s="367">
        <v>1.4</v>
      </c>
      <c r="W15" s="468">
        <f>SUMIFS(Таблица1[Столбец1],Таблица1[коэф],"1,4",Таблица1[р/р],"4/24",Таблица1[Ф. И. О.],B11)</f>
        <v>0</v>
      </c>
      <c r="X15" s="470">
        <f t="shared" si="3"/>
        <v>0</v>
      </c>
      <c r="Y15" s="754"/>
      <c r="Z15" s="750"/>
      <c r="AA15" s="740"/>
    </row>
    <row r="16" spans="1:29" ht="19.5" thickBot="1">
      <c r="A16" s="741"/>
      <c r="B16" s="188"/>
      <c r="C16" s="744"/>
      <c r="D16" s="747"/>
      <c r="E16" s="397"/>
      <c r="F16" s="380"/>
      <c r="G16" s="398"/>
      <c r="H16" s="379">
        <f t="shared" si="0"/>
        <v>0</v>
      </c>
      <c r="I16" s="491"/>
      <c r="J16" s="380"/>
      <c r="K16" s="400"/>
      <c r="L16" s="461">
        <f t="shared" si="1"/>
        <v>0</v>
      </c>
      <c r="M16" s="390"/>
      <c r="N16" s="391"/>
      <c r="O16" s="391"/>
      <c r="P16" s="392"/>
      <c r="Q16" s="384">
        <f>база!$L$6</f>
        <v>261.04640000000001</v>
      </c>
      <c r="R16" s="380">
        <v>1.4</v>
      </c>
      <c r="S16" s="484">
        <f>SUMIFS(Таблица1[Столбец1],Таблица1[коэф],"1,4",Таблица1[р/р],"5/16",Таблица1[Ф. И. О.],B11)</f>
        <v>0</v>
      </c>
      <c r="T16" s="469">
        <f t="shared" si="2"/>
        <v>0</v>
      </c>
      <c r="U16" s="402">
        <f>база!$M$6</f>
        <v>279.0496</v>
      </c>
      <c r="V16" s="380">
        <v>1.4</v>
      </c>
      <c r="W16" s="473">
        <f>SUMIFS(Таблица1[Столбец1],Таблица1[коэф],"1,4",Таблица1[р/р],"5/24",Таблица1[Ф. И. О.],B11)</f>
        <v>0</v>
      </c>
      <c r="X16" s="469">
        <f t="shared" si="3"/>
        <v>0</v>
      </c>
      <c r="Y16" s="755"/>
      <c r="Z16" s="751"/>
      <c r="AA16" s="741"/>
    </row>
    <row r="17" spans="1:29" ht="20.25" customHeight="1">
      <c r="A17" s="739">
        <v>2</v>
      </c>
      <c r="B17" s="201"/>
      <c r="C17" s="742">
        <f>INDEX(база!$E$2:$E$81, MATCH(B22,база!$B$2:$B$50,0))</f>
        <v>15799</v>
      </c>
      <c r="D17" s="745">
        <f>INDEX(база!$D$2:$D$89, MATCH(B22,база!$B$2:$B$50,0))</f>
        <v>3</v>
      </c>
      <c r="E17" s="354">
        <f>IF(D17&lt;=3,база!$I$4,
IF(D17=4,база!$I$5,
IF(D17=5,база!$I$6)))</f>
        <v>188.7912</v>
      </c>
      <c r="F17" s="355">
        <v>1</v>
      </c>
      <c r="G17" s="364">
        <f>SUMIFS(Таблица1[Столбец1],Таблица1[коэф],"1",Таблица1[р/р],"2/4",Таблица1[Ф. И. О.],B22)</f>
        <v>0</v>
      </c>
      <c r="H17" s="495">
        <f t="shared" si="0"/>
        <v>0</v>
      </c>
      <c r="I17" s="358">
        <f>IF(D17&lt;=3,база!$J$4,
IF(D17=4,база!$J$5,
IF(D17=5,база!$J$6)))</f>
        <v>196.05240000000001</v>
      </c>
      <c r="J17" s="355">
        <v>1</v>
      </c>
      <c r="K17" s="405">
        <f>SUMIFS(Таблица1[Столбец1],Таблица1[коэф],"1",Таблица1[р/р],"2/8",Таблица1[Ф. И. О.],B22)</f>
        <v>0</v>
      </c>
      <c r="L17" s="360">
        <f t="shared" si="1"/>
        <v>0</v>
      </c>
      <c r="M17" s="403"/>
      <c r="N17" s="405">
        <v>1</v>
      </c>
      <c r="O17" s="405">
        <f>SUMIFS(Data_Tech!$AM$3:$AM$67,Data_Tech!$E$3:$E$67,"1",Data_Tech!$G$3:$G$67,"3/12",Data_Tech!$F$3:$F$67,B22)</f>
        <v>0</v>
      </c>
      <c r="P17" s="362">
        <f>ROUND(M17*N17*O17,2)</f>
        <v>0</v>
      </c>
      <c r="Q17" s="406">
        <f>IF(D17&lt;=3,база!$L$4,
IF(D17=4,база!$L$5,
IF(D17=5,база!$L$6)))</f>
        <v>210.57480000000001</v>
      </c>
      <c r="R17" s="406">
        <v>1</v>
      </c>
      <c r="S17" s="474">
        <f>SUMIFS(Таблица1[Столбец1],Таблица1[коэф],"1",Таблица1[р/р],"3/16",Таблица1[Ф. И. О.],B22)</f>
        <v>0</v>
      </c>
      <c r="T17" s="467">
        <f t="shared" si="2"/>
        <v>0</v>
      </c>
      <c r="U17" s="408">
        <f>IF(D17&lt;=3,база!$M$4,
IF(D17=4,база!$M$5,
IF(D17=5,база!$M$6)))</f>
        <v>225.09719999999999</v>
      </c>
      <c r="V17" s="355">
        <v>1</v>
      </c>
      <c r="W17" s="474">
        <f>SUMIFS(Таблица1[Столбец1],Таблица1[коэф],"1",Таблица1[р/р],"3/24",Таблица1[Ф. И. О.],B22)</f>
        <v>0</v>
      </c>
      <c r="X17" s="467">
        <f t="shared" si="3"/>
        <v>0</v>
      </c>
      <c r="Y17" s="748">
        <f>SUM(G17:G27,K17:K27,O17:O27,S17:S27,W17:W27)</f>
        <v>0</v>
      </c>
      <c r="Z17" s="750">
        <f>IFERROR(SUM(H17:H27,L17:L27,T17:T27,X17:X27),"")</f>
        <v>0</v>
      </c>
      <c r="AA17" s="740"/>
    </row>
    <row r="18" spans="1:29" ht="20.25" customHeight="1">
      <c r="A18" s="740"/>
      <c r="B18" s="201"/>
      <c r="C18" s="743"/>
      <c r="D18" s="746"/>
      <c r="E18" s="366">
        <f>IF(D17&lt;=3,база!$I$4,
IF(D17=4,база!$I$5,
IF(D17=5,база!$I$6)))</f>
        <v>188.7912</v>
      </c>
      <c r="F18" s="367">
        <v>1</v>
      </c>
      <c r="G18" s="377">
        <f>SUMIFS(Таблица1[Столбец1],Таблица1[коэф],"1",Таблица1[р/р],"3/4",Таблица1[Ф. И. О.],B22)</f>
        <v>0</v>
      </c>
      <c r="H18" s="369">
        <f t="shared" si="0"/>
        <v>0</v>
      </c>
      <c r="I18" s="370">
        <f>IF(D17&lt;=3,база!$J$4,
IF(D17=4,база!$J$5,
IF(D17=5,база!$J$6)))</f>
        <v>196.05240000000001</v>
      </c>
      <c r="J18" s="367">
        <v>1</v>
      </c>
      <c r="K18" s="411">
        <f>SUMIFS(Таблица1[Столбец1],Таблица1[коэф],"1",Таблица1[р/р],"3/8",Таблица1[Ф. И. О.],B22)</f>
        <v>0</v>
      </c>
      <c r="L18" s="372">
        <f t="shared" si="1"/>
        <v>0</v>
      </c>
      <c r="M18" s="409"/>
      <c r="N18" s="411">
        <v>1</v>
      </c>
      <c r="O18" s="411">
        <f>SUMIFS(Data_Tech!$AM$3:$AM$67,Data_Tech!$E$3:$E$67,"1",Data_Tech!$G$3:$G$67,"4/12",Data_Tech!$F$3:$F$67,B22)</f>
        <v>0</v>
      </c>
      <c r="P18" s="383">
        <f>ROUND(M18*O18,2)</f>
        <v>0</v>
      </c>
      <c r="Q18" s="412">
        <f>база!$L$5</f>
        <v>231.45480000000001</v>
      </c>
      <c r="R18" s="412">
        <v>1</v>
      </c>
      <c r="S18" s="471">
        <f>SUMIFS(Таблица1[Столбец1],Таблица1[коэф],"1",Таблица1[р/р],"4/16",Таблица1[Ф. И. О.],B22)</f>
        <v>0</v>
      </c>
      <c r="T18" s="470">
        <f t="shared" si="2"/>
        <v>0</v>
      </c>
      <c r="U18" s="413">
        <f>база!$M$5</f>
        <v>247.41720000000001</v>
      </c>
      <c r="V18" s="367">
        <v>1</v>
      </c>
      <c r="W18" s="471">
        <f>SUMIFS(Таблица1[Столбец1],Таблица1[коэф],"1",Таблица1[р/р],"4/24",Таблица1[Ф. И. О.],B22)</f>
        <v>0</v>
      </c>
      <c r="X18" s="470">
        <f t="shared" si="3"/>
        <v>0</v>
      </c>
      <c r="Y18" s="748"/>
      <c r="Z18" s="750"/>
      <c r="AA18" s="740"/>
    </row>
    <row r="19" spans="1:29" ht="20.25" customHeight="1">
      <c r="A19" s="740"/>
      <c r="B19" s="201"/>
      <c r="C19" s="743"/>
      <c r="D19" s="746"/>
      <c r="E19" s="366"/>
      <c r="F19" s="367"/>
      <c r="G19" s="377"/>
      <c r="H19" s="369">
        <f t="shared" si="0"/>
        <v>0</v>
      </c>
      <c r="I19" s="370"/>
      <c r="J19" s="367"/>
      <c r="K19" s="411"/>
      <c r="L19" s="372">
        <f t="shared" si="1"/>
        <v>0</v>
      </c>
      <c r="M19" s="409"/>
      <c r="N19" s="411"/>
      <c r="O19" s="411"/>
      <c r="P19" s="383"/>
      <c r="Q19" s="376">
        <f>база!$L$6</f>
        <v>261.04640000000001</v>
      </c>
      <c r="R19" s="367">
        <v>1</v>
      </c>
      <c r="S19" s="468">
        <f>SUMIFS(Таблица1[Столбец1],Таблица1[коэф],"1",Таблица1[р/р],"5/16",Таблица1[Ф. И. О.],B22)</f>
        <v>0</v>
      </c>
      <c r="T19" s="469">
        <f t="shared" si="2"/>
        <v>0</v>
      </c>
      <c r="U19" s="413">
        <f>база!$M$6</f>
        <v>279.0496</v>
      </c>
      <c r="V19" s="367">
        <v>1</v>
      </c>
      <c r="W19" s="471">
        <f>SUMIFS(Таблица1[Столбец1],Таблица1[коэф],"1",Таблица1[р/р],"5/24",Таблица1[Ф. И. О.],B22)</f>
        <v>0</v>
      </c>
      <c r="X19" s="470">
        <f t="shared" si="3"/>
        <v>0</v>
      </c>
      <c r="Y19" s="748"/>
      <c r="Z19" s="750"/>
      <c r="AA19" s="740"/>
    </row>
    <row r="20" spans="1:29" ht="20.25" customHeight="1">
      <c r="A20" s="740"/>
      <c r="B20" s="201"/>
      <c r="C20" s="743"/>
      <c r="D20" s="746"/>
      <c r="E20" s="414"/>
      <c r="F20" s="415"/>
      <c r="G20" s="416"/>
      <c r="H20" s="369">
        <f t="shared" si="0"/>
        <v>0</v>
      </c>
      <c r="I20" s="492">
        <f>база!$J$5</f>
        <v>215.4924</v>
      </c>
      <c r="J20" s="415">
        <v>1.5</v>
      </c>
      <c r="K20" s="419">
        <f>SUMIFS(Таблица1[Столбец1],Таблица1[коэф],"1,5",Таблица1[р/р],"4/8",Таблица1[Ф. И. О.],B22)</f>
        <v>0</v>
      </c>
      <c r="L20" s="372">
        <f t="shared" si="1"/>
        <v>0</v>
      </c>
      <c r="M20" s="418"/>
      <c r="N20" s="419"/>
      <c r="O20" s="419"/>
      <c r="P20" s="392"/>
      <c r="Q20" s="420">
        <f>IF(D17&lt;=3,база!$L$4,
IF(D17=4,база!$L$5,
IF(D17=5,база!$L$6)))</f>
        <v>210.57480000000001</v>
      </c>
      <c r="R20" s="415">
        <v>1.2</v>
      </c>
      <c r="S20" s="486">
        <f>SUMIFS(Таблица1[Столбец1],Таблица1[коэф],"1,2",Таблица1[р/р],"3/16",Таблица1[Ф. И. О.],B22)</f>
        <v>0</v>
      </c>
      <c r="T20" s="470">
        <f t="shared" si="2"/>
        <v>0</v>
      </c>
      <c r="U20" s="421">
        <f>IF(D17&lt;=3,база!$M$4,
IF(D17=4,база!$M$5,
IF(D17=5,база!$M$6)))</f>
        <v>225.09719999999999</v>
      </c>
      <c r="V20" s="415">
        <v>1.2</v>
      </c>
      <c r="W20" s="475">
        <f>SUMIFS(Таблица1[Столбец1],Таблица1[коэф],"1,2",Таблица1[р/р],"3/24",Таблица1[Ф. И. О.],B22)</f>
        <v>0</v>
      </c>
      <c r="X20" s="470">
        <f t="shared" si="3"/>
        <v>0</v>
      </c>
      <c r="Y20" s="748"/>
      <c r="Z20" s="750"/>
      <c r="AA20" s="740"/>
    </row>
    <row r="21" spans="1:29" ht="20.25" customHeight="1">
      <c r="A21" s="740"/>
      <c r="B21" s="201"/>
      <c r="C21" s="743"/>
      <c r="D21" s="746"/>
      <c r="E21" s="366"/>
      <c r="F21" s="367"/>
      <c r="G21" s="377"/>
      <c r="H21" s="369">
        <f t="shared" si="0"/>
        <v>0</v>
      </c>
      <c r="I21" s="370">
        <f>база!$J$6</f>
        <v>243.04319999999998</v>
      </c>
      <c r="J21" s="367">
        <v>1.5</v>
      </c>
      <c r="K21" s="411">
        <f>SUMIFS(Таблица1[Столбец1],Таблица1[коэф],"1,5",Таблица1[р/р],"5/8",Таблица1[Ф. И. О.],B22)</f>
        <v>0</v>
      </c>
      <c r="L21" s="372">
        <f t="shared" si="1"/>
        <v>0</v>
      </c>
      <c r="M21" s="409"/>
      <c r="N21" s="411"/>
      <c r="O21" s="411"/>
      <c r="P21" s="383"/>
      <c r="Q21" s="376">
        <f>база!$L$5</f>
        <v>231.45480000000001</v>
      </c>
      <c r="R21" s="367">
        <v>1.2</v>
      </c>
      <c r="S21" s="468">
        <f>SUMIFS(Таблица1[Столбец1],Таблица1[коэф],"1,2",Таблица1[р/р],"4/16",Таблица1[Ф. И. О.],B22)</f>
        <v>0</v>
      </c>
      <c r="T21" s="470">
        <f t="shared" si="2"/>
        <v>0</v>
      </c>
      <c r="U21" s="413">
        <f>база!$M$5</f>
        <v>247.41720000000001</v>
      </c>
      <c r="V21" s="367">
        <v>1.2</v>
      </c>
      <c r="W21" s="471">
        <f>SUMIFS(Таблица1[Столбец1],Таблица1[коэф],"1,2",Таблица1[р/р],"4/24",Таблица1[Ф. И. О.],B22)</f>
        <v>0</v>
      </c>
      <c r="X21" s="470">
        <f t="shared" si="3"/>
        <v>0</v>
      </c>
      <c r="Y21" s="748"/>
      <c r="Z21" s="750"/>
      <c r="AA21" s="740"/>
    </row>
    <row r="22" spans="1:29" ht="20.25" customHeight="1">
      <c r="A22" s="740"/>
      <c r="B22" s="201" t="str">
        <f>база!B3</f>
        <v>Аксенов Александр Юрьевич</v>
      </c>
      <c r="C22" s="743"/>
      <c r="D22" s="746"/>
      <c r="E22" s="414"/>
      <c r="F22" s="415"/>
      <c r="G22" s="416"/>
      <c r="H22" s="369">
        <f t="shared" si="0"/>
        <v>0</v>
      </c>
      <c r="I22" s="492"/>
      <c r="J22" s="415"/>
      <c r="K22" s="419"/>
      <c r="L22" s="372">
        <f t="shared" si="1"/>
        <v>0</v>
      </c>
      <c r="M22" s="418"/>
      <c r="N22" s="419"/>
      <c r="O22" s="419"/>
      <c r="P22" s="392"/>
      <c r="Q22" s="420">
        <f>база!$L$6</f>
        <v>261.04640000000001</v>
      </c>
      <c r="R22" s="415">
        <v>1.2</v>
      </c>
      <c r="S22" s="486">
        <f>SUMIFS(Таблица1[Столбец1],Таблица1[коэф],"1,2",Таблица1[р/р],"5/16",Таблица1[Ф. И. О.],B22)</f>
        <v>0</v>
      </c>
      <c r="T22" s="470">
        <f t="shared" si="2"/>
        <v>0</v>
      </c>
      <c r="U22" s="421">
        <f>база!$M$6</f>
        <v>279.0496</v>
      </c>
      <c r="V22" s="415">
        <v>1.2</v>
      </c>
      <c r="W22" s="475">
        <f>SUMIFS(Таблица1[Столбец1],Таблица1[коэф],"1,2",Таблица1[р/р],"5/24",Таблица1[Ф. И. О.],B22)</f>
        <v>0</v>
      </c>
      <c r="X22" s="470">
        <f t="shared" si="3"/>
        <v>0</v>
      </c>
      <c r="Y22" s="748"/>
      <c r="Z22" s="750"/>
      <c r="AA22" s="740"/>
      <c r="AC22" s="693" t="str">
        <f>IF(SUMIFS(Таблица1[Столбец3],Таблица1[Ф. И. О.],B22)-Z17=0,"",SUMIFS(Таблица1[Столбец3],Таблица1[Ф. И. О.],B22)-Z17)</f>
        <v/>
      </c>
    </row>
    <row r="23" spans="1:29" ht="20.25" customHeight="1">
      <c r="A23" s="740"/>
      <c r="B23" s="201"/>
      <c r="C23" s="743"/>
      <c r="D23" s="746"/>
      <c r="E23" s="366"/>
      <c r="F23" s="367"/>
      <c r="G23" s="377"/>
      <c r="H23" s="369">
        <f t="shared" si="0"/>
        <v>0</v>
      </c>
      <c r="I23" s="370"/>
      <c r="J23" s="367"/>
      <c r="K23" s="411"/>
      <c r="L23" s="372">
        <f t="shared" si="1"/>
        <v>0</v>
      </c>
      <c r="M23" s="409"/>
      <c r="N23" s="411"/>
      <c r="O23" s="411"/>
      <c r="P23" s="383"/>
      <c r="Q23" s="376">
        <f>IF(D17&lt;=3,база!$L$4,
IF(D17=4,база!$L$5,
IF(D17=5,база!$L$6)))</f>
        <v>210.57480000000001</v>
      </c>
      <c r="R23" s="367">
        <v>1.3</v>
      </c>
      <c r="S23" s="468">
        <f>SUMIFS(Таблица1[Столбец1],Таблица1[коэф],"1,3",Таблица1[р/р],"3/16",Таблица1[Ф. И. О.],B22)</f>
        <v>0</v>
      </c>
      <c r="T23" s="469">
        <f t="shared" si="2"/>
        <v>0</v>
      </c>
      <c r="U23" s="413">
        <f>IF(D17&lt;=3,база!$M$4,
IF(D17=4,база!$M$5,
IF(D17=5,база!$M$6)))</f>
        <v>225.09719999999999</v>
      </c>
      <c r="V23" s="367">
        <v>1.3</v>
      </c>
      <c r="W23" s="471">
        <f>SUMIFS(Таблица1[Столбец1],Таблица1[коэф],"1,3",Таблица1[р/р],"3/24",Таблица1[Ф. И. О.],B22)</f>
        <v>0</v>
      </c>
      <c r="X23" s="470">
        <f t="shared" si="3"/>
        <v>0</v>
      </c>
      <c r="Y23" s="748"/>
      <c r="Z23" s="750"/>
      <c r="AA23" s="740"/>
      <c r="AC23" s="693" t="str">
        <f>IF(SUMIFS(Таблица1[Столбец1],Таблица1[Ф. И. О.],B22)=Y17,"",B22&amp;"  часы не верны")</f>
        <v/>
      </c>
    </row>
    <row r="24" spans="1:29" ht="20.25" customHeight="1">
      <c r="A24" s="740"/>
      <c r="B24" s="201"/>
      <c r="C24" s="743"/>
      <c r="D24" s="746"/>
      <c r="E24" s="366"/>
      <c r="F24" s="367"/>
      <c r="G24" s="377"/>
      <c r="H24" s="369">
        <f t="shared" si="0"/>
        <v>0</v>
      </c>
      <c r="I24" s="370"/>
      <c r="J24" s="367"/>
      <c r="K24" s="411"/>
      <c r="L24" s="372">
        <f t="shared" si="1"/>
        <v>0</v>
      </c>
      <c r="M24" s="409"/>
      <c r="N24" s="411"/>
      <c r="O24" s="411"/>
      <c r="P24" s="383"/>
      <c r="Q24" s="376">
        <f>база!$L$5</f>
        <v>231.45480000000001</v>
      </c>
      <c r="R24" s="367">
        <v>1.3</v>
      </c>
      <c r="S24" s="468">
        <f>SUMIFS(Таблица1[Столбец1],Таблица1[коэф],"1,3",Таблица1[р/р],"4/16",Таблица1[Ф. И. О.],B22)</f>
        <v>0</v>
      </c>
      <c r="T24" s="470">
        <f t="shared" si="2"/>
        <v>0</v>
      </c>
      <c r="U24" s="413">
        <f>база!$M$5</f>
        <v>247.41720000000001</v>
      </c>
      <c r="V24" s="367">
        <v>1.3</v>
      </c>
      <c r="W24" s="471">
        <f>SUMIFS(Таблица1[Столбец1],Таблица1[коэф],"1,3",Таблица1[р/р],"4/24",Таблица1[Ф. И. О.],B22)</f>
        <v>0</v>
      </c>
      <c r="X24" s="470">
        <f t="shared" si="3"/>
        <v>0</v>
      </c>
      <c r="Y24" s="748"/>
      <c r="Z24" s="750"/>
      <c r="AA24" s="740"/>
    </row>
    <row r="25" spans="1:29" ht="20.25" customHeight="1">
      <c r="A25" s="740"/>
      <c r="B25" s="201"/>
      <c r="C25" s="743"/>
      <c r="D25" s="746"/>
      <c r="E25" s="414"/>
      <c r="F25" s="415"/>
      <c r="G25" s="416"/>
      <c r="H25" s="369">
        <f t="shared" si="0"/>
        <v>0</v>
      </c>
      <c r="I25" s="492"/>
      <c r="J25" s="415"/>
      <c r="K25" s="419"/>
      <c r="L25" s="372">
        <f t="shared" si="1"/>
        <v>0</v>
      </c>
      <c r="M25" s="418"/>
      <c r="N25" s="419"/>
      <c r="O25" s="419"/>
      <c r="P25" s="392"/>
      <c r="Q25" s="420">
        <f>IF(D17&lt;=3,база!$L$4,
IF(D17=4,база!$L$5,
IF(D17=5,база!$L$6)))</f>
        <v>210.57480000000001</v>
      </c>
      <c r="R25" s="415">
        <v>1.4</v>
      </c>
      <c r="S25" s="486">
        <f>SUMIFS(Таблица1[Столбец1],Таблица1[коэф],"1,4",Таблица1[р/р],"3/16",Таблица1[Ф. И. О.],B22)</f>
        <v>0</v>
      </c>
      <c r="T25" s="470">
        <f t="shared" si="2"/>
        <v>0</v>
      </c>
      <c r="U25" s="421">
        <f>IF(D17&lt;=3,база!$M$4,
IF(D17=4,база!$M$5,
IF(D17=5,база!$M$6)))</f>
        <v>225.09719999999999</v>
      </c>
      <c r="V25" s="415">
        <v>1.4</v>
      </c>
      <c r="W25" s="475">
        <f>SUMIFS(Таблица1[Столбец1],Таблица1[коэф],"1,4",Таблица1[р/р],"3/24",Таблица1[Ф. И. О.],B22)</f>
        <v>0</v>
      </c>
      <c r="X25" s="470">
        <f t="shared" si="3"/>
        <v>0</v>
      </c>
      <c r="Y25" s="748"/>
      <c r="Z25" s="750"/>
      <c r="AA25" s="740"/>
    </row>
    <row r="26" spans="1:29" ht="20.25" customHeight="1">
      <c r="A26" s="740"/>
      <c r="B26" s="201"/>
      <c r="C26" s="743"/>
      <c r="D26" s="746"/>
      <c r="E26" s="366"/>
      <c r="F26" s="367"/>
      <c r="G26" s="377"/>
      <c r="H26" s="379">
        <f t="shared" si="0"/>
        <v>0</v>
      </c>
      <c r="I26" s="370"/>
      <c r="J26" s="367"/>
      <c r="K26" s="411"/>
      <c r="L26" s="372">
        <f t="shared" si="1"/>
        <v>0</v>
      </c>
      <c r="M26" s="409"/>
      <c r="N26" s="411"/>
      <c r="O26" s="411"/>
      <c r="P26" s="383"/>
      <c r="Q26" s="376">
        <f>база!$L$5</f>
        <v>231.45480000000001</v>
      </c>
      <c r="R26" s="367">
        <v>1.4</v>
      </c>
      <c r="S26" s="468">
        <f>SUMIFS(Таблица1[Столбец1],Таблица1[коэф],"1,4",Таблица1[р/р],"4/16",Таблица1[Ф. И. О.],B22)</f>
        <v>0</v>
      </c>
      <c r="T26" s="470">
        <f t="shared" si="2"/>
        <v>0</v>
      </c>
      <c r="U26" s="413">
        <f>база!$M$5</f>
        <v>247.41720000000001</v>
      </c>
      <c r="V26" s="367">
        <v>1.4</v>
      </c>
      <c r="W26" s="471">
        <f>SUMIFS(Таблица1[Столбец1],Таблица1[коэф],"1,4",Таблица1[р/р],"4/24",Таблица1[Ф. И. О.],B22)</f>
        <v>0</v>
      </c>
      <c r="X26" s="470">
        <f t="shared" si="3"/>
        <v>0</v>
      </c>
      <c r="Y26" s="748"/>
      <c r="Z26" s="750"/>
      <c r="AA26" s="740"/>
    </row>
    <row r="27" spans="1:29" ht="20.25" customHeight="1" thickBot="1">
      <c r="A27" s="741"/>
      <c r="B27" s="188"/>
      <c r="C27" s="744"/>
      <c r="D27" s="747"/>
      <c r="E27" s="422"/>
      <c r="F27" s="423"/>
      <c r="G27" s="424"/>
      <c r="H27" s="445">
        <f t="shared" si="0"/>
        <v>0</v>
      </c>
      <c r="I27" s="440"/>
      <c r="J27" s="441"/>
      <c r="K27" s="434"/>
      <c r="L27" s="435">
        <f t="shared" si="1"/>
        <v>0</v>
      </c>
      <c r="M27" s="443"/>
      <c r="N27" s="434"/>
      <c r="O27" s="434"/>
      <c r="P27" s="453"/>
      <c r="Q27" s="444">
        <f>база!$L$6</f>
        <v>261.04640000000001</v>
      </c>
      <c r="R27" s="441">
        <v>1.4</v>
      </c>
      <c r="S27" s="489">
        <f>SUMIFS(Таблица1[Столбец1],Таблица1[коэф],"1,4",Таблица1[р/р],"5/16",Таблица1[Ф. И. О.],B22)</f>
        <v>0</v>
      </c>
      <c r="T27" s="490">
        <f t="shared" si="2"/>
        <v>0</v>
      </c>
      <c r="U27" s="498">
        <f>база!$M$6</f>
        <v>279.0496</v>
      </c>
      <c r="V27" s="441">
        <v>1.4</v>
      </c>
      <c r="W27" s="478">
        <f>SUMIFS(Таблица1[Столбец1],Таблица1[коэф],"1,4",Таблица1[р/р],"5/24",Таблица1[Ф. И. О.],B22)</f>
        <v>0</v>
      </c>
      <c r="X27" s="490">
        <f t="shared" si="3"/>
        <v>0</v>
      </c>
      <c r="Y27" s="749"/>
      <c r="Z27" s="751"/>
      <c r="AA27" s="741"/>
    </row>
    <row r="28" spans="1:29" ht="18.75">
      <c r="A28" s="739">
        <v>3</v>
      </c>
      <c r="B28" s="201"/>
      <c r="C28" s="742">
        <f>INDEX(база!$E$2:$E$81, MATCH(B33,база!$B$2:$B$50,0))</f>
        <v>15791</v>
      </c>
      <c r="D28" s="745">
        <f>INDEX(база!$D$2:$D$89, MATCH(B33,база!$B$2:$B$50,0))</f>
        <v>4</v>
      </c>
      <c r="E28" s="428">
        <f>IF(D28&lt;=3,база!$I$4,
IF(D28=4,база!$I$5,
IF(D28=5,база!$I$6)))</f>
        <v>207.5112</v>
      </c>
      <c r="F28" s="394">
        <v>1</v>
      </c>
      <c r="G28" s="395">
        <f>SUMIFS(Таблица1[Столбец1],Таблица1[коэф],"1",Таблица1[р/р],"2/4",Таблица1[Ф. И. О.],B33)</f>
        <v>0</v>
      </c>
      <c r="H28" s="379">
        <f t="shared" si="0"/>
        <v>0</v>
      </c>
      <c r="I28" s="458">
        <f>IF(D28&lt;=3,база!$J$4,
IF(D28=4,база!$J$5,
IF(D28=5,база!$J$6)))</f>
        <v>215.4924</v>
      </c>
      <c r="J28" s="394">
        <v>1</v>
      </c>
      <c r="K28" s="430">
        <f>SUMIFS(Таблица1[Столбец1],Таблица1[коэф],"1",Таблица1[р/р],"2/8",Таблица1[Ф. И. О.],B33)</f>
        <v>0</v>
      </c>
      <c r="L28" s="461">
        <f t="shared" si="1"/>
        <v>0</v>
      </c>
      <c r="M28" s="429"/>
      <c r="N28" s="430">
        <v>1</v>
      </c>
      <c r="O28" s="430">
        <f>SUMIFS(Data_Tech!$AM$3:$AM$67,Data_Tech!$E$3:$E$67,"1",Data_Tech!$G$3:$G$67,"3/12",Data_Tech!$F$3:$F$67,B33)</f>
        <v>0</v>
      </c>
      <c r="P28" s="430">
        <f>ROUND(M28*N28*O28,2)</f>
        <v>0</v>
      </c>
      <c r="Q28" s="393">
        <f>IF(D28&lt;=3,база!$L$4,
IF(D28=4,база!$L$5,
IF(D28=5,база!$L$6)))</f>
        <v>231.45480000000001</v>
      </c>
      <c r="R28" s="394">
        <v>1</v>
      </c>
      <c r="S28" s="472">
        <f>SUMIFS(Таблица1[Столбец1],Таблица1[коэф],"1",Таблица1[р/р],"3/16",Таблица1[Ф. И. О.],B33)</f>
        <v>0</v>
      </c>
      <c r="T28" s="469">
        <f t="shared" si="2"/>
        <v>0</v>
      </c>
      <c r="U28" s="431">
        <f>IF(D28&lt;=3,база!$M$4,
IF(D28=4,база!$M$5,
IF(D28=5,база!$M$6)))</f>
        <v>247.41720000000001</v>
      </c>
      <c r="V28" s="394">
        <v>1</v>
      </c>
      <c r="W28" s="477">
        <f>SUMIFS(Таблица1[Столбец1],Таблица1[коэф],"1",Таблица1[р/р],"3/24",Таблица1[Ф. И. О.],B33)</f>
        <v>0</v>
      </c>
      <c r="X28" s="469">
        <f t="shared" si="3"/>
        <v>0</v>
      </c>
      <c r="Y28" s="748">
        <f>SUM(G28:G38,K28:K38,O28:O38,S28:S38,W28:W38)</f>
        <v>0</v>
      </c>
      <c r="Z28" s="750">
        <f>IFERROR(SUM(H28:H38,L28:L38,T28:T38,X28:X38),"")</f>
        <v>0</v>
      </c>
      <c r="AA28" s="739"/>
    </row>
    <row r="29" spans="1:29" ht="18.75">
      <c r="A29" s="740"/>
      <c r="B29" s="201"/>
      <c r="C29" s="743"/>
      <c r="D29" s="746"/>
      <c r="E29" s="370">
        <f>IF(D28&lt;=3,база!$I$4,
IF(D28=4,база!$I$5,
IF(D28=5,база!$I$6)))</f>
        <v>207.5112</v>
      </c>
      <c r="F29" s="367">
        <v>1</v>
      </c>
      <c r="G29" s="377">
        <f>SUMIFS(Таблица1[Столбец1],Таблица1[коэф],"1",Таблица1[р/р],"3/4",Таблица1[Ф. И. О.],B33)</f>
        <v>0</v>
      </c>
      <c r="H29" s="369">
        <f t="shared" si="0"/>
        <v>0</v>
      </c>
      <c r="I29" s="366">
        <f>IF(D28&lt;=3,база!$J$4,
IF(D28=4,база!$J$5,
IF(D28=5,база!$J$6)))</f>
        <v>215.4924</v>
      </c>
      <c r="J29" s="367">
        <v>1</v>
      </c>
      <c r="K29" s="411">
        <f>SUMIFS(Таблица1[Столбец1],Таблица1[коэф],"1",Таблица1[р/р],"3/8",Таблица1[Ф. И. О.],B33)</f>
        <v>0</v>
      </c>
      <c r="L29" s="372">
        <f t="shared" si="1"/>
        <v>0</v>
      </c>
      <c r="M29" s="409"/>
      <c r="N29" s="411">
        <v>1</v>
      </c>
      <c r="O29" s="411">
        <f>SUMIFS(Data_Tech!$AM$3:$AM$67,Data_Tech!$E$3:$E$67,"1",Data_Tech!$G$3:$G$67,"4/12",Data_Tech!$F$3:$F$67,B33)</f>
        <v>0</v>
      </c>
      <c r="P29" s="411">
        <f>ROUND(M29*O29,2)</f>
        <v>0</v>
      </c>
      <c r="Q29" s="376">
        <f>база!$L$5</f>
        <v>231.45480000000001</v>
      </c>
      <c r="R29" s="367">
        <v>1</v>
      </c>
      <c r="S29" s="468">
        <f>SUMIFS(Таблица1[Столбец1],Таблица1[коэф],"1",Таблица1[р/р],"4/16",Таблица1[Ф. И. О.],B33)</f>
        <v>0</v>
      </c>
      <c r="T29" s="470">
        <f t="shared" si="2"/>
        <v>0</v>
      </c>
      <c r="U29" s="387">
        <f>база!$M$5</f>
        <v>247.41720000000001</v>
      </c>
      <c r="V29" s="367">
        <v>1</v>
      </c>
      <c r="W29" s="471">
        <f>SUMIFS(Таблица1[Столбец1],Таблица1[коэф],"1",Таблица1[р/р],"4/24",Таблица1[Ф. И. О.],B33)</f>
        <v>0</v>
      </c>
      <c r="X29" s="470">
        <f t="shared" si="3"/>
        <v>0</v>
      </c>
      <c r="Y29" s="748"/>
      <c r="Z29" s="750"/>
      <c r="AA29" s="740"/>
    </row>
    <row r="30" spans="1:29" ht="18.75">
      <c r="A30" s="740"/>
      <c r="B30" s="201"/>
      <c r="C30" s="743"/>
      <c r="D30" s="746"/>
      <c r="E30" s="370"/>
      <c r="F30" s="367"/>
      <c r="G30" s="377"/>
      <c r="H30" s="369">
        <f t="shared" si="0"/>
        <v>0</v>
      </c>
      <c r="I30" s="366"/>
      <c r="J30" s="367"/>
      <c r="K30" s="411"/>
      <c r="L30" s="372">
        <f t="shared" si="1"/>
        <v>0</v>
      </c>
      <c r="M30" s="409"/>
      <c r="N30" s="411"/>
      <c r="O30" s="411"/>
      <c r="P30" s="411"/>
      <c r="Q30" s="376">
        <f>база!$L$6</f>
        <v>261.04640000000001</v>
      </c>
      <c r="R30" s="367">
        <v>1</v>
      </c>
      <c r="S30" s="468">
        <f>SUMIFS(Таблица1[Столбец1],Таблица1[коэф],"1",Таблица1[р/р],"5/16",Таблица1[Ф. И. О.],B33)</f>
        <v>0</v>
      </c>
      <c r="T30" s="470">
        <f t="shared" si="2"/>
        <v>0</v>
      </c>
      <c r="U30" s="387">
        <f>база!$M$6</f>
        <v>279.0496</v>
      </c>
      <c r="V30" s="367">
        <v>1</v>
      </c>
      <c r="W30" s="471">
        <f>SUMIFS(Таблица1[Столбец1],Таблица1[коэф],"1",Таблица1[р/р],"5/24",Таблица1[Ф. И. О.],B33)</f>
        <v>0</v>
      </c>
      <c r="X30" s="470">
        <f t="shared" si="3"/>
        <v>0</v>
      </c>
      <c r="Y30" s="748"/>
      <c r="Z30" s="750"/>
      <c r="AA30" s="740"/>
    </row>
    <row r="31" spans="1:29" ht="18.75">
      <c r="A31" s="740"/>
      <c r="B31" s="201"/>
      <c r="C31" s="743"/>
      <c r="D31" s="746"/>
      <c r="E31" s="370"/>
      <c r="F31" s="367"/>
      <c r="G31" s="377"/>
      <c r="H31" s="369">
        <f t="shared" si="0"/>
        <v>0</v>
      </c>
      <c r="I31" s="366">
        <f>база!$J$5</f>
        <v>215.4924</v>
      </c>
      <c r="J31" s="367">
        <v>1.5</v>
      </c>
      <c r="K31" s="411">
        <f>SUMIFS(Таблица1[Столбец1],Таблица1[коэф],"1,5",Таблица1[р/р],"4/8",Таблица1[Ф. И. О.],B33)</f>
        <v>0</v>
      </c>
      <c r="L31" s="372">
        <f t="shared" si="1"/>
        <v>0</v>
      </c>
      <c r="M31" s="409"/>
      <c r="N31" s="411"/>
      <c r="O31" s="411"/>
      <c r="P31" s="411"/>
      <c r="Q31" s="376">
        <f>IF(D28&lt;=3,база!$L$4,
IF(D28=4,база!$L$5,
IF(D28=5,база!$L$6)))</f>
        <v>231.45480000000001</v>
      </c>
      <c r="R31" s="367">
        <v>1.2</v>
      </c>
      <c r="S31" s="468">
        <f>SUMIFS(Таблица1[Столбец1],Таблица1[коэф],"1,2",Таблица1[р/р],"3/16",Таблица1[Ф. И. О.],B33)</f>
        <v>0</v>
      </c>
      <c r="T31" s="470">
        <f t="shared" si="2"/>
        <v>0</v>
      </c>
      <c r="U31" s="387">
        <f>IF(D28&lt;=3,база!$M$4,
IF(D28=4,база!$M$5,
IF(D28=5,база!$M$6)))</f>
        <v>247.41720000000001</v>
      </c>
      <c r="V31" s="367">
        <v>1.2</v>
      </c>
      <c r="W31" s="471">
        <f>SUMIFS(Таблица1[Столбец1],Таблица1[коэф],"1,2",Таблица1[р/р],"3/24",Таблица1[Ф. И. О.],B33)</f>
        <v>0</v>
      </c>
      <c r="X31" s="470">
        <f t="shared" si="3"/>
        <v>0</v>
      </c>
      <c r="Y31" s="748"/>
      <c r="Z31" s="750"/>
      <c r="AA31" s="740"/>
    </row>
    <row r="32" spans="1:29" ht="18.75">
      <c r="A32" s="740"/>
      <c r="B32" s="201"/>
      <c r="C32" s="743"/>
      <c r="D32" s="746"/>
      <c r="E32" s="370"/>
      <c r="F32" s="367"/>
      <c r="G32" s="377"/>
      <c r="H32" s="379">
        <f t="shared" si="0"/>
        <v>0</v>
      </c>
      <c r="I32" s="458">
        <f>база!$J$6</f>
        <v>243.04319999999998</v>
      </c>
      <c r="J32" s="394">
        <v>1.5</v>
      </c>
      <c r="K32" s="430">
        <f>SUMIFS(Таблица1[Столбец1],Таблица1[коэф],"1,5",Таблица1[р/р],"5/8",Таблица1[Ф. И. О.],B33)</f>
        <v>0</v>
      </c>
      <c r="L32" s="461">
        <f t="shared" si="1"/>
        <v>0</v>
      </c>
      <c r="M32" s="429"/>
      <c r="N32" s="430"/>
      <c r="O32" s="430"/>
      <c r="P32" s="430"/>
      <c r="Q32" s="393">
        <f>база!$L$5</f>
        <v>231.45480000000001</v>
      </c>
      <c r="R32" s="394">
        <v>1.2</v>
      </c>
      <c r="S32" s="472">
        <f>SUMIFS(Таблица1[Столбец1],Таблица1[коэф],"1,2",Таблица1[р/р],"4/16",Таблица1[Ф. И. О.],B33)</f>
        <v>0</v>
      </c>
      <c r="T32" s="469">
        <f t="shared" si="2"/>
        <v>0</v>
      </c>
      <c r="U32" s="431">
        <f>база!$M$5</f>
        <v>247.41720000000001</v>
      </c>
      <c r="V32" s="394">
        <v>1.2</v>
      </c>
      <c r="W32" s="477">
        <f>SUMIFS(Таблица1[Столбец1],Таблица1[коэф],"1,2",Таблица1[р/р],"4/24",Таблица1[Ф. И. О.],B33)</f>
        <v>0</v>
      </c>
      <c r="X32" s="469">
        <f t="shared" si="3"/>
        <v>0</v>
      </c>
      <c r="Y32" s="748"/>
      <c r="Z32" s="750"/>
      <c r="AA32" s="740"/>
    </row>
    <row r="33" spans="1:29" ht="20.25" customHeight="1">
      <c r="A33" s="740"/>
      <c r="B33" s="201" t="str">
        <f>база!B4</f>
        <v>Аксенова Диана Владимировна</v>
      </c>
      <c r="C33" s="743"/>
      <c r="D33" s="746"/>
      <c r="E33" s="370"/>
      <c r="F33" s="367"/>
      <c r="G33" s="377"/>
      <c r="H33" s="369">
        <f t="shared" si="0"/>
        <v>0</v>
      </c>
      <c r="I33" s="366"/>
      <c r="J33" s="367"/>
      <c r="K33" s="411"/>
      <c r="L33" s="372">
        <f t="shared" si="1"/>
        <v>0</v>
      </c>
      <c r="M33" s="409"/>
      <c r="N33" s="411"/>
      <c r="O33" s="411"/>
      <c r="P33" s="411"/>
      <c r="Q33" s="376">
        <f>база!$L$6</f>
        <v>261.04640000000001</v>
      </c>
      <c r="R33" s="367">
        <v>1.2</v>
      </c>
      <c r="S33" s="468">
        <f>SUMIFS(Таблица1[Столбец1],Таблица1[коэф],"1,2",Таблица1[р/р],"5/16",Таблица1[Ф. И. О.],B33)</f>
        <v>0</v>
      </c>
      <c r="T33" s="470">
        <f t="shared" si="2"/>
        <v>0</v>
      </c>
      <c r="U33" s="387">
        <f>база!$M$6</f>
        <v>279.0496</v>
      </c>
      <c r="V33" s="367">
        <v>1.2</v>
      </c>
      <c r="W33" s="471">
        <f>SUMIFS(Таблица1[Столбец1],Таблица1[коэф],"1,2",Таблица1[р/р],"5/24",Таблица1[Ф. И. О.],B33)</f>
        <v>0</v>
      </c>
      <c r="X33" s="470">
        <f t="shared" si="3"/>
        <v>0</v>
      </c>
      <c r="Y33" s="748"/>
      <c r="Z33" s="750"/>
      <c r="AA33" s="740"/>
      <c r="AC33" s="693" t="str">
        <f>IF(SUMIFS(Таблица1[Столбец3],Таблица1[Ф. И. О.],B33)-Z28=0,"",SUMIFS(Таблица1[Столбец3],Таблица1[Ф. И. О.],B33)-Z28)</f>
        <v/>
      </c>
    </row>
    <row r="34" spans="1:29" ht="18.75">
      <c r="A34" s="740"/>
      <c r="B34" s="201"/>
      <c r="C34" s="743"/>
      <c r="D34" s="746"/>
      <c r="E34" s="370"/>
      <c r="F34" s="367"/>
      <c r="G34" s="377"/>
      <c r="H34" s="369">
        <f t="shared" si="0"/>
        <v>0</v>
      </c>
      <c r="I34" s="366"/>
      <c r="J34" s="367"/>
      <c r="K34" s="411"/>
      <c r="L34" s="372">
        <f t="shared" si="1"/>
        <v>0</v>
      </c>
      <c r="M34" s="409"/>
      <c r="N34" s="411"/>
      <c r="O34" s="411"/>
      <c r="P34" s="411"/>
      <c r="Q34" s="376">
        <f>IF(D28&lt;=3,база!$L$4,
IF(D28=4,база!$L$5,
IF(D28=5,база!$L$6)))</f>
        <v>231.45480000000001</v>
      </c>
      <c r="R34" s="367">
        <v>1.3</v>
      </c>
      <c r="S34" s="468">
        <f>SUMIFS(Таблица1[Столбец1],Таблица1[коэф],"1,3",Таблица1[р/р],"3/16",Таблица1[Ф. И. О.],B33)</f>
        <v>0</v>
      </c>
      <c r="T34" s="470">
        <f t="shared" si="2"/>
        <v>0</v>
      </c>
      <c r="U34" s="387">
        <f>IF(D28&lt;=3,база!$M$4,
IF(D28=4,база!$M$5,
IF(D28=5,база!$M$6)))</f>
        <v>247.41720000000001</v>
      </c>
      <c r="V34" s="367">
        <v>1.3</v>
      </c>
      <c r="W34" s="471">
        <f>SUMIFS(Таблица1[Столбец1],Таблица1[коэф],"1,3",Таблица1[р/р],"3/24",Таблица1[Ф. И. О.],B33)</f>
        <v>0</v>
      </c>
      <c r="X34" s="470">
        <f t="shared" si="3"/>
        <v>0</v>
      </c>
      <c r="Y34" s="748"/>
      <c r="Z34" s="750"/>
      <c r="AA34" s="740"/>
      <c r="AC34" s="693" t="str">
        <f>IF(SUMIFS(Таблица1[Столбец1],Таблица1[Ф. И. О.],B33)=Y28,"",B33&amp;"  часы не верны")</f>
        <v/>
      </c>
    </row>
    <row r="35" spans="1:29" ht="18.75">
      <c r="A35" s="740"/>
      <c r="B35" s="201"/>
      <c r="C35" s="743"/>
      <c r="D35" s="746"/>
      <c r="E35" s="370"/>
      <c r="F35" s="367"/>
      <c r="G35" s="377"/>
      <c r="H35" s="369">
        <f t="shared" si="0"/>
        <v>0</v>
      </c>
      <c r="I35" s="366"/>
      <c r="J35" s="367"/>
      <c r="K35" s="411"/>
      <c r="L35" s="372">
        <f t="shared" si="1"/>
        <v>0</v>
      </c>
      <c r="M35" s="409"/>
      <c r="N35" s="411"/>
      <c r="O35" s="411"/>
      <c r="P35" s="411"/>
      <c r="Q35" s="376">
        <f>база!$L$5</f>
        <v>231.45480000000001</v>
      </c>
      <c r="R35" s="367">
        <v>1.3</v>
      </c>
      <c r="S35" s="468">
        <f>SUMIFS(Таблица1[Столбец1],Таблица1[коэф],"1,3",Таблица1[р/р],"4/16",Таблица1[Ф. И. О.],B33)</f>
        <v>0</v>
      </c>
      <c r="T35" s="470">
        <f t="shared" si="2"/>
        <v>0</v>
      </c>
      <c r="U35" s="387">
        <f>база!$M$5</f>
        <v>247.41720000000001</v>
      </c>
      <c r="V35" s="367">
        <v>1.3</v>
      </c>
      <c r="W35" s="471">
        <f>SUMIFS(Таблица1[Столбец1],Таблица1[коэф],"1,3",Таблица1[р/р],"4/24",Таблица1[Ф. И. О.],B33)</f>
        <v>0</v>
      </c>
      <c r="X35" s="470">
        <f t="shared" si="3"/>
        <v>0</v>
      </c>
      <c r="Y35" s="748"/>
      <c r="Z35" s="750"/>
      <c r="AA35" s="740"/>
    </row>
    <row r="36" spans="1:29" ht="18.75">
      <c r="A36" s="740"/>
      <c r="B36" s="201"/>
      <c r="C36" s="743"/>
      <c r="D36" s="746"/>
      <c r="E36" s="370"/>
      <c r="F36" s="367"/>
      <c r="G36" s="377"/>
      <c r="H36" s="369">
        <f t="shared" si="0"/>
        <v>0</v>
      </c>
      <c r="I36" s="366"/>
      <c r="J36" s="367"/>
      <c r="K36" s="411"/>
      <c r="L36" s="372">
        <f t="shared" si="1"/>
        <v>0</v>
      </c>
      <c r="M36" s="409"/>
      <c r="N36" s="411"/>
      <c r="O36" s="411"/>
      <c r="P36" s="411"/>
      <c r="Q36" s="376">
        <f>IF(D28&lt;=3,база!$L$4,
IF(D28=4,база!$L$5,
IF(D28=5,база!$L$6)))</f>
        <v>231.45480000000001</v>
      </c>
      <c r="R36" s="367">
        <v>1.4</v>
      </c>
      <c r="S36" s="468">
        <f>SUMIFS(Таблица1[Столбец1],Таблица1[коэф],"1,4",Таблица1[р/р],"3/16",Таблица1[Ф. И. О.],B33)</f>
        <v>0</v>
      </c>
      <c r="T36" s="470">
        <f t="shared" si="2"/>
        <v>0</v>
      </c>
      <c r="U36" s="387">
        <f>IF(D28&lt;=3,база!$M$4,
IF(D28=4,база!$M$5,
IF(D28=5,база!$M$6)))</f>
        <v>247.41720000000001</v>
      </c>
      <c r="V36" s="367">
        <v>1.4</v>
      </c>
      <c r="W36" s="471">
        <f>SUMIFS(Таблица1[Столбец1],Таблица1[коэф],"1,4",Таблица1[р/р],"3/24",Таблица1[Ф. И. О.],B33)</f>
        <v>0</v>
      </c>
      <c r="X36" s="470">
        <f t="shared" si="3"/>
        <v>0</v>
      </c>
      <c r="Y36" s="748"/>
      <c r="Z36" s="750"/>
      <c r="AA36" s="740"/>
    </row>
    <row r="37" spans="1:29" ht="18.75">
      <c r="A37" s="740"/>
      <c r="B37" s="201"/>
      <c r="C37" s="743"/>
      <c r="D37" s="746"/>
      <c r="E37" s="370"/>
      <c r="F37" s="367"/>
      <c r="G37" s="377"/>
      <c r="H37" s="369">
        <f t="shared" si="0"/>
        <v>0</v>
      </c>
      <c r="I37" s="366"/>
      <c r="J37" s="367"/>
      <c r="K37" s="411"/>
      <c r="L37" s="372">
        <f t="shared" si="1"/>
        <v>0</v>
      </c>
      <c r="M37" s="409"/>
      <c r="N37" s="411"/>
      <c r="O37" s="411"/>
      <c r="P37" s="411"/>
      <c r="Q37" s="376">
        <f>база!$L$5</f>
        <v>231.45480000000001</v>
      </c>
      <c r="R37" s="367">
        <v>1.4</v>
      </c>
      <c r="S37" s="468">
        <f>SUMIFS(Таблица1[Столбец1],Таблица1[коэф],"1,4",Таблица1[р/р],"4/16",Таблица1[Ф. И. О.],B33)</f>
        <v>0</v>
      </c>
      <c r="T37" s="470">
        <f t="shared" si="2"/>
        <v>0</v>
      </c>
      <c r="U37" s="387">
        <f>база!$M$5</f>
        <v>247.41720000000001</v>
      </c>
      <c r="V37" s="367">
        <v>1.4</v>
      </c>
      <c r="W37" s="471">
        <f>SUMIFS(Таблица1[Столбец1],Таблица1[коэф],"1,4",Таблица1[р/р],"4/24",Таблица1[Ф. И. О.],B33)</f>
        <v>0</v>
      </c>
      <c r="X37" s="470">
        <f t="shared" si="3"/>
        <v>0</v>
      </c>
      <c r="Y37" s="748"/>
      <c r="Z37" s="750"/>
      <c r="AA37" s="740"/>
    </row>
    <row r="38" spans="1:29" ht="19.5" thickBot="1">
      <c r="A38" s="741"/>
      <c r="B38" s="201"/>
      <c r="C38" s="744"/>
      <c r="D38" s="747"/>
      <c r="E38" s="399"/>
      <c r="F38" s="380"/>
      <c r="G38" s="385"/>
      <c r="H38" s="379">
        <f t="shared" si="0"/>
        <v>0</v>
      </c>
      <c r="I38" s="422"/>
      <c r="J38" s="423"/>
      <c r="K38" s="426"/>
      <c r="L38" s="461">
        <f t="shared" si="1"/>
        <v>0</v>
      </c>
      <c r="M38" s="418"/>
      <c r="N38" s="419"/>
      <c r="O38" s="419"/>
      <c r="P38" s="419"/>
      <c r="Q38" s="420">
        <f>база!$L$6</f>
        <v>261.04640000000001</v>
      </c>
      <c r="R38" s="415">
        <v>1.4</v>
      </c>
      <c r="S38" s="486">
        <f>SUMIFS(Таблица1[Столбец1],Таблица1[коэф],"1,4",Таблица1[р/р],"5/16",Таблица1[Ф. И. О.],B33)</f>
        <v>0</v>
      </c>
      <c r="T38" s="469">
        <f t="shared" si="2"/>
        <v>0</v>
      </c>
      <c r="U38" s="496">
        <f>база!$M$6</f>
        <v>279.0496</v>
      </c>
      <c r="V38" s="415">
        <v>1.4</v>
      </c>
      <c r="W38" s="475">
        <f>SUMIFS(Таблица1[Столбец1],Таблица1[коэф],"1,4",Таблица1[р/р],"5/24",Таблица1[Ф. И. О.],B33)</f>
        <v>0</v>
      </c>
      <c r="X38" s="469">
        <f t="shared" si="3"/>
        <v>0</v>
      </c>
      <c r="Y38" s="749"/>
      <c r="Z38" s="751"/>
      <c r="AA38" s="741"/>
    </row>
    <row r="39" spans="1:29" ht="18.75">
      <c r="A39" s="739">
        <v>4</v>
      </c>
      <c r="B39" s="219"/>
      <c r="C39" s="742">
        <f>INDEX(база!$E$2:$E$81, MATCH(B44,база!$B$2:$B$50,0))</f>
        <v>15816</v>
      </c>
      <c r="D39" s="745">
        <f>INDEX(база!$D$2:$D$89, MATCH(B44,база!$B$2:$B$50,0))</f>
        <v>3</v>
      </c>
      <c r="E39" s="358">
        <f>IF(D39&lt;=3,база!$I$4,
IF(D39=4,база!$I$5,
IF(D39=5,база!$I$6)))</f>
        <v>188.7912</v>
      </c>
      <c r="F39" s="355">
        <v>1</v>
      </c>
      <c r="G39" s="364">
        <f>SUMIFS(Таблица1[Столбец1],Таблица1[коэф],"1",Таблица1[р/р],"2/4",Таблица1[Ф. И. О.],B44)</f>
        <v>0</v>
      </c>
      <c r="H39" s="357">
        <f t="shared" si="0"/>
        <v>0</v>
      </c>
      <c r="I39" s="354">
        <f>IF(D39&lt;=3,база!$J$4,
IF(D39=4,база!$J$5,
IF(D39=5,база!$J$6)))</f>
        <v>196.05240000000001</v>
      </c>
      <c r="J39" s="355">
        <v>1</v>
      </c>
      <c r="K39" s="405">
        <f>SUMIFS(Таблица1[Столбец1],Таблица1[коэф],"1",Таблица1[р/р],"2/8",Таблица1[Ф. И. О.],B44)</f>
        <v>0</v>
      </c>
      <c r="L39" s="360">
        <f t="shared" si="1"/>
        <v>0</v>
      </c>
      <c r="M39" s="403"/>
      <c r="N39" s="405">
        <v>1</v>
      </c>
      <c r="O39" s="405">
        <f>SUMIFS(Data_Tech!$AM$3:$AM$67,Data_Tech!$E$3:$E$67,"1",Data_Tech!$G$3:$G$67,"3/12",Data_Tech!$F$3:$F$67,B44)</f>
        <v>0</v>
      </c>
      <c r="P39" s="405">
        <f>ROUND(M39*N39*O39,2)</f>
        <v>0</v>
      </c>
      <c r="Q39" s="363">
        <f>IF(D39&lt;=3,база!$L$4,
IF(D39=4,база!$L$5,
IF(D39=5,база!$L$6)))</f>
        <v>210.57480000000001</v>
      </c>
      <c r="R39" s="355">
        <v>1</v>
      </c>
      <c r="S39" s="466">
        <f>SUMIFS(Таблица1[Столбец1],Таблица1[коэф],"1",Таблица1[р/р],"3/16",Таблица1[Ф. И. О.],B44)</f>
        <v>0</v>
      </c>
      <c r="T39" s="467">
        <f t="shared" si="2"/>
        <v>0</v>
      </c>
      <c r="U39" s="439">
        <f>IF(D39&lt;=3,база!$M$4,
IF(D39=4,база!$M$5,
IF(D39=5,база!$M$6)))</f>
        <v>225.09719999999999</v>
      </c>
      <c r="V39" s="355">
        <v>1</v>
      </c>
      <c r="W39" s="474">
        <f>SUMIFS(Таблица1[Столбец1],Таблица1[коэф],"1",Таблица1[р/р],"3/24",Таблица1[Ф. И. О.],B44)</f>
        <v>0</v>
      </c>
      <c r="X39" s="467">
        <f t="shared" si="3"/>
        <v>0</v>
      </c>
      <c r="Y39" s="748">
        <f>SUM(G39:G49,K39:K49,O39:O49,S39:S49,W39:W49)</f>
        <v>0</v>
      </c>
      <c r="Z39" s="750">
        <f>IFERROR(SUM(H39:H49,L39:L49,T39:T49,X39:X49),"")</f>
        <v>0</v>
      </c>
      <c r="AA39" s="740"/>
    </row>
    <row r="40" spans="1:29" ht="18.75">
      <c r="A40" s="740"/>
      <c r="B40" s="201"/>
      <c r="C40" s="743"/>
      <c r="D40" s="746"/>
      <c r="E40" s="370">
        <f>IF(D39&lt;=3,база!$I$4,
IF(D39=4,база!$I$5,
IF(D39=5,база!$I$6)))</f>
        <v>188.7912</v>
      </c>
      <c r="F40" s="367">
        <v>1</v>
      </c>
      <c r="G40" s="377">
        <f>SUMIFS(Таблица1[Столбец1],Таблица1[коэф],"1",Таблица1[р/р],"3/4",Таблица1[Ф. И. О.],B44)</f>
        <v>0</v>
      </c>
      <c r="H40" s="369">
        <f t="shared" si="0"/>
        <v>0</v>
      </c>
      <c r="I40" s="366">
        <f>IF(D39&lt;=3,база!$J$4,
IF(D39=4,база!$J$5,
IF(D39=5,база!$J$6)))</f>
        <v>196.05240000000001</v>
      </c>
      <c r="J40" s="367">
        <v>1</v>
      </c>
      <c r="K40" s="411">
        <f>SUMIFS(Таблица1[Столбец1],Таблица1[коэф],"1",Таблица1[р/р],"3/8",Таблица1[Ф. И. О.],B44)</f>
        <v>0</v>
      </c>
      <c r="L40" s="372">
        <f t="shared" si="1"/>
        <v>0</v>
      </c>
      <c r="M40" s="409"/>
      <c r="N40" s="411">
        <v>1</v>
      </c>
      <c r="O40" s="411">
        <f>SUMIFS(Data_Tech!$AM$3:$AM$67,Data_Tech!$E$3:$E$67,"1",Data_Tech!$G$3:$G$67,"4/12",Data_Tech!$F$3:$F$67,B44)</f>
        <v>0</v>
      </c>
      <c r="P40" s="411">
        <f>ROUND(M40*O40,2)</f>
        <v>0</v>
      </c>
      <c r="Q40" s="376">
        <f>база!$L$5</f>
        <v>231.45480000000001</v>
      </c>
      <c r="R40" s="367">
        <v>1</v>
      </c>
      <c r="S40" s="468">
        <f>SUMIFS(Таблица1[Столбец1],Таблица1[коэф],"1",Таблица1[р/р],"4/16",Таблица1[Ф. И. О.],B44)</f>
        <v>0</v>
      </c>
      <c r="T40" s="470">
        <f t="shared" si="2"/>
        <v>0</v>
      </c>
      <c r="U40" s="387">
        <f>база!$M$5</f>
        <v>247.41720000000001</v>
      </c>
      <c r="V40" s="367">
        <v>1</v>
      </c>
      <c r="W40" s="471">
        <f>SUMIFS(Таблица1[Столбец1],Таблица1[коэф],"1",Таблица1[р/р],"4/24",Таблица1[Ф. И. О.],B44)</f>
        <v>0</v>
      </c>
      <c r="X40" s="470">
        <f t="shared" si="3"/>
        <v>0</v>
      </c>
      <c r="Y40" s="748"/>
      <c r="Z40" s="750"/>
      <c r="AA40" s="740"/>
    </row>
    <row r="41" spans="1:29" ht="18.75">
      <c r="A41" s="740"/>
      <c r="B41" s="201"/>
      <c r="C41" s="743"/>
      <c r="D41" s="746"/>
      <c r="E41" s="370"/>
      <c r="F41" s="367"/>
      <c r="G41" s="377"/>
      <c r="H41" s="369">
        <f t="shared" si="0"/>
        <v>0</v>
      </c>
      <c r="I41" s="366"/>
      <c r="J41" s="367"/>
      <c r="K41" s="411"/>
      <c r="L41" s="372">
        <f t="shared" si="1"/>
        <v>0</v>
      </c>
      <c r="M41" s="409"/>
      <c r="N41" s="411"/>
      <c r="O41" s="411"/>
      <c r="P41" s="411"/>
      <c r="Q41" s="376">
        <f>база!$L$6</f>
        <v>261.04640000000001</v>
      </c>
      <c r="R41" s="367">
        <v>1</v>
      </c>
      <c r="S41" s="468">
        <f>SUMIFS(Таблица1[Столбец1],Таблица1[коэф],"1",Таблица1[р/р],"5/16",Таблица1[Ф. И. О.],B44)</f>
        <v>0</v>
      </c>
      <c r="T41" s="470">
        <f t="shared" si="2"/>
        <v>0</v>
      </c>
      <c r="U41" s="387">
        <f>база!$M$6</f>
        <v>279.0496</v>
      </c>
      <c r="V41" s="367">
        <v>1</v>
      </c>
      <c r="W41" s="471">
        <f>SUMIFS(Таблица1[Столбец1],Таблица1[коэф],"1",Таблица1[р/р],"5/24",Таблица1[Ф. И. О.],B44)</f>
        <v>0</v>
      </c>
      <c r="X41" s="470">
        <f t="shared" si="3"/>
        <v>0</v>
      </c>
      <c r="Y41" s="748"/>
      <c r="Z41" s="750"/>
      <c r="AA41" s="740"/>
    </row>
    <row r="42" spans="1:29" ht="18.75">
      <c r="A42" s="740"/>
      <c r="B42" s="201"/>
      <c r="C42" s="743"/>
      <c r="D42" s="746"/>
      <c r="E42" s="370"/>
      <c r="F42" s="367"/>
      <c r="G42" s="377"/>
      <c r="H42" s="369">
        <f t="shared" si="0"/>
        <v>0</v>
      </c>
      <c r="I42" s="366">
        <f>база!$J$5</f>
        <v>215.4924</v>
      </c>
      <c r="J42" s="367">
        <v>1.5</v>
      </c>
      <c r="K42" s="411">
        <f>SUMIFS(Таблица1[Столбец1],Таблица1[коэф],"1,5",Таблица1[р/р],"4/8",Таблица1[Ф. И. О.],B44)</f>
        <v>0</v>
      </c>
      <c r="L42" s="372">
        <f t="shared" si="1"/>
        <v>0</v>
      </c>
      <c r="M42" s="409"/>
      <c r="N42" s="411"/>
      <c r="O42" s="411"/>
      <c r="P42" s="411"/>
      <c r="Q42" s="376">
        <f>IF(D39&lt;=3,база!$L$4,
IF(D39=4,база!$L$5,
IF(D39=5,база!$L$6)))</f>
        <v>210.57480000000001</v>
      </c>
      <c r="R42" s="367">
        <v>1.2</v>
      </c>
      <c r="S42" s="468">
        <f>SUMIFS(Таблица1[Столбец1],Таблица1[коэф],"1,2",Таблица1[р/р],"3/16",Таблица1[Ф. И. О.],B44)</f>
        <v>0</v>
      </c>
      <c r="T42" s="470">
        <f t="shared" si="2"/>
        <v>0</v>
      </c>
      <c r="U42" s="387">
        <f>IF(D39&lt;=3,база!$M$4,
IF(D39=4,база!$M$5,
IF(D39=5,база!$M$6)))</f>
        <v>225.09719999999999</v>
      </c>
      <c r="V42" s="367">
        <v>1.2</v>
      </c>
      <c r="W42" s="471">
        <f>SUMIFS(Таблица1[Столбец1],Таблица1[коэф],"1,2",Таблица1[р/р],"3/24",Таблица1[Ф. И. О.],B44)</f>
        <v>0</v>
      </c>
      <c r="X42" s="470">
        <f t="shared" si="3"/>
        <v>0</v>
      </c>
      <c r="Y42" s="748"/>
      <c r="Z42" s="750"/>
      <c r="AA42" s="740"/>
    </row>
    <row r="43" spans="1:29" ht="18.75">
      <c r="A43" s="740"/>
      <c r="B43" s="201"/>
      <c r="C43" s="743"/>
      <c r="D43" s="746"/>
      <c r="E43" s="370"/>
      <c r="F43" s="367"/>
      <c r="G43" s="377"/>
      <c r="H43" s="369">
        <f t="shared" si="0"/>
        <v>0</v>
      </c>
      <c r="I43" s="366">
        <f>база!$J$6</f>
        <v>243.04319999999998</v>
      </c>
      <c r="J43" s="367">
        <v>1.5</v>
      </c>
      <c r="K43" s="411">
        <f>SUMIFS(Таблица1[Столбец1],Таблица1[коэф],"1,5",Таблица1[р/р],"5/8",Таблица1[Ф. И. О.],B44)</f>
        <v>0</v>
      </c>
      <c r="L43" s="372">
        <f t="shared" si="1"/>
        <v>0</v>
      </c>
      <c r="M43" s="409"/>
      <c r="N43" s="411"/>
      <c r="O43" s="411"/>
      <c r="P43" s="411"/>
      <c r="Q43" s="376">
        <f>база!$L$5</f>
        <v>231.45480000000001</v>
      </c>
      <c r="R43" s="367">
        <v>1.2</v>
      </c>
      <c r="S43" s="468">
        <f>SUMIFS(Таблица1[Столбец1],Таблица1[коэф],"1,2",Таблица1[р/р],"4/16",Таблица1[Ф. И. О.],B44)</f>
        <v>0</v>
      </c>
      <c r="T43" s="470">
        <f t="shared" si="2"/>
        <v>0</v>
      </c>
      <c r="U43" s="387">
        <f>база!$M$5</f>
        <v>247.41720000000001</v>
      </c>
      <c r="V43" s="367">
        <v>1.2</v>
      </c>
      <c r="W43" s="471">
        <f>SUMIFS(Таблица1[Столбец1],Таблица1[коэф],"1,2",Таблица1[р/р],"4/24",Таблица1[Ф. И. О.],B44)</f>
        <v>0</v>
      </c>
      <c r="X43" s="470">
        <f t="shared" si="3"/>
        <v>0</v>
      </c>
      <c r="Y43" s="748"/>
      <c r="Z43" s="750"/>
      <c r="AA43" s="740"/>
    </row>
    <row r="44" spans="1:29" ht="18.75">
      <c r="A44" s="740"/>
      <c r="B44" s="201" t="str">
        <f>база!B5</f>
        <v>Александрович Екатерина Сергеевна</v>
      </c>
      <c r="C44" s="743"/>
      <c r="D44" s="746"/>
      <c r="E44" s="370"/>
      <c r="F44" s="367"/>
      <c r="G44" s="377"/>
      <c r="H44" s="369">
        <f t="shared" si="0"/>
        <v>0</v>
      </c>
      <c r="I44" s="366"/>
      <c r="J44" s="367"/>
      <c r="K44" s="411"/>
      <c r="L44" s="372">
        <f t="shared" si="1"/>
        <v>0</v>
      </c>
      <c r="M44" s="409"/>
      <c r="N44" s="411"/>
      <c r="O44" s="411"/>
      <c r="P44" s="411"/>
      <c r="Q44" s="376">
        <f>база!$L$6</f>
        <v>261.04640000000001</v>
      </c>
      <c r="R44" s="367">
        <v>1.2</v>
      </c>
      <c r="S44" s="468">
        <f>SUMIFS(Таблица1[Столбец1],Таблица1[коэф],"1,2",Таблица1[р/р],"5/16",Таблица1[Ф. И. О.],B44)</f>
        <v>0</v>
      </c>
      <c r="T44" s="470">
        <f t="shared" si="2"/>
        <v>0</v>
      </c>
      <c r="U44" s="387">
        <f>база!$M$6</f>
        <v>279.0496</v>
      </c>
      <c r="V44" s="367">
        <v>1.2</v>
      </c>
      <c r="W44" s="471">
        <f>SUMIFS(Таблица1[Столбец1],Таблица1[коэф],"1,2",Таблица1[р/р],"5/24",Таблица1[Ф. И. О.],B44)</f>
        <v>0</v>
      </c>
      <c r="X44" s="470">
        <f t="shared" si="3"/>
        <v>0</v>
      </c>
      <c r="Y44" s="748"/>
      <c r="Z44" s="750"/>
      <c r="AA44" s="740"/>
      <c r="AC44" s="693" t="str">
        <f>IF(SUMIFS(Таблица1[Столбец3],Таблица1[Ф. И. О.],B44)-Z39=0,"",SUMIFS(Таблица1[Столбец3],Таблица1[Ф. И. О.],B44)-Z39)</f>
        <v/>
      </c>
    </row>
    <row r="45" spans="1:29" ht="18.75">
      <c r="A45" s="740"/>
      <c r="B45" s="201"/>
      <c r="C45" s="743"/>
      <c r="D45" s="746"/>
      <c r="E45" s="370"/>
      <c r="F45" s="367"/>
      <c r="G45" s="377"/>
      <c r="H45" s="369">
        <f t="shared" si="0"/>
        <v>0</v>
      </c>
      <c r="I45" s="366"/>
      <c r="J45" s="367"/>
      <c r="K45" s="411"/>
      <c r="L45" s="372">
        <f t="shared" si="1"/>
        <v>0</v>
      </c>
      <c r="M45" s="409"/>
      <c r="N45" s="411"/>
      <c r="O45" s="411"/>
      <c r="P45" s="411"/>
      <c r="Q45" s="376">
        <f>IF(D39&lt;=3,база!$L$4,
IF(D39=4,база!$L$5,
IF(D39=5,база!$L$6)))</f>
        <v>210.57480000000001</v>
      </c>
      <c r="R45" s="367">
        <v>1.3</v>
      </c>
      <c r="S45" s="468">
        <f>SUMIFS(Таблица1[Столбец1],Таблица1[коэф],"1,3",Таблица1[р/р],"3/16",Таблица1[Ф. И. О.],B44)</f>
        <v>0</v>
      </c>
      <c r="T45" s="470">
        <f t="shared" si="2"/>
        <v>0</v>
      </c>
      <c r="U45" s="387">
        <f>IF(D39&lt;=3,база!$M$4,
IF(D39=4,база!$M$5,
IF(D39=5,база!$M$6)))</f>
        <v>225.09719999999999</v>
      </c>
      <c r="V45" s="367">
        <v>1.3</v>
      </c>
      <c r="W45" s="471">
        <f>SUMIFS(Таблица1[Столбец1],Таблица1[коэф],"1,3",Таблица1[р/р],"3/24",Таблица1[Ф. И. О.],B44)</f>
        <v>0</v>
      </c>
      <c r="X45" s="470">
        <f t="shared" si="3"/>
        <v>0</v>
      </c>
      <c r="Y45" s="748"/>
      <c r="Z45" s="750"/>
      <c r="AA45" s="740"/>
      <c r="AC45" s="693" t="str">
        <f>IF(SUMIFS(Таблица1[Столбец1],Таблица1[Ф. И. О.],B44)=Y39,"",B44&amp;"  часы не верны")</f>
        <v/>
      </c>
    </row>
    <row r="46" spans="1:29" ht="18.75">
      <c r="A46" s="740"/>
      <c r="B46" s="201"/>
      <c r="C46" s="743"/>
      <c r="D46" s="746"/>
      <c r="E46" s="370"/>
      <c r="F46" s="367"/>
      <c r="G46" s="377"/>
      <c r="H46" s="369">
        <f t="shared" si="0"/>
        <v>0</v>
      </c>
      <c r="I46" s="366"/>
      <c r="J46" s="367"/>
      <c r="K46" s="411"/>
      <c r="L46" s="372">
        <f t="shared" si="1"/>
        <v>0</v>
      </c>
      <c r="M46" s="409"/>
      <c r="N46" s="411"/>
      <c r="O46" s="411"/>
      <c r="P46" s="411"/>
      <c r="Q46" s="376">
        <f>база!$L$5</f>
        <v>231.45480000000001</v>
      </c>
      <c r="R46" s="367">
        <v>1.3</v>
      </c>
      <c r="S46" s="468">
        <f>SUMIFS(Таблица1[Столбец1],Таблица1[коэф],"1,3",Таблица1[р/р],"4/16",Таблица1[Ф. И. О.],B44)</f>
        <v>0</v>
      </c>
      <c r="T46" s="470">
        <f t="shared" si="2"/>
        <v>0</v>
      </c>
      <c r="U46" s="387">
        <f>база!$M$5</f>
        <v>247.41720000000001</v>
      </c>
      <c r="V46" s="367">
        <v>1.3</v>
      </c>
      <c r="W46" s="471">
        <f>SUMIFS(Таблица1[Столбец1],Таблица1[коэф],"1,3",Таблица1[р/р],"4/24",Таблица1[Ф. И. О.],B44)</f>
        <v>0</v>
      </c>
      <c r="X46" s="470">
        <f t="shared" si="3"/>
        <v>0</v>
      </c>
      <c r="Y46" s="748"/>
      <c r="Z46" s="750"/>
      <c r="AA46" s="740"/>
    </row>
    <row r="47" spans="1:29" ht="18.75">
      <c r="A47" s="740"/>
      <c r="B47" s="201"/>
      <c r="C47" s="743"/>
      <c r="D47" s="746"/>
      <c r="E47" s="370"/>
      <c r="F47" s="367"/>
      <c r="G47" s="377"/>
      <c r="H47" s="369">
        <f t="shared" si="0"/>
        <v>0</v>
      </c>
      <c r="I47" s="366"/>
      <c r="J47" s="367"/>
      <c r="K47" s="411"/>
      <c r="L47" s="372">
        <f t="shared" si="1"/>
        <v>0</v>
      </c>
      <c r="M47" s="409"/>
      <c r="N47" s="411"/>
      <c r="O47" s="411"/>
      <c r="P47" s="411"/>
      <c r="Q47" s="376">
        <f>IF(D39&lt;=3,база!$L$4,
IF(D39=4,база!$L$5,
IF(D39=5,база!$L$6)))</f>
        <v>210.57480000000001</v>
      </c>
      <c r="R47" s="367">
        <v>1.4</v>
      </c>
      <c r="S47" s="468">
        <f>SUMIFS(Таблица1[Столбец1],Таблица1[коэф],"1,4",Таблица1[р/р],"3/16",Таблица1[Ф. И. О.],B44)</f>
        <v>0</v>
      </c>
      <c r="T47" s="470">
        <f t="shared" si="2"/>
        <v>0</v>
      </c>
      <c r="U47" s="387">
        <f>IF(D39&lt;=3,база!$M$4,
IF(D39=4,база!$M$5,
IF(D39=5,база!$M$6)))</f>
        <v>225.09719999999999</v>
      </c>
      <c r="V47" s="367">
        <v>1.4</v>
      </c>
      <c r="W47" s="471">
        <f>SUMIFS(Таблица1[Столбец1],Таблица1[коэф],"1,4",Таблица1[р/р],"3/24",Таблица1[Ф. И. О.],B44)</f>
        <v>0</v>
      </c>
      <c r="X47" s="470">
        <f t="shared" si="3"/>
        <v>0</v>
      </c>
      <c r="Y47" s="748"/>
      <c r="Z47" s="750"/>
      <c r="AA47" s="740"/>
    </row>
    <row r="48" spans="1:29" ht="18.75">
      <c r="A48" s="740"/>
      <c r="B48" s="201"/>
      <c r="C48" s="743"/>
      <c r="D48" s="746"/>
      <c r="E48" s="370"/>
      <c r="F48" s="367"/>
      <c r="G48" s="377"/>
      <c r="H48" s="369">
        <f t="shared" si="0"/>
        <v>0</v>
      </c>
      <c r="I48" s="366"/>
      <c r="J48" s="367"/>
      <c r="K48" s="411"/>
      <c r="L48" s="372">
        <f t="shared" si="1"/>
        <v>0</v>
      </c>
      <c r="M48" s="409"/>
      <c r="N48" s="411"/>
      <c r="O48" s="411"/>
      <c r="P48" s="411"/>
      <c r="Q48" s="376">
        <f>база!$L$5</f>
        <v>231.45480000000001</v>
      </c>
      <c r="R48" s="367">
        <v>1.4</v>
      </c>
      <c r="S48" s="468">
        <f>SUMIFS(Таблица1[Столбец1],Таблица1[коэф],"1,4",Таблица1[р/р],"4/16",Таблица1[Ф. И. О.],B44)</f>
        <v>0</v>
      </c>
      <c r="T48" s="470">
        <f t="shared" si="2"/>
        <v>0</v>
      </c>
      <c r="U48" s="387">
        <f>база!$M$5</f>
        <v>247.41720000000001</v>
      </c>
      <c r="V48" s="367">
        <v>1.4</v>
      </c>
      <c r="W48" s="471">
        <f>SUMIFS(Таблица1[Столбец1],Таблица1[коэф],"1,4",Таблица1[р/р],"4/24",Таблица1[Ф. И. О.],B44)</f>
        <v>0</v>
      </c>
      <c r="X48" s="470">
        <f t="shared" si="3"/>
        <v>0</v>
      </c>
      <c r="Y48" s="748"/>
      <c r="Z48" s="750"/>
      <c r="AA48" s="740"/>
    </row>
    <row r="49" spans="1:29" ht="19.5" thickBot="1">
      <c r="A49" s="741"/>
      <c r="B49" s="188"/>
      <c r="C49" s="744"/>
      <c r="D49" s="747"/>
      <c r="E49" s="440"/>
      <c r="F49" s="441"/>
      <c r="G49" s="442"/>
      <c r="H49" s="379">
        <f t="shared" si="0"/>
        <v>0</v>
      </c>
      <c r="I49" s="422"/>
      <c r="J49" s="423"/>
      <c r="K49" s="426"/>
      <c r="L49" s="461">
        <f t="shared" si="1"/>
        <v>0</v>
      </c>
      <c r="M49" s="425"/>
      <c r="N49" s="426"/>
      <c r="O49" s="426"/>
      <c r="P49" s="426"/>
      <c r="Q49" s="427">
        <f>база!$L$6</f>
        <v>261.04640000000001</v>
      </c>
      <c r="R49" s="423">
        <v>1.4</v>
      </c>
      <c r="S49" s="488">
        <f>SUMIFS(Таблица1[Столбец1],Таблица1[коэф],"1,4",Таблица1[р/р],"5/16",Таблица1[Ф. И. О.],B44)</f>
        <v>0</v>
      </c>
      <c r="T49" s="469">
        <f t="shared" si="2"/>
        <v>0</v>
      </c>
      <c r="U49" s="497">
        <f>база!$M$6</f>
        <v>279.0496</v>
      </c>
      <c r="V49" s="423">
        <v>1.4</v>
      </c>
      <c r="W49" s="476">
        <f>SUMIFS(Таблица1[Столбец1],Таблица1[коэф],"1,4",Таблица1[р/р],"5/24",Таблица1[Ф. И. О.],B44)</f>
        <v>0</v>
      </c>
      <c r="X49" s="469">
        <f t="shared" si="3"/>
        <v>0</v>
      </c>
      <c r="Y49" s="749"/>
      <c r="Z49" s="751"/>
      <c r="AA49" s="741"/>
    </row>
    <row r="50" spans="1:29" ht="18.75">
      <c r="A50" s="739">
        <v>5</v>
      </c>
      <c r="B50" s="201"/>
      <c r="C50" s="778">
        <f>INDEX(база!$E$2:$E$81, MATCH(B55,база!$B$2:$B$50,0))</f>
        <v>16475</v>
      </c>
      <c r="D50" s="778">
        <f>INDEX(база!$D$2:$D$89, MATCH(B55,база!$B$2:$B$50,0))</f>
        <v>3</v>
      </c>
      <c r="E50" s="354">
        <f>IF(D50&lt;=3,база!$I$4,
IF(D50=4,база!$I$5,
IF(D50=5,база!$I$6)))</f>
        <v>188.7912</v>
      </c>
      <c r="F50" s="355">
        <v>1</v>
      </c>
      <c r="G50" s="364">
        <f>SUMIFS(Таблица1[Столбец1],Таблица1[коэф],"1",Таблица1[р/р],"2/4",Таблица1[Ф. И. О.],B55)</f>
        <v>0</v>
      </c>
      <c r="H50" s="357">
        <f t="shared" si="0"/>
        <v>0</v>
      </c>
      <c r="I50" s="358">
        <f>IF(D50&lt;=3,база!$J$4,
IF(D50=4,база!$J$5,
IF(D50=5,база!$J$6)))</f>
        <v>196.05240000000001</v>
      </c>
      <c r="J50" s="355">
        <v>1</v>
      </c>
      <c r="K50" s="405">
        <f>SUMIFS(Таблица1[Столбец1],Таблица1[коэф],"1",Таблица1[р/р],"2/8",Таблица1[Ф. И. О.],B55)</f>
        <v>0</v>
      </c>
      <c r="L50" s="360">
        <f t="shared" si="1"/>
        <v>0</v>
      </c>
      <c r="M50" s="403"/>
      <c r="N50" s="405">
        <v>1</v>
      </c>
      <c r="O50" s="405">
        <f>SUMIFS(Data_Tech!$AM$3:$AM$67,Data_Tech!$E$3:$E$67,"1",Data_Tech!$G$3:$G$67,"3/12",Data_Tech!$F$3:$F$67,B55)</f>
        <v>0</v>
      </c>
      <c r="P50" s="405">
        <f>ROUND(M50*N50*O50,2)</f>
        <v>0</v>
      </c>
      <c r="Q50" s="363">
        <f>IF(D50&lt;=3,база!$L$4,
IF(D50=4,база!$L$5,
IF(D50=5,база!$L$6)))</f>
        <v>210.57480000000001</v>
      </c>
      <c r="R50" s="355">
        <v>1</v>
      </c>
      <c r="S50" s="466">
        <f>SUMIFS(Таблица1[Столбец1],Таблица1[коэф],"1",Таблица1[р/р],"3/16",Таблица1[Ф. И. О.],B55)</f>
        <v>0</v>
      </c>
      <c r="T50" s="467">
        <f t="shared" si="2"/>
        <v>0</v>
      </c>
      <c r="U50" s="448">
        <f>IF(D50&lt;=3,база!$M$4,
IF(D50=4,база!$M$5,
IF(D50=5,база!$M$6)))</f>
        <v>225.09719999999999</v>
      </c>
      <c r="V50" s="355">
        <v>1</v>
      </c>
      <c r="W50" s="474">
        <f>SUMIFS(Таблица1[Столбец1],Таблица1[коэф],"1",Таблица1[р/р],"3/24",Таблица1[Ф. И. О.],B55)</f>
        <v>0</v>
      </c>
      <c r="X50" s="467">
        <f t="shared" si="3"/>
        <v>0</v>
      </c>
      <c r="Y50" s="748">
        <f>SUM(G50:G60,K50:K60,O50:O60,S50:S60,W50:W60)</f>
        <v>0</v>
      </c>
      <c r="Z50" s="750">
        <f>IFERROR(SUM(H50:H60,L50:L60,T50:T60,X50:X60),"")</f>
        <v>0</v>
      </c>
      <c r="AA50" s="739"/>
    </row>
    <row r="51" spans="1:29" ht="18.75">
      <c r="A51" s="740"/>
      <c r="B51" s="201"/>
      <c r="C51" s="779"/>
      <c r="D51" s="779"/>
      <c r="E51" s="366">
        <f>IF(D50&lt;=3,база!$I$4,
IF(D50=4,база!$I$5,
IF(D50=5,база!$I$6)))</f>
        <v>188.7912</v>
      </c>
      <c r="F51" s="367">
        <v>1</v>
      </c>
      <c r="G51" s="377">
        <f>SUMIFS(Таблица1[Столбец1],Таблица1[коэф],"1",Таблица1[р/р],"3/4",Таблица1[Ф. И. О.],B55)</f>
        <v>0</v>
      </c>
      <c r="H51" s="369">
        <f t="shared" si="0"/>
        <v>0</v>
      </c>
      <c r="I51" s="428">
        <f>IF(D50&lt;=3,база!$J$4,
IF(D50=4,база!$J$5,
IF(D50=5,база!$J$6)))</f>
        <v>196.05240000000001</v>
      </c>
      <c r="J51" s="394">
        <v>1</v>
      </c>
      <c r="K51" s="430">
        <f>SUMIFS(Таблица1[Столбец1],Таблица1[коэф],"1",Таблица1[р/р],"3/8",Таблица1[Ф. И. О.],B55)</f>
        <v>0</v>
      </c>
      <c r="L51" s="372">
        <f t="shared" si="1"/>
        <v>0</v>
      </c>
      <c r="M51" s="429"/>
      <c r="N51" s="430">
        <v>1</v>
      </c>
      <c r="O51" s="430">
        <f>SUMIFS(Data_Tech!$AM$3:$AM$67,Data_Tech!$E$3:$E$67,"1",Data_Tech!$G$3:$G$67,"4/12",Data_Tech!$F$3:$F$67,B55)</f>
        <v>0</v>
      </c>
      <c r="P51" s="430">
        <f>ROUND(M51*O51,2)</f>
        <v>0</v>
      </c>
      <c r="Q51" s="393">
        <f>база!$L$5</f>
        <v>231.45480000000001</v>
      </c>
      <c r="R51" s="394">
        <v>1</v>
      </c>
      <c r="S51" s="472">
        <f>SUMIFS(Таблица1[Столбец1],Таблица1[коэф],"1",Таблица1[р/р],"4/16",Таблица1[Ф. И. О.],B55)</f>
        <v>0</v>
      </c>
      <c r="T51" s="470">
        <f t="shared" si="2"/>
        <v>0</v>
      </c>
      <c r="U51" s="462">
        <f>база!$M$5</f>
        <v>247.41720000000001</v>
      </c>
      <c r="V51" s="394">
        <v>1</v>
      </c>
      <c r="W51" s="477">
        <f>SUMIFS(Таблица1[Столбец1],Таблица1[коэф],"1",Таблица1[р/р],"4/24",Таблица1[Ф. И. О.],B55)</f>
        <v>0</v>
      </c>
      <c r="X51" s="470">
        <f t="shared" si="3"/>
        <v>0</v>
      </c>
      <c r="Y51" s="748"/>
      <c r="Z51" s="750"/>
      <c r="AA51" s="740"/>
    </row>
    <row r="52" spans="1:29" ht="18.75">
      <c r="A52" s="740"/>
      <c r="B52" s="201"/>
      <c r="C52" s="779"/>
      <c r="D52" s="779"/>
      <c r="E52" s="366"/>
      <c r="F52" s="367"/>
      <c r="G52" s="377"/>
      <c r="H52" s="369">
        <f t="shared" si="0"/>
        <v>0</v>
      </c>
      <c r="I52" s="370"/>
      <c r="J52" s="367"/>
      <c r="K52" s="411"/>
      <c r="L52" s="372">
        <f t="shared" si="1"/>
        <v>0</v>
      </c>
      <c r="M52" s="409"/>
      <c r="N52" s="411"/>
      <c r="O52" s="411"/>
      <c r="P52" s="411"/>
      <c r="Q52" s="376">
        <f>база!$L$6</f>
        <v>261.04640000000001</v>
      </c>
      <c r="R52" s="367">
        <v>1</v>
      </c>
      <c r="S52" s="468">
        <f>SUMIFS(Таблица1[Столбец1],Таблица1[коэф],"1",Таблица1[р/р],"5/16",Таблица1[Ф. И. О.],B55)</f>
        <v>0</v>
      </c>
      <c r="T52" s="470">
        <f t="shared" si="2"/>
        <v>0</v>
      </c>
      <c r="U52" s="449">
        <f>база!$M$6</f>
        <v>279.0496</v>
      </c>
      <c r="V52" s="367">
        <v>1</v>
      </c>
      <c r="W52" s="471">
        <f>SUMIFS(Таблица1[Столбец1],Таблица1[коэф],"1",Таблица1[р/р],"5/24",Таблица1[Ф. И. О.],B55)</f>
        <v>0</v>
      </c>
      <c r="X52" s="470">
        <f t="shared" si="3"/>
        <v>0</v>
      </c>
      <c r="Y52" s="748"/>
      <c r="Z52" s="750"/>
      <c r="AA52" s="740"/>
    </row>
    <row r="53" spans="1:29" ht="18.75">
      <c r="A53" s="740"/>
      <c r="B53" s="201"/>
      <c r="C53" s="779"/>
      <c r="D53" s="779"/>
      <c r="E53" s="366"/>
      <c r="F53" s="367"/>
      <c r="G53" s="377"/>
      <c r="H53" s="369">
        <f t="shared" si="0"/>
        <v>0</v>
      </c>
      <c r="I53" s="370">
        <f>база!$J$5</f>
        <v>215.4924</v>
      </c>
      <c r="J53" s="367">
        <v>1.5</v>
      </c>
      <c r="K53" s="411">
        <f>SUMIFS(Таблица1[Столбец1],Таблица1[коэф],"1,5",Таблица1[р/р],"4/8",Таблица1[Ф. И. О.],B55)</f>
        <v>0</v>
      </c>
      <c r="L53" s="461">
        <f t="shared" si="1"/>
        <v>0</v>
      </c>
      <c r="M53" s="409"/>
      <c r="N53" s="411"/>
      <c r="O53" s="411"/>
      <c r="P53" s="411"/>
      <c r="Q53" s="376">
        <f>IF(D50&lt;=3,база!$L$4,
IF(D50=4,база!$L$5,
IF(D50=5,база!$L$6)))</f>
        <v>210.57480000000001</v>
      </c>
      <c r="R53" s="367">
        <v>1.2</v>
      </c>
      <c r="S53" s="468">
        <f>SUMIFS(Таблица1[Столбец1],Таблица1[коэф],"1,2",Таблица1[р/р],"3/16",Таблица1[Ф. И. О.],B55)</f>
        <v>0</v>
      </c>
      <c r="T53" s="470">
        <f t="shared" si="2"/>
        <v>0</v>
      </c>
      <c r="U53" s="449">
        <f>IF(D50&lt;=3,база!$M$4,
IF(D50=4,база!$M$5,
IF(D50=5,база!$M$6)))</f>
        <v>225.09719999999999</v>
      </c>
      <c r="V53" s="367">
        <v>1.2</v>
      </c>
      <c r="W53" s="471">
        <f>SUMIFS(Таблица1[Столбец1],Таблица1[коэф],"1,2",Таблица1[р/р],"3/24",Таблица1[Ф. И. О.],B55)</f>
        <v>0</v>
      </c>
      <c r="X53" s="470">
        <f t="shared" si="3"/>
        <v>0</v>
      </c>
      <c r="Y53" s="748"/>
      <c r="Z53" s="750"/>
      <c r="AA53" s="740"/>
    </row>
    <row r="54" spans="1:29" ht="18.75">
      <c r="A54" s="740"/>
      <c r="B54" s="201"/>
      <c r="C54" s="779"/>
      <c r="D54" s="779"/>
      <c r="E54" s="366"/>
      <c r="F54" s="367"/>
      <c r="G54" s="377"/>
      <c r="H54" s="369">
        <f t="shared" si="0"/>
        <v>0</v>
      </c>
      <c r="I54" s="370">
        <f>база!$J$6</f>
        <v>243.04319999999998</v>
      </c>
      <c r="J54" s="367">
        <v>1.5</v>
      </c>
      <c r="K54" s="411">
        <f>SUMIFS(Таблица1[Столбец1],Таблица1[коэф],"1,5",Таблица1[р/р],"5/8",Таблица1[Ф. И. О.],B55)</f>
        <v>0</v>
      </c>
      <c r="L54" s="372">
        <f t="shared" si="1"/>
        <v>0</v>
      </c>
      <c r="M54" s="409"/>
      <c r="N54" s="411"/>
      <c r="O54" s="411"/>
      <c r="P54" s="411"/>
      <c r="Q54" s="376">
        <f>база!$L$5</f>
        <v>231.45480000000001</v>
      </c>
      <c r="R54" s="367">
        <v>1.2</v>
      </c>
      <c r="S54" s="468">
        <f>SUMIFS(Таблица1[Столбец1],Таблица1[коэф],"1,2",Таблица1[р/р],"4/16",Таблица1[Ф. И. О.],B55)</f>
        <v>0</v>
      </c>
      <c r="T54" s="470">
        <f t="shared" si="2"/>
        <v>0</v>
      </c>
      <c r="U54" s="449">
        <f>база!$M$5</f>
        <v>247.41720000000001</v>
      </c>
      <c r="V54" s="367">
        <v>1.2</v>
      </c>
      <c r="W54" s="471">
        <f>SUMIFS(Таблица1[Столбец1],Таблица1[коэф],"1,2",Таблица1[р/р],"4/24",Таблица1[Ф. И. О.],B55)</f>
        <v>0</v>
      </c>
      <c r="X54" s="470">
        <f t="shared" si="3"/>
        <v>0</v>
      </c>
      <c r="Y54" s="748"/>
      <c r="Z54" s="750"/>
      <c r="AA54" s="740"/>
    </row>
    <row r="55" spans="1:29" ht="18.75">
      <c r="A55" s="740"/>
      <c r="B55" s="201" t="str">
        <f>база!B6</f>
        <v>Алиева Диана Арифовна</v>
      </c>
      <c r="C55" s="779"/>
      <c r="D55" s="779"/>
      <c r="E55" s="366"/>
      <c r="F55" s="367"/>
      <c r="G55" s="377"/>
      <c r="H55" s="369">
        <f t="shared" si="0"/>
        <v>0</v>
      </c>
      <c r="I55" s="370"/>
      <c r="J55" s="367"/>
      <c r="K55" s="411"/>
      <c r="L55" s="372">
        <f t="shared" si="1"/>
        <v>0</v>
      </c>
      <c r="M55" s="409"/>
      <c r="N55" s="411"/>
      <c r="O55" s="411"/>
      <c r="P55" s="411"/>
      <c r="Q55" s="376">
        <f>база!$L$6</f>
        <v>261.04640000000001</v>
      </c>
      <c r="R55" s="367">
        <v>1.2</v>
      </c>
      <c r="S55" s="468">
        <f>SUMIFS(Таблица1[Столбец1],Таблица1[коэф],"1,2",Таблица1[р/р],"5/16",Таблица1[Ф. И. О.],B55)</f>
        <v>0</v>
      </c>
      <c r="T55" s="470">
        <f t="shared" si="2"/>
        <v>0</v>
      </c>
      <c r="U55" s="449">
        <f>база!$M$6</f>
        <v>279.0496</v>
      </c>
      <c r="V55" s="367">
        <v>1.2</v>
      </c>
      <c r="W55" s="471">
        <f>SUMIFS(Таблица1[Столбец1],Таблица1[коэф],"1,2",Таблица1[р/р],"5/24",Таблица1[Ф. И. О.],B55)</f>
        <v>0</v>
      </c>
      <c r="X55" s="470">
        <f t="shared" si="3"/>
        <v>0</v>
      </c>
      <c r="Y55" s="748"/>
      <c r="Z55" s="750"/>
      <c r="AA55" s="740"/>
      <c r="AC55" s="693" t="str">
        <f>IF(SUMIFS(Таблица1[Столбец3],Таблица1[Ф. И. О.],B55)-Z50=0,"",SUMIFS(Таблица1[Столбец3],Таблица1[Ф. И. О.],B55)-Z50)</f>
        <v/>
      </c>
    </row>
    <row r="56" spans="1:29" ht="18.75">
      <c r="A56" s="740"/>
      <c r="B56" s="201"/>
      <c r="C56" s="779"/>
      <c r="D56" s="779"/>
      <c r="E56" s="366"/>
      <c r="F56" s="367"/>
      <c r="G56" s="377"/>
      <c r="H56" s="369">
        <f t="shared" si="0"/>
        <v>0</v>
      </c>
      <c r="I56" s="370"/>
      <c r="J56" s="367"/>
      <c r="K56" s="411"/>
      <c r="L56" s="372">
        <f t="shared" si="1"/>
        <v>0</v>
      </c>
      <c r="M56" s="409"/>
      <c r="N56" s="411"/>
      <c r="O56" s="411"/>
      <c r="P56" s="411"/>
      <c r="Q56" s="376">
        <f>IF(D50&lt;=3,база!$L$4,
IF(D50=4,база!$L$5,
IF(D50=5,база!$L$6)))</f>
        <v>210.57480000000001</v>
      </c>
      <c r="R56" s="367">
        <v>1.3</v>
      </c>
      <c r="S56" s="468">
        <f>SUMIFS(Таблица1[Столбец1],Таблица1[коэф],"1,3",Таблица1[р/р],"3/16",Таблица1[Ф. И. О.],B55)</f>
        <v>0</v>
      </c>
      <c r="T56" s="470">
        <f t="shared" si="2"/>
        <v>0</v>
      </c>
      <c r="U56" s="449">
        <f>IF(D50&lt;=3,база!$M$4,
IF(D50=4,база!$M$5,
IF(D50=5,база!$M$6)))</f>
        <v>225.09719999999999</v>
      </c>
      <c r="V56" s="367">
        <v>1.3</v>
      </c>
      <c r="W56" s="471">
        <f>SUMIFS(Таблица1[Столбец1],Таблица1[коэф],"1,3",Таблица1[р/р],"3/24",Таблица1[Ф. И. О.],B55)</f>
        <v>0</v>
      </c>
      <c r="X56" s="470">
        <f t="shared" si="3"/>
        <v>0</v>
      </c>
      <c r="Y56" s="748"/>
      <c r="Z56" s="750"/>
      <c r="AA56" s="740"/>
      <c r="AC56" s="693" t="str">
        <f>IF(SUMIFS(Таблица1[Столбец1],Таблица1[Ф. И. О.],B55)=Y50,"",B55&amp;"  часы не верны")</f>
        <v/>
      </c>
    </row>
    <row r="57" spans="1:29" ht="18.75">
      <c r="A57" s="740"/>
      <c r="B57" s="201"/>
      <c r="C57" s="779"/>
      <c r="D57" s="779"/>
      <c r="E57" s="366"/>
      <c r="F57" s="367"/>
      <c r="G57" s="377"/>
      <c r="H57" s="369">
        <f t="shared" si="0"/>
        <v>0</v>
      </c>
      <c r="I57" s="370"/>
      <c r="J57" s="367"/>
      <c r="K57" s="411"/>
      <c r="L57" s="372">
        <f t="shared" si="1"/>
        <v>0</v>
      </c>
      <c r="M57" s="409"/>
      <c r="N57" s="411"/>
      <c r="O57" s="411"/>
      <c r="P57" s="411"/>
      <c r="Q57" s="376">
        <f>база!$L$5</f>
        <v>231.45480000000001</v>
      </c>
      <c r="R57" s="367">
        <v>1.3</v>
      </c>
      <c r="S57" s="468">
        <f>SUMIFS(Таблица1[Столбец1],Таблица1[коэф],"1,3",Таблица1[р/р],"4/16",Таблица1[Ф. И. О.],B55)</f>
        <v>0</v>
      </c>
      <c r="T57" s="470">
        <f t="shared" si="2"/>
        <v>0</v>
      </c>
      <c r="U57" s="449">
        <f>база!$M$5</f>
        <v>247.41720000000001</v>
      </c>
      <c r="V57" s="367">
        <v>1.3</v>
      </c>
      <c r="W57" s="471">
        <f>SUMIFS(Таблица1[Столбец1],Таблица1[коэф],"1,3",Таблица1[р/р],"4/24",Таблица1[Ф. И. О.],B55)</f>
        <v>0</v>
      </c>
      <c r="X57" s="470">
        <f t="shared" si="3"/>
        <v>0</v>
      </c>
      <c r="Y57" s="748"/>
      <c r="Z57" s="750"/>
      <c r="AA57" s="740"/>
    </row>
    <row r="58" spans="1:29" ht="18.75">
      <c r="A58" s="740"/>
      <c r="B58" s="201"/>
      <c r="C58" s="779"/>
      <c r="D58" s="779"/>
      <c r="E58" s="366"/>
      <c r="F58" s="367"/>
      <c r="G58" s="377"/>
      <c r="H58" s="369">
        <f t="shared" si="0"/>
        <v>0</v>
      </c>
      <c r="I58" s="370"/>
      <c r="J58" s="367"/>
      <c r="K58" s="411"/>
      <c r="L58" s="372">
        <f t="shared" si="1"/>
        <v>0</v>
      </c>
      <c r="M58" s="409"/>
      <c r="N58" s="411"/>
      <c r="O58" s="411"/>
      <c r="P58" s="411"/>
      <c r="Q58" s="376">
        <f>IF(D50&lt;=3,база!$L$4,
IF(D50=4,база!$L$5,
IF(D50=5,база!$L$6)))</f>
        <v>210.57480000000001</v>
      </c>
      <c r="R58" s="367">
        <v>1.4</v>
      </c>
      <c r="S58" s="468">
        <f>SUMIFS(Таблица1[Столбец1],Таблица1[коэф],"1,4",Таблица1[р/р],"3/16",Таблица1[Ф. И. О.],B55)</f>
        <v>0</v>
      </c>
      <c r="T58" s="470">
        <f t="shared" si="2"/>
        <v>0</v>
      </c>
      <c r="U58" s="449">
        <f>IF(D50&lt;=3,база!$M$4,
IF(D50=4,база!$M$5,
IF(D50=5,база!$M$6)))</f>
        <v>225.09719999999999</v>
      </c>
      <c r="V58" s="367">
        <v>1.4</v>
      </c>
      <c r="W58" s="471">
        <f>SUMIFS(Таблица1[Столбец1],Таблица1[коэф],"1,4",Таблица1[р/р],"3/24",Таблица1[Ф. И. О.],B55)</f>
        <v>0</v>
      </c>
      <c r="X58" s="469">
        <f t="shared" si="3"/>
        <v>0</v>
      </c>
      <c r="Y58" s="748"/>
      <c r="Z58" s="750"/>
      <c r="AA58" s="740"/>
    </row>
    <row r="59" spans="1:29" ht="18.75">
      <c r="A59" s="740"/>
      <c r="B59" s="201"/>
      <c r="C59" s="779"/>
      <c r="D59" s="779"/>
      <c r="E59" s="366"/>
      <c r="F59" s="367"/>
      <c r="G59" s="377"/>
      <c r="H59" s="369">
        <f t="shared" si="0"/>
        <v>0</v>
      </c>
      <c r="I59" s="370"/>
      <c r="J59" s="367"/>
      <c r="K59" s="411"/>
      <c r="L59" s="372">
        <f t="shared" si="1"/>
        <v>0</v>
      </c>
      <c r="M59" s="409"/>
      <c r="N59" s="411"/>
      <c r="O59" s="411"/>
      <c r="P59" s="411"/>
      <c r="Q59" s="376">
        <f>база!$L$5</f>
        <v>231.45480000000001</v>
      </c>
      <c r="R59" s="367">
        <v>1.4</v>
      </c>
      <c r="S59" s="468">
        <f>SUMIFS(Таблица1[Столбец1],Таблица1[коэф],"1,4",Таблица1[р/р],"4/16",Таблица1[Ф. И. О.],B55)</f>
        <v>0</v>
      </c>
      <c r="T59" s="469">
        <f t="shared" si="2"/>
        <v>0</v>
      </c>
      <c r="U59" s="449">
        <f>база!$M$5</f>
        <v>247.41720000000001</v>
      </c>
      <c r="V59" s="367">
        <v>1.4</v>
      </c>
      <c r="W59" s="471">
        <f>SUMIFS(Таблица1[Столбец1],Таблица1[коэф],"1,4",Таблица1[р/р],"4/24",Таблица1[Ф. И. О.],B55)</f>
        <v>0</v>
      </c>
      <c r="X59" s="470">
        <f t="shared" si="3"/>
        <v>0</v>
      </c>
      <c r="Y59" s="748"/>
      <c r="Z59" s="750"/>
      <c r="AA59" s="740"/>
    </row>
    <row r="60" spans="1:29" ht="19.5" thickBot="1">
      <c r="A60" s="741"/>
      <c r="B60" s="188"/>
      <c r="C60" s="780"/>
      <c r="D60" s="780"/>
      <c r="E60" s="450"/>
      <c r="F60" s="441"/>
      <c r="G60" s="442"/>
      <c r="H60" s="379">
        <f t="shared" si="0"/>
        <v>0</v>
      </c>
      <c r="I60" s="440"/>
      <c r="J60" s="441"/>
      <c r="K60" s="434"/>
      <c r="L60" s="461">
        <f t="shared" si="1"/>
        <v>0</v>
      </c>
      <c r="M60" s="409"/>
      <c r="N60" s="411"/>
      <c r="O60" s="411"/>
      <c r="P60" s="411"/>
      <c r="Q60" s="444">
        <f>база!$L$6</f>
        <v>261.04640000000001</v>
      </c>
      <c r="R60" s="441">
        <v>1.4</v>
      </c>
      <c r="S60" s="489">
        <f>SUMIFS(Таблица1[Столбец1],Таблица1[коэф],"1,4",Таблица1[р/р],"5/16",Таблица1[Ф. И. О.],B55)</f>
        <v>0</v>
      </c>
      <c r="T60" s="469">
        <f t="shared" si="2"/>
        <v>0</v>
      </c>
      <c r="U60" s="451">
        <f>база!$M$6</f>
        <v>279.0496</v>
      </c>
      <c r="V60" s="441">
        <v>1.4</v>
      </c>
      <c r="W60" s="478">
        <f>SUMIFS(Таблица1[Столбец1],Таблица1[коэф],"1,4",Таблица1[р/р],"5/24",Таблица1[Ф. И. О.],B55)</f>
        <v>0</v>
      </c>
      <c r="X60" s="485">
        <f t="shared" si="3"/>
        <v>0</v>
      </c>
      <c r="Y60" s="749"/>
      <c r="Z60" s="751"/>
      <c r="AA60" s="741"/>
    </row>
    <row r="61" spans="1:29" ht="18.75">
      <c r="A61" s="739">
        <v>6</v>
      </c>
      <c r="B61" s="201"/>
      <c r="C61" s="778">
        <f>INDEX(база!$E$2:$E$81, MATCH(B66,база!$B$2:$B$50,0))</f>
        <v>17290</v>
      </c>
      <c r="D61" s="778">
        <f>INDEX(база!$D$2:$D$89, MATCH(B66,база!$B$2:$B$50,0))</f>
        <v>3</v>
      </c>
      <c r="E61" s="354">
        <f>IF(D61&lt;=3,база!$I$4,
IF(D61=4,база!$I$5,
IF(D61=5,база!$I$6)))</f>
        <v>188.7912</v>
      </c>
      <c r="F61" s="355">
        <v>1</v>
      </c>
      <c r="G61" s="364">
        <f>SUMIFS(Таблица1[Столбец1],Таблица1[коэф],"1",Таблица1[р/р],"2/4",Таблица1[Ф. И. О.],B66)</f>
        <v>0</v>
      </c>
      <c r="H61" s="357">
        <f t="shared" si="0"/>
        <v>0</v>
      </c>
      <c r="I61" s="428">
        <f>IF(D61&lt;=3,база!$J$4,
IF(D61=4,база!$J$5,
IF(D61=5,база!$J$6)))</f>
        <v>196.05240000000001</v>
      </c>
      <c r="J61" s="394">
        <v>1</v>
      </c>
      <c r="K61" s="430">
        <f>SUMIFS(Таблица1[Столбец1],Таблица1[коэф],"1",Таблица1[р/р],"2/8",Таблица1[Ф. И. О.],B66)</f>
        <v>0</v>
      </c>
      <c r="L61" s="360">
        <f t="shared" si="1"/>
        <v>0</v>
      </c>
      <c r="M61" s="411"/>
      <c r="N61" s="411">
        <v>1</v>
      </c>
      <c r="O61" s="411">
        <f>SUMIFS(Data_Tech!$AM$3:$AM$67,Data_Tech!$E$3:$E$67,"1",Data_Tech!$G$3:$G$67,"3/12",Data_Tech!$F$3:$F$67,B66)</f>
        <v>0</v>
      </c>
      <c r="P61" s="383">
        <f>ROUND(M61*N61*O61,2)</f>
        <v>0</v>
      </c>
      <c r="Q61" s="354">
        <f>IF(D61&lt;=3,база!$L$4,
IF(D61=4,база!$L$5,
IF(D61=5,база!$L$6)))</f>
        <v>210.57480000000001</v>
      </c>
      <c r="R61" s="355">
        <v>1</v>
      </c>
      <c r="S61" s="466">
        <f>SUMIFS(Таблица1[Столбец1],Таблица1[коэф],"1",Таблица1[р/р],"3/16",Таблица1[Ф. И. О.],B66)</f>
        <v>0</v>
      </c>
      <c r="T61" s="467">
        <f t="shared" si="2"/>
        <v>0</v>
      </c>
      <c r="U61" s="431">
        <f>IF(D61&lt;=3,база!$M$4,
IF(D61=4,база!$M$5,
IF(D61=5,база!$M$6)))</f>
        <v>225.09719999999999</v>
      </c>
      <c r="V61" s="394">
        <v>1</v>
      </c>
      <c r="W61" s="477">
        <f>SUMIFS(Таблица1[Столбец1],Таблица1[коэф],"1",Таблица1[р/р],"3/24",Таблица1[Ф. И. О.],B66)</f>
        <v>0</v>
      </c>
      <c r="X61" s="467">
        <f t="shared" si="3"/>
        <v>0</v>
      </c>
      <c r="Y61" s="748">
        <f>SUM(G61:G71,K61:K71,O61:O71,S61:S71,W61:W71)</f>
        <v>0</v>
      </c>
      <c r="Z61" s="750">
        <f>IFERROR(SUM(H61:H71,L61:L71,T61:T71,X61:X71),"")</f>
        <v>0</v>
      </c>
      <c r="AA61" s="740"/>
    </row>
    <row r="62" spans="1:29" ht="18.75">
      <c r="A62" s="740"/>
      <c r="B62" s="201"/>
      <c r="C62" s="779"/>
      <c r="D62" s="779"/>
      <c r="E62" s="366">
        <f>IF(D61&lt;=3,база!$I$4,
IF(D61=4,база!$I$5,
IF(D61=5,база!$I$6)))</f>
        <v>188.7912</v>
      </c>
      <c r="F62" s="367">
        <v>1</v>
      </c>
      <c r="G62" s="377">
        <f>SUMIFS(Таблица1[Столбец1],Таблица1[коэф],"1",Таблица1[р/р],"3/4",Таблица1[Ф. И. О.],B66)</f>
        <v>0</v>
      </c>
      <c r="H62" s="369">
        <f t="shared" si="0"/>
        <v>0</v>
      </c>
      <c r="I62" s="370">
        <f>IF(D61&lt;=3,база!$J$4,
IF(D61=4,база!$J$5,
IF(D61=5,база!$J$6)))</f>
        <v>196.05240000000001</v>
      </c>
      <c r="J62" s="367">
        <v>1</v>
      </c>
      <c r="K62" s="411">
        <f>SUMIFS(Таблица1[Столбец1],Таблица1[коэф],"1",Таблица1[р/р],"3/8",Таблица1[Ф. И. О.],B66)</f>
        <v>0</v>
      </c>
      <c r="L62" s="372">
        <f t="shared" si="1"/>
        <v>0</v>
      </c>
      <c r="M62" s="411"/>
      <c r="N62" s="411">
        <v>1</v>
      </c>
      <c r="O62" s="411">
        <f>SUMIFS(Data_Tech!$AM$3:$AM$67,Data_Tech!$E$3:$E$67,"1",Data_Tech!$G$3:$G$67,"4/12",Data_Tech!$F$3:$F$67,B66)</f>
        <v>0</v>
      </c>
      <c r="P62" s="383">
        <f>ROUND(M62*O62,2)</f>
        <v>0</v>
      </c>
      <c r="Q62" s="366">
        <f>база!$L$5</f>
        <v>231.45480000000001</v>
      </c>
      <c r="R62" s="367">
        <v>1</v>
      </c>
      <c r="S62" s="468">
        <f>SUMIFS(Таблица1[Столбец1],Таблица1[коэф],"1",Таблица1[р/р],"4/16",Таблица1[Ф. И. О.],B66)</f>
        <v>0</v>
      </c>
      <c r="T62" s="470">
        <f t="shared" si="2"/>
        <v>0</v>
      </c>
      <c r="U62" s="387">
        <f>база!$M$5</f>
        <v>247.41720000000001</v>
      </c>
      <c r="V62" s="367">
        <v>1</v>
      </c>
      <c r="W62" s="471">
        <f>SUMIFS(Таблица1[Столбец1],Таблица1[коэф],"1",Таблица1[р/р],"4/24",Таблица1[Ф. И. О.],B66)</f>
        <v>0</v>
      </c>
      <c r="X62" s="470">
        <f t="shared" si="3"/>
        <v>0</v>
      </c>
      <c r="Y62" s="748"/>
      <c r="Z62" s="750"/>
      <c r="AA62" s="740"/>
    </row>
    <row r="63" spans="1:29" ht="18.75">
      <c r="A63" s="740"/>
      <c r="B63" s="201"/>
      <c r="C63" s="779"/>
      <c r="D63" s="779"/>
      <c r="E63" s="366"/>
      <c r="F63" s="367"/>
      <c r="G63" s="377"/>
      <c r="H63" s="369">
        <f t="shared" si="0"/>
        <v>0</v>
      </c>
      <c r="I63" s="370"/>
      <c r="J63" s="367"/>
      <c r="K63" s="411"/>
      <c r="L63" s="372">
        <f t="shared" si="1"/>
        <v>0</v>
      </c>
      <c r="M63" s="411"/>
      <c r="N63" s="411"/>
      <c r="O63" s="411"/>
      <c r="P63" s="383"/>
      <c r="Q63" s="366">
        <f>база!$L$6</f>
        <v>261.04640000000001</v>
      </c>
      <c r="R63" s="367">
        <v>1</v>
      </c>
      <c r="S63" s="468">
        <f>SUMIFS(Таблица1[Столбец1],Таблица1[коэф],"1",Таблица1[р/р],"5/16",Таблица1[Ф. И. О.],B66)</f>
        <v>0</v>
      </c>
      <c r="T63" s="470">
        <f t="shared" si="2"/>
        <v>0</v>
      </c>
      <c r="U63" s="387">
        <f>база!$M$6</f>
        <v>279.0496</v>
      </c>
      <c r="V63" s="367">
        <v>1</v>
      </c>
      <c r="W63" s="471">
        <f>SUMIFS(Таблица1[Столбец1],Таблица1[коэф],"1",Таблица1[р/р],"5/24",Таблица1[Ф. И. О.],B66)</f>
        <v>0</v>
      </c>
      <c r="X63" s="470">
        <f t="shared" si="3"/>
        <v>0</v>
      </c>
      <c r="Y63" s="748"/>
      <c r="Z63" s="750"/>
      <c r="AA63" s="740"/>
    </row>
    <row r="64" spans="1:29" ht="18.75">
      <c r="A64" s="740"/>
      <c r="B64" s="201"/>
      <c r="C64" s="779"/>
      <c r="D64" s="779"/>
      <c r="E64" s="366"/>
      <c r="F64" s="367"/>
      <c r="G64" s="377"/>
      <c r="H64" s="369">
        <f t="shared" si="0"/>
        <v>0</v>
      </c>
      <c r="I64" s="370">
        <f>база!$J$5</f>
        <v>215.4924</v>
      </c>
      <c r="J64" s="367">
        <v>1.5</v>
      </c>
      <c r="K64" s="411">
        <f>SUMIFS(Таблица1[Столбец1],Таблица1[коэф],"1,5",Таблица1[р/р],"4/8",Таблица1[Ф. И. О.],B66)</f>
        <v>0</v>
      </c>
      <c r="L64" s="372">
        <f t="shared" si="1"/>
        <v>0</v>
      </c>
      <c r="M64" s="411"/>
      <c r="N64" s="411"/>
      <c r="O64" s="411"/>
      <c r="P64" s="383"/>
      <c r="Q64" s="366">
        <f>IF(D61&lt;=3,база!$L$4,
IF(D61=4,база!$L$5,
IF(D61=5,база!$L$6)))</f>
        <v>210.57480000000001</v>
      </c>
      <c r="R64" s="367">
        <v>1.2</v>
      </c>
      <c r="S64" s="468">
        <f>SUMIFS(Таблица1[Столбец1],Таблица1[коэф],"1,2",Таблица1[р/р],"3/16",Таблица1[Ф. И. О.],B66)</f>
        <v>0</v>
      </c>
      <c r="T64" s="470">
        <f t="shared" si="2"/>
        <v>0</v>
      </c>
      <c r="U64" s="387">
        <f>IF(D61&lt;=3,база!$M$4,
IF(D61=4,база!$M$5,
IF(D61=5,база!$M$6)))</f>
        <v>225.09719999999999</v>
      </c>
      <c r="V64" s="367">
        <v>1.2</v>
      </c>
      <c r="W64" s="471">
        <f>SUMIFS(Таблица1[Столбец1],Таблица1[коэф],"1,2",Таблица1[р/р],"3/24",Таблица1[Ф. И. О.],B66)</f>
        <v>0</v>
      </c>
      <c r="X64" s="470">
        <f t="shared" si="3"/>
        <v>0</v>
      </c>
      <c r="Y64" s="748"/>
      <c r="Z64" s="750"/>
      <c r="AA64" s="740"/>
    </row>
    <row r="65" spans="1:29" ht="18.75">
      <c r="A65" s="740"/>
      <c r="B65" s="201"/>
      <c r="C65" s="779"/>
      <c r="D65" s="779"/>
      <c r="E65" s="366"/>
      <c r="F65" s="367"/>
      <c r="G65" s="377"/>
      <c r="H65" s="369">
        <f t="shared" si="0"/>
        <v>0</v>
      </c>
      <c r="I65" s="370">
        <f>база!$J$6</f>
        <v>243.04319999999998</v>
      </c>
      <c r="J65" s="367">
        <v>1.5</v>
      </c>
      <c r="K65" s="411">
        <f>SUMIFS(Таблица1[Столбец1],Таблица1[коэф],"1,5",Таблица1[р/р],"5/8",Таблица1[Ф. И. О.],B66)</f>
        <v>0</v>
      </c>
      <c r="L65" s="372">
        <f t="shared" si="1"/>
        <v>0</v>
      </c>
      <c r="M65" s="411"/>
      <c r="N65" s="411"/>
      <c r="O65" s="411"/>
      <c r="P65" s="383"/>
      <c r="Q65" s="366">
        <f>база!$L$5</f>
        <v>231.45480000000001</v>
      </c>
      <c r="R65" s="367">
        <v>1.2</v>
      </c>
      <c r="S65" s="468">
        <f>SUMIFS(Таблица1[Столбец1],Таблица1[коэф],"1,2",Таблица1[р/р],"4/16",Таблица1[Ф. И. О.],B66)</f>
        <v>0</v>
      </c>
      <c r="T65" s="470">
        <f t="shared" si="2"/>
        <v>0</v>
      </c>
      <c r="U65" s="387">
        <f>база!$M$5</f>
        <v>247.41720000000001</v>
      </c>
      <c r="V65" s="367">
        <v>1.2</v>
      </c>
      <c r="W65" s="471">
        <f>SUMIFS(Таблица1[Столбец1],Таблица1[коэф],"1,2",Таблица1[р/р],"4/24",Таблица1[Ф. И. О.],B66)</f>
        <v>0</v>
      </c>
      <c r="X65" s="470">
        <f t="shared" si="3"/>
        <v>0</v>
      </c>
      <c r="Y65" s="748"/>
      <c r="Z65" s="750"/>
      <c r="AA65" s="740"/>
    </row>
    <row r="66" spans="1:29" ht="18.75">
      <c r="A66" s="740"/>
      <c r="B66" s="201" t="str">
        <f>база!B7</f>
        <v>Аполосова Ольга Николаевна</v>
      </c>
      <c r="C66" s="779"/>
      <c r="D66" s="779"/>
      <c r="E66" s="366"/>
      <c r="F66" s="367"/>
      <c r="G66" s="377"/>
      <c r="H66" s="369">
        <f t="shared" si="0"/>
        <v>0</v>
      </c>
      <c r="I66" s="370"/>
      <c r="J66" s="367"/>
      <c r="K66" s="411"/>
      <c r="L66" s="372">
        <f t="shared" si="1"/>
        <v>0</v>
      </c>
      <c r="M66" s="411"/>
      <c r="N66" s="411"/>
      <c r="O66" s="411"/>
      <c r="P66" s="383"/>
      <c r="Q66" s="366">
        <f>база!$L$6</f>
        <v>261.04640000000001</v>
      </c>
      <c r="R66" s="367">
        <v>1.2</v>
      </c>
      <c r="S66" s="468">
        <f>SUMIFS(Таблица1[Столбец1],Таблица1[коэф],"1,2",Таблица1[р/р],"5/16",Таблица1[Ф. И. О.],B66)</f>
        <v>0</v>
      </c>
      <c r="T66" s="470">
        <f t="shared" si="2"/>
        <v>0</v>
      </c>
      <c r="U66" s="387">
        <f>база!$M$6</f>
        <v>279.0496</v>
      </c>
      <c r="V66" s="367">
        <v>1.2</v>
      </c>
      <c r="W66" s="471">
        <f>SUMIFS(Таблица1[Столбец1],Таблица1[коэф],"1,2",Таблица1[р/р],"5/24",Таблица1[Ф. И. О.],B66)</f>
        <v>0</v>
      </c>
      <c r="X66" s="470">
        <f t="shared" si="3"/>
        <v>0</v>
      </c>
      <c r="Y66" s="748"/>
      <c r="Z66" s="750"/>
      <c r="AA66" s="740"/>
      <c r="AC66" s="693" t="str">
        <f>IF(SUMIFS(Таблица1[Столбец3],Таблица1[Ф. И. О.],B66)-Z61=0,"",SUMIFS(Таблица1[Столбец3],Таблица1[Ф. И. О.],B66)-Z61)</f>
        <v/>
      </c>
    </row>
    <row r="67" spans="1:29" ht="18.75">
      <c r="A67" s="740"/>
      <c r="B67" s="201"/>
      <c r="C67" s="779"/>
      <c r="D67" s="779"/>
      <c r="E67" s="366"/>
      <c r="F67" s="367"/>
      <c r="G67" s="377"/>
      <c r="H67" s="369">
        <f t="shared" si="0"/>
        <v>0</v>
      </c>
      <c r="I67" s="370"/>
      <c r="J67" s="367"/>
      <c r="K67" s="411"/>
      <c r="L67" s="372">
        <f t="shared" si="1"/>
        <v>0</v>
      </c>
      <c r="M67" s="411"/>
      <c r="N67" s="411"/>
      <c r="O67" s="411"/>
      <c r="P67" s="383"/>
      <c r="Q67" s="366">
        <f>IF(D61&lt;=3,база!$L$4,
IF(D61=4,база!$L$5,
IF(D61=5,база!$L$6)))</f>
        <v>210.57480000000001</v>
      </c>
      <c r="R67" s="367">
        <v>1.3</v>
      </c>
      <c r="S67" s="468">
        <f>SUMIFS(Таблица1[Столбец1],Таблица1[коэф],"1,3",Таблица1[р/р],"3/16",Таблица1[Ф. И. О.],B66)</f>
        <v>0</v>
      </c>
      <c r="T67" s="469">
        <f t="shared" si="2"/>
        <v>0</v>
      </c>
      <c r="U67" s="387">
        <f>IF(D61&lt;=3,база!$M$4,
IF(D61=4,база!$M$5,
IF(D61=5,база!$M$6)))</f>
        <v>225.09719999999999</v>
      </c>
      <c r="V67" s="367">
        <v>1.3</v>
      </c>
      <c r="W67" s="471">
        <f>SUMIFS(Таблица1[Столбец1],Таблица1[коэф],"1,3",Таблица1[р/р],"3/24",Таблица1[Ф. И. О.],B66)</f>
        <v>0</v>
      </c>
      <c r="X67" s="470">
        <f t="shared" si="3"/>
        <v>0</v>
      </c>
      <c r="Y67" s="748"/>
      <c r="Z67" s="750"/>
      <c r="AA67" s="740"/>
      <c r="AC67" s="693" t="str">
        <f>IF(SUMIFS(Таблица1[Столбец1],Таблица1[Ф. И. О.],B66)=Y61,"",B66&amp;"  часы не верны")</f>
        <v/>
      </c>
    </row>
    <row r="68" spans="1:29" ht="18.75">
      <c r="A68" s="740"/>
      <c r="B68" s="201"/>
      <c r="C68" s="779"/>
      <c r="D68" s="779"/>
      <c r="E68" s="366"/>
      <c r="F68" s="367"/>
      <c r="G68" s="377"/>
      <c r="H68" s="379">
        <f t="shared" si="0"/>
        <v>0</v>
      </c>
      <c r="I68" s="370"/>
      <c r="J68" s="367"/>
      <c r="K68" s="411"/>
      <c r="L68" s="372">
        <f t="shared" si="1"/>
        <v>0</v>
      </c>
      <c r="M68" s="411"/>
      <c r="N68" s="411"/>
      <c r="O68" s="411"/>
      <c r="P68" s="383"/>
      <c r="Q68" s="366">
        <f>база!$L$5</f>
        <v>231.45480000000001</v>
      </c>
      <c r="R68" s="367">
        <v>1.3</v>
      </c>
      <c r="S68" s="468">
        <f>SUMIFS(Таблица1[Столбец1],Таблица1[коэф],"1,3",Таблица1[р/р],"4/16",Таблица1[Ф. И. О.],B66)</f>
        <v>0</v>
      </c>
      <c r="T68" s="470">
        <f t="shared" si="2"/>
        <v>0</v>
      </c>
      <c r="U68" s="387">
        <f>база!$M$5</f>
        <v>247.41720000000001</v>
      </c>
      <c r="V68" s="367">
        <v>1.3</v>
      </c>
      <c r="W68" s="471">
        <f>SUMIFS(Таблица1[Столбец1],Таблица1[коэф],"1,3",Таблица1[р/р],"4/24",Таблица1[Ф. И. О.],B66)</f>
        <v>0</v>
      </c>
      <c r="X68" s="470">
        <f t="shared" si="3"/>
        <v>0</v>
      </c>
      <c r="Y68" s="748"/>
      <c r="Z68" s="750"/>
      <c r="AA68" s="740"/>
    </row>
    <row r="69" spans="1:29" ht="18.75">
      <c r="A69" s="740"/>
      <c r="B69" s="201"/>
      <c r="C69" s="779"/>
      <c r="D69" s="779"/>
      <c r="E69" s="366"/>
      <c r="F69" s="367"/>
      <c r="G69" s="377"/>
      <c r="H69" s="369">
        <f t="shared" si="0"/>
        <v>0</v>
      </c>
      <c r="I69" s="370"/>
      <c r="J69" s="367"/>
      <c r="K69" s="411"/>
      <c r="L69" s="372">
        <f t="shared" si="1"/>
        <v>0</v>
      </c>
      <c r="M69" s="411"/>
      <c r="N69" s="411"/>
      <c r="O69" s="411"/>
      <c r="P69" s="383"/>
      <c r="Q69" s="366">
        <f>IF(D61&lt;=3,база!$L$4,
IF(D61=4,база!$L$5,
IF(D61=5,база!$L$6)))</f>
        <v>210.57480000000001</v>
      </c>
      <c r="R69" s="367">
        <v>1.4</v>
      </c>
      <c r="S69" s="468">
        <f>SUMIFS(Таблица1[Столбец1],Таблица1[коэф],"1,4",Таблица1[р/р],"3/16",Таблица1[Ф. И. О.],B66)</f>
        <v>0</v>
      </c>
      <c r="T69" s="470">
        <f t="shared" si="2"/>
        <v>0</v>
      </c>
      <c r="U69" s="387">
        <f>IF(D61&lt;=3,база!$M$4,
IF(D61=4,база!$M$5,
IF(D61=5,база!$M$6)))</f>
        <v>225.09719999999999</v>
      </c>
      <c r="V69" s="367">
        <v>1.4</v>
      </c>
      <c r="W69" s="471">
        <f>SUMIFS(Таблица1[Столбец1],Таблица1[коэф],"1,4",Таблица1[р/р],"3/24",Таблица1[Ф. И. О.],B66)</f>
        <v>0</v>
      </c>
      <c r="X69" s="470">
        <f t="shared" si="3"/>
        <v>0</v>
      </c>
      <c r="Y69" s="748"/>
      <c r="Z69" s="750"/>
      <c r="AA69" s="740"/>
    </row>
    <row r="70" spans="1:29" ht="18.75">
      <c r="A70" s="740"/>
      <c r="B70" s="201"/>
      <c r="C70" s="779"/>
      <c r="D70" s="779"/>
      <c r="E70" s="366"/>
      <c r="F70" s="367"/>
      <c r="G70" s="377"/>
      <c r="H70" s="369">
        <f t="shared" si="0"/>
        <v>0</v>
      </c>
      <c r="I70" s="370"/>
      <c r="J70" s="367"/>
      <c r="K70" s="411"/>
      <c r="L70" s="372">
        <f t="shared" si="1"/>
        <v>0</v>
      </c>
      <c r="M70" s="411"/>
      <c r="N70" s="411"/>
      <c r="O70" s="411"/>
      <c r="P70" s="383"/>
      <c r="Q70" s="366">
        <f>база!$L$5</f>
        <v>231.45480000000001</v>
      </c>
      <c r="R70" s="367">
        <v>1.4</v>
      </c>
      <c r="S70" s="468">
        <f>SUMIFS(Таблица1[Столбец1],Таблица1[коэф],"1,4",Таблица1[р/р],"4/16",Таблица1[Ф. И. О.],B66)</f>
        <v>0</v>
      </c>
      <c r="T70" s="470">
        <f t="shared" si="2"/>
        <v>0</v>
      </c>
      <c r="U70" s="387">
        <f>база!$M$5</f>
        <v>247.41720000000001</v>
      </c>
      <c r="V70" s="367">
        <v>1.4</v>
      </c>
      <c r="W70" s="471">
        <f>SUMIFS(Таблица1[Столбец1],Таблица1[коэф],"1,4",Таблица1[р/р],"4/24",Таблица1[Ф. И. О.],B66)</f>
        <v>0</v>
      </c>
      <c r="X70" s="470">
        <f t="shared" si="3"/>
        <v>0</v>
      </c>
      <c r="Y70" s="748"/>
      <c r="Z70" s="750"/>
      <c r="AA70" s="740"/>
    </row>
    <row r="71" spans="1:29" ht="19.5" thickBot="1">
      <c r="A71" s="741"/>
      <c r="B71" s="188"/>
      <c r="C71" s="780"/>
      <c r="D71" s="780"/>
      <c r="E71" s="450"/>
      <c r="F71" s="441"/>
      <c r="G71" s="442"/>
      <c r="H71" s="445">
        <f t="shared" ref="H71:H134" si="4">ROUND(E71*F71*G71*2,2)</f>
        <v>0</v>
      </c>
      <c r="I71" s="440"/>
      <c r="J71" s="441"/>
      <c r="K71" s="434"/>
      <c r="L71" s="401">
        <f t="shared" ref="L71:L134" si="5">ROUND(I71*J71*K71*2,2)</f>
        <v>0</v>
      </c>
      <c r="M71" s="434"/>
      <c r="N71" s="434"/>
      <c r="O71" s="434"/>
      <c r="P71" s="453"/>
      <c r="Q71" s="450">
        <f>база!$L$6</f>
        <v>261.04640000000001</v>
      </c>
      <c r="R71" s="441">
        <v>1.4</v>
      </c>
      <c r="S71" s="489">
        <f>SUMIFS(Таблица1[Столбец1],Таблица1[коэф],"1,4",Таблица1[р/р],"5/16",Таблица1[Ф. И. О.],B66)</f>
        <v>0</v>
      </c>
      <c r="T71" s="470">
        <f t="shared" ref="T71:T134" si="6">ROUND(Q71*R71*S71*2,2)</f>
        <v>0</v>
      </c>
      <c r="U71" s="446">
        <f>база!$M$6</f>
        <v>279.0496</v>
      </c>
      <c r="V71" s="441">
        <v>1.4</v>
      </c>
      <c r="W71" s="478">
        <f>SUMIFS(Таблица1[Столбец1],Таблица1[коэф],"1,4",Таблица1[р/р],"5/24",Таблица1[Ф. И. О.],B66)</f>
        <v>0</v>
      </c>
      <c r="X71" s="487">
        <f t="shared" ref="X71:X134" si="7">ROUND(U71*V71*W71*2,2)</f>
        <v>0</v>
      </c>
      <c r="Y71" s="749"/>
      <c r="Z71" s="751"/>
      <c r="AA71" s="741"/>
    </row>
    <row r="72" spans="1:29" ht="18.75">
      <c r="A72" s="739">
        <v>7</v>
      </c>
      <c r="B72" s="201"/>
      <c r="C72" s="778">
        <f>INDEX(база!$E$2:$E$81, MATCH(B77,база!$B$2:$B$50,0))</f>
        <v>17296</v>
      </c>
      <c r="D72" s="778">
        <f>INDEX(база!$D$2:$D$89, MATCH(B77,база!$B$2:$B$50,0))</f>
        <v>3</v>
      </c>
      <c r="E72" s="354">
        <f>IF(D72&lt;=3,база!$I$4,
IF(D72=4,база!$I$5,
IF(D72=5,база!$I$6)))</f>
        <v>188.7912</v>
      </c>
      <c r="F72" s="355">
        <v>1</v>
      </c>
      <c r="G72" s="364">
        <f>SUMIFS(Таблица1[Столбец1],Таблица1[коэф],"1",Таблица1[р/р],"2/4",Таблица1[Ф. И. О.],B77)</f>
        <v>0</v>
      </c>
      <c r="H72" s="379">
        <f t="shared" si="4"/>
        <v>0</v>
      </c>
      <c r="I72" s="354">
        <f>IF(D72&lt;=3,база!$J$4,
IF(D72=4,база!$J$5,
IF(D72=5,база!$J$6)))</f>
        <v>196.05240000000001</v>
      </c>
      <c r="J72" s="355">
        <v>1</v>
      </c>
      <c r="K72" s="405">
        <f>SUMIFS(Таблица1[Столбец1],Таблица1[коэф],"1",Таблица1[р/р],"2/8",Таблица1[Ф. И. О.],B77)</f>
        <v>0</v>
      </c>
      <c r="L72" s="360">
        <f t="shared" si="5"/>
        <v>0</v>
      </c>
      <c r="M72" s="403"/>
      <c r="N72" s="405">
        <v>1</v>
      </c>
      <c r="O72" s="405">
        <f>SUMIFS(Data_Tech!$AM$3:$AM$67,Data_Tech!$E$3:$E$67,"1",Data_Tech!$G$3:$G$67,"3/12",Data_Tech!$F$3:$F$67,B77)</f>
        <v>0</v>
      </c>
      <c r="P72" s="360">
        <f>ROUND(M72*N72*O72,2)</f>
        <v>0</v>
      </c>
      <c r="Q72" s="358">
        <f>IF(D72&lt;=3,база!$L$4,
IF(D72=4,база!$L$5,
IF(D72=5,база!$L$6)))</f>
        <v>210.57480000000001</v>
      </c>
      <c r="R72" s="355">
        <v>1</v>
      </c>
      <c r="S72" s="466">
        <f>SUMIFS(Таблица1[Столбец1],Таблица1[коэф],"1",Таблица1[р/р],"3/16",Таблица1[Ф. И. О.],B77)</f>
        <v>0</v>
      </c>
      <c r="T72" s="470">
        <f t="shared" si="6"/>
        <v>0</v>
      </c>
      <c r="U72" s="439">
        <f>IF(D72&lt;=3,база!$M$4,
IF(D72=4,база!$M$5,
IF(D72=5,база!$M$6)))</f>
        <v>225.09719999999999</v>
      </c>
      <c r="V72" s="355">
        <v>1</v>
      </c>
      <c r="W72" s="474">
        <f>SUMIFS(Таблица1[Столбец1],Таблица1[коэф],"1",Таблица1[р/р],"3/24",Таблица1[Ф. И. О.],B77)</f>
        <v>0</v>
      </c>
      <c r="X72" s="467">
        <f t="shared" si="7"/>
        <v>0</v>
      </c>
      <c r="Y72" s="748">
        <f>SUM(G72:G82,K72:K82,O72:O82,S72:S82,W72:W82)</f>
        <v>0</v>
      </c>
      <c r="Z72" s="750">
        <f>IFERROR(SUM(H72:H82,L72:L82,T72:T82,X72:X82),"")</f>
        <v>0</v>
      </c>
      <c r="AA72" s="740"/>
    </row>
    <row r="73" spans="1:29" ht="18.75">
      <c r="A73" s="740"/>
      <c r="B73" s="201"/>
      <c r="C73" s="779"/>
      <c r="D73" s="779"/>
      <c r="E73" s="366">
        <f>IF(D72&lt;=3,база!$I$4,
IF(D72=4,база!$I$5,
IF(D72=5,база!$I$6)))</f>
        <v>188.7912</v>
      </c>
      <c r="F73" s="367">
        <v>1</v>
      </c>
      <c r="G73" s="377">
        <f>SUMIFS(Таблица1[Столбец1],Таблица1[коэф],"1",Таблица1[р/р],"3/4",Таблица1[Ф. И. О.],B77)</f>
        <v>0</v>
      </c>
      <c r="H73" s="369">
        <f t="shared" si="4"/>
        <v>0</v>
      </c>
      <c r="I73" s="366">
        <f>IF(D72&lt;=3,база!$J$4,
IF(D72=4,база!$J$5,
IF(D72=5,база!$J$6)))</f>
        <v>196.05240000000001</v>
      </c>
      <c r="J73" s="367">
        <v>1</v>
      </c>
      <c r="K73" s="411">
        <f>SUMIFS(Таблица1[Столбец1],Таблица1[коэф],"1",Таблица1[р/р],"3/8",Таблица1[Ф. И. О.],B77)</f>
        <v>0</v>
      </c>
      <c r="L73" s="372">
        <f t="shared" si="5"/>
        <v>0</v>
      </c>
      <c r="M73" s="409"/>
      <c r="N73" s="411">
        <v>1</v>
      </c>
      <c r="O73" s="411">
        <f>SUMIFS(Data_Tech!$AM$3:$AM$67,Data_Tech!$E$3:$E$67,"1",Data_Tech!$G$3:$G$67,"4/12",Data_Tech!$F$3:$F$67,B77)</f>
        <v>0</v>
      </c>
      <c r="P73" s="372">
        <f>ROUND(M73*O73,2)</f>
        <v>0</v>
      </c>
      <c r="Q73" s="370">
        <f>база!$L$5</f>
        <v>231.45480000000001</v>
      </c>
      <c r="R73" s="367">
        <v>1</v>
      </c>
      <c r="S73" s="468">
        <f>SUMIFS(Таблица1[Столбец1],Таблица1[коэф],"1",Таблица1[р/р],"4/16",Таблица1[Ф. И. О.],B77)</f>
        <v>0</v>
      </c>
      <c r="T73" s="470">
        <f t="shared" si="6"/>
        <v>0</v>
      </c>
      <c r="U73" s="387">
        <f>база!$M$5</f>
        <v>247.41720000000001</v>
      </c>
      <c r="V73" s="367">
        <v>1</v>
      </c>
      <c r="W73" s="471">
        <f>SUMIFS(Таблица1[Столбец1],Таблица1[коэф],"1",Таблица1[р/р],"4/24",Таблица1[Ф. И. О.],B77)</f>
        <v>0</v>
      </c>
      <c r="X73" s="470">
        <f t="shared" si="7"/>
        <v>0</v>
      </c>
      <c r="Y73" s="748"/>
      <c r="Z73" s="750"/>
      <c r="AA73" s="740"/>
    </row>
    <row r="74" spans="1:29" ht="18.75">
      <c r="A74" s="740"/>
      <c r="B74" s="201"/>
      <c r="C74" s="779"/>
      <c r="D74" s="779"/>
      <c r="E74" s="366"/>
      <c r="F74" s="367"/>
      <c r="G74" s="377"/>
      <c r="H74" s="369">
        <f t="shared" si="4"/>
        <v>0</v>
      </c>
      <c r="I74" s="366"/>
      <c r="J74" s="367"/>
      <c r="K74" s="411"/>
      <c r="L74" s="372">
        <f t="shared" si="5"/>
        <v>0</v>
      </c>
      <c r="M74" s="409"/>
      <c r="N74" s="411"/>
      <c r="O74" s="411"/>
      <c r="P74" s="372"/>
      <c r="Q74" s="370">
        <f>база!$L$6</f>
        <v>261.04640000000001</v>
      </c>
      <c r="R74" s="367">
        <v>1</v>
      </c>
      <c r="S74" s="468">
        <f>SUMIFS(Таблица1[Столбец1],Таблица1[коэф],"1",Таблица1[р/р],"5/16",Таблица1[Ф. И. О.],B77)</f>
        <v>0</v>
      </c>
      <c r="T74" s="470">
        <f t="shared" si="6"/>
        <v>0</v>
      </c>
      <c r="U74" s="387">
        <f>база!$M$6</f>
        <v>279.0496</v>
      </c>
      <c r="V74" s="367">
        <v>1</v>
      </c>
      <c r="W74" s="471">
        <f>SUMIFS(Таблица1[Столбец1],Таблица1[коэф],"1",Таблица1[р/р],"5/24",Таблица1[Ф. И. О.],B77)</f>
        <v>0</v>
      </c>
      <c r="X74" s="470">
        <f t="shared" si="7"/>
        <v>0</v>
      </c>
      <c r="Y74" s="748"/>
      <c r="Z74" s="750"/>
      <c r="AA74" s="740"/>
    </row>
    <row r="75" spans="1:29" ht="18.75">
      <c r="A75" s="740"/>
      <c r="B75" s="201"/>
      <c r="C75" s="779"/>
      <c r="D75" s="779"/>
      <c r="E75" s="366"/>
      <c r="F75" s="367"/>
      <c r="G75" s="377"/>
      <c r="H75" s="369">
        <f t="shared" si="4"/>
        <v>0</v>
      </c>
      <c r="I75" s="366">
        <f>база!$J$5</f>
        <v>215.4924</v>
      </c>
      <c r="J75" s="367">
        <v>1.5</v>
      </c>
      <c r="K75" s="411">
        <f>SUMIFS(Таблица1[Столбец1],Таблица1[коэф],"1,5",Таблица1[р/р],"4/8",Таблица1[Ф. И. О.],B77)</f>
        <v>0</v>
      </c>
      <c r="L75" s="372">
        <f t="shared" si="5"/>
        <v>0</v>
      </c>
      <c r="M75" s="409"/>
      <c r="N75" s="411"/>
      <c r="O75" s="411"/>
      <c r="P75" s="372"/>
      <c r="Q75" s="370">
        <f>IF(D72&lt;=3,база!$L$4,
IF(D72=4,база!$L$5,
IF(D72=5,база!$L$6)))</f>
        <v>210.57480000000001</v>
      </c>
      <c r="R75" s="367">
        <v>1.2</v>
      </c>
      <c r="S75" s="468">
        <f>SUMIFS(Таблица1[Столбец1],Таблица1[коэф],"1,2",Таблица1[р/р],"3/16",Таблица1[Ф. И. О.],B77)</f>
        <v>0</v>
      </c>
      <c r="T75" s="470">
        <f t="shared" si="6"/>
        <v>0</v>
      </c>
      <c r="U75" s="387">
        <f>IF(D72&lt;=3,база!$M$4,
IF(D72=4,база!$M$5,
IF(D72=5,база!$M$6)))</f>
        <v>225.09719999999999</v>
      </c>
      <c r="V75" s="367">
        <v>1.2</v>
      </c>
      <c r="W75" s="471">
        <f>SUMIFS(Таблица1[Столбец1],Таблица1[коэф],"1,2",Таблица1[р/р],"3/24",Таблица1[Ф. И. О.],B77)</f>
        <v>0</v>
      </c>
      <c r="X75" s="470">
        <f t="shared" si="7"/>
        <v>0</v>
      </c>
      <c r="Y75" s="748"/>
      <c r="Z75" s="750"/>
      <c r="AA75" s="740"/>
    </row>
    <row r="76" spans="1:29" ht="18.75">
      <c r="A76" s="740"/>
      <c r="B76" s="201"/>
      <c r="C76" s="779"/>
      <c r="D76" s="779"/>
      <c r="E76" s="366"/>
      <c r="F76" s="367"/>
      <c r="G76" s="377"/>
      <c r="H76" s="369">
        <f t="shared" si="4"/>
        <v>0</v>
      </c>
      <c r="I76" s="366">
        <f>база!$J$6</f>
        <v>243.04319999999998</v>
      </c>
      <c r="J76" s="367">
        <v>1.5</v>
      </c>
      <c r="K76" s="411">
        <f>SUMIFS(Таблица1[Столбец1],Таблица1[коэф],"1,5",Таблица1[р/р],"5/8",Таблица1[Ф. И. О.],B77)</f>
        <v>0</v>
      </c>
      <c r="L76" s="461">
        <f t="shared" si="5"/>
        <v>0</v>
      </c>
      <c r="M76" s="409"/>
      <c r="N76" s="411"/>
      <c r="O76" s="411"/>
      <c r="P76" s="372"/>
      <c r="Q76" s="370">
        <f>база!$L$5</f>
        <v>231.45480000000001</v>
      </c>
      <c r="R76" s="367">
        <v>1.2</v>
      </c>
      <c r="S76" s="468">
        <f>SUMIFS(Таблица1[Столбец1],Таблица1[коэф],"1,2",Таблица1[р/р],"4/16",Таблица1[Ф. И. О.],B77)</f>
        <v>0</v>
      </c>
      <c r="T76" s="470">
        <f t="shared" si="6"/>
        <v>0</v>
      </c>
      <c r="U76" s="387">
        <f>база!$M$5</f>
        <v>247.41720000000001</v>
      </c>
      <c r="V76" s="367">
        <v>1.2</v>
      </c>
      <c r="W76" s="471">
        <f>SUMIFS(Таблица1[Столбец1],Таблица1[коэф],"1,2",Таблица1[р/р],"4/24",Таблица1[Ф. И. О.],B77)</f>
        <v>0</v>
      </c>
      <c r="X76" s="470">
        <f t="shared" si="7"/>
        <v>0</v>
      </c>
      <c r="Y76" s="748"/>
      <c r="Z76" s="750"/>
      <c r="AA76" s="740"/>
    </row>
    <row r="77" spans="1:29" ht="18.75">
      <c r="A77" s="740"/>
      <c r="B77" s="201" t="str">
        <f>база!B8</f>
        <v>Аполосова Юлиана Александровна</v>
      </c>
      <c r="C77" s="779"/>
      <c r="D77" s="779"/>
      <c r="E77" s="366"/>
      <c r="F77" s="367"/>
      <c r="G77" s="377"/>
      <c r="H77" s="369">
        <f t="shared" si="4"/>
        <v>0</v>
      </c>
      <c r="I77" s="366"/>
      <c r="J77" s="367"/>
      <c r="K77" s="411"/>
      <c r="L77" s="372">
        <f t="shared" si="5"/>
        <v>0</v>
      </c>
      <c r="M77" s="409"/>
      <c r="N77" s="411"/>
      <c r="O77" s="411"/>
      <c r="P77" s="372"/>
      <c r="Q77" s="370">
        <f>база!$L$6</f>
        <v>261.04640000000001</v>
      </c>
      <c r="R77" s="367">
        <v>1.2</v>
      </c>
      <c r="S77" s="468">
        <f>SUMIFS(Таблица1[Столбец1],Таблица1[коэф],"1,2",Таблица1[р/р],"5/16",Таблица1[Ф. И. О.],B77)</f>
        <v>0</v>
      </c>
      <c r="T77" s="470">
        <f t="shared" si="6"/>
        <v>0</v>
      </c>
      <c r="U77" s="387">
        <f>база!$M$6</f>
        <v>279.0496</v>
      </c>
      <c r="V77" s="367">
        <v>1.2</v>
      </c>
      <c r="W77" s="471">
        <f>SUMIFS(Таблица1[Столбец1],Таблица1[коэф],"1,2",Таблица1[р/р],"5/24",Таблица1[Ф. И. О.],B77)</f>
        <v>0</v>
      </c>
      <c r="X77" s="470">
        <f t="shared" si="7"/>
        <v>0</v>
      </c>
      <c r="Y77" s="748"/>
      <c r="Z77" s="750"/>
      <c r="AA77" s="740"/>
      <c r="AC77" s="693" t="str">
        <f>IF(SUMIFS(Таблица1[Столбец3],Таблица1[Ф. И. О.],B77)-Z72=0,"",SUMIFS(Таблица1[Столбец3],Таблица1[Ф. И. О.],B77)-Z72)</f>
        <v/>
      </c>
    </row>
    <row r="78" spans="1:29" ht="18.75">
      <c r="A78" s="740"/>
      <c r="B78" s="201"/>
      <c r="C78" s="779"/>
      <c r="D78" s="779"/>
      <c r="E78" s="366"/>
      <c r="F78" s="367"/>
      <c r="G78" s="377"/>
      <c r="H78" s="369">
        <f t="shared" si="4"/>
        <v>0</v>
      </c>
      <c r="I78" s="366"/>
      <c r="J78" s="367"/>
      <c r="K78" s="411"/>
      <c r="L78" s="372">
        <f t="shared" si="5"/>
        <v>0</v>
      </c>
      <c r="M78" s="409"/>
      <c r="N78" s="411"/>
      <c r="O78" s="411"/>
      <c r="P78" s="372"/>
      <c r="Q78" s="370">
        <f>IF(D72&lt;=3,база!$L$4,
IF(D72=4,база!$L$5,
IF(D72=5,база!$L$6)))</f>
        <v>210.57480000000001</v>
      </c>
      <c r="R78" s="367">
        <v>1.3</v>
      </c>
      <c r="S78" s="468">
        <f>SUMIFS(Таблица1[Столбец1],Таблица1[коэф],"1,3",Таблица1[р/р],"3/16",Таблица1[Ф. И. О.],B77)</f>
        <v>0</v>
      </c>
      <c r="T78" s="470">
        <f t="shared" si="6"/>
        <v>0</v>
      </c>
      <c r="U78" s="387">
        <f>IF(D72&lt;=3,база!$M$4,
IF(D72=4,база!$M$5,
IF(D72=5,база!$M$6)))</f>
        <v>225.09719999999999</v>
      </c>
      <c r="V78" s="367">
        <v>1.3</v>
      </c>
      <c r="W78" s="471">
        <f>SUMIFS(Таблица1[Столбец1],Таблица1[коэф],"1,3",Таблица1[р/р],"3/24",Таблица1[Ф. И. О.],B77)</f>
        <v>0</v>
      </c>
      <c r="X78" s="470">
        <f t="shared" si="7"/>
        <v>0</v>
      </c>
      <c r="Y78" s="748"/>
      <c r="Z78" s="750"/>
      <c r="AA78" s="740"/>
      <c r="AC78" s="693" t="str">
        <f>IF(SUMIFS(Таблица1[Столбец1],Таблица1[Ф. И. О.],B77)=Y72,"",B77&amp;"  часы не верны")</f>
        <v/>
      </c>
    </row>
    <row r="79" spans="1:29" ht="18.75">
      <c r="A79" s="740"/>
      <c r="B79" s="201"/>
      <c r="C79" s="779"/>
      <c r="D79" s="779"/>
      <c r="E79" s="366"/>
      <c r="F79" s="367"/>
      <c r="G79" s="377"/>
      <c r="H79" s="379">
        <f t="shared" si="4"/>
        <v>0</v>
      </c>
      <c r="I79" s="366"/>
      <c r="J79" s="367"/>
      <c r="K79" s="411"/>
      <c r="L79" s="372">
        <f t="shared" si="5"/>
        <v>0</v>
      </c>
      <c r="M79" s="409"/>
      <c r="N79" s="411"/>
      <c r="O79" s="411"/>
      <c r="P79" s="372"/>
      <c r="Q79" s="370">
        <f>база!$L$5</f>
        <v>231.45480000000001</v>
      </c>
      <c r="R79" s="367">
        <v>1.3</v>
      </c>
      <c r="S79" s="468">
        <f>SUMIFS(Таблица1[Столбец1],Таблица1[коэф],"1,3",Таблица1[р/р],"4/16",Таблица1[Ф. И. О.],B77)</f>
        <v>0</v>
      </c>
      <c r="T79" s="470">
        <f t="shared" si="6"/>
        <v>0</v>
      </c>
      <c r="U79" s="387">
        <f>база!$M$5</f>
        <v>247.41720000000001</v>
      </c>
      <c r="V79" s="367">
        <v>1.3</v>
      </c>
      <c r="W79" s="471">
        <f>SUMIFS(Таблица1[Столбец1],Таблица1[коэф],"1,3",Таблица1[р/р],"4/24",Таблица1[Ф. И. О.],B77)</f>
        <v>0</v>
      </c>
      <c r="X79" s="470">
        <f t="shared" si="7"/>
        <v>0</v>
      </c>
      <c r="Y79" s="748"/>
      <c r="Z79" s="750"/>
      <c r="AA79" s="740"/>
    </row>
    <row r="80" spans="1:29" ht="18.75">
      <c r="A80" s="740"/>
      <c r="B80" s="201"/>
      <c r="C80" s="779"/>
      <c r="D80" s="779"/>
      <c r="E80" s="366"/>
      <c r="F80" s="367"/>
      <c r="G80" s="377"/>
      <c r="H80" s="369">
        <f t="shared" si="4"/>
        <v>0</v>
      </c>
      <c r="I80" s="366"/>
      <c r="J80" s="367"/>
      <c r="K80" s="411"/>
      <c r="L80" s="372">
        <f t="shared" si="5"/>
        <v>0</v>
      </c>
      <c r="M80" s="409"/>
      <c r="N80" s="411"/>
      <c r="O80" s="411"/>
      <c r="P80" s="372"/>
      <c r="Q80" s="370">
        <f>IF(D72&lt;=3,база!$L$4,
IF(D72=4,база!$L$5,
IF(D72=5,база!$L$6)))</f>
        <v>210.57480000000001</v>
      </c>
      <c r="R80" s="367">
        <v>1.4</v>
      </c>
      <c r="S80" s="468">
        <f>SUMIFS(Таблица1[Столбец1],Таблица1[коэф],"1,4",Таблица1[р/р],"3/16",Таблица1[Ф. И. О.],B77)</f>
        <v>0</v>
      </c>
      <c r="T80" s="470">
        <f t="shared" si="6"/>
        <v>0</v>
      </c>
      <c r="U80" s="387">
        <f>IF(D72&lt;=3,база!$M$4,
IF(D72=4,база!$M$5,
IF(D72=5,база!$M$6)))</f>
        <v>225.09719999999999</v>
      </c>
      <c r="V80" s="367">
        <v>1.4</v>
      </c>
      <c r="W80" s="471">
        <f>SUMIFS(Таблица1[Столбец1],Таблица1[коэф],"1,4",Таблица1[р/р],"3/24",Таблица1[Ф. И. О.],B77)</f>
        <v>0</v>
      </c>
      <c r="X80" s="470">
        <f t="shared" si="7"/>
        <v>0</v>
      </c>
      <c r="Y80" s="748"/>
      <c r="Z80" s="750"/>
      <c r="AA80" s="740"/>
    </row>
    <row r="81" spans="1:29" ht="18.75">
      <c r="A81" s="740"/>
      <c r="B81" s="201"/>
      <c r="C81" s="779"/>
      <c r="D81" s="779"/>
      <c r="E81" s="366"/>
      <c r="F81" s="367"/>
      <c r="G81" s="377"/>
      <c r="H81" s="369">
        <f t="shared" si="4"/>
        <v>0</v>
      </c>
      <c r="I81" s="366"/>
      <c r="J81" s="367"/>
      <c r="K81" s="411"/>
      <c r="L81" s="372">
        <f t="shared" si="5"/>
        <v>0</v>
      </c>
      <c r="M81" s="409"/>
      <c r="N81" s="411"/>
      <c r="O81" s="411"/>
      <c r="P81" s="372"/>
      <c r="Q81" s="370">
        <f>база!$L$5</f>
        <v>231.45480000000001</v>
      </c>
      <c r="R81" s="367">
        <v>1.4</v>
      </c>
      <c r="S81" s="468">
        <f>SUMIFS(Таблица1[Столбец1],Таблица1[коэф],"1,4",Таблица1[р/р],"4/16",Таблица1[Ф. И. О.],B77)</f>
        <v>0</v>
      </c>
      <c r="T81" s="470">
        <f t="shared" si="6"/>
        <v>0</v>
      </c>
      <c r="U81" s="387">
        <f>база!$M$5</f>
        <v>247.41720000000001</v>
      </c>
      <c r="V81" s="367">
        <v>1.4</v>
      </c>
      <c r="W81" s="471">
        <f>SUMIFS(Таблица1[Столбец1],Таблица1[коэф],"1,4",Таблица1[р/р],"4/24",Таблица1[Ф. И. О.],B77)</f>
        <v>0</v>
      </c>
      <c r="X81" s="470">
        <f t="shared" si="7"/>
        <v>0</v>
      </c>
      <c r="Y81" s="748"/>
      <c r="Z81" s="750"/>
      <c r="AA81" s="740"/>
    </row>
    <row r="82" spans="1:29" ht="19.5" thickBot="1">
      <c r="A82" s="741"/>
      <c r="B82" s="188"/>
      <c r="C82" s="780"/>
      <c r="D82" s="780"/>
      <c r="E82" s="450"/>
      <c r="F82" s="441"/>
      <c r="G82" s="442"/>
      <c r="H82" s="386">
        <f t="shared" si="4"/>
        <v>0</v>
      </c>
      <c r="I82" s="450"/>
      <c r="J82" s="441"/>
      <c r="K82" s="434"/>
      <c r="L82" s="401">
        <f t="shared" si="5"/>
        <v>0</v>
      </c>
      <c r="M82" s="443"/>
      <c r="N82" s="434"/>
      <c r="O82" s="434"/>
      <c r="P82" s="435"/>
      <c r="Q82" s="440">
        <f>база!$L$6</f>
        <v>261.04640000000001</v>
      </c>
      <c r="R82" s="441">
        <v>1.4</v>
      </c>
      <c r="S82" s="489">
        <f>SUMIFS(Таблица1[Столбец1],Таблица1[коэф],"1,4",Таблица1[р/р],"5/16",Таблица1[Ф. И. О.],B77)</f>
        <v>0</v>
      </c>
      <c r="T82" s="485">
        <f t="shared" si="6"/>
        <v>0</v>
      </c>
      <c r="U82" s="446">
        <f>база!$M$6</f>
        <v>279.0496</v>
      </c>
      <c r="V82" s="441">
        <v>1.4</v>
      </c>
      <c r="W82" s="478">
        <f>SUMIFS(Таблица1[Столбец1],Таблица1[коэф],"1,4",Таблица1[р/р],"5/24",Таблица1[Ф. И. О.],B77)</f>
        <v>0</v>
      </c>
      <c r="X82" s="485">
        <f t="shared" si="7"/>
        <v>0</v>
      </c>
      <c r="Y82" s="749"/>
      <c r="Z82" s="751"/>
      <c r="AA82" s="741"/>
    </row>
    <row r="83" spans="1:29" ht="18.75">
      <c r="A83" s="739">
        <v>8</v>
      </c>
      <c r="B83" s="201"/>
      <c r="C83" s="778">
        <f>INDEX(база!$E$2:$E$81, MATCH(B88,база!$B$2:$B$50,0))</f>
        <v>16809</v>
      </c>
      <c r="D83" s="778">
        <f>INDEX(база!$D$2:$D$89, MATCH(B88,база!$B$2:$B$50,0))</f>
        <v>3</v>
      </c>
      <c r="E83" s="354">
        <f>IF(D83&lt;=3,база!$I$4,
IF(D83=4,база!$I$5,
IF(D83=5,база!$I$6)))</f>
        <v>188.7912</v>
      </c>
      <c r="F83" s="355">
        <v>1</v>
      </c>
      <c r="G83" s="364">
        <f>SUMIFS(Таблица1[Столбец1],Таблица1[коэф],"1",Таблица1[р/р],"2/4",Таблица1[Ф. И. О.],B88)</f>
        <v>0</v>
      </c>
      <c r="H83" s="357">
        <f t="shared" si="4"/>
        <v>0</v>
      </c>
      <c r="I83" s="428">
        <f>IF(D83&lt;=3,база!$J$4,
IF(D83=4,база!$J$5,
IF(D83=5,база!$J$6)))</f>
        <v>196.05240000000001</v>
      </c>
      <c r="J83" s="394">
        <v>1</v>
      </c>
      <c r="K83" s="430">
        <f>SUMIFS(Таблица1[Столбец1],Таблица1[коэф],"1",Таблица1[р/р],"2/8",Таблица1[Ф. И. О.],B88)</f>
        <v>0</v>
      </c>
      <c r="L83" s="360">
        <f t="shared" si="5"/>
        <v>0</v>
      </c>
      <c r="M83" s="430"/>
      <c r="N83" s="430">
        <v>1</v>
      </c>
      <c r="O83" s="430">
        <f>SUMIFS(Data_Tech!$AM$3:$AM$67,Data_Tech!$E$3:$E$67,"1",Data_Tech!$G$3:$G$67,"3/12",Data_Tech!$F$3:$F$67,B88)</f>
        <v>0</v>
      </c>
      <c r="P83" s="375">
        <f>ROUND(M83*N83*O83,2)</f>
        <v>0</v>
      </c>
      <c r="Q83" s="354">
        <f>IF(D83&lt;=3,база!$L$4,
IF(D83=4,база!$L$5,
IF(D83=5,база!$L$6)))</f>
        <v>210.57480000000001</v>
      </c>
      <c r="R83" s="355">
        <v>1</v>
      </c>
      <c r="S83" s="466">
        <f>SUMIFS(Таблица1[Столбец1],Таблица1[коэф],"1",Таблица1[р/р],"3/16",Таблица1[Ф. И. О.],B88)</f>
        <v>0</v>
      </c>
      <c r="T83" s="467">
        <f t="shared" si="6"/>
        <v>0</v>
      </c>
      <c r="U83" s="431">
        <f>IF(D83&lt;=3,база!$M$4,
IF(D83=4,база!$M$5,
IF(D83=5,база!$M$6)))</f>
        <v>225.09719999999999</v>
      </c>
      <c r="V83" s="394">
        <v>1</v>
      </c>
      <c r="W83" s="477">
        <f>SUMIFS(Таблица1[Столбец1],Таблица1[коэф],"1",Таблица1[р/р],"3/24",Таблица1[Ф. И. О.],B88)</f>
        <v>0</v>
      </c>
      <c r="X83" s="467">
        <f t="shared" si="7"/>
        <v>0</v>
      </c>
      <c r="Y83" s="748">
        <f>SUM(G83:G93,K83:K93,O83:O93,S83:S93,W83:W93)</f>
        <v>0</v>
      </c>
      <c r="Z83" s="750">
        <f>IFERROR(SUM(H83:H93,L83:L93,T83:T93,X83:X93),"")</f>
        <v>0</v>
      </c>
      <c r="AA83" s="740"/>
    </row>
    <row r="84" spans="1:29" ht="18.75">
      <c r="A84" s="740"/>
      <c r="B84" s="201"/>
      <c r="C84" s="779"/>
      <c r="D84" s="779"/>
      <c r="E84" s="366">
        <f>IF(D83&lt;=3,база!$I$4,
IF(D83=4,база!$I$5,
IF(D83=5,база!$I$6)))</f>
        <v>188.7912</v>
      </c>
      <c r="F84" s="367">
        <v>1</v>
      </c>
      <c r="G84" s="377">
        <f>SUMIFS(Таблица1[Столбец1],Таблица1[коэф],"1",Таблица1[р/р],"3/4",Таблица1[Ф. И. О.],B88)</f>
        <v>0</v>
      </c>
      <c r="H84" s="369">
        <f t="shared" si="4"/>
        <v>0</v>
      </c>
      <c r="I84" s="370">
        <f>IF(D83&lt;=3,база!$J$4,
IF(D83=4,база!$J$5,
IF(D83=5,база!$J$6)))</f>
        <v>196.05240000000001</v>
      </c>
      <c r="J84" s="367">
        <v>1</v>
      </c>
      <c r="K84" s="411">
        <f>SUMIFS(Таблица1[Столбец1],Таблица1[коэф],"1",Таблица1[р/р],"3/8",Таблица1[Ф. И. О.],B88)</f>
        <v>0</v>
      </c>
      <c r="L84" s="372">
        <f t="shared" si="5"/>
        <v>0</v>
      </c>
      <c r="M84" s="411"/>
      <c r="N84" s="411">
        <v>1</v>
      </c>
      <c r="O84" s="411">
        <f>SUMIFS(Data_Tech!$AM$3:$AM$67,Data_Tech!$E$3:$E$67,"1",Data_Tech!$G$3:$G$67,"4/12",Data_Tech!$F$3:$F$67,B88)</f>
        <v>0</v>
      </c>
      <c r="P84" s="383">
        <f>ROUND(M84*O84,2)</f>
        <v>0</v>
      </c>
      <c r="Q84" s="366">
        <f>база!$L$5</f>
        <v>231.45480000000001</v>
      </c>
      <c r="R84" s="367">
        <v>1</v>
      </c>
      <c r="S84" s="468">
        <f>SUMIFS(Таблица1[Столбец1],Таблица1[коэф],"1",Таблица1[р/р],"4/16",Таблица1[Ф. И. О.],B88)</f>
        <v>0</v>
      </c>
      <c r="T84" s="470">
        <f t="shared" si="6"/>
        <v>0</v>
      </c>
      <c r="U84" s="387">
        <f>база!$M$5</f>
        <v>247.41720000000001</v>
      </c>
      <c r="V84" s="367">
        <v>1</v>
      </c>
      <c r="W84" s="471">
        <f>SUMIFS(Таблица1[Столбец1],Таблица1[коэф],"1",Таблица1[р/р],"4/24",Таблица1[Ф. И. О.],B88)</f>
        <v>0</v>
      </c>
      <c r="X84" s="470">
        <f t="shared" si="7"/>
        <v>0</v>
      </c>
      <c r="Y84" s="748"/>
      <c r="Z84" s="750"/>
      <c r="AA84" s="740"/>
    </row>
    <row r="85" spans="1:29" ht="18.75">
      <c r="A85" s="740"/>
      <c r="B85" s="201"/>
      <c r="C85" s="779"/>
      <c r="D85" s="779"/>
      <c r="E85" s="366"/>
      <c r="F85" s="367"/>
      <c r="G85" s="377"/>
      <c r="H85" s="369">
        <f t="shared" si="4"/>
        <v>0</v>
      </c>
      <c r="I85" s="370"/>
      <c r="J85" s="367"/>
      <c r="K85" s="411"/>
      <c r="L85" s="372">
        <f t="shared" si="5"/>
        <v>0</v>
      </c>
      <c r="M85" s="411"/>
      <c r="N85" s="411"/>
      <c r="O85" s="411"/>
      <c r="P85" s="383"/>
      <c r="Q85" s="366">
        <f>база!$L$6</f>
        <v>261.04640000000001</v>
      </c>
      <c r="R85" s="367">
        <v>1</v>
      </c>
      <c r="S85" s="468">
        <f>SUMIFS(Таблица1[Столбец1],Таблица1[коэф],"1",Таблица1[р/р],"5/16",Таблица1[Ф. И. О.],B88)</f>
        <v>0</v>
      </c>
      <c r="T85" s="470">
        <f t="shared" si="6"/>
        <v>0</v>
      </c>
      <c r="U85" s="387">
        <f>база!$M$6</f>
        <v>279.0496</v>
      </c>
      <c r="V85" s="367">
        <v>1</v>
      </c>
      <c r="W85" s="471">
        <f>SUMIFS(Таблица1[Столбец1],Таблица1[коэф],"1",Таблица1[р/р],"5/24",Таблица1[Ф. И. О.],B88)</f>
        <v>0</v>
      </c>
      <c r="X85" s="470">
        <f t="shared" si="7"/>
        <v>0</v>
      </c>
      <c r="Y85" s="748"/>
      <c r="Z85" s="750"/>
      <c r="AA85" s="740"/>
    </row>
    <row r="86" spans="1:29" ht="18.75">
      <c r="A86" s="740"/>
      <c r="B86" s="201"/>
      <c r="C86" s="779"/>
      <c r="D86" s="779"/>
      <c r="E86" s="366"/>
      <c r="F86" s="367"/>
      <c r="G86" s="377"/>
      <c r="H86" s="369">
        <f t="shared" si="4"/>
        <v>0</v>
      </c>
      <c r="I86" s="370">
        <f>база!$J$5</f>
        <v>215.4924</v>
      </c>
      <c r="J86" s="367">
        <v>1.5</v>
      </c>
      <c r="K86" s="411">
        <f>SUMIFS(Таблица1[Столбец1],Таблица1[коэф],"1,5",Таблица1[р/р],"4/8",Таблица1[Ф. И. О.],B88)</f>
        <v>0</v>
      </c>
      <c r="L86" s="372">
        <f t="shared" si="5"/>
        <v>0</v>
      </c>
      <c r="M86" s="411"/>
      <c r="N86" s="411"/>
      <c r="O86" s="411"/>
      <c r="P86" s="383"/>
      <c r="Q86" s="366">
        <f>IF(D83&lt;=3,база!$L$4,
IF(D83=4,база!$L$5,
IF(D83=5,база!$L$6)))</f>
        <v>210.57480000000001</v>
      </c>
      <c r="R86" s="367">
        <v>1.2</v>
      </c>
      <c r="S86" s="468">
        <f>SUMIFS(Таблица1[Столбец1],Таблица1[коэф],"1,2",Таблица1[р/р],"3/16",Таблица1[Ф. И. О.],B88)</f>
        <v>0</v>
      </c>
      <c r="T86" s="470">
        <f t="shared" si="6"/>
        <v>0</v>
      </c>
      <c r="U86" s="387">
        <f>IF(D83&lt;=3,база!$M$4,
IF(D83=4,база!$M$5,
IF(D83=5,база!$M$6)))</f>
        <v>225.09719999999999</v>
      </c>
      <c r="V86" s="367">
        <v>1.2</v>
      </c>
      <c r="W86" s="471">
        <f>SUMIFS(Таблица1[Столбец1],Таблица1[коэф],"1,2",Таблица1[р/р],"3/24",Таблица1[Ф. И. О.],B88)</f>
        <v>0</v>
      </c>
      <c r="X86" s="470">
        <f t="shared" si="7"/>
        <v>0</v>
      </c>
      <c r="Y86" s="748"/>
      <c r="Z86" s="750"/>
      <c r="AA86" s="740"/>
    </row>
    <row r="87" spans="1:29" ht="18.75">
      <c r="A87" s="740"/>
      <c r="B87" s="201"/>
      <c r="C87" s="779"/>
      <c r="D87" s="779"/>
      <c r="E87" s="366"/>
      <c r="F87" s="367"/>
      <c r="G87" s="377"/>
      <c r="H87" s="369">
        <f t="shared" si="4"/>
        <v>0</v>
      </c>
      <c r="I87" s="370">
        <f>база!$J$6</f>
        <v>243.04319999999998</v>
      </c>
      <c r="J87" s="367">
        <v>1.5</v>
      </c>
      <c r="K87" s="411">
        <f>SUMIFS(Таблица1[Столбец1],Таблица1[коэф],"1,5",Таблица1[р/р],"5/8",Таблица1[Ф. И. О.],B88)</f>
        <v>0</v>
      </c>
      <c r="L87" s="372">
        <f t="shared" si="5"/>
        <v>0</v>
      </c>
      <c r="M87" s="411"/>
      <c r="N87" s="411"/>
      <c r="O87" s="411"/>
      <c r="P87" s="383"/>
      <c r="Q87" s="366">
        <f>база!$L$5</f>
        <v>231.45480000000001</v>
      </c>
      <c r="R87" s="367">
        <v>1.2</v>
      </c>
      <c r="S87" s="468">
        <f>SUMIFS(Таблица1[Столбец1],Таблица1[коэф],"1,2",Таблица1[р/р],"4/16",Таблица1[Ф. И. О.],B88)</f>
        <v>0</v>
      </c>
      <c r="T87" s="470">
        <f t="shared" si="6"/>
        <v>0</v>
      </c>
      <c r="U87" s="387">
        <f>база!$M$5</f>
        <v>247.41720000000001</v>
      </c>
      <c r="V87" s="367">
        <v>1.2</v>
      </c>
      <c r="W87" s="471">
        <f>SUMIFS(Таблица1[Столбец1],Таблица1[коэф],"1,2",Таблица1[р/р],"4/24",Таблица1[Ф. И. О.],B88)</f>
        <v>0</v>
      </c>
      <c r="X87" s="470">
        <f t="shared" si="7"/>
        <v>0</v>
      </c>
      <c r="Y87" s="748"/>
      <c r="Z87" s="750"/>
      <c r="AA87" s="740"/>
    </row>
    <row r="88" spans="1:29" ht="18.75">
      <c r="A88" s="740"/>
      <c r="B88" s="201" t="str">
        <f>база!B9</f>
        <v>Бадьялова Елена Сергеевна</v>
      </c>
      <c r="C88" s="779"/>
      <c r="D88" s="779"/>
      <c r="E88" s="366"/>
      <c r="F88" s="367"/>
      <c r="G88" s="377"/>
      <c r="H88" s="369">
        <f t="shared" si="4"/>
        <v>0</v>
      </c>
      <c r="I88" s="370"/>
      <c r="J88" s="367"/>
      <c r="K88" s="411"/>
      <c r="L88" s="372">
        <f t="shared" si="5"/>
        <v>0</v>
      </c>
      <c r="M88" s="411"/>
      <c r="N88" s="411"/>
      <c r="O88" s="411"/>
      <c r="P88" s="383"/>
      <c r="Q88" s="366">
        <f>база!$L$6</f>
        <v>261.04640000000001</v>
      </c>
      <c r="R88" s="367">
        <v>1.2</v>
      </c>
      <c r="S88" s="468">
        <f>SUMIFS(Таблица1[Столбец1],Таблица1[коэф],"1,2",Таблица1[р/р],"5/16",Таблица1[Ф. И. О.],B88)</f>
        <v>0</v>
      </c>
      <c r="T88" s="470">
        <f t="shared" si="6"/>
        <v>0</v>
      </c>
      <c r="U88" s="387">
        <f>база!$M$6</f>
        <v>279.0496</v>
      </c>
      <c r="V88" s="367">
        <v>1.2</v>
      </c>
      <c r="W88" s="471">
        <f>SUMIFS(Таблица1[Столбец1],Таблица1[коэф],"1,2",Таблица1[р/р],"5/24",Таблица1[Ф. И. О.],B88)</f>
        <v>0</v>
      </c>
      <c r="X88" s="470">
        <f t="shared" si="7"/>
        <v>0</v>
      </c>
      <c r="Y88" s="748"/>
      <c r="Z88" s="750"/>
      <c r="AA88" s="740"/>
      <c r="AC88" s="693" t="str">
        <f>IF(SUMIFS(Таблица1[Столбец3],Таблица1[Ф. И. О.],B88)-Z83=0,"",SUMIFS(Таблица1[Столбец3],Таблица1[Ф. И. О.],B88)-Z83)</f>
        <v/>
      </c>
    </row>
    <row r="89" spans="1:29" ht="18.75">
      <c r="A89" s="740"/>
      <c r="B89" s="201"/>
      <c r="C89" s="779"/>
      <c r="D89" s="779"/>
      <c r="E89" s="366"/>
      <c r="F89" s="367"/>
      <c r="G89" s="377"/>
      <c r="H89" s="369">
        <f t="shared" si="4"/>
        <v>0</v>
      </c>
      <c r="I89" s="370"/>
      <c r="J89" s="367"/>
      <c r="K89" s="411"/>
      <c r="L89" s="372">
        <f t="shared" si="5"/>
        <v>0</v>
      </c>
      <c r="M89" s="411"/>
      <c r="N89" s="411"/>
      <c r="O89" s="411"/>
      <c r="P89" s="383"/>
      <c r="Q89" s="366">
        <f>IF(D83&lt;=3,база!$L$4,
IF(D83=4,база!$L$5,
IF(D83=5,база!$L$6)))</f>
        <v>210.57480000000001</v>
      </c>
      <c r="R89" s="367">
        <v>1.3</v>
      </c>
      <c r="S89" s="468">
        <f>SUMIFS(Таблица1[Столбец1],Таблица1[коэф],"1,3",Таблица1[р/р],"3/16",Таблица1[Ф. И. О.],B88)</f>
        <v>0</v>
      </c>
      <c r="T89" s="470">
        <f t="shared" si="6"/>
        <v>0</v>
      </c>
      <c r="U89" s="387">
        <f>IF(D83&lt;=3,база!$M$4,
IF(D83=4,база!$M$5,
IF(D83=5,база!$M$6)))</f>
        <v>225.09719999999999</v>
      </c>
      <c r="V89" s="367">
        <v>1.3</v>
      </c>
      <c r="W89" s="471">
        <f>SUMIFS(Таблица1[Столбец1],Таблица1[коэф],"1,3",Таблица1[р/р],"3/24",Таблица1[Ф. И. О.],B88)</f>
        <v>0</v>
      </c>
      <c r="X89" s="470">
        <f t="shared" si="7"/>
        <v>0</v>
      </c>
      <c r="Y89" s="748"/>
      <c r="Z89" s="750"/>
      <c r="AA89" s="740"/>
      <c r="AC89" s="693" t="str">
        <f>IF(SUMIFS(Таблица1[Столбец1],Таблица1[Ф. И. О.],B88)=Y83,"",B88&amp;"  часы не верны")</f>
        <v/>
      </c>
    </row>
    <row r="90" spans="1:29" ht="18.75">
      <c r="A90" s="740"/>
      <c r="B90" s="201"/>
      <c r="C90" s="779"/>
      <c r="D90" s="779"/>
      <c r="E90" s="366"/>
      <c r="F90" s="367"/>
      <c r="G90" s="377"/>
      <c r="H90" s="369">
        <f t="shared" si="4"/>
        <v>0</v>
      </c>
      <c r="I90" s="370"/>
      <c r="J90" s="367"/>
      <c r="K90" s="411"/>
      <c r="L90" s="372">
        <f t="shared" si="5"/>
        <v>0</v>
      </c>
      <c r="M90" s="411"/>
      <c r="N90" s="411"/>
      <c r="O90" s="411"/>
      <c r="P90" s="383"/>
      <c r="Q90" s="366">
        <f>база!$L$5</f>
        <v>231.45480000000001</v>
      </c>
      <c r="R90" s="367">
        <v>1.3</v>
      </c>
      <c r="S90" s="468">
        <f>SUMIFS(Таблица1[Столбец1],Таблица1[коэф],"1,3",Таблица1[р/р],"4/16",Таблица1[Ф. И. О.],B88)</f>
        <v>0</v>
      </c>
      <c r="T90" s="470">
        <f t="shared" si="6"/>
        <v>0</v>
      </c>
      <c r="U90" s="387">
        <f>база!$M$5</f>
        <v>247.41720000000001</v>
      </c>
      <c r="V90" s="367">
        <v>1.3</v>
      </c>
      <c r="W90" s="471">
        <f>SUMIFS(Таблица1[Столбец1],Таблица1[коэф],"1,3",Таблица1[р/р],"4/24",Таблица1[Ф. И. О.],B88)</f>
        <v>0</v>
      </c>
      <c r="X90" s="470">
        <f t="shared" si="7"/>
        <v>0</v>
      </c>
      <c r="Y90" s="748"/>
      <c r="Z90" s="750"/>
      <c r="AA90" s="740"/>
    </row>
    <row r="91" spans="1:29" ht="18.75">
      <c r="A91" s="740"/>
      <c r="B91" s="201"/>
      <c r="C91" s="779"/>
      <c r="D91" s="779"/>
      <c r="E91" s="366"/>
      <c r="F91" s="367"/>
      <c r="G91" s="377"/>
      <c r="H91" s="369">
        <f t="shared" si="4"/>
        <v>0</v>
      </c>
      <c r="I91" s="370"/>
      <c r="J91" s="367"/>
      <c r="K91" s="411"/>
      <c r="L91" s="372">
        <f t="shared" si="5"/>
        <v>0</v>
      </c>
      <c r="M91" s="411"/>
      <c r="N91" s="411"/>
      <c r="O91" s="411"/>
      <c r="P91" s="383"/>
      <c r="Q91" s="366">
        <f>IF(D83&lt;=3,база!$L$4,
IF(D83=4,база!$L$5,
IF(D83=5,база!$L$6)))</f>
        <v>210.57480000000001</v>
      </c>
      <c r="R91" s="367">
        <v>1.4</v>
      </c>
      <c r="S91" s="468">
        <f>SUMIFS(Таблица1[Столбец1],Таблица1[коэф],"1,4",Таблица1[р/р],"3/16",Таблица1[Ф. И. О.],B88)</f>
        <v>0</v>
      </c>
      <c r="T91" s="470">
        <f t="shared" si="6"/>
        <v>0</v>
      </c>
      <c r="U91" s="387">
        <f>IF(D83&lt;=3,база!$M$4,
IF(D83=4,база!$M$5,
IF(D83=5,база!$M$6)))</f>
        <v>225.09719999999999</v>
      </c>
      <c r="V91" s="367">
        <v>1.4</v>
      </c>
      <c r="W91" s="471">
        <f>SUMIFS(Таблица1[Столбец1],Таблица1[коэф],"1,4",Таблица1[р/р],"3/24",Таблица1[Ф. И. О.],B88)</f>
        <v>0</v>
      </c>
      <c r="X91" s="470">
        <f t="shared" si="7"/>
        <v>0</v>
      </c>
      <c r="Y91" s="748"/>
      <c r="Z91" s="750"/>
      <c r="AA91" s="740"/>
    </row>
    <row r="92" spans="1:29" ht="18.75">
      <c r="A92" s="740"/>
      <c r="B92" s="201"/>
      <c r="C92" s="779"/>
      <c r="D92" s="779"/>
      <c r="E92" s="366"/>
      <c r="F92" s="367"/>
      <c r="G92" s="377"/>
      <c r="H92" s="369">
        <f t="shared" si="4"/>
        <v>0</v>
      </c>
      <c r="I92" s="370"/>
      <c r="J92" s="367"/>
      <c r="K92" s="411"/>
      <c r="L92" s="372">
        <f t="shared" si="5"/>
        <v>0</v>
      </c>
      <c r="M92" s="411"/>
      <c r="N92" s="411"/>
      <c r="O92" s="411"/>
      <c r="P92" s="383"/>
      <c r="Q92" s="366">
        <f>база!$L$5</f>
        <v>231.45480000000001</v>
      </c>
      <c r="R92" s="367">
        <v>1.4</v>
      </c>
      <c r="S92" s="468">
        <f>SUMIFS(Таблица1[Столбец1],Таблица1[коэф],"1,4",Таблица1[р/р],"4/16",Таблица1[Ф. И. О.],B88)</f>
        <v>0</v>
      </c>
      <c r="T92" s="470">
        <f t="shared" si="6"/>
        <v>0</v>
      </c>
      <c r="U92" s="387">
        <f>база!$M$5</f>
        <v>247.41720000000001</v>
      </c>
      <c r="V92" s="367">
        <v>1.4</v>
      </c>
      <c r="W92" s="471">
        <f>SUMIFS(Таблица1[Столбец1],Таблица1[коэф],"1,4",Таблица1[р/р],"4/24",Таблица1[Ф. И. О.],B88)</f>
        <v>0</v>
      </c>
      <c r="X92" s="470">
        <f t="shared" si="7"/>
        <v>0</v>
      </c>
      <c r="Y92" s="748"/>
      <c r="Z92" s="750"/>
      <c r="AA92" s="740"/>
    </row>
    <row r="93" spans="1:29" ht="19.5" thickBot="1">
      <c r="A93" s="741"/>
      <c r="B93" s="188"/>
      <c r="C93" s="780"/>
      <c r="D93" s="780"/>
      <c r="E93" s="450"/>
      <c r="F93" s="441"/>
      <c r="G93" s="442"/>
      <c r="H93" s="445">
        <f t="shared" si="4"/>
        <v>0</v>
      </c>
      <c r="I93" s="440"/>
      <c r="J93" s="441"/>
      <c r="K93" s="434"/>
      <c r="L93" s="435">
        <f t="shared" si="5"/>
        <v>0</v>
      </c>
      <c r="M93" s="434"/>
      <c r="N93" s="434"/>
      <c r="O93" s="434"/>
      <c r="P93" s="453"/>
      <c r="Q93" s="450">
        <f>база!$L$6</f>
        <v>261.04640000000001</v>
      </c>
      <c r="R93" s="441">
        <v>1.4</v>
      </c>
      <c r="S93" s="489">
        <f>SUMIFS(Таблица1[Столбец1],Таблица1[коэф],"1,4",Таблица1[р/р],"5/16",Таблица1[Ф. И. О.],B88)</f>
        <v>0</v>
      </c>
      <c r="T93" s="469">
        <f t="shared" si="6"/>
        <v>0</v>
      </c>
      <c r="U93" s="446">
        <f>база!$M$6</f>
        <v>279.0496</v>
      </c>
      <c r="V93" s="441">
        <v>1.4</v>
      </c>
      <c r="W93" s="478">
        <f>SUMIFS(Таблица1[Столбец1],Таблица1[коэф],"1,4",Таблица1[р/р],"5/24",Таблица1[Ф. И. О.],B88)</f>
        <v>0</v>
      </c>
      <c r="X93" s="469">
        <f t="shared" si="7"/>
        <v>0</v>
      </c>
      <c r="Y93" s="749"/>
      <c r="Z93" s="751"/>
      <c r="AA93" s="741"/>
    </row>
    <row r="94" spans="1:29" ht="18.75">
      <c r="A94" s="739">
        <v>9</v>
      </c>
      <c r="B94" s="201"/>
      <c r="C94" s="778">
        <f>INDEX(база!$E$2:$E$81, MATCH(B99,база!$B$2:$B$50,0))</f>
        <v>17169</v>
      </c>
      <c r="D94" s="778">
        <f>INDEX(база!$D$2:$D$89, MATCH(B99,база!$B$2:$B$50,0))</f>
        <v>3</v>
      </c>
      <c r="E94" s="354">
        <f>IF(D94&lt;=3,база!$I$4,
IF(D94=4,база!$I$5,
IF(D94=5,база!$I$6)))</f>
        <v>188.7912</v>
      </c>
      <c r="F94" s="355">
        <v>1</v>
      </c>
      <c r="G94" s="364">
        <f>SUMIFS(Таблица1[Столбец1],Таблица1[коэф],"1",Таблица1[р/р],"2/4",Таблица1[Ф. И. О.],B99)</f>
        <v>0</v>
      </c>
      <c r="H94" s="379">
        <f t="shared" si="4"/>
        <v>0</v>
      </c>
      <c r="I94" s="428">
        <f>IF(D94&lt;=3,база!$J$4,
IF(D94=4,база!$J$5,
IF(D94=5,база!$J$6)))</f>
        <v>196.05240000000001</v>
      </c>
      <c r="J94" s="394">
        <v>1</v>
      </c>
      <c r="K94" s="430">
        <f>SUMIFS(Таблица1[Столбец1],Таблица1[коэф],"1",Таблица1[р/р],"2/8",Таблица1[Ф. И. О.],B99)</f>
        <v>0</v>
      </c>
      <c r="L94" s="461">
        <f t="shared" si="5"/>
        <v>0</v>
      </c>
      <c r="M94" s="430"/>
      <c r="N94" s="430">
        <v>1</v>
      </c>
      <c r="O94" s="430">
        <f>SUMIFS(Data_Tech!$AM$3:$AM$67,Data_Tech!$E$3:$E$67,"1",Data_Tech!$G$3:$G$67,"3/12",Data_Tech!$F$3:$F$67,B99)</f>
        <v>0</v>
      </c>
      <c r="P94" s="375">
        <f>ROUND(M94*N94*O94,2)</f>
        <v>0</v>
      </c>
      <c r="Q94" s="354">
        <f>IF(D94&lt;=3,база!$L$4,
IF(D94=4,база!$L$5,
IF(D94=5,база!$L$6)))</f>
        <v>210.57480000000001</v>
      </c>
      <c r="R94" s="355">
        <v>1</v>
      </c>
      <c r="S94" s="466">
        <f>SUMIFS(Таблица1[Столбец1],Таблица1[коэф],"1",Таблица1[р/р],"3/16",Таблица1[Ф. И. О.],B99)</f>
        <v>0</v>
      </c>
      <c r="T94" s="467">
        <f t="shared" si="6"/>
        <v>0</v>
      </c>
      <c r="U94" s="448">
        <f>IF(D94&lt;=3,база!$M$4,
IF(D94=4,база!$M$5,
IF(D94=5,база!$M$6)))</f>
        <v>225.09719999999999</v>
      </c>
      <c r="V94" s="355">
        <v>1</v>
      </c>
      <c r="W94" s="479">
        <f>SUMIFS(Таблица1[Столбец1],Таблица1[коэф],"1",Таблица1[р/р],"3/24",Таблица1[Ф. И. О.],B99)</f>
        <v>0</v>
      </c>
      <c r="X94" s="467">
        <f t="shared" si="7"/>
        <v>0</v>
      </c>
      <c r="Y94" s="748">
        <f t="shared" ref="Y94" si="8">SUM(G94:G104,K94:K104,O94:O104,S94:S104,W94:W104)</f>
        <v>0</v>
      </c>
      <c r="Z94" s="750">
        <f t="shared" ref="Z94" si="9">IFERROR(SUM(H94:H104,L94:L104,T94:T104,X94:X104),"")</f>
        <v>0</v>
      </c>
      <c r="AA94" s="740"/>
    </row>
    <row r="95" spans="1:29" ht="18.75">
      <c r="A95" s="740"/>
      <c r="B95" s="201"/>
      <c r="C95" s="779"/>
      <c r="D95" s="779"/>
      <c r="E95" s="366">
        <f>IF(D94&lt;=3,база!$I$4,
IF(D94=4,база!$I$5,
IF(D94=5,база!$I$6)))</f>
        <v>188.7912</v>
      </c>
      <c r="F95" s="367">
        <v>1</v>
      </c>
      <c r="G95" s="377">
        <f>SUMIFS(Таблица1[Столбец1],Таблица1[коэф],"1",Таблица1[р/р],"3/4",Таблица1[Ф. И. О.],B99)</f>
        <v>0</v>
      </c>
      <c r="H95" s="369">
        <f t="shared" si="4"/>
        <v>0</v>
      </c>
      <c r="I95" s="370">
        <f>IF(D94&lt;=3,база!$J$4,
IF(D94=4,база!$J$5,
IF(D94=5,база!$J$6)))</f>
        <v>196.05240000000001</v>
      </c>
      <c r="J95" s="367">
        <v>1</v>
      </c>
      <c r="K95" s="411">
        <f>SUMIFS(Таблица1[Столбец1],Таблица1[коэф],"1",Таблица1[р/р],"3/8",Таблица1[Ф. И. О.],B99)</f>
        <v>0</v>
      </c>
      <c r="L95" s="372">
        <f t="shared" si="5"/>
        <v>0</v>
      </c>
      <c r="M95" s="411"/>
      <c r="N95" s="411">
        <v>1</v>
      </c>
      <c r="O95" s="411">
        <f>SUMIFS(Data_Tech!$AM$3:$AM$67,Data_Tech!$E$3:$E$67,"1",Data_Tech!$G$3:$G$67,"4/12",Data_Tech!$F$3:$F$67,B99)</f>
        <v>0</v>
      </c>
      <c r="P95" s="383">
        <f>ROUND(M95*O95,2)</f>
        <v>0</v>
      </c>
      <c r="Q95" s="366">
        <f>база!$L$5</f>
        <v>231.45480000000001</v>
      </c>
      <c r="R95" s="367">
        <v>1</v>
      </c>
      <c r="S95" s="468">
        <f>SUMIFS(Таблица1[Столбец1],Таблица1[коэф],"1",Таблица1[р/р],"4/16",Таблица1[Ф. И. О.],B99)</f>
        <v>0</v>
      </c>
      <c r="T95" s="470">
        <f t="shared" si="6"/>
        <v>0</v>
      </c>
      <c r="U95" s="449">
        <f>база!$M$5</f>
        <v>247.41720000000001</v>
      </c>
      <c r="V95" s="367">
        <v>1</v>
      </c>
      <c r="W95" s="480">
        <f>SUMIFS(Таблица1[Столбец1],Таблица1[коэф],"1",Таблица1[р/р],"4/24",Таблица1[Ф. И. О.],B99)</f>
        <v>0</v>
      </c>
      <c r="X95" s="470">
        <f t="shared" si="7"/>
        <v>0</v>
      </c>
      <c r="Y95" s="748"/>
      <c r="Z95" s="750"/>
      <c r="AA95" s="740"/>
    </row>
    <row r="96" spans="1:29" ht="18.75">
      <c r="A96" s="740"/>
      <c r="B96" s="201"/>
      <c r="C96" s="779"/>
      <c r="D96" s="779"/>
      <c r="E96" s="366"/>
      <c r="F96" s="367"/>
      <c r="G96" s="377"/>
      <c r="H96" s="369">
        <f t="shared" si="4"/>
        <v>0</v>
      </c>
      <c r="I96" s="370"/>
      <c r="J96" s="367"/>
      <c r="K96" s="411"/>
      <c r="L96" s="372">
        <f t="shared" si="5"/>
        <v>0</v>
      </c>
      <c r="M96" s="411"/>
      <c r="N96" s="411"/>
      <c r="O96" s="411"/>
      <c r="P96" s="383"/>
      <c r="Q96" s="366">
        <f>база!$L$6</f>
        <v>261.04640000000001</v>
      </c>
      <c r="R96" s="367">
        <v>1</v>
      </c>
      <c r="S96" s="468">
        <f>SUMIFS(Таблица1[Столбец1],Таблица1[коэф],"1",Таблица1[р/р],"5/16",Таблица1[Ф. И. О.],B99)</f>
        <v>0</v>
      </c>
      <c r="T96" s="470">
        <f t="shared" si="6"/>
        <v>0</v>
      </c>
      <c r="U96" s="449">
        <f>база!$M$6</f>
        <v>279.0496</v>
      </c>
      <c r="V96" s="367">
        <v>1</v>
      </c>
      <c r="W96" s="480">
        <f>SUMIFS(Таблица1[Столбец1],Таблица1[коэф],"1",Таблица1[р/р],"5/24",Таблица1[Ф. И. О.],B99)</f>
        <v>0</v>
      </c>
      <c r="X96" s="470">
        <f t="shared" si="7"/>
        <v>0</v>
      </c>
      <c r="Y96" s="748"/>
      <c r="Z96" s="750"/>
      <c r="AA96" s="740"/>
    </row>
    <row r="97" spans="1:29" ht="18.75">
      <c r="A97" s="740"/>
      <c r="B97" s="201"/>
      <c r="C97" s="779"/>
      <c r="D97" s="779"/>
      <c r="E97" s="366"/>
      <c r="F97" s="367"/>
      <c r="G97" s="377"/>
      <c r="H97" s="369">
        <f t="shared" si="4"/>
        <v>0</v>
      </c>
      <c r="I97" s="370">
        <f>база!$J$5</f>
        <v>215.4924</v>
      </c>
      <c r="J97" s="367">
        <v>1.5</v>
      </c>
      <c r="K97" s="411">
        <f>SUMIFS(Таблица1[Столбец1],Таблица1[коэф],"1,5",Таблица1[р/р],"4/8",Таблица1[Ф. И. О.],B99)</f>
        <v>0</v>
      </c>
      <c r="L97" s="372">
        <f t="shared" si="5"/>
        <v>0</v>
      </c>
      <c r="M97" s="411"/>
      <c r="N97" s="411"/>
      <c r="O97" s="411"/>
      <c r="P97" s="383"/>
      <c r="Q97" s="366">
        <f>IF(D94&lt;=3,база!$L$4,
IF(D94=4,база!$L$5,
IF(D94=5,база!$L$6)))</f>
        <v>210.57480000000001</v>
      </c>
      <c r="R97" s="367">
        <v>1.2</v>
      </c>
      <c r="S97" s="468">
        <f>SUMIFS(Таблица1[Столбец1],Таблица1[коэф],"1,2",Таблица1[р/р],"3/16",Таблица1[Ф. И. О.],B99)</f>
        <v>0</v>
      </c>
      <c r="T97" s="470">
        <f t="shared" si="6"/>
        <v>0</v>
      </c>
      <c r="U97" s="449">
        <f>IF(D94&lt;=3,база!$M$4,
IF(D94=4,база!$M$5,
IF(D94=5,база!$M$6)))</f>
        <v>225.09719999999999</v>
      </c>
      <c r="V97" s="367">
        <v>1.2</v>
      </c>
      <c r="W97" s="480">
        <f>SUMIFS(Таблица1[Столбец1],Таблица1[коэф],"1,2",Таблица1[р/р],"3/24",Таблица1[Ф. И. О.],B99)</f>
        <v>0</v>
      </c>
      <c r="X97" s="470">
        <f t="shared" si="7"/>
        <v>0</v>
      </c>
      <c r="Y97" s="748"/>
      <c r="Z97" s="750"/>
      <c r="AA97" s="740"/>
    </row>
    <row r="98" spans="1:29" ht="18.75">
      <c r="A98" s="740"/>
      <c r="B98" s="201"/>
      <c r="C98" s="779"/>
      <c r="D98" s="779"/>
      <c r="E98" s="366"/>
      <c r="F98" s="367"/>
      <c r="G98" s="377"/>
      <c r="H98" s="369">
        <f t="shared" si="4"/>
        <v>0</v>
      </c>
      <c r="I98" s="428">
        <f>база!$J$6</f>
        <v>243.04319999999998</v>
      </c>
      <c r="J98" s="394">
        <v>1.5</v>
      </c>
      <c r="K98" s="430">
        <f>SUMIFS(Таблица1[Столбец1],Таблица1[коэф],"1,5",Таблица1[р/р],"5/8",Таблица1[Ф. И. О.],B99)</f>
        <v>0</v>
      </c>
      <c r="L98" s="372">
        <f t="shared" si="5"/>
        <v>0</v>
      </c>
      <c r="M98" s="430"/>
      <c r="N98" s="430"/>
      <c r="O98" s="430"/>
      <c r="P98" s="375"/>
      <c r="Q98" s="458">
        <f>база!$L$5</f>
        <v>231.45480000000001</v>
      </c>
      <c r="R98" s="394">
        <v>1.2</v>
      </c>
      <c r="S98" s="472">
        <f>SUMIFS(Таблица1[Столбец1],Таблица1[коэф],"1,2",Таблица1[р/р],"4/16",Таблица1[Ф. И. О.],B99)</f>
        <v>0</v>
      </c>
      <c r="T98" s="470">
        <f t="shared" si="6"/>
        <v>0</v>
      </c>
      <c r="U98" s="462">
        <f>база!$M$5</f>
        <v>247.41720000000001</v>
      </c>
      <c r="V98" s="394">
        <v>1.2</v>
      </c>
      <c r="W98" s="482">
        <f>SUMIFS(Таблица1[Столбец1],Таблица1[коэф],"1,2",Таблица1[р/р],"4/24",Таблица1[Ф. И. О.],B99)</f>
        <v>0</v>
      </c>
      <c r="X98" s="470">
        <f t="shared" si="7"/>
        <v>0</v>
      </c>
      <c r="Y98" s="748"/>
      <c r="Z98" s="750"/>
      <c r="AA98" s="740"/>
    </row>
    <row r="99" spans="1:29" ht="18.75">
      <c r="A99" s="740"/>
      <c r="B99" s="201" t="str">
        <f>база!B10</f>
        <v>Бекетова Надежда Ильинична</v>
      </c>
      <c r="C99" s="779"/>
      <c r="D99" s="779"/>
      <c r="E99" s="366"/>
      <c r="F99" s="367"/>
      <c r="G99" s="377"/>
      <c r="H99" s="369">
        <f t="shared" si="4"/>
        <v>0</v>
      </c>
      <c r="I99" s="370"/>
      <c r="J99" s="367"/>
      <c r="K99" s="411"/>
      <c r="L99" s="372">
        <f t="shared" si="5"/>
        <v>0</v>
      </c>
      <c r="M99" s="411"/>
      <c r="N99" s="411"/>
      <c r="O99" s="411"/>
      <c r="P99" s="383"/>
      <c r="Q99" s="366">
        <f>база!$L$6</f>
        <v>261.04640000000001</v>
      </c>
      <c r="R99" s="367">
        <v>1.2</v>
      </c>
      <c r="S99" s="468">
        <f>SUMIFS(Таблица1[Столбец1],Таблица1[коэф],"1,2",Таблица1[р/р],"5/16",Таблица1[Ф. И. О.],B99)</f>
        <v>0</v>
      </c>
      <c r="T99" s="470">
        <f t="shared" si="6"/>
        <v>0</v>
      </c>
      <c r="U99" s="449">
        <f>база!$M$6</f>
        <v>279.0496</v>
      </c>
      <c r="V99" s="367">
        <v>1.2</v>
      </c>
      <c r="W99" s="480">
        <f>SUMIFS(Таблица1[Столбец1],Таблица1[коэф],"1,2",Таблица1[р/р],"5/24",Таблица1[Ф. И. О.],B99)</f>
        <v>0</v>
      </c>
      <c r="X99" s="469">
        <f t="shared" si="7"/>
        <v>0</v>
      </c>
      <c r="Y99" s="748"/>
      <c r="Z99" s="750"/>
      <c r="AA99" s="740"/>
      <c r="AC99" s="693" t="str">
        <f>IF(SUMIFS(Таблица1[Столбец3],Таблица1[Ф. И. О.],B99)-Z94=0,"",SUMIFS(Таблица1[Столбец3],Таблица1[Ф. И. О.],B99)-Z94)</f>
        <v/>
      </c>
    </row>
    <row r="100" spans="1:29" ht="18.75">
      <c r="A100" s="740"/>
      <c r="B100" s="201"/>
      <c r="C100" s="779"/>
      <c r="D100" s="779"/>
      <c r="E100" s="366"/>
      <c r="F100" s="367"/>
      <c r="G100" s="377"/>
      <c r="H100" s="369">
        <f t="shared" si="4"/>
        <v>0</v>
      </c>
      <c r="I100" s="370"/>
      <c r="J100" s="367"/>
      <c r="K100" s="411"/>
      <c r="L100" s="372">
        <f t="shared" si="5"/>
        <v>0</v>
      </c>
      <c r="M100" s="411"/>
      <c r="N100" s="411"/>
      <c r="O100" s="411"/>
      <c r="P100" s="383"/>
      <c r="Q100" s="366">
        <f>IF(D94&lt;=3,база!$L$4,
IF(D94=4,база!$L$5,
IF(D94=5,база!$L$6)))</f>
        <v>210.57480000000001</v>
      </c>
      <c r="R100" s="367">
        <v>1.3</v>
      </c>
      <c r="S100" s="468">
        <f>SUMIFS(Таблица1[Столбец1],Таблица1[коэф],"1,3",Таблица1[р/р],"3/16",Таблица1[Ф. И. О.],B99)</f>
        <v>0</v>
      </c>
      <c r="T100" s="470">
        <f t="shared" si="6"/>
        <v>0</v>
      </c>
      <c r="U100" s="449">
        <f>IF(D94&lt;=3,база!$M$4,
IF(D94=4,база!$M$5,
IF(D94=5,база!$M$6)))</f>
        <v>225.09719999999999</v>
      </c>
      <c r="V100" s="367">
        <v>1.3</v>
      </c>
      <c r="W100" s="480">
        <f>SUMIFS(Таблица1[Столбец1],Таблица1[коэф],"1,3",Таблица1[р/р],"3/24",Таблица1[Ф. И. О.],B99)</f>
        <v>0</v>
      </c>
      <c r="X100" s="469">
        <f t="shared" si="7"/>
        <v>0</v>
      </c>
      <c r="Y100" s="748"/>
      <c r="Z100" s="750"/>
      <c r="AA100" s="740"/>
      <c r="AC100" s="693" t="str">
        <f>IF(SUMIFS(Таблица1[Столбец1],Таблица1[Ф. И. О.],B99)=Y94,"",B99&amp;"  часы не верны")</f>
        <v/>
      </c>
    </row>
    <row r="101" spans="1:29" ht="18.75">
      <c r="A101" s="740"/>
      <c r="B101" s="201"/>
      <c r="C101" s="779"/>
      <c r="D101" s="779"/>
      <c r="E101" s="366"/>
      <c r="F101" s="367"/>
      <c r="G101" s="377"/>
      <c r="H101" s="369">
        <f t="shared" si="4"/>
        <v>0</v>
      </c>
      <c r="I101" s="370"/>
      <c r="J101" s="367"/>
      <c r="K101" s="411"/>
      <c r="L101" s="372">
        <f t="shared" si="5"/>
        <v>0</v>
      </c>
      <c r="M101" s="411"/>
      <c r="N101" s="411"/>
      <c r="O101" s="411"/>
      <c r="P101" s="383"/>
      <c r="Q101" s="366">
        <f>база!$L$5</f>
        <v>231.45480000000001</v>
      </c>
      <c r="R101" s="367">
        <v>1.3</v>
      </c>
      <c r="S101" s="468">
        <f>SUMIFS(Таблица1[Столбец1],Таблица1[коэф],"1,3",Таблица1[р/р],"4/16",Таблица1[Ф. И. О.],B99)</f>
        <v>0</v>
      </c>
      <c r="T101" s="470">
        <f t="shared" si="6"/>
        <v>0</v>
      </c>
      <c r="U101" s="449">
        <f>база!$M$5</f>
        <v>247.41720000000001</v>
      </c>
      <c r="V101" s="367">
        <v>1.3</v>
      </c>
      <c r="W101" s="480">
        <f>SUMIFS(Таблица1[Столбец1],Таблица1[коэф],"1,3",Таблица1[р/р],"4/24",Таблица1[Ф. И. О.],B99)</f>
        <v>0</v>
      </c>
      <c r="X101" s="469">
        <f t="shared" si="7"/>
        <v>0</v>
      </c>
      <c r="Y101" s="748"/>
      <c r="Z101" s="750"/>
      <c r="AA101" s="740"/>
    </row>
    <row r="102" spans="1:29" ht="18.75">
      <c r="A102" s="740"/>
      <c r="B102" s="201"/>
      <c r="C102" s="779"/>
      <c r="D102" s="779"/>
      <c r="E102" s="366"/>
      <c r="F102" s="367"/>
      <c r="G102" s="377"/>
      <c r="H102" s="369">
        <f t="shared" si="4"/>
        <v>0</v>
      </c>
      <c r="I102" s="370"/>
      <c r="J102" s="367"/>
      <c r="K102" s="411"/>
      <c r="L102" s="372">
        <f t="shared" si="5"/>
        <v>0</v>
      </c>
      <c r="M102" s="411"/>
      <c r="N102" s="411"/>
      <c r="O102" s="411"/>
      <c r="P102" s="383"/>
      <c r="Q102" s="366">
        <f>IF(D94&lt;=3,база!$L$4,
IF(D94=4,база!$L$5,
IF(D94=5,база!$L$6)))</f>
        <v>210.57480000000001</v>
      </c>
      <c r="R102" s="367">
        <v>1.4</v>
      </c>
      <c r="S102" s="468">
        <f>SUMIFS(Таблица1[Столбец1],Таблица1[коэф],"1,4",Таблица1[р/р],"3/16",Таблица1[Ф. И. О.],B99)</f>
        <v>0</v>
      </c>
      <c r="T102" s="470">
        <f t="shared" si="6"/>
        <v>0</v>
      </c>
      <c r="U102" s="449">
        <f>IF(D94&lt;=3,база!$M$4,
IF(D94=4,база!$M$5,
IF(D94=5,база!$M$6)))</f>
        <v>225.09719999999999</v>
      </c>
      <c r="V102" s="367">
        <v>1.4</v>
      </c>
      <c r="W102" s="480">
        <f>SUMIFS(Таблица1[Столбец1],Таблица1[коэф],"1,4",Таблица1[р/р],"3/24",Таблица1[Ф. И. О.],B99)</f>
        <v>0</v>
      </c>
      <c r="X102" s="469">
        <f t="shared" si="7"/>
        <v>0</v>
      </c>
      <c r="Y102" s="748"/>
      <c r="Z102" s="750"/>
      <c r="AA102" s="740"/>
    </row>
    <row r="103" spans="1:29" ht="18.75">
      <c r="A103" s="740"/>
      <c r="B103" s="201"/>
      <c r="C103" s="779"/>
      <c r="D103" s="779"/>
      <c r="E103" s="366"/>
      <c r="F103" s="367"/>
      <c r="G103" s="377"/>
      <c r="H103" s="369">
        <f t="shared" si="4"/>
        <v>0</v>
      </c>
      <c r="I103" s="370"/>
      <c r="J103" s="367"/>
      <c r="K103" s="411"/>
      <c r="L103" s="372">
        <f t="shared" si="5"/>
        <v>0</v>
      </c>
      <c r="M103" s="411"/>
      <c r="N103" s="411"/>
      <c r="O103" s="411"/>
      <c r="P103" s="383"/>
      <c r="Q103" s="366">
        <f>база!$L$5</f>
        <v>231.45480000000001</v>
      </c>
      <c r="R103" s="367">
        <v>1.4</v>
      </c>
      <c r="S103" s="468">
        <f>SUMIFS(Таблица1[Столбец1],Таблица1[коэф],"1,4",Таблица1[р/р],"4/16",Таблица1[Ф. И. О.],B99)</f>
        <v>0</v>
      </c>
      <c r="T103" s="470">
        <f t="shared" si="6"/>
        <v>0</v>
      </c>
      <c r="U103" s="449">
        <f>база!$M$5</f>
        <v>247.41720000000001</v>
      </c>
      <c r="V103" s="367">
        <v>1.4</v>
      </c>
      <c r="W103" s="480">
        <f>SUMIFS(Таблица1[Столбец1],Таблица1[коэф],"1,4",Таблица1[р/р],"4/24",Таблица1[Ф. И. О.],B99)</f>
        <v>0</v>
      </c>
      <c r="X103" s="469">
        <f t="shared" si="7"/>
        <v>0</v>
      </c>
      <c r="Y103" s="748"/>
      <c r="Z103" s="750"/>
      <c r="AA103" s="740"/>
    </row>
    <row r="104" spans="1:29" ht="19.5" thickBot="1">
      <c r="A104" s="741"/>
      <c r="B104" s="201"/>
      <c r="C104" s="780"/>
      <c r="D104" s="780"/>
      <c r="E104" s="397"/>
      <c r="F104" s="380"/>
      <c r="G104" s="385"/>
      <c r="H104" s="379">
        <f t="shared" si="4"/>
        <v>0</v>
      </c>
      <c r="I104" s="399"/>
      <c r="J104" s="380"/>
      <c r="K104" s="437"/>
      <c r="L104" s="435">
        <f t="shared" si="5"/>
        <v>0</v>
      </c>
      <c r="M104" s="437"/>
      <c r="N104" s="437"/>
      <c r="O104" s="437"/>
      <c r="P104" s="456"/>
      <c r="Q104" s="397">
        <f>база!$L$6</f>
        <v>261.04640000000001</v>
      </c>
      <c r="R104" s="380">
        <v>1.4</v>
      </c>
      <c r="S104" s="484">
        <f>SUMIFS(Таблица1[Столбец1],Таблица1[коэф],"1,4",Таблица1[р/р],"5/16",Таблица1[Ф. И. О.],B99)</f>
        <v>0</v>
      </c>
      <c r="T104" s="490">
        <f t="shared" si="6"/>
        <v>0</v>
      </c>
      <c r="U104" s="451">
        <f>база!$M$6</f>
        <v>279.0496</v>
      </c>
      <c r="V104" s="441">
        <v>1.4</v>
      </c>
      <c r="W104" s="481">
        <f>SUMIFS(Таблица1[Столбец1],Таблица1[коэф],"1,4",Таблица1[р/р],"5/24",Таблица1[Ф. И. О.],B99)</f>
        <v>0</v>
      </c>
      <c r="X104" s="469">
        <f t="shared" si="7"/>
        <v>0</v>
      </c>
      <c r="Y104" s="749"/>
      <c r="Z104" s="751"/>
      <c r="AA104" s="741"/>
    </row>
    <row r="105" spans="1:29" ht="18.75">
      <c r="A105" s="739">
        <v>10</v>
      </c>
      <c r="B105" s="219"/>
      <c r="C105" s="778">
        <f>INDEX(база!$E$2:$E$81, MATCH(B110,база!$B$2:$B$50,0))</f>
        <v>17256</v>
      </c>
      <c r="D105" s="778">
        <f>INDEX(база!$D$2:$D$89, MATCH(B110,база!$B$2:$B$50,0))</f>
        <v>3</v>
      </c>
      <c r="E105" s="354">
        <f>IF(D105&lt;=3,база!$I$4,
IF(D105=4,база!$I$5,
IF(D105=5,база!$I$6)))</f>
        <v>188.7912</v>
      </c>
      <c r="F105" s="355">
        <v>1</v>
      </c>
      <c r="G105" s="364">
        <f>SUMIFS(Таблица1[Столбец1],Таблица1[коэф],"1",Таблица1[р/р],"2/4",Таблица1[Ф. И. О.],B110)</f>
        <v>0</v>
      </c>
      <c r="H105" s="357">
        <f t="shared" si="4"/>
        <v>0</v>
      </c>
      <c r="I105" s="358">
        <f>IF(D105&lt;=3,база!$J$4,
IF(D105=4,база!$J$5,
IF(D105=5,база!$J$6)))</f>
        <v>196.05240000000001</v>
      </c>
      <c r="J105" s="355">
        <v>1</v>
      </c>
      <c r="K105" s="405">
        <f>SUMIFS(Таблица1[Столбец1],Таблица1[коэф],"1",Таблица1[р/р],"2/8",Таблица1[Ф. И. О.],B110)</f>
        <v>0</v>
      </c>
      <c r="L105" s="461">
        <f t="shared" si="5"/>
        <v>0</v>
      </c>
      <c r="M105" s="405"/>
      <c r="N105" s="405">
        <v>1</v>
      </c>
      <c r="O105" s="405">
        <f>SUMIFS(Data_Tech!$AM$3:$AM$67,Data_Tech!$E$3:$E$67,"1",Data_Tech!$G$3:$G$67,"3/12",Data_Tech!$F$3:$F$67,B110)</f>
        <v>0</v>
      </c>
      <c r="P105" s="362">
        <f>ROUND(M105*N105*O105,2)</f>
        <v>0</v>
      </c>
      <c r="Q105" s="354">
        <f>IF(D105&lt;=3,база!$L$4,
IF(D105=4,база!$L$5,
IF(D105=5,база!$L$6)))</f>
        <v>210.57480000000001</v>
      </c>
      <c r="R105" s="355">
        <v>1</v>
      </c>
      <c r="S105" s="466">
        <f>SUMIFS(Таблица1[Столбец1],Таблица1[коэф],"1",Таблица1[р/р],"3/16",Таблица1[Ф. И. О.],B110)</f>
        <v>0</v>
      </c>
      <c r="T105" s="469">
        <f t="shared" si="6"/>
        <v>0</v>
      </c>
      <c r="U105" s="439">
        <f>IF(D105&lt;=3,база!$M$4,
IF(D105=4,база!$M$5,
IF(D105=5,база!$M$6)))</f>
        <v>225.09719999999999</v>
      </c>
      <c r="V105" s="355">
        <v>1</v>
      </c>
      <c r="W105" s="479">
        <f>SUMIFS(Таблица1[Столбец1],Таблица1[коэф],"1",Таблица1[р/р],"3/24",Таблица1[Ф. И. О.],B110)</f>
        <v>0</v>
      </c>
      <c r="X105" s="467">
        <f t="shared" si="7"/>
        <v>0</v>
      </c>
      <c r="Y105" s="748">
        <f t="shared" ref="Y105" si="10">SUM(G105:G115,K105:K115,O105:O115,S105:S115,W105:W115)</f>
        <v>0</v>
      </c>
      <c r="Z105" s="750">
        <f t="shared" ref="Z105" si="11">IFERROR(SUM(H105:H115,L105:L115,T105:T115,X105:X115),"")</f>
        <v>0</v>
      </c>
      <c r="AA105" s="740"/>
    </row>
    <row r="106" spans="1:29" ht="18.75">
      <c r="A106" s="740"/>
      <c r="B106" s="201"/>
      <c r="C106" s="779"/>
      <c r="D106" s="779"/>
      <c r="E106" s="366">
        <f>IF(D105&lt;=3,база!$I$4,
IF(D105=4,база!$I$5,
IF(D105=5,база!$I$6)))</f>
        <v>188.7912</v>
      </c>
      <c r="F106" s="367">
        <v>1</v>
      </c>
      <c r="G106" s="377">
        <f>SUMIFS(Таблица1[Столбец1],Таблица1[коэф],"1",Таблица1[р/р],"3/4",Таблица1[Ф. И. О.],B110)</f>
        <v>0</v>
      </c>
      <c r="H106" s="369">
        <f t="shared" si="4"/>
        <v>0</v>
      </c>
      <c r="I106" s="370">
        <f>IF(D105&lt;=3,база!$J$4,
IF(D105=4,база!$J$5,
IF(D105=5,база!$J$6)))</f>
        <v>196.05240000000001</v>
      </c>
      <c r="J106" s="367">
        <v>1</v>
      </c>
      <c r="K106" s="411">
        <f>SUMIFS(Таблица1[Столбец1],Таблица1[коэф],"1",Таблица1[р/р],"3/8",Таблица1[Ф. И. О.],B110)</f>
        <v>0</v>
      </c>
      <c r="L106" s="372">
        <f t="shared" si="5"/>
        <v>0</v>
      </c>
      <c r="M106" s="411"/>
      <c r="N106" s="411">
        <v>1</v>
      </c>
      <c r="O106" s="411">
        <f>SUMIFS(Data_Tech!$AM$3:$AM$67,Data_Tech!$E$3:$E$67,"1",Data_Tech!$G$3:$G$67,"4/12",Data_Tech!$F$3:$F$67,B110)</f>
        <v>0</v>
      </c>
      <c r="P106" s="383">
        <f>ROUND(M106*O106,2)</f>
        <v>0</v>
      </c>
      <c r="Q106" s="366">
        <f>база!$L$5</f>
        <v>231.45480000000001</v>
      </c>
      <c r="R106" s="367">
        <v>1</v>
      </c>
      <c r="S106" s="468">
        <f>SUMIFS(Таблица1[Столбец1],Таблица1[коэф],"1",Таблица1[р/р],"4/16",Таблица1[Ф. И. О.],B110)</f>
        <v>0</v>
      </c>
      <c r="T106" s="470">
        <f t="shared" si="6"/>
        <v>0</v>
      </c>
      <c r="U106" s="387">
        <f>база!$M$5</f>
        <v>247.41720000000001</v>
      </c>
      <c r="V106" s="367">
        <v>1</v>
      </c>
      <c r="W106" s="480">
        <f>SUMIFS(Таблица1[Столбец1],Таблица1[коэф],"1",Таблица1[р/р],"4/24",Таблица1[Ф. И. О.],B110)</f>
        <v>0</v>
      </c>
      <c r="X106" s="469">
        <f t="shared" si="7"/>
        <v>0</v>
      </c>
      <c r="Y106" s="748"/>
      <c r="Z106" s="750"/>
      <c r="AA106" s="740"/>
    </row>
    <row r="107" spans="1:29" ht="18.75">
      <c r="A107" s="740"/>
      <c r="B107" s="201"/>
      <c r="C107" s="779"/>
      <c r="D107" s="779"/>
      <c r="E107" s="366"/>
      <c r="F107" s="367"/>
      <c r="G107" s="377"/>
      <c r="H107" s="369">
        <f t="shared" si="4"/>
        <v>0</v>
      </c>
      <c r="I107" s="370"/>
      <c r="J107" s="367"/>
      <c r="K107" s="411"/>
      <c r="L107" s="461">
        <f t="shared" si="5"/>
        <v>0</v>
      </c>
      <c r="M107" s="411"/>
      <c r="N107" s="411"/>
      <c r="O107" s="411"/>
      <c r="P107" s="383"/>
      <c r="Q107" s="366">
        <f>база!$L$6</f>
        <v>261.04640000000001</v>
      </c>
      <c r="R107" s="367">
        <v>1</v>
      </c>
      <c r="S107" s="468">
        <f>SUMIFS(Таблица1[Столбец1],Таблица1[коэф],"1",Таблица1[р/р],"5/16",Таблица1[Ф. И. О.],B110)</f>
        <v>0</v>
      </c>
      <c r="T107" s="470">
        <f t="shared" si="6"/>
        <v>0</v>
      </c>
      <c r="U107" s="387">
        <f>база!$M$6</f>
        <v>279.0496</v>
      </c>
      <c r="V107" s="367">
        <v>1</v>
      </c>
      <c r="W107" s="480">
        <f>SUMIFS(Таблица1[Столбец1],Таблица1[коэф],"1",Таблица1[р/р],"5/24",Таблица1[Ф. И. О.],B110)</f>
        <v>0</v>
      </c>
      <c r="X107" s="469">
        <f t="shared" si="7"/>
        <v>0</v>
      </c>
      <c r="Y107" s="748"/>
      <c r="Z107" s="750"/>
      <c r="AA107" s="740"/>
    </row>
    <row r="108" spans="1:29" ht="18.75">
      <c r="A108" s="740"/>
      <c r="B108" s="201"/>
      <c r="C108" s="779"/>
      <c r="D108" s="779"/>
      <c r="E108" s="366"/>
      <c r="F108" s="367"/>
      <c r="G108" s="377"/>
      <c r="H108" s="369">
        <f t="shared" si="4"/>
        <v>0</v>
      </c>
      <c r="I108" s="370">
        <f>база!$J$5</f>
        <v>215.4924</v>
      </c>
      <c r="J108" s="367">
        <v>1.5</v>
      </c>
      <c r="K108" s="411">
        <f>SUMIFS(Таблица1[Столбец1],Таблица1[коэф],"1,5",Таблица1[р/р],"4/8",Таблица1[Ф. И. О.],B110)</f>
        <v>0</v>
      </c>
      <c r="L108" s="461">
        <f t="shared" si="5"/>
        <v>0</v>
      </c>
      <c r="M108" s="411"/>
      <c r="N108" s="411"/>
      <c r="O108" s="411"/>
      <c r="P108" s="383"/>
      <c r="Q108" s="366">
        <f>IF(D105&lt;=3,база!$L$4,
IF(D105=4,база!$L$5,
IF(D105=5,база!$L$6)))</f>
        <v>210.57480000000001</v>
      </c>
      <c r="R108" s="367">
        <v>1.2</v>
      </c>
      <c r="S108" s="468">
        <f>SUMIFS(Таблица1[Столбец1],Таблица1[коэф],"1,2",Таблица1[р/р],"3/16",Таблица1[Ф. И. О.],B110)</f>
        <v>0</v>
      </c>
      <c r="T108" s="470">
        <f t="shared" si="6"/>
        <v>0</v>
      </c>
      <c r="U108" s="387">
        <f>IF(D105&lt;=3,база!$M$4,
IF(D105=4,база!$M$5,
IF(D105=5,база!$M$6)))</f>
        <v>225.09719999999999</v>
      </c>
      <c r="V108" s="367">
        <v>1.2</v>
      </c>
      <c r="W108" s="480">
        <f>SUMIFS(Таблица1[Столбец1],Таблица1[коэф],"1,2",Таблица1[р/р],"3/24",Таблица1[Ф. И. О.],B110)</f>
        <v>0</v>
      </c>
      <c r="X108" s="469">
        <f t="shared" si="7"/>
        <v>0</v>
      </c>
      <c r="Y108" s="748"/>
      <c r="Z108" s="750"/>
      <c r="AA108" s="740"/>
    </row>
    <row r="109" spans="1:29" ht="18.75">
      <c r="A109" s="740"/>
      <c r="B109" s="201"/>
      <c r="C109" s="779"/>
      <c r="D109" s="779"/>
      <c r="E109" s="366"/>
      <c r="F109" s="367"/>
      <c r="G109" s="377"/>
      <c r="H109" s="369">
        <f t="shared" si="4"/>
        <v>0</v>
      </c>
      <c r="I109" s="370">
        <f>база!$J$6</f>
        <v>243.04319999999998</v>
      </c>
      <c r="J109" s="367">
        <v>1.5</v>
      </c>
      <c r="K109" s="411">
        <f>SUMIFS(Таблица1[Столбец1],Таблица1[коэф],"1,5",Таблица1[р/р],"5/8",Таблица1[Ф. И. О.],B110)</f>
        <v>0</v>
      </c>
      <c r="L109" s="461">
        <f t="shared" si="5"/>
        <v>0</v>
      </c>
      <c r="M109" s="411"/>
      <c r="N109" s="411"/>
      <c r="O109" s="411"/>
      <c r="P109" s="383"/>
      <c r="Q109" s="366">
        <f>база!$L$5</f>
        <v>231.45480000000001</v>
      </c>
      <c r="R109" s="367">
        <v>1.2</v>
      </c>
      <c r="S109" s="468">
        <f>SUMIFS(Таблица1[Столбец1],Таблица1[коэф],"1,2",Таблица1[р/р],"4/16",Таблица1[Ф. И. О.],B110)</f>
        <v>0</v>
      </c>
      <c r="T109" s="470">
        <f t="shared" si="6"/>
        <v>0</v>
      </c>
      <c r="U109" s="387">
        <f>база!$M$5</f>
        <v>247.41720000000001</v>
      </c>
      <c r="V109" s="367">
        <v>1.2</v>
      </c>
      <c r="W109" s="480">
        <f>SUMIFS(Таблица1[Столбец1],Таблица1[коэф],"1,2",Таблица1[р/р],"4/24",Таблица1[Ф. И. О.],B110)</f>
        <v>0</v>
      </c>
      <c r="X109" s="469">
        <f t="shared" si="7"/>
        <v>0</v>
      </c>
      <c r="Y109" s="748"/>
      <c r="Z109" s="750"/>
      <c r="AA109" s="740"/>
    </row>
    <row r="110" spans="1:29" ht="18.75">
      <c r="A110" s="740"/>
      <c r="B110" s="201" t="str">
        <f>база!B11</f>
        <v>Боровик Елена Владимировна</v>
      </c>
      <c r="C110" s="779"/>
      <c r="D110" s="779"/>
      <c r="E110" s="366"/>
      <c r="F110" s="367"/>
      <c r="G110" s="377"/>
      <c r="H110" s="369">
        <f t="shared" si="4"/>
        <v>0</v>
      </c>
      <c r="I110" s="370"/>
      <c r="J110" s="367"/>
      <c r="K110" s="411"/>
      <c r="L110" s="461">
        <f t="shared" si="5"/>
        <v>0</v>
      </c>
      <c r="M110" s="411"/>
      <c r="N110" s="411"/>
      <c r="O110" s="411"/>
      <c r="P110" s="383"/>
      <c r="Q110" s="366">
        <f>база!$L$6</f>
        <v>261.04640000000001</v>
      </c>
      <c r="R110" s="367">
        <v>1.2</v>
      </c>
      <c r="S110" s="468">
        <f>SUMIFS(Таблица1[Столбец1],Таблица1[коэф],"1,2",Таблица1[р/р],"5/16",Таблица1[Ф. И. О.],B110)</f>
        <v>0</v>
      </c>
      <c r="T110" s="470">
        <f t="shared" si="6"/>
        <v>0</v>
      </c>
      <c r="U110" s="387">
        <f>база!$M$6</f>
        <v>279.0496</v>
      </c>
      <c r="V110" s="367">
        <v>1.2</v>
      </c>
      <c r="W110" s="480">
        <f>SUMIFS(Таблица1[Столбец1],Таблица1[коэф],"1,2",Таблица1[р/р],"5/24",Таблица1[Ф. И. О.],B110)</f>
        <v>0</v>
      </c>
      <c r="X110" s="469">
        <f t="shared" si="7"/>
        <v>0</v>
      </c>
      <c r="Y110" s="748"/>
      <c r="Z110" s="750"/>
      <c r="AA110" s="740"/>
      <c r="AC110" s="693" t="str">
        <f>IF(SUMIFS(Таблица1[Столбец3],Таблица1[Ф. И. О.],B110)-Z105=0,"",SUMIFS(Таблица1[Столбец3],Таблица1[Ф. И. О.],B110)-Z105)</f>
        <v/>
      </c>
    </row>
    <row r="111" spans="1:29" ht="18.75">
      <c r="A111" s="740"/>
      <c r="B111" s="201"/>
      <c r="C111" s="779"/>
      <c r="D111" s="779"/>
      <c r="E111" s="366"/>
      <c r="F111" s="367"/>
      <c r="G111" s="377"/>
      <c r="H111" s="369">
        <f t="shared" si="4"/>
        <v>0</v>
      </c>
      <c r="I111" s="370"/>
      <c r="J111" s="367"/>
      <c r="K111" s="411"/>
      <c r="L111" s="461">
        <f t="shared" si="5"/>
        <v>0</v>
      </c>
      <c r="M111" s="411"/>
      <c r="N111" s="411"/>
      <c r="O111" s="411"/>
      <c r="P111" s="383"/>
      <c r="Q111" s="366">
        <f>IF(D105&lt;=3,база!$L$4,
IF(D105=4,база!$L$5,
IF(D105=5,база!$L$6)))</f>
        <v>210.57480000000001</v>
      </c>
      <c r="R111" s="367">
        <v>1.3</v>
      </c>
      <c r="S111" s="468">
        <f>SUMIFS(Таблица1[Столбец1],Таблица1[коэф],"1,3",Таблица1[р/р],"3/16",Таблица1[Ф. И. О.],B110)</f>
        <v>0</v>
      </c>
      <c r="T111" s="470">
        <f t="shared" si="6"/>
        <v>0</v>
      </c>
      <c r="U111" s="387">
        <f>IF(D105&lt;=3,база!$M$4,
IF(D105=4,база!$M$5,
IF(D105=5,база!$M$6)))</f>
        <v>225.09719999999999</v>
      </c>
      <c r="V111" s="367">
        <v>1.3</v>
      </c>
      <c r="W111" s="480">
        <f>SUMIFS(Таблица1[Столбец1],Таблица1[коэф],"1,3",Таблица1[р/р],"3/24",Таблица1[Ф. И. О.],B110)</f>
        <v>0</v>
      </c>
      <c r="X111" s="470">
        <f t="shared" si="7"/>
        <v>0</v>
      </c>
      <c r="Y111" s="748"/>
      <c r="Z111" s="750"/>
      <c r="AA111" s="740"/>
      <c r="AC111" s="693" t="str">
        <f>IF(SUMIFS(Таблица1[Столбец1],Таблица1[Ф. И. О.],B110)=Y105,"",B110&amp;"  часы не верны")</f>
        <v/>
      </c>
    </row>
    <row r="112" spans="1:29" ht="18.75">
      <c r="A112" s="740"/>
      <c r="B112" s="201"/>
      <c r="C112" s="779"/>
      <c r="D112" s="779"/>
      <c r="E112" s="366"/>
      <c r="F112" s="367"/>
      <c r="G112" s="377"/>
      <c r="H112" s="369">
        <f t="shared" si="4"/>
        <v>0</v>
      </c>
      <c r="I112" s="370"/>
      <c r="J112" s="367"/>
      <c r="K112" s="411"/>
      <c r="L112" s="461">
        <f t="shared" si="5"/>
        <v>0</v>
      </c>
      <c r="M112" s="411"/>
      <c r="N112" s="411"/>
      <c r="O112" s="411"/>
      <c r="P112" s="383"/>
      <c r="Q112" s="366">
        <f>база!$L$5</f>
        <v>231.45480000000001</v>
      </c>
      <c r="R112" s="367">
        <v>1.3</v>
      </c>
      <c r="S112" s="468">
        <f>SUMIFS(Таблица1[Столбец1],Таблица1[коэф],"1,3",Таблица1[р/р],"4/16",Таблица1[Ф. И. О.],B110)</f>
        <v>0</v>
      </c>
      <c r="T112" s="470">
        <f t="shared" si="6"/>
        <v>0</v>
      </c>
      <c r="U112" s="387">
        <f>база!$M$5</f>
        <v>247.41720000000001</v>
      </c>
      <c r="V112" s="367">
        <v>1.3</v>
      </c>
      <c r="W112" s="480">
        <f>SUMIFS(Таблица1[Столбец1],Таблица1[коэф],"1,3",Таблица1[р/р],"4/24",Таблица1[Ф. И. О.],B110)</f>
        <v>0</v>
      </c>
      <c r="X112" s="469">
        <f t="shared" si="7"/>
        <v>0</v>
      </c>
      <c r="Y112" s="748"/>
      <c r="Z112" s="750"/>
      <c r="AA112" s="740"/>
    </row>
    <row r="113" spans="1:29" ht="18.75">
      <c r="A113" s="740"/>
      <c r="B113" s="201"/>
      <c r="C113" s="779"/>
      <c r="D113" s="779"/>
      <c r="E113" s="366"/>
      <c r="F113" s="367"/>
      <c r="G113" s="377"/>
      <c r="H113" s="369">
        <f t="shared" si="4"/>
        <v>0</v>
      </c>
      <c r="I113" s="370"/>
      <c r="J113" s="367"/>
      <c r="K113" s="411"/>
      <c r="L113" s="461">
        <f t="shared" si="5"/>
        <v>0</v>
      </c>
      <c r="M113" s="411"/>
      <c r="N113" s="411"/>
      <c r="O113" s="411"/>
      <c r="P113" s="383"/>
      <c r="Q113" s="366">
        <f>IF(D105&lt;=3,база!$L$4,
IF(D105=4,база!$L$5,
IF(D105=5,база!$L$6)))</f>
        <v>210.57480000000001</v>
      </c>
      <c r="R113" s="367">
        <v>1.4</v>
      </c>
      <c r="S113" s="468">
        <f>SUMIFS(Таблица1[Столбец1],Таблица1[коэф],"1,4",Таблица1[р/р],"3/16",Таблица1[Ф. И. О.],B110)</f>
        <v>0</v>
      </c>
      <c r="T113" s="470">
        <f t="shared" si="6"/>
        <v>0</v>
      </c>
      <c r="U113" s="387">
        <f>IF(D105&lt;=3,база!$M$4,
IF(D105=4,база!$M$5,
IF(D105=5,база!$M$6)))</f>
        <v>225.09719999999999</v>
      </c>
      <c r="V113" s="367">
        <v>1.4</v>
      </c>
      <c r="W113" s="480">
        <f>SUMIFS(Таблица1[Столбец1],Таблица1[коэф],"1,4",Таблица1[р/р],"3/24",Таблица1[Ф. И. О.],B110)</f>
        <v>0</v>
      </c>
      <c r="X113" s="469">
        <f t="shared" si="7"/>
        <v>0</v>
      </c>
      <c r="Y113" s="748"/>
      <c r="Z113" s="750"/>
      <c r="AA113" s="740"/>
    </row>
    <row r="114" spans="1:29" ht="18.75">
      <c r="A114" s="740"/>
      <c r="B114" s="201"/>
      <c r="C114" s="779"/>
      <c r="D114" s="779"/>
      <c r="E114" s="366"/>
      <c r="F114" s="367"/>
      <c r="G114" s="377"/>
      <c r="H114" s="369">
        <f t="shared" si="4"/>
        <v>0</v>
      </c>
      <c r="I114" s="370"/>
      <c r="J114" s="367"/>
      <c r="K114" s="411"/>
      <c r="L114" s="461">
        <f t="shared" si="5"/>
        <v>0</v>
      </c>
      <c r="M114" s="411"/>
      <c r="N114" s="411"/>
      <c r="O114" s="411"/>
      <c r="P114" s="383"/>
      <c r="Q114" s="366">
        <f>база!$L$5</f>
        <v>231.45480000000001</v>
      </c>
      <c r="R114" s="367">
        <v>1.4</v>
      </c>
      <c r="S114" s="468">
        <f>SUMIFS(Таблица1[Столбец1],Таблица1[коэф],"1,4",Таблица1[р/р],"4/16",Таблица1[Ф. И. О.],B110)</f>
        <v>0</v>
      </c>
      <c r="T114" s="470">
        <f t="shared" si="6"/>
        <v>0</v>
      </c>
      <c r="U114" s="387">
        <f>база!$M$5</f>
        <v>247.41720000000001</v>
      </c>
      <c r="V114" s="367">
        <v>1.4</v>
      </c>
      <c r="W114" s="480">
        <f>SUMIFS(Таблица1[Столбец1],Таблица1[коэф],"1,4",Таблица1[р/р],"4/24",Таблица1[Ф. И. О.],B110)</f>
        <v>0</v>
      </c>
      <c r="X114" s="469">
        <f t="shared" si="7"/>
        <v>0</v>
      </c>
      <c r="Y114" s="748"/>
      <c r="Z114" s="750"/>
      <c r="AA114" s="740"/>
    </row>
    <row r="115" spans="1:29" ht="19.5" thickBot="1">
      <c r="A115" s="741"/>
      <c r="B115" s="188"/>
      <c r="C115" s="780"/>
      <c r="D115" s="780"/>
      <c r="E115" s="450"/>
      <c r="F115" s="441"/>
      <c r="G115" s="442"/>
      <c r="H115" s="445">
        <f t="shared" si="4"/>
        <v>0</v>
      </c>
      <c r="I115" s="440"/>
      <c r="J115" s="441"/>
      <c r="K115" s="434"/>
      <c r="L115" s="435">
        <f t="shared" si="5"/>
        <v>0</v>
      </c>
      <c r="M115" s="434"/>
      <c r="N115" s="434"/>
      <c r="O115" s="434"/>
      <c r="P115" s="453"/>
      <c r="Q115" s="450">
        <f>база!$L$6</f>
        <v>261.04640000000001</v>
      </c>
      <c r="R115" s="441">
        <v>1.4</v>
      </c>
      <c r="S115" s="489">
        <f>SUMIFS(Таблица1[Столбец1],Таблица1[коэф],"1,4",Таблица1[р/р],"5/16",Таблица1[Ф. И. О.],B110)</f>
        <v>0</v>
      </c>
      <c r="T115" s="490">
        <f t="shared" si="6"/>
        <v>0</v>
      </c>
      <c r="U115" s="446">
        <f>база!$M$6</f>
        <v>279.0496</v>
      </c>
      <c r="V115" s="441">
        <v>1.4</v>
      </c>
      <c r="W115" s="481">
        <f>SUMIFS(Таблица1[Столбец1],Таблица1[коэф],"1,4",Таблица1[р/р],"5/24",Таблица1[Ф. И. О.],B110)</f>
        <v>0</v>
      </c>
      <c r="X115" s="469">
        <f t="shared" si="7"/>
        <v>0</v>
      </c>
      <c r="Y115" s="749"/>
      <c r="Z115" s="751"/>
      <c r="AA115" s="741"/>
    </row>
    <row r="116" spans="1:29" ht="18.75">
      <c r="A116" s="739">
        <v>11</v>
      </c>
      <c r="B116" s="201"/>
      <c r="C116" s="742">
        <f>INDEX(база!$E$2:$E$81, MATCH(B121,база!$B$2:$B$50,0))</f>
        <v>16250</v>
      </c>
      <c r="D116" s="745">
        <f>INDEX(база!$D$2:$D$89, MATCH(B121,база!$B$2:$B$50,0))</f>
        <v>3</v>
      </c>
      <c r="E116" s="428">
        <f>IF(D116&lt;=3,база!$I$4,
IF(D116=4,база!$I$5,
IF(D116=5,база!$I$6)))</f>
        <v>188.7912</v>
      </c>
      <c r="F116" s="394">
        <v>1</v>
      </c>
      <c r="G116" s="395">
        <f>SUMIFS(Таблица1[Столбец1],Таблица1[коэф],"1",Таблица1[р/р],"2/4",Таблица1[Ф. И. О.],B121)</f>
        <v>0</v>
      </c>
      <c r="H116" s="379">
        <f t="shared" si="4"/>
        <v>0</v>
      </c>
      <c r="I116" s="354">
        <f>IF(D116&lt;=3,база!$J$4,
IF(D116=4,база!$J$5,
IF(D116=5,база!$J$6)))</f>
        <v>196.05240000000001</v>
      </c>
      <c r="J116" s="355">
        <v>1</v>
      </c>
      <c r="K116" s="405">
        <f>SUMIFS(Таблица1[Столбец1],Таблица1[коэф],"1",Таблица1[р/р],"2/8",Таблица1[Ф. И. О.],B121)</f>
        <v>0</v>
      </c>
      <c r="L116" s="461">
        <f t="shared" si="5"/>
        <v>0</v>
      </c>
      <c r="M116" s="405"/>
      <c r="N116" s="405">
        <v>1</v>
      </c>
      <c r="O116" s="405">
        <f>SUMIFS(Data_Tech!$AM$3:$AM$67,Data_Tech!$E$3:$E$67,"1",Data_Tech!$G$3:$G$67,"3/12",Data_Tech!$F$3:$F$67,B121)</f>
        <v>0</v>
      </c>
      <c r="P116" s="360">
        <f>ROUND(M116*N116*O116,2)</f>
        <v>0</v>
      </c>
      <c r="Q116" s="458">
        <f>IF(D116&lt;=3,база!$L$4,
IF(D116=4,база!$L$5,
IF(D116=5,база!$L$6)))</f>
        <v>210.57480000000001</v>
      </c>
      <c r="R116" s="394">
        <v>1</v>
      </c>
      <c r="S116" s="472">
        <f>SUMIFS(Таблица1[Столбец1],Таблица1[коэф],"1",Таблица1[р/р],"3/16",Таблица1[Ф. И. О.],B121)</f>
        <v>0</v>
      </c>
      <c r="T116" s="469">
        <f t="shared" si="6"/>
        <v>0</v>
      </c>
      <c r="U116" s="448">
        <f>IF(D116&lt;=3,база!$M$4,
IF(D116=4,база!$M$5,
IF(D116=5,база!$M$6)))</f>
        <v>225.09719999999999</v>
      </c>
      <c r="V116" s="355">
        <v>1</v>
      </c>
      <c r="W116" s="474">
        <f>SUMIFS(Таблица1[Столбец1],Таблица1[коэф],"1",Таблица1[р/р],"3/24",Таблица1[Ф. И. О.],B121)</f>
        <v>0</v>
      </c>
      <c r="X116" s="467">
        <f t="shared" si="7"/>
        <v>0</v>
      </c>
      <c r="Y116" s="748">
        <f t="shared" ref="Y116" si="12">SUM(G116:G126,K116:K126,O116:O126,S116:S126,W116:W126)</f>
        <v>0</v>
      </c>
      <c r="Z116" s="750">
        <f t="shared" ref="Z116" si="13">IFERROR(SUM(H116:H126,L116:L126,T116:T126,X116:X126),"")</f>
        <v>0</v>
      </c>
      <c r="AA116" s="740"/>
    </row>
    <row r="117" spans="1:29" ht="18.75">
      <c r="A117" s="740"/>
      <c r="B117" s="201"/>
      <c r="C117" s="743"/>
      <c r="D117" s="746"/>
      <c r="E117" s="370">
        <f>IF(D116&lt;=3,база!$I$4,
IF(D116=4,база!$I$5,
IF(D116=5,база!$I$6)))</f>
        <v>188.7912</v>
      </c>
      <c r="F117" s="367">
        <v>1</v>
      </c>
      <c r="G117" s="377">
        <f>SUMIFS(Таблица1[Столбец1],Таблица1[коэф],"1",Таблица1[р/р],"3/4",Таблица1[Ф. И. О.],B121)</f>
        <v>0</v>
      </c>
      <c r="H117" s="369">
        <f t="shared" si="4"/>
        <v>0</v>
      </c>
      <c r="I117" s="366">
        <f>IF(D116&lt;=3,база!$J$4,
IF(D116=4,база!$J$5,
IF(D116=5,база!$J$6)))</f>
        <v>196.05240000000001</v>
      </c>
      <c r="J117" s="367">
        <v>1</v>
      </c>
      <c r="K117" s="411">
        <f>SUMIFS(Таблица1[Столбец1],Таблица1[коэф],"1",Таблица1[р/р],"3/8",Таблица1[Ф. И. О.],B121)</f>
        <v>0</v>
      </c>
      <c r="L117" s="461">
        <f t="shared" si="5"/>
        <v>0</v>
      </c>
      <c r="M117" s="411"/>
      <c r="N117" s="411">
        <v>1</v>
      </c>
      <c r="O117" s="411">
        <f>SUMIFS(Data_Tech!$AM$3:$AM$67,Data_Tech!$E$3:$E$67,"1",Data_Tech!$G$3:$G$67,"4/12",Data_Tech!$F$3:$F$67,B121)</f>
        <v>0</v>
      </c>
      <c r="P117" s="372">
        <f>ROUND(M117*O117,2)</f>
        <v>0</v>
      </c>
      <c r="Q117" s="366">
        <f>база!$L$5</f>
        <v>231.45480000000001</v>
      </c>
      <c r="R117" s="367">
        <v>1</v>
      </c>
      <c r="S117" s="468">
        <f>SUMIFS(Таблица1[Столбец1],Таблица1[коэф],"1",Таблица1[р/р],"4/16",Таблица1[Ф. И. О.],B121)</f>
        <v>0</v>
      </c>
      <c r="T117" s="470">
        <f t="shared" si="6"/>
        <v>0</v>
      </c>
      <c r="U117" s="449">
        <f>база!$M$5</f>
        <v>247.41720000000001</v>
      </c>
      <c r="V117" s="367">
        <v>1</v>
      </c>
      <c r="W117" s="471">
        <f>SUMIFS(Таблица1[Столбец1],Таблица1[коэф],"1",Таблица1[р/р],"4/24",Таблица1[Ф. И. О.],B121)</f>
        <v>0</v>
      </c>
      <c r="X117" s="469">
        <f t="shared" si="7"/>
        <v>0</v>
      </c>
      <c r="Y117" s="748"/>
      <c r="Z117" s="750"/>
      <c r="AA117" s="740"/>
    </row>
    <row r="118" spans="1:29" ht="18.75">
      <c r="A118" s="740"/>
      <c r="B118" s="201"/>
      <c r="C118" s="743"/>
      <c r="D118" s="746"/>
      <c r="E118" s="370"/>
      <c r="F118" s="367"/>
      <c r="G118" s="377"/>
      <c r="H118" s="369">
        <f t="shared" si="4"/>
        <v>0</v>
      </c>
      <c r="I118" s="366"/>
      <c r="J118" s="367"/>
      <c r="K118" s="411"/>
      <c r="L118" s="461">
        <f t="shared" si="5"/>
        <v>0</v>
      </c>
      <c r="M118" s="411"/>
      <c r="N118" s="411"/>
      <c r="O118" s="411"/>
      <c r="P118" s="372"/>
      <c r="Q118" s="366">
        <f>база!$L$6</f>
        <v>261.04640000000001</v>
      </c>
      <c r="R118" s="367">
        <v>1</v>
      </c>
      <c r="S118" s="468">
        <f>SUMIFS(Таблица1[Столбец1],Таблица1[коэф],"1",Таблица1[р/р],"5/16",Таблица1[Ф. И. О.],B121)</f>
        <v>0</v>
      </c>
      <c r="T118" s="470">
        <f t="shared" si="6"/>
        <v>0</v>
      </c>
      <c r="U118" s="449">
        <f>база!$M$6</f>
        <v>279.0496</v>
      </c>
      <c r="V118" s="367">
        <v>1</v>
      </c>
      <c r="W118" s="471">
        <f>SUMIFS(Таблица1[Столбец1],Таблица1[коэф],"1",Таблица1[р/р],"5/24",Таблица1[Ф. И. О.],B121)</f>
        <v>0</v>
      </c>
      <c r="X118" s="469">
        <f t="shared" si="7"/>
        <v>0</v>
      </c>
      <c r="Y118" s="748"/>
      <c r="Z118" s="750"/>
      <c r="AA118" s="740"/>
    </row>
    <row r="119" spans="1:29" ht="18.75">
      <c r="A119" s="740"/>
      <c r="B119" s="201"/>
      <c r="C119" s="743"/>
      <c r="D119" s="746"/>
      <c r="E119" s="370"/>
      <c r="F119" s="367"/>
      <c r="G119" s="377"/>
      <c r="H119" s="369">
        <f t="shared" si="4"/>
        <v>0</v>
      </c>
      <c r="I119" s="366">
        <f>база!$J$5</f>
        <v>215.4924</v>
      </c>
      <c r="J119" s="367">
        <v>1.5</v>
      </c>
      <c r="K119" s="411">
        <f>SUMIFS(Таблица1[Столбец1],Таблица1[коэф],"1,5",Таблица1[р/р],"4/8",Таблица1[Ф. И. О.],B121)</f>
        <v>0</v>
      </c>
      <c r="L119" s="461">
        <f t="shared" si="5"/>
        <v>0</v>
      </c>
      <c r="M119" s="411"/>
      <c r="N119" s="411"/>
      <c r="O119" s="411"/>
      <c r="P119" s="372"/>
      <c r="Q119" s="366">
        <f>IF(D116&lt;=3,база!$L$4,
IF(D116=4,база!$L$5,
IF(D116=5,база!$L$6)))</f>
        <v>210.57480000000001</v>
      </c>
      <c r="R119" s="367">
        <v>1.2</v>
      </c>
      <c r="S119" s="468">
        <f>SUMIFS(Таблица1[Столбец1],Таблица1[коэф],"1,2",Таблица1[р/р],"3/16",Таблица1[Ф. И. О.],B121)</f>
        <v>0</v>
      </c>
      <c r="T119" s="470">
        <f t="shared" si="6"/>
        <v>0</v>
      </c>
      <c r="U119" s="449">
        <f>IF(D116&lt;=3,база!$M$4,
IF(D116=4,база!$M$5,
IF(D116=5,база!$M$6)))</f>
        <v>225.09719999999999</v>
      </c>
      <c r="V119" s="367">
        <v>1.2</v>
      </c>
      <c r="W119" s="471">
        <f>SUMIFS(Таблица1[Столбец1],Таблица1[коэф],"1,2",Таблица1[р/р],"3/24",Таблица1[Ф. И. О.],B121)</f>
        <v>0</v>
      </c>
      <c r="X119" s="469">
        <f t="shared" si="7"/>
        <v>0</v>
      </c>
      <c r="Y119" s="748"/>
      <c r="Z119" s="750"/>
      <c r="AA119" s="740"/>
    </row>
    <row r="120" spans="1:29" ht="18.75">
      <c r="A120" s="740"/>
      <c r="B120" s="201"/>
      <c r="C120" s="743"/>
      <c r="D120" s="746"/>
      <c r="E120" s="370"/>
      <c r="F120" s="367"/>
      <c r="G120" s="377"/>
      <c r="H120" s="369">
        <f t="shared" si="4"/>
        <v>0</v>
      </c>
      <c r="I120" s="366">
        <f>база!$J$6</f>
        <v>243.04319999999998</v>
      </c>
      <c r="J120" s="367">
        <v>1.5</v>
      </c>
      <c r="K120" s="411">
        <f>SUMIFS(Таблица1[Столбец1],Таблица1[коэф],"1,5",Таблица1[р/р],"5/8",Таблица1[Ф. И. О.],B121)</f>
        <v>0</v>
      </c>
      <c r="L120" s="461">
        <f t="shared" si="5"/>
        <v>0</v>
      </c>
      <c r="M120" s="411"/>
      <c r="N120" s="411"/>
      <c r="O120" s="411"/>
      <c r="P120" s="372"/>
      <c r="Q120" s="366">
        <f>база!$L$5</f>
        <v>231.45480000000001</v>
      </c>
      <c r="R120" s="367">
        <v>1.2</v>
      </c>
      <c r="S120" s="468">
        <f>SUMIFS(Таблица1[Столбец1],Таблица1[коэф],"1,2",Таблица1[р/р],"4/16",Таблица1[Ф. И. О.],B121)</f>
        <v>0</v>
      </c>
      <c r="T120" s="470">
        <f t="shared" si="6"/>
        <v>0</v>
      </c>
      <c r="U120" s="449">
        <f>база!$M$5</f>
        <v>247.41720000000001</v>
      </c>
      <c r="V120" s="367">
        <v>1.2</v>
      </c>
      <c r="W120" s="471">
        <f>SUMIFS(Таблица1[Столбец1],Таблица1[коэф],"1,2",Таблица1[р/р],"4/24",Таблица1[Ф. И. О.],B121)</f>
        <v>0</v>
      </c>
      <c r="X120" s="469">
        <f t="shared" si="7"/>
        <v>0</v>
      </c>
      <c r="Y120" s="748"/>
      <c r="Z120" s="750"/>
      <c r="AA120" s="740"/>
    </row>
    <row r="121" spans="1:29" ht="18.75">
      <c r="A121" s="740"/>
      <c r="B121" s="201" t="str">
        <f>база!B12</f>
        <v>Бородицкая Ирина Борисовна</v>
      </c>
      <c r="C121" s="743"/>
      <c r="D121" s="746"/>
      <c r="E121" s="370"/>
      <c r="F121" s="367"/>
      <c r="G121" s="377"/>
      <c r="H121" s="369">
        <f t="shared" si="4"/>
        <v>0</v>
      </c>
      <c r="I121" s="366"/>
      <c r="J121" s="367"/>
      <c r="K121" s="411"/>
      <c r="L121" s="461">
        <f t="shared" si="5"/>
        <v>0</v>
      </c>
      <c r="M121" s="411"/>
      <c r="N121" s="411"/>
      <c r="O121" s="411"/>
      <c r="P121" s="372"/>
      <c r="Q121" s="366">
        <f>база!$L$6</f>
        <v>261.04640000000001</v>
      </c>
      <c r="R121" s="367">
        <v>1.2</v>
      </c>
      <c r="S121" s="468">
        <f>SUMIFS(Таблица1[Столбец1],Таблица1[коэф],"1,2",Таблица1[р/р],"5/16",Таблица1[Ф. И. О.],B121)</f>
        <v>0</v>
      </c>
      <c r="T121" s="470">
        <f t="shared" si="6"/>
        <v>0</v>
      </c>
      <c r="U121" s="449">
        <f>база!$M$6</f>
        <v>279.0496</v>
      </c>
      <c r="V121" s="367">
        <v>1.2</v>
      </c>
      <c r="W121" s="471">
        <f>SUMIFS(Таблица1[Столбец1],Таблица1[коэф],"1,2",Таблица1[р/р],"5/24",Таблица1[Ф. И. О.],B121)</f>
        <v>0</v>
      </c>
      <c r="X121" s="469">
        <f t="shared" si="7"/>
        <v>0</v>
      </c>
      <c r="Y121" s="748"/>
      <c r="Z121" s="750"/>
      <c r="AA121" s="740"/>
      <c r="AC121" s="693" t="str">
        <f>IF(SUMIFS(Таблица1[Столбец3],Таблица1[Ф. И. О.],B121)-Z116=0,"",SUMIFS(Таблица1[Столбец3],Таблица1[Ф. И. О.],B121)-Z116)</f>
        <v/>
      </c>
    </row>
    <row r="122" spans="1:29" ht="18.75">
      <c r="A122" s="740"/>
      <c r="B122" s="201"/>
      <c r="C122" s="743"/>
      <c r="D122" s="746"/>
      <c r="E122" s="370"/>
      <c r="F122" s="367"/>
      <c r="G122" s="377"/>
      <c r="H122" s="369">
        <f t="shared" si="4"/>
        <v>0</v>
      </c>
      <c r="I122" s="366"/>
      <c r="J122" s="367"/>
      <c r="K122" s="411"/>
      <c r="L122" s="461">
        <f t="shared" si="5"/>
        <v>0</v>
      </c>
      <c r="M122" s="411"/>
      <c r="N122" s="411"/>
      <c r="O122" s="411"/>
      <c r="P122" s="372"/>
      <c r="Q122" s="366">
        <f>IF(D116&lt;=3,база!$L$4,
IF(D116=4,база!$L$5,
IF(D116=5,база!$L$6)))</f>
        <v>210.57480000000001</v>
      </c>
      <c r="R122" s="367">
        <v>1.3</v>
      </c>
      <c r="S122" s="468">
        <f>SUMIFS(Таблица1[Столбец1],Таблица1[коэф],"1,3",Таблица1[р/р],"3/16",Таблица1[Ф. И. О.],B121)</f>
        <v>0</v>
      </c>
      <c r="T122" s="470">
        <f t="shared" si="6"/>
        <v>0</v>
      </c>
      <c r="U122" s="449">
        <f>IF(D116&lt;=3,база!$M$4,
IF(D116=4,база!$M$5,
IF(D116=5,база!$M$6)))</f>
        <v>225.09719999999999</v>
      </c>
      <c r="V122" s="367">
        <v>1.3</v>
      </c>
      <c r="W122" s="471">
        <f>SUMIFS(Таблица1[Столбец1],Таблица1[коэф],"1,3",Таблица1[р/р],"3/24",Таблица1[Ф. И. О.],B121)</f>
        <v>0</v>
      </c>
      <c r="X122" s="469">
        <f t="shared" si="7"/>
        <v>0</v>
      </c>
      <c r="Y122" s="748"/>
      <c r="Z122" s="750"/>
      <c r="AA122" s="740"/>
      <c r="AC122" s="693" t="str">
        <f>IF(SUMIFS(Таблица1[Столбец1],Таблица1[Ф. И. О.],B121)=Y116,"",B121&amp;"  часы не верны")</f>
        <v/>
      </c>
    </row>
    <row r="123" spans="1:29" ht="18.75">
      <c r="A123" s="740"/>
      <c r="B123" s="201"/>
      <c r="C123" s="743"/>
      <c r="D123" s="746"/>
      <c r="E123" s="370"/>
      <c r="F123" s="367"/>
      <c r="G123" s="377"/>
      <c r="H123" s="369">
        <f t="shared" si="4"/>
        <v>0</v>
      </c>
      <c r="I123" s="366"/>
      <c r="J123" s="367"/>
      <c r="K123" s="411"/>
      <c r="L123" s="461">
        <f t="shared" si="5"/>
        <v>0</v>
      </c>
      <c r="M123" s="411"/>
      <c r="N123" s="411"/>
      <c r="O123" s="411"/>
      <c r="P123" s="372"/>
      <c r="Q123" s="366">
        <f>база!$L$5</f>
        <v>231.45480000000001</v>
      </c>
      <c r="R123" s="367">
        <v>1.3</v>
      </c>
      <c r="S123" s="468">
        <f>SUMIFS(Таблица1[Столбец1],Таблица1[коэф],"1,3",Таблица1[р/р],"4/16",Таблица1[Ф. И. О.],B121)</f>
        <v>0</v>
      </c>
      <c r="T123" s="470">
        <f t="shared" si="6"/>
        <v>0</v>
      </c>
      <c r="U123" s="449">
        <f>база!$M$5</f>
        <v>247.41720000000001</v>
      </c>
      <c r="V123" s="367">
        <v>1.3</v>
      </c>
      <c r="W123" s="471">
        <f>SUMIFS(Таблица1[Столбец1],Таблица1[коэф],"1,3",Таблица1[р/р],"4/24",Таблица1[Ф. И. О.],B121)</f>
        <v>0</v>
      </c>
      <c r="X123" s="469">
        <f t="shared" si="7"/>
        <v>0</v>
      </c>
      <c r="Y123" s="748"/>
      <c r="Z123" s="750"/>
      <c r="AA123" s="740"/>
    </row>
    <row r="124" spans="1:29" ht="18.75">
      <c r="A124" s="740"/>
      <c r="B124" s="201"/>
      <c r="C124" s="743"/>
      <c r="D124" s="746"/>
      <c r="E124" s="370"/>
      <c r="F124" s="367"/>
      <c r="G124" s="377"/>
      <c r="H124" s="369">
        <f t="shared" si="4"/>
        <v>0</v>
      </c>
      <c r="I124" s="366"/>
      <c r="J124" s="367"/>
      <c r="K124" s="411"/>
      <c r="L124" s="461">
        <f t="shared" si="5"/>
        <v>0</v>
      </c>
      <c r="M124" s="411"/>
      <c r="N124" s="411"/>
      <c r="O124" s="411"/>
      <c r="P124" s="372"/>
      <c r="Q124" s="366">
        <f>IF(D116&lt;=3,база!$L$4,
IF(D116=4,база!$L$5,
IF(D116=5,база!$L$6)))</f>
        <v>210.57480000000001</v>
      </c>
      <c r="R124" s="367">
        <v>1.4</v>
      </c>
      <c r="S124" s="468">
        <f>SUMIFS(Таблица1[Столбец1],Таблица1[коэф],"1,4",Таблица1[р/р],"3/16",Таблица1[Ф. И. О.],B121)</f>
        <v>0</v>
      </c>
      <c r="T124" s="470">
        <f t="shared" si="6"/>
        <v>0</v>
      </c>
      <c r="U124" s="449">
        <f>IF(D116&lt;=3,база!$M$4,
IF(D116=4,база!$M$5,
IF(D116=5,база!$M$6)))</f>
        <v>225.09719999999999</v>
      </c>
      <c r="V124" s="367">
        <v>1.4</v>
      </c>
      <c r="W124" s="471">
        <f>SUMIFS(Таблица1[Столбец1],Таблица1[коэф],"1,4",Таблица1[р/р],"3/24",Таблица1[Ф. И. О.],B121)</f>
        <v>0</v>
      </c>
      <c r="X124" s="469">
        <f t="shared" si="7"/>
        <v>0</v>
      </c>
      <c r="Y124" s="748"/>
      <c r="Z124" s="750"/>
      <c r="AA124" s="740"/>
    </row>
    <row r="125" spans="1:29" ht="18.75">
      <c r="A125" s="740"/>
      <c r="B125" s="201"/>
      <c r="C125" s="743"/>
      <c r="D125" s="746"/>
      <c r="E125" s="370"/>
      <c r="F125" s="367"/>
      <c r="G125" s="377"/>
      <c r="H125" s="369">
        <f t="shared" si="4"/>
        <v>0</v>
      </c>
      <c r="I125" s="366"/>
      <c r="J125" s="367"/>
      <c r="K125" s="411"/>
      <c r="L125" s="461">
        <f t="shared" si="5"/>
        <v>0</v>
      </c>
      <c r="M125" s="411"/>
      <c r="N125" s="411"/>
      <c r="O125" s="411"/>
      <c r="P125" s="372"/>
      <c r="Q125" s="366">
        <f>база!$L$5</f>
        <v>231.45480000000001</v>
      </c>
      <c r="R125" s="367">
        <v>1.4</v>
      </c>
      <c r="S125" s="468">
        <f>SUMIFS(Таблица1[Столбец1],Таблица1[коэф],"1,4",Таблица1[р/р],"4/16",Таблица1[Ф. И. О.],B121)</f>
        <v>0</v>
      </c>
      <c r="T125" s="470">
        <f t="shared" si="6"/>
        <v>0</v>
      </c>
      <c r="U125" s="449">
        <f>база!$M$5</f>
        <v>247.41720000000001</v>
      </c>
      <c r="V125" s="367">
        <v>1.4</v>
      </c>
      <c r="W125" s="471">
        <f>SUMIFS(Таблица1[Столбец1],Таблица1[коэф],"1,4",Таблица1[р/р],"4/24",Таблица1[Ф. И. О.],B121)</f>
        <v>0</v>
      </c>
      <c r="X125" s="469">
        <f t="shared" si="7"/>
        <v>0</v>
      </c>
      <c r="Y125" s="748"/>
      <c r="Z125" s="750"/>
      <c r="AA125" s="740"/>
    </row>
    <row r="126" spans="1:29" ht="19.5" thickBot="1">
      <c r="A126" s="741"/>
      <c r="B126" s="201"/>
      <c r="C126" s="744"/>
      <c r="D126" s="747"/>
      <c r="E126" s="399"/>
      <c r="F126" s="380"/>
      <c r="G126" s="385"/>
      <c r="H126" s="445">
        <f t="shared" si="4"/>
        <v>0</v>
      </c>
      <c r="I126" s="397"/>
      <c r="J126" s="380"/>
      <c r="K126" s="437"/>
      <c r="L126" s="435">
        <f t="shared" si="5"/>
        <v>0</v>
      </c>
      <c r="M126" s="437"/>
      <c r="N126" s="437"/>
      <c r="O126" s="437"/>
      <c r="P126" s="401"/>
      <c r="Q126" s="397">
        <f>база!$L$6</f>
        <v>261.04640000000001</v>
      </c>
      <c r="R126" s="380">
        <v>1.4</v>
      </c>
      <c r="S126" s="484">
        <f>SUMIFS(Таблица1[Столбец1],Таблица1[коэф],"1,4",Таблица1[р/р],"5/16",Таблица1[Ф. И. О.],B121)</f>
        <v>0</v>
      </c>
      <c r="T126" s="490">
        <f t="shared" si="6"/>
        <v>0</v>
      </c>
      <c r="U126" s="459">
        <f>база!$M$6</f>
        <v>279.0496</v>
      </c>
      <c r="V126" s="380">
        <v>1.4</v>
      </c>
      <c r="W126" s="473">
        <f>SUMIFS(Таблица1[Столбец1],Таблица1[коэф],"1,4",Таблица1[р/р],"5/24",Таблица1[Ф. И. О.],B121)</f>
        <v>0</v>
      </c>
      <c r="X126" s="469">
        <f t="shared" si="7"/>
        <v>0</v>
      </c>
      <c r="Y126" s="749"/>
      <c r="Z126" s="751"/>
      <c r="AA126" s="741"/>
    </row>
    <row r="127" spans="1:29" ht="18.75">
      <c r="A127" s="739">
        <v>12</v>
      </c>
      <c r="B127" s="282"/>
      <c r="C127" s="742">
        <f>INDEX(база!$E$2:$E$81, MATCH(B132,база!$B$2:$B$50,0))</f>
        <v>16960</v>
      </c>
      <c r="D127" s="745">
        <f>INDEX(база!$D$2:$D$89, MATCH(B132,база!$B$2:$B$50,0))</f>
        <v>3</v>
      </c>
      <c r="E127" s="358">
        <f>IF(D127&lt;=3,база!$I$4,
IF(D127=4,база!$I$5,
IF(D127=5,база!$I$6)))</f>
        <v>188.7912</v>
      </c>
      <c r="F127" s="355">
        <v>1</v>
      </c>
      <c r="G127" s="364">
        <f>SUMIFS(Таблица1[Столбец1],Таблица1[коэф],"1",Таблица1[р/р],"2/4",Таблица1[Ф. И. О.],B132)</f>
        <v>0</v>
      </c>
      <c r="H127" s="379">
        <f t="shared" si="4"/>
        <v>0</v>
      </c>
      <c r="I127" s="354">
        <f>IF(D127&lt;=3,база!$J$4,
IF(D127=4,база!$J$5,
IF(D127=5,база!$J$6)))</f>
        <v>196.05240000000001</v>
      </c>
      <c r="J127" s="355">
        <v>1</v>
      </c>
      <c r="K127" s="405">
        <f>SUMIFS(Таблица1[Столбец1],Таблица1[коэф],"1",Таблица1[р/р],"2/8",Таблица1[Ф. И. О.],B132)</f>
        <v>0</v>
      </c>
      <c r="L127" s="461">
        <f t="shared" si="5"/>
        <v>0</v>
      </c>
      <c r="M127" s="405"/>
      <c r="N127" s="405">
        <v>1</v>
      </c>
      <c r="O127" s="405">
        <f>SUMIFS(Data_Tech!$AM$3:$AM$67,Data_Tech!$E$3:$E$67,"1",Data_Tech!$G$3:$G$67,"3/12",Data_Tech!$F$3:$F$67,B132)</f>
        <v>0</v>
      </c>
      <c r="P127" s="360">
        <f>ROUND(M127*N127*O127,2)</f>
        <v>0</v>
      </c>
      <c r="Q127" s="354">
        <f>IF(D127&lt;=3,база!$L$4,
IF(D127=4,база!$L$5,
IF(D127=5,база!$L$6)))</f>
        <v>210.57480000000001</v>
      </c>
      <c r="R127" s="355">
        <v>1</v>
      </c>
      <c r="S127" s="466">
        <f>SUMIFS(Таблица1[Столбец1],Таблица1[коэф],"1",Таблица1[р/р],"3/16",Таблица1[Ф. И. О.],B132)</f>
        <v>0</v>
      </c>
      <c r="T127" s="469">
        <f t="shared" si="6"/>
        <v>0</v>
      </c>
      <c r="U127" s="448">
        <f>IF(D127&lt;=3,база!$M$4,
IF(D127=4,база!$M$5,
IF(D127=5,база!$M$6)))</f>
        <v>225.09719999999999</v>
      </c>
      <c r="V127" s="355">
        <v>1</v>
      </c>
      <c r="W127" s="474">
        <f>SUMIFS(Таблица1[Столбец1],Таблица1[коэф],"1",Таблица1[р/р],"3/24",Таблица1[Ф. И. О.],B132)</f>
        <v>0</v>
      </c>
      <c r="X127" s="467">
        <f t="shared" si="7"/>
        <v>0</v>
      </c>
      <c r="Y127" s="748">
        <f t="shared" ref="Y127" si="14">SUM(G127:G137,K127:K137,O127:O137,S127:S137,W127:W137)</f>
        <v>0</v>
      </c>
      <c r="Z127" s="750">
        <f t="shared" ref="Z127" si="15">IFERROR(SUM(H127:H137,L127:L137,T127:T137,X127:X137),"")</f>
        <v>0</v>
      </c>
      <c r="AA127" s="740"/>
    </row>
    <row r="128" spans="1:29" ht="18.75">
      <c r="A128" s="740"/>
      <c r="B128" s="201"/>
      <c r="C128" s="743"/>
      <c r="D128" s="746"/>
      <c r="E128" s="370">
        <f>IF(D127&lt;=3,база!$I$4,
IF(D127=4,база!$I$5,
IF(D127=5,база!$I$6)))</f>
        <v>188.7912</v>
      </c>
      <c r="F128" s="367">
        <v>1</v>
      </c>
      <c r="G128" s="377">
        <f>SUMIFS(Таблица1[Столбец1],Таблица1[коэф],"1",Таблица1[р/р],"3/4",Таблица1[Ф. И. О.],B132)</f>
        <v>0</v>
      </c>
      <c r="H128" s="369">
        <f t="shared" si="4"/>
        <v>0</v>
      </c>
      <c r="I128" s="366">
        <f>IF(D127&lt;=3,база!$J$4,
IF(D127=4,база!$J$5,
IF(D127=5,база!$J$6)))</f>
        <v>196.05240000000001</v>
      </c>
      <c r="J128" s="367">
        <v>1</v>
      </c>
      <c r="K128" s="411">
        <f>SUMIFS(Таблица1[Столбец1],Таблица1[коэф],"1",Таблица1[р/р],"3/8",Таблица1[Ф. И. О.],B132)</f>
        <v>0</v>
      </c>
      <c r="L128" s="461">
        <f t="shared" si="5"/>
        <v>0</v>
      </c>
      <c r="M128" s="411"/>
      <c r="N128" s="411">
        <v>1</v>
      </c>
      <c r="O128" s="411">
        <f>SUMIFS(Data_Tech!$AM$3:$AM$67,Data_Tech!$E$3:$E$67,"1",Data_Tech!$G$3:$G$67,"4/12",Data_Tech!$F$3:$F$67,B132)</f>
        <v>0</v>
      </c>
      <c r="P128" s="372">
        <f>ROUND(M128*O128,2)</f>
        <v>0</v>
      </c>
      <c r="Q128" s="366">
        <f>база!$L$5</f>
        <v>231.45480000000001</v>
      </c>
      <c r="R128" s="367">
        <v>1</v>
      </c>
      <c r="S128" s="468">
        <f>SUMIFS(Таблица1[Столбец1],Таблица1[коэф],"1",Таблица1[р/р],"4/16",Таблица1[Ф. И. О.],B132)</f>
        <v>0</v>
      </c>
      <c r="T128" s="470">
        <f t="shared" si="6"/>
        <v>0</v>
      </c>
      <c r="U128" s="449">
        <f>база!$M$5</f>
        <v>247.41720000000001</v>
      </c>
      <c r="V128" s="367">
        <v>1</v>
      </c>
      <c r="W128" s="471">
        <f>SUMIFS(Таблица1[Столбец1],Таблица1[коэф],"1",Таблица1[р/р],"4/24",Таблица1[Ф. И. О.],B132)</f>
        <v>0</v>
      </c>
      <c r="X128" s="469">
        <f t="shared" si="7"/>
        <v>0</v>
      </c>
      <c r="Y128" s="748"/>
      <c r="Z128" s="750"/>
      <c r="AA128" s="740"/>
    </row>
    <row r="129" spans="1:29" ht="18.75">
      <c r="A129" s="740"/>
      <c r="B129" s="201"/>
      <c r="C129" s="743"/>
      <c r="D129" s="746"/>
      <c r="E129" s="370"/>
      <c r="F129" s="367"/>
      <c r="G129" s="377"/>
      <c r="H129" s="369">
        <f t="shared" si="4"/>
        <v>0</v>
      </c>
      <c r="I129" s="366"/>
      <c r="J129" s="367"/>
      <c r="K129" s="411"/>
      <c r="L129" s="461">
        <f t="shared" si="5"/>
        <v>0</v>
      </c>
      <c r="M129" s="411"/>
      <c r="N129" s="411"/>
      <c r="O129" s="411"/>
      <c r="P129" s="372"/>
      <c r="Q129" s="366">
        <f>база!$L$6</f>
        <v>261.04640000000001</v>
      </c>
      <c r="R129" s="367">
        <v>1</v>
      </c>
      <c r="S129" s="468">
        <f>SUMIFS(Таблица1[Столбец1],Таблица1[коэф],"1",Таблица1[р/р],"5/16",Таблица1[Ф. И. О.],B132)</f>
        <v>0</v>
      </c>
      <c r="T129" s="470">
        <f t="shared" si="6"/>
        <v>0</v>
      </c>
      <c r="U129" s="449">
        <f>база!$M$6</f>
        <v>279.0496</v>
      </c>
      <c r="V129" s="367">
        <v>1</v>
      </c>
      <c r="W129" s="471">
        <f>SUMIFS(Таблица1[Столбец1],Таблица1[коэф],"1",Таблица1[р/р],"5/24",Таблица1[Ф. И. О.],B132)</f>
        <v>0</v>
      </c>
      <c r="X129" s="469">
        <f t="shared" si="7"/>
        <v>0</v>
      </c>
      <c r="Y129" s="748"/>
      <c r="Z129" s="750"/>
      <c r="AA129" s="740"/>
    </row>
    <row r="130" spans="1:29" ht="18.75">
      <c r="A130" s="740"/>
      <c r="B130" s="201"/>
      <c r="C130" s="743"/>
      <c r="D130" s="746"/>
      <c r="E130" s="370"/>
      <c r="F130" s="367"/>
      <c r="G130" s="377"/>
      <c r="H130" s="369">
        <f t="shared" si="4"/>
        <v>0</v>
      </c>
      <c r="I130" s="366">
        <f>база!$J$5</f>
        <v>215.4924</v>
      </c>
      <c r="J130" s="367">
        <v>1.5</v>
      </c>
      <c r="K130" s="411">
        <f>SUMIFS(Таблица1[Столбец1],Таблица1[коэф],"1,5",Таблица1[р/р],"4/8",Таблица1[Ф. И. О.],B132)</f>
        <v>0</v>
      </c>
      <c r="L130" s="461">
        <f t="shared" si="5"/>
        <v>0</v>
      </c>
      <c r="M130" s="411"/>
      <c r="N130" s="411"/>
      <c r="O130" s="411"/>
      <c r="P130" s="372"/>
      <c r="Q130" s="366">
        <f>IF(D127&lt;=3,база!$L$4,
IF(D127=4,база!$L$5,
IF(D127=5,база!$L$6)))</f>
        <v>210.57480000000001</v>
      </c>
      <c r="R130" s="367">
        <v>1.2</v>
      </c>
      <c r="S130" s="468">
        <f>SUMIFS(Таблица1[Столбец1],Таблица1[коэф],"1,2",Таблица1[р/р],"3/16",Таблица1[Ф. И. О.],B132)</f>
        <v>0</v>
      </c>
      <c r="T130" s="470">
        <f t="shared" si="6"/>
        <v>0</v>
      </c>
      <c r="U130" s="449">
        <f>IF(D127&lt;=3,база!$M$4,
IF(D127=4,база!$M$5,
IF(D127=5,база!$M$6)))</f>
        <v>225.09719999999999</v>
      </c>
      <c r="V130" s="367">
        <v>1.2</v>
      </c>
      <c r="W130" s="471">
        <f>SUMIFS(Таблица1[Столбец1],Таблица1[коэф],"1,2",Таблица1[р/р],"3/24",Таблица1[Ф. И. О.],B132)</f>
        <v>0</v>
      </c>
      <c r="X130" s="469">
        <f t="shared" si="7"/>
        <v>0</v>
      </c>
      <c r="Y130" s="748"/>
      <c r="Z130" s="750"/>
      <c r="AA130" s="740"/>
    </row>
    <row r="131" spans="1:29" ht="18.75">
      <c r="A131" s="740"/>
      <c r="B131" s="201"/>
      <c r="C131" s="743"/>
      <c r="D131" s="746"/>
      <c r="E131" s="370"/>
      <c r="F131" s="367"/>
      <c r="G131" s="377"/>
      <c r="H131" s="369">
        <f t="shared" si="4"/>
        <v>0</v>
      </c>
      <c r="I131" s="366">
        <f>база!$J$6</f>
        <v>243.04319999999998</v>
      </c>
      <c r="J131" s="367">
        <v>1.5</v>
      </c>
      <c r="K131" s="411">
        <f>SUMIFS(Таблица1[Столбец1],Таблица1[коэф],"1,5",Таблица1[р/р],"5/8",Таблица1[Ф. И. О.],B132)</f>
        <v>0</v>
      </c>
      <c r="L131" s="461">
        <f t="shared" si="5"/>
        <v>0</v>
      </c>
      <c r="M131" s="411"/>
      <c r="N131" s="411"/>
      <c r="O131" s="411"/>
      <c r="P131" s="372"/>
      <c r="Q131" s="366">
        <f>база!$L$5</f>
        <v>231.45480000000001</v>
      </c>
      <c r="R131" s="367">
        <v>1.2</v>
      </c>
      <c r="S131" s="468">
        <f>SUMIFS(Таблица1[Столбец1],Таблица1[коэф],"1,2",Таблица1[р/р],"4/16",Таблица1[Ф. И. О.],B132)</f>
        <v>0</v>
      </c>
      <c r="T131" s="470">
        <f t="shared" si="6"/>
        <v>0</v>
      </c>
      <c r="U131" s="449">
        <f>база!$M$5</f>
        <v>247.41720000000001</v>
      </c>
      <c r="V131" s="367">
        <v>1.2</v>
      </c>
      <c r="W131" s="471">
        <f>SUMIFS(Таблица1[Столбец1],Таблица1[коэф],"1,2",Таблица1[р/р],"4/24",Таблица1[Ф. И. О.],B132)</f>
        <v>0</v>
      </c>
      <c r="X131" s="469">
        <f t="shared" si="7"/>
        <v>0</v>
      </c>
      <c r="Y131" s="748"/>
      <c r="Z131" s="750"/>
      <c r="AA131" s="740"/>
    </row>
    <row r="132" spans="1:29" ht="22.5" customHeight="1">
      <c r="A132" s="740"/>
      <c r="B132" s="201" t="str">
        <f>база!B13</f>
        <v>Бунчук Виктория Ивановна</v>
      </c>
      <c r="C132" s="743"/>
      <c r="D132" s="746"/>
      <c r="E132" s="370"/>
      <c r="F132" s="367"/>
      <c r="G132" s="377"/>
      <c r="H132" s="369">
        <f t="shared" si="4"/>
        <v>0</v>
      </c>
      <c r="I132" s="366"/>
      <c r="J132" s="367"/>
      <c r="K132" s="411"/>
      <c r="L132" s="461">
        <f t="shared" si="5"/>
        <v>0</v>
      </c>
      <c r="M132" s="411"/>
      <c r="N132" s="411"/>
      <c r="O132" s="411"/>
      <c r="P132" s="372"/>
      <c r="Q132" s="366">
        <f>база!$L$6</f>
        <v>261.04640000000001</v>
      </c>
      <c r="R132" s="367">
        <v>1.2</v>
      </c>
      <c r="S132" s="468">
        <f>SUMIFS(Таблица1[Столбец1],Таблица1[коэф],"1,2",Таблица1[р/р],"5/16",Таблица1[Ф. И. О.],B132)</f>
        <v>0</v>
      </c>
      <c r="T132" s="470">
        <f t="shared" si="6"/>
        <v>0</v>
      </c>
      <c r="U132" s="449">
        <f>база!$M$6</f>
        <v>279.0496</v>
      </c>
      <c r="V132" s="367">
        <v>1.2</v>
      </c>
      <c r="W132" s="471">
        <f>SUMIFS(Таблица1[Столбец1],Таблица1[коэф],"1,2",Таблица1[р/р],"5/24",Таблица1[Ф. И. О.],B132)</f>
        <v>0</v>
      </c>
      <c r="X132" s="469">
        <f t="shared" si="7"/>
        <v>0</v>
      </c>
      <c r="Y132" s="748"/>
      <c r="Z132" s="750"/>
      <c r="AA132" s="740"/>
      <c r="AC132" s="693" t="str">
        <f>IF(SUMIFS(Таблица1[Столбец3],Таблица1[Ф. И. О.],B132)-Z127=0,"",SUMIFS(Таблица1[Столбец3],Таблица1[Ф. И. О.],B132)-Z127)</f>
        <v/>
      </c>
    </row>
    <row r="133" spans="1:29" ht="18.75">
      <c r="A133" s="740"/>
      <c r="B133" s="201"/>
      <c r="C133" s="743"/>
      <c r="D133" s="746"/>
      <c r="E133" s="370"/>
      <c r="F133" s="367"/>
      <c r="G133" s="377"/>
      <c r="H133" s="369">
        <f t="shared" si="4"/>
        <v>0</v>
      </c>
      <c r="I133" s="366"/>
      <c r="J133" s="367"/>
      <c r="K133" s="411"/>
      <c r="L133" s="461">
        <f t="shared" si="5"/>
        <v>0</v>
      </c>
      <c r="M133" s="411"/>
      <c r="N133" s="411"/>
      <c r="O133" s="411"/>
      <c r="P133" s="372"/>
      <c r="Q133" s="366">
        <f>IF(D127&lt;=3,база!$L$4,
IF(D127=4,база!$L$5,
IF(D127=5,база!$L$6)))</f>
        <v>210.57480000000001</v>
      </c>
      <c r="R133" s="367">
        <v>1.3</v>
      </c>
      <c r="S133" s="468">
        <f>SUMIFS(Таблица1[Столбец1],Таблица1[коэф],"1,3",Таблица1[р/р],"3/16",Таблица1[Ф. И. О.],B132)</f>
        <v>0</v>
      </c>
      <c r="T133" s="470">
        <f t="shared" si="6"/>
        <v>0</v>
      </c>
      <c r="U133" s="449">
        <f>IF(D127&lt;=3,база!$M$4,
IF(D127=4,база!$M$5,
IF(D127=5,база!$M$6)))</f>
        <v>225.09719999999999</v>
      </c>
      <c r="V133" s="367">
        <v>1.3</v>
      </c>
      <c r="W133" s="471">
        <f>SUMIFS(Таблица1[Столбец1],Таблица1[коэф],"1,3",Таблица1[р/р],"3/24",Таблица1[Ф. И. О.],B132)</f>
        <v>0</v>
      </c>
      <c r="X133" s="469">
        <f t="shared" si="7"/>
        <v>0</v>
      </c>
      <c r="Y133" s="748"/>
      <c r="Z133" s="750"/>
      <c r="AA133" s="740"/>
      <c r="AC133" s="693" t="str">
        <f>IF(SUMIFS(Таблица1[Столбец1],Таблица1[Ф. И. О.],B132)=Y127,"",B132&amp;"  часы не верны")</f>
        <v/>
      </c>
    </row>
    <row r="134" spans="1:29" ht="18.75">
      <c r="A134" s="740"/>
      <c r="B134" s="201"/>
      <c r="C134" s="743"/>
      <c r="D134" s="746"/>
      <c r="E134" s="370"/>
      <c r="F134" s="367"/>
      <c r="G134" s="377"/>
      <c r="H134" s="369">
        <f t="shared" si="4"/>
        <v>0</v>
      </c>
      <c r="I134" s="366"/>
      <c r="J134" s="367"/>
      <c r="K134" s="411"/>
      <c r="L134" s="461">
        <f t="shared" si="5"/>
        <v>0</v>
      </c>
      <c r="M134" s="411"/>
      <c r="N134" s="411"/>
      <c r="O134" s="411"/>
      <c r="P134" s="372"/>
      <c r="Q134" s="366">
        <f>база!$L$5</f>
        <v>231.45480000000001</v>
      </c>
      <c r="R134" s="367">
        <v>1.3</v>
      </c>
      <c r="S134" s="468">
        <f>SUMIFS(Таблица1[Столбец1],Таблица1[коэф],"1,3",Таблица1[р/р],"4/16",Таблица1[Ф. И. О.],B132)</f>
        <v>0</v>
      </c>
      <c r="T134" s="470">
        <f t="shared" si="6"/>
        <v>0</v>
      </c>
      <c r="U134" s="449">
        <f>база!$M$5</f>
        <v>247.41720000000001</v>
      </c>
      <c r="V134" s="367">
        <v>1.3</v>
      </c>
      <c r="W134" s="471">
        <f>SUMIFS(Таблица1[Столбец1],Таблица1[коэф],"1,3",Таблица1[р/р],"4/24",Таблица1[Ф. И. О.],B132)</f>
        <v>0</v>
      </c>
      <c r="X134" s="469">
        <f t="shared" si="7"/>
        <v>0</v>
      </c>
      <c r="Y134" s="748"/>
      <c r="Z134" s="750"/>
      <c r="AA134" s="740"/>
    </row>
    <row r="135" spans="1:29" ht="18.75">
      <c r="A135" s="740"/>
      <c r="B135" s="201"/>
      <c r="C135" s="743"/>
      <c r="D135" s="746"/>
      <c r="E135" s="370"/>
      <c r="F135" s="367"/>
      <c r="G135" s="377"/>
      <c r="H135" s="369">
        <f t="shared" ref="H135:H198" si="16">ROUND(E135*F135*G135*2,2)</f>
        <v>0</v>
      </c>
      <c r="I135" s="366"/>
      <c r="J135" s="367"/>
      <c r="K135" s="411"/>
      <c r="L135" s="461">
        <f t="shared" ref="L135:L198" si="17">ROUND(I135*J135*K135*2,2)</f>
        <v>0</v>
      </c>
      <c r="M135" s="411"/>
      <c r="N135" s="411"/>
      <c r="O135" s="411"/>
      <c r="P135" s="372"/>
      <c r="Q135" s="366">
        <f>IF(D127&lt;=3,база!$L$4,
IF(D127=4,база!$L$5,
IF(D127=5,база!$L$6)))</f>
        <v>210.57480000000001</v>
      </c>
      <c r="R135" s="367">
        <v>1.4</v>
      </c>
      <c r="S135" s="468">
        <f>SUMIFS(Таблица1[Столбец1],Таблица1[коэф],"1,4",Таблица1[р/р],"3/16",Таблица1[Ф. И. О.],B132)</f>
        <v>0</v>
      </c>
      <c r="T135" s="470">
        <f t="shared" ref="T135:T198" si="18">ROUND(Q135*R135*S135*2,2)</f>
        <v>0</v>
      </c>
      <c r="U135" s="449">
        <f>IF(D127&lt;=3,база!$M$4,
IF(D127=4,база!$M$5,
IF(D127=5,база!$M$6)))</f>
        <v>225.09719999999999</v>
      </c>
      <c r="V135" s="367">
        <v>1.4</v>
      </c>
      <c r="W135" s="471">
        <f>SUMIFS(Таблица1[Столбец1],Таблица1[коэф],"1,4",Таблица1[р/р],"3/24",Таблица1[Ф. И. О.],B132)</f>
        <v>0</v>
      </c>
      <c r="X135" s="469">
        <f t="shared" ref="X135:X198" si="19">ROUND(U135*V135*W135*2,2)</f>
        <v>0</v>
      </c>
      <c r="Y135" s="748"/>
      <c r="Z135" s="750"/>
      <c r="AA135" s="740"/>
    </row>
    <row r="136" spans="1:29" ht="18.75">
      <c r="A136" s="740"/>
      <c r="B136" s="201"/>
      <c r="C136" s="743"/>
      <c r="D136" s="746"/>
      <c r="E136" s="370"/>
      <c r="F136" s="367"/>
      <c r="G136" s="377"/>
      <c r="H136" s="369">
        <f t="shared" si="16"/>
        <v>0</v>
      </c>
      <c r="I136" s="366"/>
      <c r="J136" s="367"/>
      <c r="K136" s="411"/>
      <c r="L136" s="461">
        <f t="shared" si="17"/>
        <v>0</v>
      </c>
      <c r="M136" s="411"/>
      <c r="N136" s="411"/>
      <c r="O136" s="411"/>
      <c r="P136" s="372"/>
      <c r="Q136" s="366">
        <f>база!$L$5</f>
        <v>231.45480000000001</v>
      </c>
      <c r="R136" s="367">
        <v>1.4</v>
      </c>
      <c r="S136" s="468">
        <f>SUMIFS(Таблица1[Столбец1],Таблица1[коэф],"1,4",Таблица1[р/р],"4/16",Таблица1[Ф. И. О.],B132)</f>
        <v>0</v>
      </c>
      <c r="T136" s="470">
        <f t="shared" si="18"/>
        <v>0</v>
      </c>
      <c r="U136" s="449">
        <f>база!$M$5</f>
        <v>247.41720000000001</v>
      </c>
      <c r="V136" s="367">
        <v>1.4</v>
      </c>
      <c r="W136" s="471">
        <f>SUMIFS(Таблица1[Столбец1],Таблица1[коэф],"1,4",Таблица1[р/р],"4/24",Таблица1[Ф. И. О.],B132)</f>
        <v>0</v>
      </c>
      <c r="X136" s="469">
        <f t="shared" si="19"/>
        <v>0</v>
      </c>
      <c r="Y136" s="748"/>
      <c r="Z136" s="750"/>
      <c r="AA136" s="740"/>
    </row>
    <row r="137" spans="1:29" ht="19.5" thickBot="1">
      <c r="A137" s="741"/>
      <c r="B137" s="188"/>
      <c r="C137" s="744"/>
      <c r="D137" s="747"/>
      <c r="E137" s="440"/>
      <c r="F137" s="441"/>
      <c r="G137" s="442"/>
      <c r="H137" s="445">
        <f t="shared" si="16"/>
        <v>0</v>
      </c>
      <c r="I137" s="450"/>
      <c r="J137" s="441"/>
      <c r="K137" s="434"/>
      <c r="L137" s="435">
        <f t="shared" si="17"/>
        <v>0</v>
      </c>
      <c r="M137" s="434"/>
      <c r="N137" s="434"/>
      <c r="O137" s="434"/>
      <c r="P137" s="435"/>
      <c r="Q137" s="450">
        <f>база!$L$6</f>
        <v>261.04640000000001</v>
      </c>
      <c r="R137" s="441">
        <v>1.4</v>
      </c>
      <c r="S137" s="489">
        <f>SUMIFS(Таблица1[Столбец1],Таблица1[коэф],"1,4",Таблица1[р/р],"5/16",Таблица1[Ф. И. О.],B132)</f>
        <v>0</v>
      </c>
      <c r="T137" s="490">
        <f t="shared" si="18"/>
        <v>0</v>
      </c>
      <c r="U137" s="451">
        <f>база!$M$6</f>
        <v>279.0496</v>
      </c>
      <c r="V137" s="441">
        <v>1.4</v>
      </c>
      <c r="W137" s="478">
        <f>SUMIFS(Таблица1[Столбец1],Таблица1[коэф],"1,4",Таблица1[р/р],"5/24",Таблица1[Ф. И. О.],B132)</f>
        <v>0</v>
      </c>
      <c r="X137" s="469">
        <f t="shared" si="19"/>
        <v>0</v>
      </c>
      <c r="Y137" s="749"/>
      <c r="Z137" s="751"/>
      <c r="AA137" s="741"/>
    </row>
    <row r="138" spans="1:29" ht="18.75">
      <c r="A138" s="739">
        <v>13</v>
      </c>
      <c r="B138" s="201"/>
      <c r="C138" s="742">
        <f>INDEX(база!$E$2:$E$81, MATCH(B143,база!$B$2:$B$50,0))</f>
        <v>17198</v>
      </c>
      <c r="D138" s="745">
        <f>INDEX(база!$D$2:$D$89, MATCH(B143,база!$B$2:$B$50,0))</f>
        <v>3</v>
      </c>
      <c r="E138" s="354">
        <f>IF(D138&lt;=3,база!$I$4,
IF(D138=4,база!$I$5,
IF(D138=5,база!$I$6)))</f>
        <v>188.7912</v>
      </c>
      <c r="F138" s="355">
        <v>1</v>
      </c>
      <c r="G138" s="364">
        <f>SUMIFS(Таблица1[Столбец1],Таблица1[коэф],"1",Таблица1[р/р],"2/4",Таблица1[Ф. И. О.],B143)</f>
        <v>0</v>
      </c>
      <c r="H138" s="379">
        <f t="shared" si="16"/>
        <v>0</v>
      </c>
      <c r="I138" s="428">
        <f>IF(D138&lt;=3,база!$J$4,
IF(D138=4,база!$J$5,
IF(D138=5,база!$J$6)))</f>
        <v>196.05240000000001</v>
      </c>
      <c r="J138" s="394">
        <v>1</v>
      </c>
      <c r="K138" s="430">
        <f>SUMIFS(Таблица1[Столбец1],Таблица1[коэф],"1",Таблица1[р/р],"2/8",Таблица1[Ф. И. О.],B143)</f>
        <v>0</v>
      </c>
      <c r="L138" s="461">
        <f t="shared" si="17"/>
        <v>0</v>
      </c>
      <c r="M138" s="430"/>
      <c r="N138" s="430">
        <v>1</v>
      </c>
      <c r="O138" s="430">
        <f>SUMIFS(Data_Tech!$AM$3:$AM$67,Data_Tech!$E$3:$E$67,"1",Data_Tech!$G$3:$G$67,"3/12",Data_Tech!$F$3:$F$67,B143)</f>
        <v>0</v>
      </c>
      <c r="P138" s="375">
        <f>ROUND(M138*N138*O138,2)</f>
        <v>0</v>
      </c>
      <c r="Q138" s="458">
        <f>IF(D138&lt;=3,база!$L$4,
IF(D138=4,база!$L$5,
IF(D138=5,база!$L$6)))</f>
        <v>210.57480000000001</v>
      </c>
      <c r="R138" s="394">
        <v>1</v>
      </c>
      <c r="S138" s="472">
        <f>SUMIFS(Таблица1[Столбец1],Таблица1[коэф],"1",Таблица1[р/р],"3/16",Таблица1[Ф. И. О.],B143)</f>
        <v>0</v>
      </c>
      <c r="T138" s="469">
        <f t="shared" si="18"/>
        <v>0</v>
      </c>
      <c r="U138" s="431">
        <f>IF(D138&lt;=3,база!$M$4,
IF(D138=4,база!$M$5,
IF(D138=5,база!$M$6)))</f>
        <v>225.09719999999999</v>
      </c>
      <c r="V138" s="355">
        <v>1</v>
      </c>
      <c r="W138" s="482">
        <f>SUMIFS(Таблица1[Столбец1],Таблица1[коэф],"1",Таблица1[р/р],"3/24",Таблица1[Ф. И. О.],B143)</f>
        <v>0</v>
      </c>
      <c r="X138" s="467">
        <f t="shared" si="19"/>
        <v>0</v>
      </c>
      <c r="Y138" s="748">
        <f t="shared" ref="Y138" si="20">SUM(G138:G148,K138:K148,O138:O148,S138:S148,W138:W148)</f>
        <v>0</v>
      </c>
      <c r="Z138" s="750">
        <f t="shared" ref="Z138" si="21">IFERROR(SUM(H138:H148,L138:L148,T138:T148,X138:X148),"")</f>
        <v>0</v>
      </c>
      <c r="AA138" s="740"/>
    </row>
    <row r="139" spans="1:29" ht="18.75">
      <c r="A139" s="740"/>
      <c r="B139" s="201"/>
      <c r="C139" s="743"/>
      <c r="D139" s="746"/>
      <c r="E139" s="366">
        <f>IF(D138&lt;=3,база!$I$4,
IF(D138=4,база!$I$5,
IF(D138=5,база!$I$6)))</f>
        <v>188.7912</v>
      </c>
      <c r="F139" s="367">
        <v>1</v>
      </c>
      <c r="G139" s="377">
        <f>SUMIFS(Таблица1[Столбец1],Таблица1[коэф],"1",Таблица1[р/р],"3/4",Таблица1[Ф. И. О.],B143)</f>
        <v>0</v>
      </c>
      <c r="H139" s="369">
        <f t="shared" si="16"/>
        <v>0</v>
      </c>
      <c r="I139" s="370">
        <f>IF(D138&lt;=3,база!$J$4,
IF(D138=4,база!$J$5,
IF(D138=5,база!$J$6)))</f>
        <v>196.05240000000001</v>
      </c>
      <c r="J139" s="367">
        <v>1</v>
      </c>
      <c r="K139" s="411">
        <f>SUMIFS(Таблица1[Столбец1],Таблица1[коэф],"1",Таблица1[р/р],"3/8",Таблица1[Ф. И. О.],B143)</f>
        <v>0</v>
      </c>
      <c r="L139" s="461">
        <f t="shared" si="17"/>
        <v>0</v>
      </c>
      <c r="M139" s="411"/>
      <c r="N139" s="411">
        <v>1</v>
      </c>
      <c r="O139" s="411">
        <f>SUMIFS(Data_Tech!$AM$3:$AM$67,Data_Tech!$E$3:$E$67,"1",Data_Tech!$G$3:$G$67,"4/12",Data_Tech!$F$3:$F$67,B143)</f>
        <v>0</v>
      </c>
      <c r="P139" s="383">
        <f>ROUND(M139*O139,2)</f>
        <v>0</v>
      </c>
      <c r="Q139" s="366">
        <f>база!$L$5</f>
        <v>231.45480000000001</v>
      </c>
      <c r="R139" s="367">
        <v>1</v>
      </c>
      <c r="S139" s="468">
        <f>SUMIFS(Таблица1[Столбец1],Таблица1[коэф],"1",Таблица1[р/р],"4/16",Таблица1[Ф. И. О.],B143)</f>
        <v>0</v>
      </c>
      <c r="T139" s="470">
        <f t="shared" si="18"/>
        <v>0</v>
      </c>
      <c r="U139" s="387">
        <f>база!$M$5</f>
        <v>247.41720000000001</v>
      </c>
      <c r="V139" s="367">
        <v>1</v>
      </c>
      <c r="W139" s="480">
        <f>SUMIFS(Таблица1[Столбец1],Таблица1[коэф],"1",Таблица1[р/р],"4/24",Таблица1[Ф. И. О.],B143)</f>
        <v>0</v>
      </c>
      <c r="X139" s="469">
        <f t="shared" si="19"/>
        <v>0</v>
      </c>
      <c r="Y139" s="748"/>
      <c r="Z139" s="750"/>
      <c r="AA139" s="740"/>
    </row>
    <row r="140" spans="1:29" ht="18.75">
      <c r="A140" s="740"/>
      <c r="B140" s="201"/>
      <c r="C140" s="743"/>
      <c r="D140" s="746"/>
      <c r="E140" s="366"/>
      <c r="F140" s="367"/>
      <c r="G140" s="377"/>
      <c r="H140" s="369">
        <f t="shared" si="16"/>
        <v>0</v>
      </c>
      <c r="I140" s="370"/>
      <c r="J140" s="367"/>
      <c r="K140" s="411"/>
      <c r="L140" s="461">
        <f t="shared" si="17"/>
        <v>0</v>
      </c>
      <c r="M140" s="411"/>
      <c r="N140" s="411"/>
      <c r="O140" s="411"/>
      <c r="P140" s="383"/>
      <c r="Q140" s="366">
        <f>база!$L$6</f>
        <v>261.04640000000001</v>
      </c>
      <c r="R140" s="367">
        <v>1</v>
      </c>
      <c r="S140" s="468">
        <f>SUMIFS(Таблица1[Столбец1],Таблица1[коэф],"1",Таблица1[р/р],"5/16",Таблица1[Ф. И. О.],B143)</f>
        <v>0</v>
      </c>
      <c r="T140" s="470">
        <f t="shared" si="18"/>
        <v>0</v>
      </c>
      <c r="U140" s="387">
        <f>база!$M$6</f>
        <v>279.0496</v>
      </c>
      <c r="V140" s="367">
        <v>1</v>
      </c>
      <c r="W140" s="480">
        <f>SUMIFS(Таблица1[Столбец1],Таблица1[коэф],"1",Таблица1[р/р],"5/24",Таблица1[Ф. И. О.],B143)</f>
        <v>0</v>
      </c>
      <c r="X140" s="469">
        <f t="shared" si="19"/>
        <v>0</v>
      </c>
      <c r="Y140" s="748"/>
      <c r="Z140" s="750"/>
      <c r="AA140" s="740"/>
    </row>
    <row r="141" spans="1:29" ht="18.75">
      <c r="A141" s="740"/>
      <c r="B141" s="201"/>
      <c r="C141" s="743"/>
      <c r="D141" s="746"/>
      <c r="E141" s="366"/>
      <c r="F141" s="367"/>
      <c r="G141" s="377"/>
      <c r="H141" s="369">
        <f t="shared" si="16"/>
        <v>0</v>
      </c>
      <c r="I141" s="370">
        <f>база!$J$5</f>
        <v>215.4924</v>
      </c>
      <c r="J141" s="367">
        <v>1.5</v>
      </c>
      <c r="K141" s="411">
        <f>SUMIFS(Таблица1[Столбец1],Таблица1[коэф],"1,5",Таблица1[р/р],"4/8",Таблица1[Ф. И. О.],B143)</f>
        <v>0</v>
      </c>
      <c r="L141" s="461">
        <f t="shared" si="17"/>
        <v>0</v>
      </c>
      <c r="M141" s="411"/>
      <c r="N141" s="411"/>
      <c r="O141" s="411"/>
      <c r="P141" s="383"/>
      <c r="Q141" s="366">
        <f>IF(D138&lt;=3,база!$L$4,
IF(D138=4,база!$L$5,
IF(D138=5,база!$L$6)))</f>
        <v>210.57480000000001</v>
      </c>
      <c r="R141" s="367">
        <v>1.2</v>
      </c>
      <c r="S141" s="468">
        <f>SUMIFS(Таблица1[Столбец1],Таблица1[коэф],"1,2",Таблица1[р/р],"3/16",Таблица1[Ф. И. О.],B143)</f>
        <v>0</v>
      </c>
      <c r="T141" s="470">
        <f t="shared" si="18"/>
        <v>0</v>
      </c>
      <c r="U141" s="387">
        <f>IF(D138&lt;=3,база!$M$4,
IF(D138=4,база!$M$5,
IF(D138=5,база!$M$6)))</f>
        <v>225.09719999999999</v>
      </c>
      <c r="V141" s="367">
        <v>1.2</v>
      </c>
      <c r="W141" s="480">
        <f>SUMIFS(Таблица1[Столбец1],Таблица1[коэф],"1,2",Таблица1[р/р],"3/24",Таблица1[Ф. И. О.],B143)</f>
        <v>0</v>
      </c>
      <c r="X141" s="469">
        <f t="shared" si="19"/>
        <v>0</v>
      </c>
      <c r="Y141" s="748"/>
      <c r="Z141" s="750"/>
      <c r="AA141" s="740"/>
    </row>
    <row r="142" spans="1:29" ht="18.75">
      <c r="A142" s="740"/>
      <c r="B142" s="201"/>
      <c r="C142" s="743"/>
      <c r="D142" s="746"/>
      <c r="E142" s="366"/>
      <c r="F142" s="367"/>
      <c r="G142" s="377"/>
      <c r="H142" s="369">
        <f t="shared" si="16"/>
        <v>0</v>
      </c>
      <c r="I142" s="370">
        <f>база!$J$6</f>
        <v>243.04319999999998</v>
      </c>
      <c r="J142" s="367">
        <v>1.5</v>
      </c>
      <c r="K142" s="411">
        <f>SUMIFS(Таблица1[Столбец1],Таблица1[коэф],"1,5",Таблица1[р/р],"5/8",Таблица1[Ф. И. О.],B143)</f>
        <v>0</v>
      </c>
      <c r="L142" s="461">
        <f t="shared" si="17"/>
        <v>0</v>
      </c>
      <c r="M142" s="411"/>
      <c r="N142" s="411"/>
      <c r="O142" s="411"/>
      <c r="P142" s="383"/>
      <c r="Q142" s="366">
        <f>база!$L$5</f>
        <v>231.45480000000001</v>
      </c>
      <c r="R142" s="367">
        <v>1.2</v>
      </c>
      <c r="S142" s="468">
        <f>SUMIFS(Таблица1[Столбец1],Таблица1[коэф],"1,2",Таблица1[р/р],"4/16",Таблица1[Ф. И. О.],B143)</f>
        <v>0</v>
      </c>
      <c r="T142" s="470">
        <f t="shared" si="18"/>
        <v>0</v>
      </c>
      <c r="U142" s="387">
        <f>база!$M$5</f>
        <v>247.41720000000001</v>
      </c>
      <c r="V142" s="367">
        <v>1.2</v>
      </c>
      <c r="W142" s="480">
        <f>SUMIFS(Таблица1[Столбец1],Таблица1[коэф],"1,2",Таблица1[р/р],"4/24",Таблица1[Ф. И. О.],B143)</f>
        <v>0</v>
      </c>
      <c r="X142" s="469">
        <f t="shared" si="19"/>
        <v>0</v>
      </c>
      <c r="Y142" s="748"/>
      <c r="Z142" s="750"/>
      <c r="AA142" s="740"/>
    </row>
    <row r="143" spans="1:29" ht="18.75">
      <c r="A143" s="740"/>
      <c r="B143" s="201" t="str">
        <f>база!B14</f>
        <v>Волошина Светлана Владимировна</v>
      </c>
      <c r="C143" s="743"/>
      <c r="D143" s="746"/>
      <c r="E143" s="366"/>
      <c r="F143" s="367"/>
      <c r="G143" s="377"/>
      <c r="H143" s="369">
        <f t="shared" si="16"/>
        <v>0</v>
      </c>
      <c r="I143" s="370"/>
      <c r="J143" s="367"/>
      <c r="K143" s="411"/>
      <c r="L143" s="461">
        <f t="shared" si="17"/>
        <v>0</v>
      </c>
      <c r="M143" s="411"/>
      <c r="N143" s="411"/>
      <c r="O143" s="411"/>
      <c r="P143" s="383"/>
      <c r="Q143" s="366">
        <f>база!$L$6</f>
        <v>261.04640000000001</v>
      </c>
      <c r="R143" s="367">
        <v>1.2</v>
      </c>
      <c r="S143" s="468">
        <f>SUMIFS(Таблица1[Столбец1],Таблица1[коэф],"1,2",Таблица1[р/р],"5/16",Таблица1[Ф. И. О.],B143)</f>
        <v>0</v>
      </c>
      <c r="T143" s="470">
        <f t="shared" si="18"/>
        <v>0</v>
      </c>
      <c r="U143" s="387">
        <f>база!$M$6</f>
        <v>279.0496</v>
      </c>
      <c r="V143" s="367">
        <v>1.2</v>
      </c>
      <c r="W143" s="480">
        <f>SUMIFS(Таблица1[Столбец1],Таблица1[коэф],"1,2",Таблица1[р/р],"5/24",Таблица1[Ф. И. О.],B143)</f>
        <v>0</v>
      </c>
      <c r="X143" s="469">
        <f t="shared" si="19"/>
        <v>0</v>
      </c>
      <c r="Y143" s="748"/>
      <c r="Z143" s="750"/>
      <c r="AA143" s="740"/>
      <c r="AC143" s="693" t="str">
        <f>IF(SUMIFS(Таблица1[Столбец3],Таблица1[Ф. И. О.],B143)-Z138=0,"",SUMIFS(Таблица1[Столбец3],Таблица1[Ф. И. О.],B143)-Z138)</f>
        <v/>
      </c>
    </row>
    <row r="144" spans="1:29" ht="18.75">
      <c r="A144" s="740"/>
      <c r="B144" s="201"/>
      <c r="C144" s="743"/>
      <c r="D144" s="746"/>
      <c r="E144" s="366"/>
      <c r="F144" s="367"/>
      <c r="G144" s="377"/>
      <c r="H144" s="369">
        <f t="shared" si="16"/>
        <v>0</v>
      </c>
      <c r="I144" s="370"/>
      <c r="J144" s="367"/>
      <c r="K144" s="411"/>
      <c r="L144" s="461">
        <f t="shared" si="17"/>
        <v>0</v>
      </c>
      <c r="M144" s="411"/>
      <c r="N144" s="411"/>
      <c r="O144" s="411"/>
      <c r="P144" s="383"/>
      <c r="Q144" s="366">
        <f>IF(D138&lt;=3,база!$L$4,
IF(D138=4,база!$L$5,
IF(D138=5,база!$L$6)))</f>
        <v>210.57480000000001</v>
      </c>
      <c r="R144" s="367">
        <v>1.3</v>
      </c>
      <c r="S144" s="468">
        <f>SUMIFS(Таблица1[Столбец1],Таблица1[коэф],"1,3",Таблица1[р/р],"3/16",Таблица1[Ф. И. О.],B143)</f>
        <v>0</v>
      </c>
      <c r="T144" s="470">
        <f t="shared" si="18"/>
        <v>0</v>
      </c>
      <c r="U144" s="387">
        <f>IF(D138&lt;=3,база!$M$4,
IF(D138=4,база!$M$5,
IF(D138=5,база!$M$6)))</f>
        <v>225.09719999999999</v>
      </c>
      <c r="V144" s="367">
        <v>1.3</v>
      </c>
      <c r="W144" s="480">
        <f>SUMIFS(Таблица1[Столбец1],Таблица1[коэф],"1,3",Таблица1[р/р],"3/24",Таблица1[Ф. И. О.],B143)</f>
        <v>0</v>
      </c>
      <c r="X144" s="469">
        <f t="shared" si="19"/>
        <v>0</v>
      </c>
      <c r="Y144" s="748"/>
      <c r="Z144" s="750"/>
      <c r="AA144" s="740"/>
      <c r="AC144" s="693" t="str">
        <f>IF(SUMIFS(Таблица1[Столбец1],Таблица1[Ф. И. О.],B143)=Y138,"",B143&amp;"  часы не верны")</f>
        <v/>
      </c>
    </row>
    <row r="145" spans="1:29" ht="18.75">
      <c r="A145" s="740"/>
      <c r="B145" s="201"/>
      <c r="C145" s="743"/>
      <c r="D145" s="746"/>
      <c r="E145" s="366"/>
      <c r="F145" s="367"/>
      <c r="G145" s="377"/>
      <c r="H145" s="369">
        <f t="shared" si="16"/>
        <v>0</v>
      </c>
      <c r="I145" s="370"/>
      <c r="J145" s="367"/>
      <c r="K145" s="411"/>
      <c r="L145" s="461">
        <f t="shared" si="17"/>
        <v>0</v>
      </c>
      <c r="M145" s="411"/>
      <c r="N145" s="411"/>
      <c r="O145" s="411"/>
      <c r="P145" s="383"/>
      <c r="Q145" s="366">
        <f>база!$L$5</f>
        <v>231.45480000000001</v>
      </c>
      <c r="R145" s="367">
        <v>1.3</v>
      </c>
      <c r="S145" s="468">
        <f>SUMIFS(Таблица1[Столбец1],Таблица1[коэф],"1,3",Таблица1[р/р],"4/16",Таблица1[Ф. И. О.],B143)</f>
        <v>0</v>
      </c>
      <c r="T145" s="470">
        <f t="shared" si="18"/>
        <v>0</v>
      </c>
      <c r="U145" s="387">
        <f>база!$M$5</f>
        <v>247.41720000000001</v>
      </c>
      <c r="V145" s="367">
        <v>1.3</v>
      </c>
      <c r="W145" s="480">
        <f>SUMIFS(Таблица1[Столбец1],Таблица1[коэф],"1,3",Таблица1[р/р],"4/24",Таблица1[Ф. И. О.],B143)</f>
        <v>0</v>
      </c>
      <c r="X145" s="469">
        <f t="shared" si="19"/>
        <v>0</v>
      </c>
      <c r="Y145" s="748"/>
      <c r="Z145" s="750"/>
      <c r="AA145" s="740"/>
    </row>
    <row r="146" spans="1:29" ht="18.75">
      <c r="A146" s="740"/>
      <c r="B146" s="201"/>
      <c r="C146" s="743"/>
      <c r="D146" s="746"/>
      <c r="E146" s="366"/>
      <c r="F146" s="367"/>
      <c r="G146" s="377"/>
      <c r="H146" s="369">
        <f t="shared" si="16"/>
        <v>0</v>
      </c>
      <c r="I146" s="370"/>
      <c r="J146" s="367"/>
      <c r="K146" s="411"/>
      <c r="L146" s="461">
        <f t="shared" si="17"/>
        <v>0</v>
      </c>
      <c r="M146" s="411"/>
      <c r="N146" s="411"/>
      <c r="O146" s="411"/>
      <c r="P146" s="383"/>
      <c r="Q146" s="366">
        <f>IF(D138&lt;=3,база!$L$4,
IF(D138=4,база!$L$5,
IF(D138=5,база!$L$6)))</f>
        <v>210.57480000000001</v>
      </c>
      <c r="R146" s="367">
        <v>1.4</v>
      </c>
      <c r="S146" s="468">
        <f>SUMIFS(Таблица1[Столбец1],Таблица1[коэф],"1,4",Таблица1[р/р],"3/16",Таблица1[Ф. И. О.],B143)</f>
        <v>0</v>
      </c>
      <c r="T146" s="470">
        <f t="shared" si="18"/>
        <v>0</v>
      </c>
      <c r="U146" s="387">
        <f>IF(D138&lt;=3,база!$M$4,
IF(D138=4,база!$M$5,
IF(D138=5,база!$M$6)))</f>
        <v>225.09719999999999</v>
      </c>
      <c r="V146" s="367">
        <v>1.4</v>
      </c>
      <c r="W146" s="480">
        <f>SUMIFS(Таблица1[Столбец1],Таблица1[коэф],"1,4",Таблица1[р/р],"3/24",Таблица1[Ф. И. О.],B143)</f>
        <v>0</v>
      </c>
      <c r="X146" s="469">
        <f t="shared" si="19"/>
        <v>0</v>
      </c>
      <c r="Y146" s="748"/>
      <c r="Z146" s="750"/>
      <c r="AA146" s="740"/>
    </row>
    <row r="147" spans="1:29" ht="18.75">
      <c r="A147" s="740"/>
      <c r="B147" s="201"/>
      <c r="C147" s="743"/>
      <c r="D147" s="746"/>
      <c r="E147" s="366"/>
      <c r="F147" s="367"/>
      <c r="G147" s="377"/>
      <c r="H147" s="369">
        <f t="shared" si="16"/>
        <v>0</v>
      </c>
      <c r="I147" s="370"/>
      <c r="J147" s="367"/>
      <c r="K147" s="411"/>
      <c r="L147" s="461">
        <f t="shared" si="17"/>
        <v>0</v>
      </c>
      <c r="M147" s="411"/>
      <c r="N147" s="411"/>
      <c r="O147" s="411"/>
      <c r="P147" s="383"/>
      <c r="Q147" s="366">
        <f>база!$L$5</f>
        <v>231.45480000000001</v>
      </c>
      <c r="R147" s="367">
        <v>1.4</v>
      </c>
      <c r="S147" s="468">
        <f>SUMIFS(Таблица1[Столбец1],Таблица1[коэф],"1,4",Таблица1[р/р],"4/16",Таблица1[Ф. И. О.],B143)</f>
        <v>0</v>
      </c>
      <c r="T147" s="470">
        <f t="shared" si="18"/>
        <v>0</v>
      </c>
      <c r="U147" s="387">
        <f>база!$M$5</f>
        <v>247.41720000000001</v>
      </c>
      <c r="V147" s="367">
        <v>1.4</v>
      </c>
      <c r="W147" s="480">
        <f>SUMIFS(Таблица1[Столбец1],Таблица1[коэф],"1,4",Таблица1[р/р],"4/24",Таблица1[Ф. И. О.],B143)</f>
        <v>0</v>
      </c>
      <c r="X147" s="469">
        <f t="shared" si="19"/>
        <v>0</v>
      </c>
      <c r="Y147" s="748"/>
      <c r="Z147" s="750"/>
      <c r="AA147" s="740"/>
    </row>
    <row r="148" spans="1:29" ht="19.5" thickBot="1">
      <c r="A148" s="741"/>
      <c r="B148" s="201"/>
      <c r="C148" s="744"/>
      <c r="D148" s="747"/>
      <c r="E148" s="397"/>
      <c r="F148" s="380"/>
      <c r="G148" s="385"/>
      <c r="H148" s="445">
        <f t="shared" si="16"/>
        <v>0</v>
      </c>
      <c r="I148" s="440"/>
      <c r="J148" s="441"/>
      <c r="K148" s="434"/>
      <c r="L148" s="435">
        <f t="shared" si="17"/>
        <v>0</v>
      </c>
      <c r="M148" s="434"/>
      <c r="N148" s="434"/>
      <c r="O148" s="434"/>
      <c r="P148" s="453"/>
      <c r="Q148" s="450">
        <f>база!$L$6</f>
        <v>261.04640000000001</v>
      </c>
      <c r="R148" s="441">
        <v>1.4</v>
      </c>
      <c r="S148" s="489">
        <f>SUMIFS(Таблица1[Столбец1],Таблица1[коэф],"1,4",Таблица1[р/р],"5/16",Таблица1[Ф. И. О.],B143)</f>
        <v>0</v>
      </c>
      <c r="T148" s="490">
        <f t="shared" si="18"/>
        <v>0</v>
      </c>
      <c r="U148" s="446">
        <f>база!$M$6</f>
        <v>279.0496</v>
      </c>
      <c r="V148" s="380">
        <v>1.4</v>
      </c>
      <c r="W148" s="483">
        <f>SUMIFS(Таблица1[Столбец1],Таблица1[коэф],"1,4",Таблица1[р/р],"5/24",Таблица1[Ф. И. О.],B143)</f>
        <v>0</v>
      </c>
      <c r="X148" s="469">
        <f t="shared" si="19"/>
        <v>0</v>
      </c>
      <c r="Y148" s="749"/>
      <c r="Z148" s="751"/>
      <c r="AA148" s="741"/>
    </row>
    <row r="149" spans="1:29" ht="18.75">
      <c r="A149" s="739">
        <v>14</v>
      </c>
      <c r="B149" s="219"/>
      <c r="C149" s="742">
        <f>INDEX(база!$E$2:$E$81, MATCH(B154,база!$B$2:$B$50,0))</f>
        <v>17115</v>
      </c>
      <c r="D149" s="745">
        <f>INDEX(база!$D$2:$D$89, MATCH(B154,база!$B$2:$B$50,0))</f>
        <v>3</v>
      </c>
      <c r="E149" s="354">
        <f>IF(D149&lt;=3,база!$I$4,
IF(D149=4,база!$I$5,
IF(D149=5,база!$I$6)))</f>
        <v>188.7912</v>
      </c>
      <c r="F149" s="355">
        <v>1</v>
      </c>
      <c r="G149" s="364">
        <f>SUMIFS(Таблица1[Столбец1],Таблица1[коэф],"1",Таблица1[р/р],"2/4",Таблица1[Ф. И. О.],B154)</f>
        <v>0</v>
      </c>
      <c r="H149" s="379">
        <f t="shared" si="16"/>
        <v>0</v>
      </c>
      <c r="I149" s="428">
        <f>IF(D149&lt;=3,база!$J$4,
IF(D149=4,база!$J$5,
IF(D149=5,база!$J$6)))</f>
        <v>196.05240000000001</v>
      </c>
      <c r="J149" s="394">
        <v>1</v>
      </c>
      <c r="K149" s="430">
        <f>SUMIFS(Таблица1[Столбец1],Таблица1[коэф],"1",Таблица1[р/р],"2/8",Таблица1[Ф. И. О.],B154)</f>
        <v>0</v>
      </c>
      <c r="L149" s="461">
        <f t="shared" si="17"/>
        <v>0</v>
      </c>
      <c r="M149" s="430"/>
      <c r="N149" s="430">
        <v>1</v>
      </c>
      <c r="O149" s="430">
        <f>SUMIFS(Data_Tech!$AM$3:$AM$67,Data_Tech!$E$3:$E$67,"1",Data_Tech!$G$3:$G$67,"3/12",Data_Tech!$F$3:$F$67,B154)</f>
        <v>0</v>
      </c>
      <c r="P149" s="375">
        <f>ROUND(M149*N149*O149,2)</f>
        <v>0</v>
      </c>
      <c r="Q149" s="458">
        <f>IF(D149&lt;=3,база!$L$4,
IF(D149=4,база!$L$5,
IF(D149=5,база!$L$6)))</f>
        <v>210.57480000000001</v>
      </c>
      <c r="R149" s="394">
        <v>1</v>
      </c>
      <c r="S149" s="472">
        <f>SUMIFS(Таблица1[Столбец1],Таблица1[коэф],"1",Таблица1[р/р],"3/16",Таблица1[Ф. И. О.],B154)</f>
        <v>0</v>
      </c>
      <c r="T149" s="469">
        <f t="shared" si="18"/>
        <v>0</v>
      </c>
      <c r="U149" s="431">
        <f>IF(D149&lt;=3,база!$M$4,
IF(D149=4,база!$M$5,
IF(D149=5,база!$M$6)))</f>
        <v>225.09719999999999</v>
      </c>
      <c r="V149" s="355">
        <v>1</v>
      </c>
      <c r="W149" s="479">
        <f>SUMIFS(Таблица1[Столбец1],Таблица1[коэф],"1",Таблица1[р/р],"3/24",Таблица1[Ф. И. О.],B154)</f>
        <v>0</v>
      </c>
      <c r="X149" s="467">
        <f t="shared" si="19"/>
        <v>0</v>
      </c>
      <c r="Y149" s="748">
        <f t="shared" ref="Y149" si="22">SUM(G149:G159,K149:K159,O149:O159,S149:S159,W149:W159)</f>
        <v>0</v>
      </c>
      <c r="Z149" s="750">
        <f t="shared" ref="Z149" si="23">IFERROR(SUM(H149:H159,L149:L159,T149:T159,X149:X159),"")</f>
        <v>0</v>
      </c>
      <c r="AA149" s="740"/>
    </row>
    <row r="150" spans="1:29" ht="18.75">
      <c r="A150" s="740"/>
      <c r="B150" s="201"/>
      <c r="C150" s="743"/>
      <c r="D150" s="746"/>
      <c r="E150" s="366">
        <f>IF(D149&lt;=3,база!$I$4,
IF(D149=4,база!$I$5,
IF(D149=5,база!$I$6)))</f>
        <v>188.7912</v>
      </c>
      <c r="F150" s="367">
        <v>1</v>
      </c>
      <c r="G150" s="377">
        <f>SUMIFS(Таблица1[Столбец1],Таблица1[коэф],"1",Таблица1[р/р],"3/4",Таблица1[Ф. И. О.],B154)</f>
        <v>0</v>
      </c>
      <c r="H150" s="369">
        <f t="shared" si="16"/>
        <v>0</v>
      </c>
      <c r="I150" s="370">
        <f>IF(D149&lt;=3,база!$J$4,
IF(D149=4,база!$J$5,
IF(D149=5,база!$J$6)))</f>
        <v>196.05240000000001</v>
      </c>
      <c r="J150" s="367">
        <v>1</v>
      </c>
      <c r="K150" s="411">
        <f>SUMIFS(Таблица1[Столбец1],Таблица1[коэф],"1",Таблица1[р/р],"3/8",Таблица1[Ф. И. О.],B154)</f>
        <v>0</v>
      </c>
      <c r="L150" s="461">
        <f t="shared" si="17"/>
        <v>0</v>
      </c>
      <c r="M150" s="411"/>
      <c r="N150" s="411">
        <v>1</v>
      </c>
      <c r="O150" s="411">
        <f>SUMIFS(Data_Tech!$AM$3:$AM$67,Data_Tech!$E$3:$E$67,"1",Data_Tech!$G$3:$G$67,"4/12",Data_Tech!$F$3:$F$67,B154)</f>
        <v>0</v>
      </c>
      <c r="P150" s="383">
        <f>ROUND(M150*O150,2)</f>
        <v>0</v>
      </c>
      <c r="Q150" s="366">
        <f>база!$L$5</f>
        <v>231.45480000000001</v>
      </c>
      <c r="R150" s="367">
        <v>1</v>
      </c>
      <c r="S150" s="468">
        <f>SUMIFS(Таблица1[Столбец1],Таблица1[коэф],"1",Таблица1[р/р],"4/16",Таблица1[Ф. И. О.],B154)</f>
        <v>0</v>
      </c>
      <c r="T150" s="470">
        <f t="shared" si="18"/>
        <v>0</v>
      </c>
      <c r="U150" s="387">
        <f>база!$M$5</f>
        <v>247.41720000000001</v>
      </c>
      <c r="V150" s="367">
        <v>1</v>
      </c>
      <c r="W150" s="480">
        <f>SUMIFS(Таблица1[Столбец1],Таблица1[коэф],"1",Таблица1[р/р],"4/24",Таблица1[Ф. И. О.],B154)</f>
        <v>0</v>
      </c>
      <c r="X150" s="469">
        <f t="shared" si="19"/>
        <v>0</v>
      </c>
      <c r="Y150" s="748"/>
      <c r="Z150" s="750"/>
      <c r="AA150" s="740"/>
    </row>
    <row r="151" spans="1:29" ht="18.75">
      <c r="A151" s="740"/>
      <c r="B151" s="201"/>
      <c r="C151" s="743"/>
      <c r="D151" s="746"/>
      <c r="E151" s="366"/>
      <c r="F151" s="367"/>
      <c r="G151" s="377"/>
      <c r="H151" s="369">
        <f t="shared" si="16"/>
        <v>0</v>
      </c>
      <c r="I151" s="370"/>
      <c r="J151" s="367"/>
      <c r="K151" s="411"/>
      <c r="L151" s="461">
        <f t="shared" si="17"/>
        <v>0</v>
      </c>
      <c r="M151" s="411"/>
      <c r="N151" s="411"/>
      <c r="O151" s="411"/>
      <c r="P151" s="383"/>
      <c r="Q151" s="366">
        <f>база!$L$6</f>
        <v>261.04640000000001</v>
      </c>
      <c r="R151" s="367">
        <v>1</v>
      </c>
      <c r="S151" s="468">
        <f>SUMIFS(Таблица1[Столбец1],Таблица1[коэф],"1",Таблица1[р/р],"5/16",Таблица1[Ф. И. О.],B154)</f>
        <v>0</v>
      </c>
      <c r="T151" s="470">
        <f t="shared" si="18"/>
        <v>0</v>
      </c>
      <c r="U151" s="387">
        <f>база!$M$6</f>
        <v>279.0496</v>
      </c>
      <c r="V151" s="367">
        <v>1</v>
      </c>
      <c r="W151" s="480">
        <f>SUMIFS(Таблица1[Столбец1],Таблица1[коэф],"1",Таблица1[р/р],"5/24",Таблица1[Ф. И. О.],B154)</f>
        <v>0</v>
      </c>
      <c r="X151" s="469">
        <f t="shared" si="19"/>
        <v>0</v>
      </c>
      <c r="Y151" s="748"/>
      <c r="Z151" s="750"/>
      <c r="AA151" s="740"/>
    </row>
    <row r="152" spans="1:29" ht="18.75">
      <c r="A152" s="740"/>
      <c r="B152" s="201"/>
      <c r="C152" s="743"/>
      <c r="D152" s="746"/>
      <c r="E152" s="366"/>
      <c r="F152" s="367"/>
      <c r="G152" s="377"/>
      <c r="H152" s="369">
        <f t="shared" si="16"/>
        <v>0</v>
      </c>
      <c r="I152" s="370">
        <f>база!$J$5</f>
        <v>215.4924</v>
      </c>
      <c r="J152" s="367">
        <v>1.5</v>
      </c>
      <c r="K152" s="411">
        <f>SUMIFS(Таблица1[Столбец1],Таблица1[коэф],"1,5",Таблица1[р/р],"4/8",Таблица1[Ф. И. О.],B154)</f>
        <v>0</v>
      </c>
      <c r="L152" s="461">
        <f t="shared" si="17"/>
        <v>0</v>
      </c>
      <c r="M152" s="411"/>
      <c r="N152" s="411"/>
      <c r="O152" s="411"/>
      <c r="P152" s="383"/>
      <c r="Q152" s="366">
        <f>IF(D149&lt;=3,база!$L$4,
IF(D149=4,база!$L$5,
IF(D149=5,база!$L$6)))</f>
        <v>210.57480000000001</v>
      </c>
      <c r="R152" s="367">
        <v>1.2</v>
      </c>
      <c r="S152" s="468">
        <f>SUMIFS(Таблица1[Столбец1],Таблица1[коэф],"1,2",Таблица1[р/р],"3/16",Таблица1[Ф. И. О.],B154)</f>
        <v>0</v>
      </c>
      <c r="T152" s="470">
        <f t="shared" si="18"/>
        <v>0</v>
      </c>
      <c r="U152" s="387">
        <f>IF(D149&lt;=3,база!$M$4,
IF(D149=4,база!$M$5,
IF(D149=5,база!$M$6)))</f>
        <v>225.09719999999999</v>
      </c>
      <c r="V152" s="367">
        <v>1.2</v>
      </c>
      <c r="W152" s="480">
        <f>SUMIFS(Таблица1[Столбец1],Таблица1[коэф],"1,2",Таблица1[р/р],"3/24",Таблица1[Ф. И. О.],B154)</f>
        <v>0</v>
      </c>
      <c r="X152" s="469">
        <f t="shared" si="19"/>
        <v>0</v>
      </c>
      <c r="Y152" s="748"/>
      <c r="Z152" s="750"/>
      <c r="AA152" s="740"/>
    </row>
    <row r="153" spans="1:29" ht="18.75">
      <c r="A153" s="740"/>
      <c r="B153" s="201"/>
      <c r="C153" s="743"/>
      <c r="D153" s="746"/>
      <c r="E153" s="366"/>
      <c r="F153" s="367"/>
      <c r="G153" s="377"/>
      <c r="H153" s="369">
        <f t="shared" si="16"/>
        <v>0</v>
      </c>
      <c r="I153" s="370">
        <f>база!$J$6</f>
        <v>243.04319999999998</v>
      </c>
      <c r="J153" s="367">
        <v>1.5</v>
      </c>
      <c r="K153" s="411">
        <f>SUMIFS(Таблица1[Столбец1],Таблица1[коэф],"1,5",Таблица1[р/р],"5/8",Таблица1[Ф. И. О.],B154)</f>
        <v>0</v>
      </c>
      <c r="L153" s="461">
        <f t="shared" si="17"/>
        <v>0</v>
      </c>
      <c r="M153" s="411"/>
      <c r="N153" s="411"/>
      <c r="O153" s="411"/>
      <c r="P153" s="383"/>
      <c r="Q153" s="366">
        <f>база!$L$5</f>
        <v>231.45480000000001</v>
      </c>
      <c r="R153" s="367">
        <v>1.2</v>
      </c>
      <c r="S153" s="468">
        <f>SUMIFS(Таблица1[Столбец1],Таблица1[коэф],"1,2",Таблица1[р/р],"4/16",Таблица1[Ф. И. О.],B154)</f>
        <v>0</v>
      </c>
      <c r="T153" s="470">
        <f t="shared" si="18"/>
        <v>0</v>
      </c>
      <c r="U153" s="387">
        <f>база!$M$5</f>
        <v>247.41720000000001</v>
      </c>
      <c r="V153" s="367">
        <v>1.2</v>
      </c>
      <c r="W153" s="480">
        <f>SUMIFS(Таблица1[Столбец1],Таблица1[коэф],"1,2",Таблица1[р/р],"4/24",Таблица1[Ф. И. О.],B154)</f>
        <v>0</v>
      </c>
      <c r="X153" s="469">
        <f t="shared" si="19"/>
        <v>0</v>
      </c>
      <c r="Y153" s="748"/>
      <c r="Z153" s="750"/>
      <c r="AA153" s="740"/>
    </row>
    <row r="154" spans="1:29" ht="18.75">
      <c r="A154" s="740"/>
      <c r="B154" s="201" t="str">
        <f>база!B15</f>
        <v>Глинка Екатерина Юрьевна</v>
      </c>
      <c r="C154" s="743"/>
      <c r="D154" s="746"/>
      <c r="E154" s="366"/>
      <c r="F154" s="367"/>
      <c r="G154" s="377"/>
      <c r="H154" s="369">
        <f t="shared" si="16"/>
        <v>0</v>
      </c>
      <c r="I154" s="370"/>
      <c r="J154" s="367"/>
      <c r="K154" s="411"/>
      <c r="L154" s="461">
        <f t="shared" si="17"/>
        <v>0</v>
      </c>
      <c r="M154" s="411"/>
      <c r="N154" s="411"/>
      <c r="O154" s="411"/>
      <c r="P154" s="383"/>
      <c r="Q154" s="366">
        <f>база!$L$6</f>
        <v>261.04640000000001</v>
      </c>
      <c r="R154" s="367">
        <v>1.2</v>
      </c>
      <c r="S154" s="468">
        <f>SUMIFS(Таблица1[Столбец1],Таблица1[коэф],"1,2",Таблица1[р/р],"5/16",Таблица1[Ф. И. О.],B154)</f>
        <v>0</v>
      </c>
      <c r="T154" s="470">
        <f t="shared" si="18"/>
        <v>0</v>
      </c>
      <c r="U154" s="387">
        <f>база!$M$6</f>
        <v>279.0496</v>
      </c>
      <c r="V154" s="367">
        <v>1.2</v>
      </c>
      <c r="W154" s="480">
        <f>SUMIFS(Таблица1[Столбец1],Таблица1[коэф],"1,2",Таблица1[р/р],"5/24",Таблица1[Ф. И. О.],B154)</f>
        <v>0</v>
      </c>
      <c r="X154" s="469">
        <f t="shared" si="19"/>
        <v>0</v>
      </c>
      <c r="Y154" s="748"/>
      <c r="Z154" s="750"/>
      <c r="AA154" s="740"/>
      <c r="AC154" s="693" t="str">
        <f>IF(SUMIFS(Таблица1[Столбец3],Таблица1[Ф. И. О.],B154)-Z149=0,"",SUMIFS(Таблица1[Столбец3],Таблица1[Ф. И. О.],B154)-Z149)</f>
        <v/>
      </c>
    </row>
    <row r="155" spans="1:29" ht="18.75">
      <c r="A155" s="740"/>
      <c r="B155" s="201"/>
      <c r="C155" s="743"/>
      <c r="D155" s="746"/>
      <c r="E155" s="366"/>
      <c r="F155" s="367"/>
      <c r="G155" s="377"/>
      <c r="H155" s="369">
        <f t="shared" si="16"/>
        <v>0</v>
      </c>
      <c r="I155" s="370"/>
      <c r="J155" s="367"/>
      <c r="K155" s="411"/>
      <c r="L155" s="461">
        <f t="shared" si="17"/>
        <v>0</v>
      </c>
      <c r="M155" s="411"/>
      <c r="N155" s="411"/>
      <c r="O155" s="411"/>
      <c r="P155" s="383"/>
      <c r="Q155" s="366">
        <f>IF(D149&lt;=3,база!$L$4,
IF(D149=4,база!$L$5,
IF(D149=5,база!$L$6)))</f>
        <v>210.57480000000001</v>
      </c>
      <c r="R155" s="367">
        <v>1.3</v>
      </c>
      <c r="S155" s="468">
        <f>SUMIFS(Таблица1[Столбец1],Таблица1[коэф],"1,3",Таблица1[р/р],"3/16",Таблица1[Ф. И. О.],B154)</f>
        <v>0</v>
      </c>
      <c r="T155" s="470">
        <f t="shared" si="18"/>
        <v>0</v>
      </c>
      <c r="U155" s="387">
        <f>IF(D149&lt;=3,база!$M$4,
IF(D149=4,база!$M$5,
IF(D149=5,база!$M$6)))</f>
        <v>225.09719999999999</v>
      </c>
      <c r="V155" s="367">
        <v>1.3</v>
      </c>
      <c r="W155" s="480">
        <f>SUMIFS(Таблица1[Столбец1],Таблица1[коэф],"1,3",Таблица1[р/р],"3/24",Таблица1[Ф. И. О.],B154)</f>
        <v>0</v>
      </c>
      <c r="X155" s="469">
        <f t="shared" si="19"/>
        <v>0</v>
      </c>
      <c r="Y155" s="748"/>
      <c r="Z155" s="750"/>
      <c r="AA155" s="740"/>
      <c r="AC155" s="693" t="str">
        <f>IF(SUMIFS(Таблица1[Столбец1],Таблица1[Ф. И. О.],B154)=Y149,"",B154&amp;"  часы не верны")</f>
        <v/>
      </c>
    </row>
    <row r="156" spans="1:29" ht="18.75">
      <c r="A156" s="740"/>
      <c r="B156" s="201"/>
      <c r="C156" s="743"/>
      <c r="D156" s="746"/>
      <c r="E156" s="366"/>
      <c r="F156" s="367"/>
      <c r="G156" s="377"/>
      <c r="H156" s="369">
        <f t="shared" si="16"/>
        <v>0</v>
      </c>
      <c r="I156" s="370"/>
      <c r="J156" s="367"/>
      <c r="K156" s="411"/>
      <c r="L156" s="461">
        <f t="shared" si="17"/>
        <v>0</v>
      </c>
      <c r="M156" s="411"/>
      <c r="N156" s="411"/>
      <c r="O156" s="411"/>
      <c r="P156" s="383"/>
      <c r="Q156" s="366">
        <f>база!$L$5</f>
        <v>231.45480000000001</v>
      </c>
      <c r="R156" s="367">
        <v>1.3</v>
      </c>
      <c r="S156" s="468">
        <f>SUMIFS(Таблица1[Столбец1],Таблица1[коэф],"1,3",Таблица1[р/р],"4/16",Таблица1[Ф. И. О.],B154)</f>
        <v>0</v>
      </c>
      <c r="T156" s="470">
        <f t="shared" si="18"/>
        <v>0</v>
      </c>
      <c r="U156" s="387">
        <f>база!$M$5</f>
        <v>247.41720000000001</v>
      </c>
      <c r="V156" s="367">
        <v>1.3</v>
      </c>
      <c r="W156" s="480">
        <f>SUMIFS(Таблица1[Столбец1],Таблица1[коэф],"1,3",Таблица1[р/р],"4/24",Таблица1[Ф. И. О.],B154)</f>
        <v>0</v>
      </c>
      <c r="X156" s="469">
        <f t="shared" si="19"/>
        <v>0</v>
      </c>
      <c r="Y156" s="748"/>
      <c r="Z156" s="750"/>
      <c r="AA156" s="740"/>
    </row>
    <row r="157" spans="1:29" ht="18.75">
      <c r="A157" s="740"/>
      <c r="B157" s="201"/>
      <c r="C157" s="743"/>
      <c r="D157" s="746"/>
      <c r="E157" s="366"/>
      <c r="F157" s="367"/>
      <c r="G157" s="377"/>
      <c r="H157" s="369">
        <f t="shared" si="16"/>
        <v>0</v>
      </c>
      <c r="I157" s="370"/>
      <c r="J157" s="367"/>
      <c r="K157" s="411"/>
      <c r="L157" s="461">
        <f t="shared" si="17"/>
        <v>0</v>
      </c>
      <c r="M157" s="411"/>
      <c r="N157" s="411"/>
      <c r="O157" s="411"/>
      <c r="P157" s="383"/>
      <c r="Q157" s="366">
        <f>IF(D149&lt;=3,база!$L$4,
IF(D149=4,база!$L$5,
IF(D149=5,база!$L$6)))</f>
        <v>210.57480000000001</v>
      </c>
      <c r="R157" s="367">
        <v>1.4</v>
      </c>
      <c r="S157" s="468">
        <f>SUMIFS(Таблица1[Столбец1],Таблица1[коэф],"1,4",Таблица1[р/р],"3/16",Таблица1[Ф. И. О.],B154)</f>
        <v>0</v>
      </c>
      <c r="T157" s="469">
        <f t="shared" si="18"/>
        <v>0</v>
      </c>
      <c r="U157" s="387">
        <f>IF(D149&lt;=3,база!$M$4,
IF(D149=4,база!$M$5,
IF(D149=5,база!$M$6)))</f>
        <v>225.09719999999999</v>
      </c>
      <c r="V157" s="367">
        <v>1.4</v>
      </c>
      <c r="W157" s="480">
        <f>SUMIFS(Таблица1[Столбец1],Таблица1[коэф],"1,4",Таблица1[р/р],"3/24",Таблица1[Ф. И. О.],B154)</f>
        <v>0</v>
      </c>
      <c r="X157" s="469">
        <f t="shared" si="19"/>
        <v>0</v>
      </c>
      <c r="Y157" s="748"/>
      <c r="Z157" s="750"/>
      <c r="AA157" s="740"/>
    </row>
    <row r="158" spans="1:29" ht="18.75">
      <c r="A158" s="740"/>
      <c r="B158" s="201"/>
      <c r="C158" s="743"/>
      <c r="D158" s="746"/>
      <c r="E158" s="366"/>
      <c r="F158" s="367"/>
      <c r="G158" s="377"/>
      <c r="H158" s="369">
        <f t="shared" si="16"/>
        <v>0</v>
      </c>
      <c r="I158" s="370"/>
      <c r="J158" s="367"/>
      <c r="K158" s="411"/>
      <c r="L158" s="461">
        <f t="shared" si="17"/>
        <v>0</v>
      </c>
      <c r="M158" s="411"/>
      <c r="N158" s="411"/>
      <c r="O158" s="411"/>
      <c r="P158" s="383"/>
      <c r="Q158" s="366">
        <f>база!$L$5</f>
        <v>231.45480000000001</v>
      </c>
      <c r="R158" s="367">
        <v>1.4</v>
      </c>
      <c r="S158" s="468">
        <f>SUMIFS(Таблица1[Столбец1],Таблица1[коэф],"1,4",Таблица1[р/р],"4/16",Таблица1[Ф. И. О.],B154)</f>
        <v>0</v>
      </c>
      <c r="T158" s="469">
        <f t="shared" si="18"/>
        <v>0</v>
      </c>
      <c r="U158" s="387">
        <f>база!$M$5</f>
        <v>247.41720000000001</v>
      </c>
      <c r="V158" s="367">
        <v>1.4</v>
      </c>
      <c r="W158" s="480">
        <f>SUMIFS(Таблица1[Столбец1],Таблица1[коэф],"1,4",Таблица1[р/р],"4/24",Таблица1[Ф. И. О.],B154)</f>
        <v>0</v>
      </c>
      <c r="X158" s="469">
        <f t="shared" si="19"/>
        <v>0</v>
      </c>
      <c r="Y158" s="748"/>
      <c r="Z158" s="750"/>
      <c r="AA158" s="740"/>
    </row>
    <row r="159" spans="1:29" ht="19.5" thickBot="1">
      <c r="A159" s="741"/>
      <c r="B159" s="188"/>
      <c r="C159" s="744"/>
      <c r="D159" s="747"/>
      <c r="E159" s="450"/>
      <c r="F159" s="441"/>
      <c r="G159" s="442"/>
      <c r="H159" s="445">
        <f t="shared" si="16"/>
        <v>0</v>
      </c>
      <c r="I159" s="440"/>
      <c r="J159" s="441"/>
      <c r="K159" s="434"/>
      <c r="L159" s="435">
        <f t="shared" si="17"/>
        <v>0</v>
      </c>
      <c r="M159" s="434"/>
      <c r="N159" s="434"/>
      <c r="O159" s="434"/>
      <c r="P159" s="453"/>
      <c r="Q159" s="450">
        <f>база!$L$6</f>
        <v>261.04640000000001</v>
      </c>
      <c r="R159" s="441">
        <v>1.4</v>
      </c>
      <c r="S159" s="489">
        <f>SUMIFS(Таблица1[Столбец1],Таблица1[коэф],"1,4",Таблица1[р/р],"5/16",Таблица1[Ф. И. О.],B154)</f>
        <v>0</v>
      </c>
      <c r="T159" s="469">
        <f t="shared" si="18"/>
        <v>0</v>
      </c>
      <c r="U159" s="446">
        <f>база!$M$6</f>
        <v>279.0496</v>
      </c>
      <c r="V159" s="441">
        <v>1.4</v>
      </c>
      <c r="W159" s="481">
        <f>SUMIFS(Таблица1[Столбец1],Таблица1[коэф],"1,4",Таблица1[р/р],"5/24",Таблица1[Ф. И. О.],B154)</f>
        <v>0</v>
      </c>
      <c r="X159" s="469">
        <f t="shared" si="19"/>
        <v>0</v>
      </c>
      <c r="Y159" s="749"/>
      <c r="Z159" s="751"/>
      <c r="AA159" s="741"/>
    </row>
    <row r="160" spans="1:29" ht="18.75">
      <c r="A160" s="739">
        <v>15</v>
      </c>
      <c r="B160" s="201"/>
      <c r="C160" s="742">
        <f>INDEX(база!$E$2:$E$81, MATCH(B165,база!$B$2:$B$50,0))</f>
        <v>15880</v>
      </c>
      <c r="D160" s="745">
        <f>INDEX(база!$D$2:$D$89, MATCH(B165,база!$B$2:$B$50,0))</f>
        <v>3</v>
      </c>
      <c r="E160" s="428">
        <f>IF(D160&lt;=3,база!$I$4,
IF(D160=4,база!$I$5,
IF(D160=5,база!$I$6)))</f>
        <v>188.7912</v>
      </c>
      <c r="F160" s="394">
        <v>1</v>
      </c>
      <c r="G160" s="395">
        <f>SUMIFS(Таблица1[Столбец1],Таблица1[коэф],"1",Таблица1[р/р],"2/4",Таблица1[Ф. И. О.],B165)</f>
        <v>0</v>
      </c>
      <c r="H160" s="379">
        <f t="shared" si="16"/>
        <v>0</v>
      </c>
      <c r="I160" s="458">
        <f>IF(D160&lt;=3,база!$J$4,
IF(D160=4,база!$J$5,
IF(D160=5,база!$J$6)))</f>
        <v>196.05240000000001</v>
      </c>
      <c r="J160" s="394">
        <v>1</v>
      </c>
      <c r="K160" s="430">
        <f>SUMIFS(Таблица1[Столбец1],Таблица1[коэф],"1",Таблица1[р/р],"2/8",Таблица1[Ф. И. О.],B165)</f>
        <v>0</v>
      </c>
      <c r="L160" s="461">
        <f t="shared" si="17"/>
        <v>0</v>
      </c>
      <c r="M160" s="430"/>
      <c r="N160" s="430">
        <v>1</v>
      </c>
      <c r="O160" s="430">
        <f>SUMIFS(Data_Tech!$AM$3:$AM$67,Data_Tech!$E$3:$E$67,"1",Data_Tech!$G$3:$G$67,"3/12",Data_Tech!$F$3:$F$67,B165)</f>
        <v>0</v>
      </c>
      <c r="P160" s="461">
        <f>ROUND(M160*N160*O160,2)</f>
        <v>0</v>
      </c>
      <c r="Q160" s="458">
        <f>IF(D160&lt;=3,база!$L$4,
IF(D160=4,база!$L$5,
IF(D160=5,база!$L$6)))</f>
        <v>210.57480000000001</v>
      </c>
      <c r="R160" s="394">
        <v>1</v>
      </c>
      <c r="S160" s="472">
        <f>SUMIFS(Таблица1[Столбец1],Таблица1[коэф],"1",Таблица1[р/р],"3/16",Таблица1[Ф. И. О.],B165)</f>
        <v>0</v>
      </c>
      <c r="T160" s="467">
        <f t="shared" si="18"/>
        <v>0</v>
      </c>
      <c r="U160" s="448">
        <f>IF(D160&lt;=3,база!$M$4,
IF(D160=4,база!$M$5,
IF(D160=5,база!$M$6)))</f>
        <v>225.09719999999999</v>
      </c>
      <c r="V160" s="355">
        <v>1</v>
      </c>
      <c r="W160" s="474">
        <f>SUMIFS(Таблица1[Столбец1],Таблица1[коэф],"1",Таблица1[р/р],"3/24",Таблица1[Ф. И. О.],B165)</f>
        <v>0</v>
      </c>
      <c r="X160" s="467">
        <f t="shared" si="19"/>
        <v>0</v>
      </c>
      <c r="Y160" s="748">
        <f t="shared" ref="Y160" si="24">SUM(G160:G170,K160:K170,O160:O170,S160:S170,W160:W170)</f>
        <v>0</v>
      </c>
      <c r="Z160" s="750">
        <f t="shared" ref="Z160" si="25">IFERROR(SUM(H160:H170,L160:L170,T160:T170,X160:X170),"")</f>
        <v>0</v>
      </c>
      <c r="AA160" s="740"/>
    </row>
    <row r="161" spans="1:29" ht="18.75">
      <c r="A161" s="740"/>
      <c r="B161" s="201"/>
      <c r="C161" s="743"/>
      <c r="D161" s="746"/>
      <c r="E161" s="370">
        <f>IF(D160&lt;=3,база!$I$4,
IF(D160=4,база!$I$5,
IF(D160=5,база!$I$6)))</f>
        <v>188.7912</v>
      </c>
      <c r="F161" s="367">
        <v>1</v>
      </c>
      <c r="G161" s="377">
        <f>SUMIFS(Таблица1[Столбец1],Таблица1[коэф],"1",Таблица1[р/р],"3/4",Таблица1[Ф. И. О.],B165)</f>
        <v>0</v>
      </c>
      <c r="H161" s="369">
        <f t="shared" si="16"/>
        <v>0</v>
      </c>
      <c r="I161" s="366">
        <f>IF(D160&lt;=3,база!$J$4,
IF(D160=4,база!$J$5,
IF(D160=5,база!$J$6)))</f>
        <v>196.05240000000001</v>
      </c>
      <c r="J161" s="367">
        <v>1</v>
      </c>
      <c r="K161" s="411">
        <f>SUMIFS(Таблица1[Столбец1],Таблица1[коэф],"1",Таблица1[р/р],"3/8",Таблица1[Ф. И. О.],B165)</f>
        <v>0</v>
      </c>
      <c r="L161" s="461">
        <f t="shared" si="17"/>
        <v>0</v>
      </c>
      <c r="M161" s="411"/>
      <c r="N161" s="411">
        <v>1</v>
      </c>
      <c r="O161" s="411">
        <f>SUMIFS(Data_Tech!$AM$3:$AM$67,Data_Tech!$E$3:$E$67,"1",Data_Tech!$G$3:$G$67,"4/12",Data_Tech!$F$3:$F$67,B165)</f>
        <v>0</v>
      </c>
      <c r="P161" s="372">
        <f>ROUND(M161*O161,2)</f>
        <v>0</v>
      </c>
      <c r="Q161" s="366">
        <f>база!$L$5</f>
        <v>231.45480000000001</v>
      </c>
      <c r="R161" s="367">
        <v>1</v>
      </c>
      <c r="S161" s="468">
        <f>SUMIFS(Таблица1[Столбец1],Таблица1[коэф],"1",Таблица1[р/р],"4/16",Таблица1[Ф. И. О.],B165)</f>
        <v>0</v>
      </c>
      <c r="T161" s="469">
        <f t="shared" si="18"/>
        <v>0</v>
      </c>
      <c r="U161" s="449">
        <f>база!$M$5</f>
        <v>247.41720000000001</v>
      </c>
      <c r="V161" s="367">
        <v>1</v>
      </c>
      <c r="W161" s="471">
        <f>SUMIFS(Таблица1[Столбец1],Таблица1[коэф],"1",Таблица1[р/р],"4/24",Таблица1[Ф. И. О.],B165)</f>
        <v>0</v>
      </c>
      <c r="X161" s="469">
        <f t="shared" si="19"/>
        <v>0</v>
      </c>
      <c r="Y161" s="748"/>
      <c r="Z161" s="750"/>
      <c r="AA161" s="740"/>
    </row>
    <row r="162" spans="1:29" ht="18.75">
      <c r="A162" s="740"/>
      <c r="B162" s="201"/>
      <c r="C162" s="743"/>
      <c r="D162" s="746"/>
      <c r="E162" s="370"/>
      <c r="F162" s="367"/>
      <c r="G162" s="377"/>
      <c r="H162" s="369">
        <f t="shared" si="16"/>
        <v>0</v>
      </c>
      <c r="I162" s="366"/>
      <c r="J162" s="367"/>
      <c r="K162" s="411"/>
      <c r="L162" s="461">
        <f t="shared" si="17"/>
        <v>0</v>
      </c>
      <c r="M162" s="411"/>
      <c r="N162" s="411"/>
      <c r="O162" s="411"/>
      <c r="P162" s="372"/>
      <c r="Q162" s="366">
        <f>база!$L$6</f>
        <v>261.04640000000001</v>
      </c>
      <c r="R162" s="367">
        <v>1</v>
      </c>
      <c r="S162" s="468">
        <f>SUMIFS(Таблица1[Столбец1],Таблица1[коэф],"1",Таблица1[р/р],"5/16",Таблица1[Ф. И. О.],B165)</f>
        <v>0</v>
      </c>
      <c r="T162" s="469">
        <f t="shared" si="18"/>
        <v>0</v>
      </c>
      <c r="U162" s="449">
        <f>база!$M$6</f>
        <v>279.0496</v>
      </c>
      <c r="V162" s="367">
        <v>1</v>
      </c>
      <c r="W162" s="471">
        <f>SUMIFS(Таблица1[Столбец1],Таблица1[коэф],"1",Таблица1[р/р],"5/24",Таблица1[Ф. И. О.],B165)</f>
        <v>0</v>
      </c>
      <c r="X162" s="469">
        <f t="shared" si="19"/>
        <v>0</v>
      </c>
      <c r="Y162" s="748"/>
      <c r="Z162" s="750"/>
      <c r="AA162" s="740"/>
    </row>
    <row r="163" spans="1:29" ht="18.75">
      <c r="A163" s="740"/>
      <c r="B163" s="201"/>
      <c r="C163" s="743"/>
      <c r="D163" s="746"/>
      <c r="E163" s="370"/>
      <c r="F163" s="367"/>
      <c r="G163" s="377"/>
      <c r="H163" s="369">
        <f t="shared" si="16"/>
        <v>0</v>
      </c>
      <c r="I163" s="366">
        <f>база!$J$5</f>
        <v>215.4924</v>
      </c>
      <c r="J163" s="367">
        <v>1.5</v>
      </c>
      <c r="K163" s="411">
        <f>SUMIFS(Таблица1[Столбец1],Таблица1[коэф],"1,5",Таблица1[р/р],"4/8",Таблица1[Ф. И. О.],B165)</f>
        <v>0</v>
      </c>
      <c r="L163" s="461">
        <f t="shared" si="17"/>
        <v>0</v>
      </c>
      <c r="M163" s="411"/>
      <c r="N163" s="411"/>
      <c r="O163" s="411"/>
      <c r="P163" s="372"/>
      <c r="Q163" s="366">
        <f>IF(D160&lt;=3,база!$L$4,
IF(D160=4,база!$L$5,
IF(D160=5,база!$L$6)))</f>
        <v>210.57480000000001</v>
      </c>
      <c r="R163" s="367">
        <v>1.2</v>
      </c>
      <c r="S163" s="468">
        <f>SUMIFS(Таблица1[Столбец1],Таблица1[коэф],"1,2",Таблица1[р/р],"3/16",Таблица1[Ф. И. О.],B165)</f>
        <v>0</v>
      </c>
      <c r="T163" s="469">
        <f t="shared" si="18"/>
        <v>0</v>
      </c>
      <c r="U163" s="449">
        <f>IF(D160&lt;=3,база!$M$4,
IF(D160=4,база!$M$5,
IF(D160=5,база!$M$6)))</f>
        <v>225.09719999999999</v>
      </c>
      <c r="V163" s="367">
        <v>1.2</v>
      </c>
      <c r="W163" s="471">
        <f>SUMIFS(Таблица1[Столбец1],Таблица1[коэф],"1,2",Таблица1[р/р],"3/24",Таблица1[Ф. И. О.],B165)</f>
        <v>0</v>
      </c>
      <c r="X163" s="469">
        <f t="shared" si="19"/>
        <v>0</v>
      </c>
      <c r="Y163" s="748"/>
      <c r="Z163" s="750"/>
      <c r="AA163" s="740"/>
    </row>
    <row r="164" spans="1:29" ht="18.75">
      <c r="A164" s="740"/>
      <c r="B164" s="201"/>
      <c r="C164" s="743"/>
      <c r="D164" s="746"/>
      <c r="E164" s="370"/>
      <c r="F164" s="367"/>
      <c r="G164" s="377"/>
      <c r="H164" s="369">
        <f t="shared" si="16"/>
        <v>0</v>
      </c>
      <c r="I164" s="366">
        <f>база!$J$6</f>
        <v>243.04319999999998</v>
      </c>
      <c r="J164" s="367">
        <v>1.5</v>
      </c>
      <c r="K164" s="411">
        <f>SUMIFS(Таблица1[Столбец1],Таблица1[коэф],"1,5",Таблица1[р/р],"5/8",Таблица1[Ф. И. О.],B165)</f>
        <v>0</v>
      </c>
      <c r="L164" s="461">
        <f t="shared" si="17"/>
        <v>0</v>
      </c>
      <c r="M164" s="411"/>
      <c r="N164" s="411"/>
      <c r="O164" s="411"/>
      <c r="P164" s="372"/>
      <c r="Q164" s="366">
        <f>база!$L$5</f>
        <v>231.45480000000001</v>
      </c>
      <c r="R164" s="367">
        <v>1.2</v>
      </c>
      <c r="S164" s="468">
        <f>SUMIFS(Таблица1[Столбец1],Таблица1[коэф],"1,2",Таблица1[р/р],"4/16",Таблица1[Ф. И. О.],B165)</f>
        <v>0</v>
      </c>
      <c r="T164" s="469">
        <f t="shared" si="18"/>
        <v>0</v>
      </c>
      <c r="U164" s="449">
        <f>база!$M$5</f>
        <v>247.41720000000001</v>
      </c>
      <c r="V164" s="367">
        <v>1.2</v>
      </c>
      <c r="W164" s="471">
        <f>SUMIFS(Таблица1[Столбец1],Таблица1[коэф],"1,2",Таблица1[р/р],"4/24",Таблица1[Ф. И. О.],B165)</f>
        <v>0</v>
      </c>
      <c r="X164" s="469">
        <f t="shared" si="19"/>
        <v>0</v>
      </c>
      <c r="Y164" s="748"/>
      <c r="Z164" s="750"/>
      <c r="AA164" s="740"/>
    </row>
    <row r="165" spans="1:29" ht="18.75">
      <c r="A165" s="740"/>
      <c r="B165" s="201" t="str">
        <f>база!B16</f>
        <v>Грешнова Ольга Викторовна</v>
      </c>
      <c r="C165" s="743"/>
      <c r="D165" s="746"/>
      <c r="E165" s="370"/>
      <c r="F165" s="367"/>
      <c r="G165" s="377"/>
      <c r="H165" s="369">
        <f t="shared" si="16"/>
        <v>0</v>
      </c>
      <c r="I165" s="366"/>
      <c r="J165" s="367"/>
      <c r="K165" s="411"/>
      <c r="L165" s="461">
        <f t="shared" si="17"/>
        <v>0</v>
      </c>
      <c r="M165" s="411"/>
      <c r="N165" s="411"/>
      <c r="O165" s="411"/>
      <c r="P165" s="372"/>
      <c r="Q165" s="366">
        <f>база!$L$6</f>
        <v>261.04640000000001</v>
      </c>
      <c r="R165" s="367">
        <v>1.2</v>
      </c>
      <c r="S165" s="468">
        <f>SUMIFS(Таблица1[Столбец1],Таблица1[коэф],"1,2",Таблица1[р/р],"5/16",Таблица1[Ф. И. О.],B165)</f>
        <v>0</v>
      </c>
      <c r="T165" s="469">
        <f t="shared" si="18"/>
        <v>0</v>
      </c>
      <c r="U165" s="449">
        <f>база!$M$6</f>
        <v>279.0496</v>
      </c>
      <c r="V165" s="367">
        <v>1.2</v>
      </c>
      <c r="W165" s="471">
        <f>SUMIFS(Таблица1[Столбец1],Таблица1[коэф],"1,2",Таблица1[р/р],"5/24",Таблица1[Ф. И. О.],B165)</f>
        <v>0</v>
      </c>
      <c r="X165" s="469">
        <f t="shared" si="19"/>
        <v>0</v>
      </c>
      <c r="Y165" s="748"/>
      <c r="Z165" s="750"/>
      <c r="AA165" s="740"/>
      <c r="AC165" s="693" t="str">
        <f>IF(SUMIFS(Таблица1[Столбец3],Таблица1[Ф. И. О.],B165)-Z160=0,"",SUMIFS(Таблица1[Столбец3],Таблица1[Ф. И. О.],B165)-Z160)</f>
        <v/>
      </c>
    </row>
    <row r="166" spans="1:29" ht="18.75">
      <c r="A166" s="740"/>
      <c r="B166" s="201"/>
      <c r="C166" s="743"/>
      <c r="D166" s="746"/>
      <c r="E166" s="370"/>
      <c r="F166" s="367"/>
      <c r="G166" s="377"/>
      <c r="H166" s="369">
        <f t="shared" si="16"/>
        <v>0</v>
      </c>
      <c r="I166" s="366"/>
      <c r="J166" s="367"/>
      <c r="K166" s="411"/>
      <c r="L166" s="461">
        <f t="shared" si="17"/>
        <v>0</v>
      </c>
      <c r="M166" s="411"/>
      <c r="N166" s="411"/>
      <c r="O166" s="411"/>
      <c r="P166" s="372"/>
      <c r="Q166" s="366">
        <f>IF(D160&lt;=3,база!$L$4,
IF(D160=4,база!$L$5,
IF(D160=5,база!$L$6)))</f>
        <v>210.57480000000001</v>
      </c>
      <c r="R166" s="367">
        <v>1.3</v>
      </c>
      <c r="S166" s="468">
        <f>SUMIFS(Таблица1[Столбец1],Таблица1[коэф],"1,3",Таблица1[р/р],"3/16",Таблица1[Ф. И. О.],B165)</f>
        <v>0</v>
      </c>
      <c r="T166" s="469">
        <f t="shared" si="18"/>
        <v>0</v>
      </c>
      <c r="U166" s="449">
        <f>IF(D160&lt;=3,база!$M$4,
IF(D160=4,база!$M$5,
IF(D160=5,база!$M$6)))</f>
        <v>225.09719999999999</v>
      </c>
      <c r="V166" s="367">
        <v>1.3</v>
      </c>
      <c r="W166" s="471">
        <f>SUMIFS(Таблица1[Столбец1],Таблица1[коэф],"1,3",Таблица1[р/р],"3/24",Таблица1[Ф. И. О.],B165)</f>
        <v>0</v>
      </c>
      <c r="X166" s="469">
        <f t="shared" si="19"/>
        <v>0</v>
      </c>
      <c r="Y166" s="748"/>
      <c r="Z166" s="750"/>
      <c r="AA166" s="740"/>
      <c r="AC166" s="693" t="str">
        <f>IF(SUMIFS(Таблица1[Столбец1],Таблица1[Ф. И. О.],B165)=Y160,"",B165&amp;"  часы не верны")</f>
        <v/>
      </c>
    </row>
    <row r="167" spans="1:29" ht="18.75">
      <c r="A167" s="740"/>
      <c r="B167" s="201"/>
      <c r="C167" s="743"/>
      <c r="D167" s="746"/>
      <c r="E167" s="370"/>
      <c r="F167" s="367"/>
      <c r="G167" s="377"/>
      <c r="H167" s="369">
        <f t="shared" si="16"/>
        <v>0</v>
      </c>
      <c r="I167" s="366"/>
      <c r="J167" s="367"/>
      <c r="K167" s="411"/>
      <c r="L167" s="461">
        <f t="shared" si="17"/>
        <v>0</v>
      </c>
      <c r="M167" s="411"/>
      <c r="N167" s="411"/>
      <c r="O167" s="411"/>
      <c r="P167" s="372"/>
      <c r="Q167" s="366">
        <f>база!$L$5</f>
        <v>231.45480000000001</v>
      </c>
      <c r="R167" s="367">
        <v>1.3</v>
      </c>
      <c r="S167" s="468">
        <f>SUMIFS(Таблица1[Столбец1],Таблица1[коэф],"1,3",Таблица1[р/р],"4/16",Таблица1[Ф. И. О.],B165)</f>
        <v>0</v>
      </c>
      <c r="T167" s="469">
        <f t="shared" si="18"/>
        <v>0</v>
      </c>
      <c r="U167" s="449">
        <f>база!$M$5</f>
        <v>247.41720000000001</v>
      </c>
      <c r="V167" s="367">
        <v>1.3</v>
      </c>
      <c r="W167" s="471">
        <f>SUMIFS(Таблица1[Столбец1],Таблица1[коэф],"1,3",Таблица1[р/р],"4/24",Таблица1[Ф. И. О.],B165)</f>
        <v>0</v>
      </c>
      <c r="X167" s="469">
        <f t="shared" si="19"/>
        <v>0</v>
      </c>
      <c r="Y167" s="748"/>
      <c r="Z167" s="750"/>
      <c r="AA167" s="740"/>
    </row>
    <row r="168" spans="1:29" ht="18.75">
      <c r="A168" s="740"/>
      <c r="B168" s="201"/>
      <c r="C168" s="743"/>
      <c r="D168" s="746"/>
      <c r="E168" s="370"/>
      <c r="F168" s="367"/>
      <c r="G168" s="377"/>
      <c r="H168" s="369">
        <f t="shared" si="16"/>
        <v>0</v>
      </c>
      <c r="I168" s="366"/>
      <c r="J168" s="367"/>
      <c r="K168" s="411"/>
      <c r="L168" s="461">
        <f t="shared" si="17"/>
        <v>0</v>
      </c>
      <c r="M168" s="411"/>
      <c r="N168" s="411"/>
      <c r="O168" s="411"/>
      <c r="P168" s="372"/>
      <c r="Q168" s="366">
        <f>IF(D160&lt;=3,база!$L$4,
IF(D160=4,база!$L$5,
IF(D160=5,база!$L$6)))</f>
        <v>210.57480000000001</v>
      </c>
      <c r="R168" s="367">
        <v>1.4</v>
      </c>
      <c r="S168" s="468">
        <f>SUMIFS(Таблица1[Столбец1],Таблица1[коэф],"1,4",Таблица1[р/р],"3/16",Таблица1[Ф. И. О.],B165)</f>
        <v>0</v>
      </c>
      <c r="T168" s="469">
        <f t="shared" si="18"/>
        <v>0</v>
      </c>
      <c r="U168" s="449">
        <f>IF(D160&lt;=3,база!$M$4,
IF(D160=4,база!$M$5,
IF(D160=5,база!$M$6)))</f>
        <v>225.09719999999999</v>
      </c>
      <c r="V168" s="367">
        <v>1.4</v>
      </c>
      <c r="W168" s="471">
        <f>SUMIFS(Таблица1[Столбец1],Таблица1[коэф],"1,4",Таблица1[р/р],"3/24",Таблица1[Ф. И. О.],B165)</f>
        <v>0</v>
      </c>
      <c r="X168" s="469">
        <f t="shared" si="19"/>
        <v>0</v>
      </c>
      <c r="Y168" s="748"/>
      <c r="Z168" s="750"/>
      <c r="AA168" s="740"/>
    </row>
    <row r="169" spans="1:29" ht="18.75">
      <c r="A169" s="740"/>
      <c r="B169" s="201"/>
      <c r="C169" s="743"/>
      <c r="D169" s="746"/>
      <c r="E169" s="370"/>
      <c r="F169" s="367"/>
      <c r="G169" s="377"/>
      <c r="H169" s="369">
        <f t="shared" si="16"/>
        <v>0</v>
      </c>
      <c r="I169" s="366"/>
      <c r="J169" s="367"/>
      <c r="K169" s="411"/>
      <c r="L169" s="461">
        <f t="shared" si="17"/>
        <v>0</v>
      </c>
      <c r="M169" s="411"/>
      <c r="N169" s="411"/>
      <c r="O169" s="411"/>
      <c r="P169" s="372"/>
      <c r="Q169" s="366">
        <f>база!$L$5</f>
        <v>231.45480000000001</v>
      </c>
      <c r="R169" s="367">
        <v>1.4</v>
      </c>
      <c r="S169" s="468">
        <f>SUMIFS(Таблица1[Столбец1],Таблица1[коэф],"1,4",Таблица1[р/р],"4/16",Таблица1[Ф. И. О.],B165)</f>
        <v>0</v>
      </c>
      <c r="T169" s="469">
        <f t="shared" si="18"/>
        <v>0</v>
      </c>
      <c r="U169" s="449">
        <f>база!$M$5</f>
        <v>247.41720000000001</v>
      </c>
      <c r="V169" s="367">
        <v>1.4</v>
      </c>
      <c r="W169" s="471">
        <f>SUMIFS(Таблица1[Столбец1],Таблица1[коэф],"1,4",Таблица1[р/р],"4/24",Таблица1[Ф. И. О.],B165)</f>
        <v>0</v>
      </c>
      <c r="X169" s="469">
        <f t="shared" si="19"/>
        <v>0</v>
      </c>
      <c r="Y169" s="748"/>
      <c r="Z169" s="750"/>
      <c r="AA169" s="740"/>
    </row>
    <row r="170" spans="1:29" ht="19.5" thickBot="1">
      <c r="A170" s="741"/>
      <c r="B170" s="201"/>
      <c r="C170" s="744"/>
      <c r="D170" s="747"/>
      <c r="E170" s="399"/>
      <c r="F170" s="380"/>
      <c r="G170" s="385"/>
      <c r="H170" s="445">
        <f t="shared" si="16"/>
        <v>0</v>
      </c>
      <c r="I170" s="397"/>
      <c r="J170" s="380"/>
      <c r="K170" s="437"/>
      <c r="L170" s="461">
        <f t="shared" si="17"/>
        <v>0</v>
      </c>
      <c r="M170" s="437"/>
      <c r="N170" s="437"/>
      <c r="O170" s="437"/>
      <c r="P170" s="401"/>
      <c r="Q170" s="397">
        <f>база!$L$6</f>
        <v>261.04640000000001</v>
      </c>
      <c r="R170" s="380">
        <v>1.4</v>
      </c>
      <c r="S170" s="484">
        <f>SUMIFS(Таблица1[Столбец1],Таблица1[коэф],"1,4",Таблица1[р/р],"5/16",Таблица1[Ф. И. О.],B165)</f>
        <v>0</v>
      </c>
      <c r="T170" s="469">
        <f t="shared" si="18"/>
        <v>0</v>
      </c>
      <c r="U170" s="459">
        <f>база!$M$6</f>
        <v>279.0496</v>
      </c>
      <c r="V170" s="380">
        <v>1.4</v>
      </c>
      <c r="W170" s="473">
        <f>SUMIFS(Таблица1[Столбец1],Таблица1[коэф],"1,4",Таблица1[р/р],"5/24",Таблица1[Ф. И. О.],B165)</f>
        <v>0</v>
      </c>
      <c r="X170" s="469">
        <f t="shared" si="19"/>
        <v>0</v>
      </c>
      <c r="Y170" s="749"/>
      <c r="Z170" s="751"/>
      <c r="AA170" s="741"/>
    </row>
    <row r="171" spans="1:29" ht="18.75">
      <c r="A171" s="739">
        <v>16</v>
      </c>
      <c r="B171" s="219"/>
      <c r="C171" s="742">
        <f>INDEX(база!$E$2:$E$81, MATCH(B176,база!$B$2:$B$50,0))</f>
        <v>15894</v>
      </c>
      <c r="D171" s="745">
        <f>INDEX(база!$D$2:$D$89, MATCH(B176,база!$B$2:$B$50,0))</f>
        <v>3</v>
      </c>
      <c r="E171" s="358">
        <f>IF(D171&lt;=3,база!$I$4,
IF(D171=4,база!$I$5,
IF(D171=5,база!$I$6)))</f>
        <v>188.7912</v>
      </c>
      <c r="F171" s="355">
        <v>1</v>
      </c>
      <c r="G171" s="364">
        <f>SUMIFS(Таблица1[Столбец1],Таблица1[коэф],"1",Таблица1[р/р],"2/4",Таблица1[Ф. И. О.],B176)</f>
        <v>0</v>
      </c>
      <c r="H171" s="379">
        <f t="shared" si="16"/>
        <v>0</v>
      </c>
      <c r="I171" s="354">
        <f>IF(D171&lt;=3,база!$J$4,
IF(D171=4,база!$J$5,
IF(D171=5,база!$J$6)))</f>
        <v>196.05240000000001</v>
      </c>
      <c r="J171" s="355">
        <v>1</v>
      </c>
      <c r="K171" s="405">
        <f>SUMIFS(Таблица1[Столбец1],Таблица1[коэф],"1",Таблица1[р/р],"2/8",Таблица1[Ф. И. О.],B176)</f>
        <v>0</v>
      </c>
      <c r="L171" s="360">
        <f t="shared" si="17"/>
        <v>0</v>
      </c>
      <c r="M171" s="405"/>
      <c r="N171" s="405">
        <v>1</v>
      </c>
      <c r="O171" s="405">
        <f>SUMIFS(Data_Tech!$AM$3:$AM$67,Data_Tech!$E$3:$E$67,"1",Data_Tech!$G$3:$G$67,"3/12",Data_Tech!$F$3:$F$67,B176)</f>
        <v>0</v>
      </c>
      <c r="P171" s="360">
        <f>ROUND(M171*N171*O171,2)</f>
        <v>0</v>
      </c>
      <c r="Q171" s="354">
        <f>IF(D171&lt;=3,база!$L$4,
IF(D171=4,база!$L$5,
IF(D171=5,база!$L$6)))</f>
        <v>210.57480000000001</v>
      </c>
      <c r="R171" s="355">
        <v>1</v>
      </c>
      <c r="S171" s="466">
        <f>SUMIFS(Таблица1[Столбец1],Таблица1[коэф],"1",Таблица1[р/р],"3/16",Таблица1[Ф. И. О.],B176)</f>
        <v>0</v>
      </c>
      <c r="T171" s="467">
        <f t="shared" si="18"/>
        <v>0</v>
      </c>
      <c r="U171" s="448">
        <f>IF(D171&lt;=3,база!$M$4,
IF(D171=4,база!$M$5,
IF(D171=5,база!$M$6)))</f>
        <v>225.09719999999999</v>
      </c>
      <c r="V171" s="355">
        <v>1</v>
      </c>
      <c r="W171" s="474">
        <f>SUMIFS(Таблица1[Столбец1],Таблица1[коэф],"1",Таблица1[р/р],"3/24",Таблица1[Ф. И. О.],B176)</f>
        <v>0</v>
      </c>
      <c r="X171" s="467">
        <f t="shared" si="19"/>
        <v>0</v>
      </c>
      <c r="Y171" s="748">
        <f t="shared" ref="Y171" si="26">SUM(G171:G181,K171:K181,O171:O181,S171:S181,W171:W181)</f>
        <v>0</v>
      </c>
      <c r="Z171" s="750">
        <f t="shared" ref="Z171" si="27">IFERROR(SUM(H171:H181,L171:L181,T171:T181,X171:X181),"")</f>
        <v>0</v>
      </c>
      <c r="AA171" s="740"/>
    </row>
    <row r="172" spans="1:29" ht="18.75">
      <c r="A172" s="740"/>
      <c r="B172" s="201"/>
      <c r="C172" s="743"/>
      <c r="D172" s="746"/>
      <c r="E172" s="370">
        <f>IF(D171&lt;=3,база!$I$4,
IF(D171=4,база!$I$5,
IF(D171=5,база!$I$6)))</f>
        <v>188.7912</v>
      </c>
      <c r="F172" s="367">
        <v>1</v>
      </c>
      <c r="G172" s="377">
        <f>SUMIFS(Таблица1[Столбец1],Таблица1[коэф],"1",Таблица1[р/р],"3/4",Таблица1[Ф. И. О.],B176)</f>
        <v>0</v>
      </c>
      <c r="H172" s="369">
        <f t="shared" si="16"/>
        <v>0</v>
      </c>
      <c r="I172" s="366">
        <f>IF(D171&lt;=3,база!$J$4,
IF(D171=4,база!$J$5,
IF(D171=5,база!$J$6)))</f>
        <v>196.05240000000001</v>
      </c>
      <c r="J172" s="367">
        <v>1</v>
      </c>
      <c r="K172" s="411">
        <f>SUMIFS(Таблица1[Столбец1],Таблица1[коэф],"1",Таблица1[р/р],"3/8",Таблица1[Ф. И. О.],B176)</f>
        <v>0</v>
      </c>
      <c r="L172" s="461">
        <f t="shared" si="17"/>
        <v>0</v>
      </c>
      <c r="M172" s="411"/>
      <c r="N172" s="411">
        <v>1</v>
      </c>
      <c r="O172" s="411">
        <f>SUMIFS(Data_Tech!$AM$3:$AM$67,Data_Tech!$E$3:$E$67,"1",Data_Tech!$G$3:$G$67,"4/12",Data_Tech!$F$3:$F$67,B176)</f>
        <v>0</v>
      </c>
      <c r="P172" s="372">
        <f>ROUND(M172*O172,2)</f>
        <v>0</v>
      </c>
      <c r="Q172" s="366">
        <f>база!$L$5</f>
        <v>231.45480000000001</v>
      </c>
      <c r="R172" s="367">
        <v>1</v>
      </c>
      <c r="S172" s="468">
        <f>SUMIFS(Таблица1[Столбец1],Таблица1[коэф],"1",Таблица1[р/р],"4/16",Таблица1[Ф. И. О.],B176)</f>
        <v>0</v>
      </c>
      <c r="T172" s="469">
        <f t="shared" si="18"/>
        <v>0</v>
      </c>
      <c r="U172" s="449">
        <f>база!$M$5</f>
        <v>247.41720000000001</v>
      </c>
      <c r="V172" s="367">
        <v>1</v>
      </c>
      <c r="W172" s="471">
        <f>SUMIFS(Таблица1[Столбец1],Таблица1[коэф],"1",Таблица1[р/р],"4/24",Таблица1[Ф. И. О.],B176)</f>
        <v>0</v>
      </c>
      <c r="X172" s="469">
        <f t="shared" si="19"/>
        <v>0</v>
      </c>
      <c r="Y172" s="748"/>
      <c r="Z172" s="750"/>
      <c r="AA172" s="740"/>
    </row>
    <row r="173" spans="1:29" ht="18.75">
      <c r="A173" s="740"/>
      <c r="B173" s="201"/>
      <c r="C173" s="743"/>
      <c r="D173" s="746"/>
      <c r="E173" s="370"/>
      <c r="F173" s="367"/>
      <c r="G173" s="377"/>
      <c r="H173" s="369">
        <f t="shared" si="16"/>
        <v>0</v>
      </c>
      <c r="I173" s="366"/>
      <c r="J173" s="367"/>
      <c r="K173" s="411"/>
      <c r="L173" s="461">
        <f t="shared" si="17"/>
        <v>0</v>
      </c>
      <c r="M173" s="411"/>
      <c r="N173" s="411"/>
      <c r="O173" s="411"/>
      <c r="P173" s="372"/>
      <c r="Q173" s="366">
        <f>база!$L$6</f>
        <v>261.04640000000001</v>
      </c>
      <c r="R173" s="367">
        <v>1</v>
      </c>
      <c r="S173" s="468">
        <f>SUMIFS(Таблица1[Столбец1],Таблица1[коэф],"1",Таблица1[р/р],"5/16",Таблица1[Ф. И. О.],B176)</f>
        <v>0</v>
      </c>
      <c r="T173" s="469">
        <f t="shared" si="18"/>
        <v>0</v>
      </c>
      <c r="U173" s="449">
        <f>база!$M$6</f>
        <v>279.0496</v>
      </c>
      <c r="V173" s="367">
        <v>1</v>
      </c>
      <c r="W173" s="471">
        <f>SUMIFS(Таблица1[Столбец1],Таблица1[коэф],"1",Таблица1[р/р],"5/24",Таблица1[Ф. И. О.],B176)</f>
        <v>0</v>
      </c>
      <c r="X173" s="469">
        <f t="shared" si="19"/>
        <v>0</v>
      </c>
      <c r="Y173" s="748"/>
      <c r="Z173" s="750"/>
      <c r="AA173" s="740"/>
    </row>
    <row r="174" spans="1:29" ht="18.75">
      <c r="A174" s="740"/>
      <c r="B174" s="201"/>
      <c r="C174" s="743"/>
      <c r="D174" s="746"/>
      <c r="E174" s="370"/>
      <c r="F174" s="367"/>
      <c r="G174" s="377"/>
      <c r="H174" s="369">
        <f t="shared" si="16"/>
        <v>0</v>
      </c>
      <c r="I174" s="366">
        <f>база!$J$5</f>
        <v>215.4924</v>
      </c>
      <c r="J174" s="367">
        <v>1.5</v>
      </c>
      <c r="K174" s="411">
        <f>SUMIFS(Таблица1[Столбец1],Таблица1[коэф],"1,5",Таблица1[р/р],"4/8",Таблица1[Ф. И. О.],B176)</f>
        <v>0</v>
      </c>
      <c r="L174" s="461">
        <f t="shared" si="17"/>
        <v>0</v>
      </c>
      <c r="M174" s="411"/>
      <c r="N174" s="411"/>
      <c r="O174" s="411"/>
      <c r="P174" s="372"/>
      <c r="Q174" s="366">
        <f>IF(D171&lt;=3,база!$L$4,
IF(D171=4,база!$L$5,
IF(D171=5,база!$L$6)))</f>
        <v>210.57480000000001</v>
      </c>
      <c r="R174" s="367">
        <v>1.2</v>
      </c>
      <c r="S174" s="468">
        <f>SUMIFS(Таблица1[Столбец1],Таблица1[коэф],"1,2",Таблица1[р/р],"3/16",Таблица1[Ф. И. О.],B176)</f>
        <v>0</v>
      </c>
      <c r="T174" s="469">
        <f t="shared" si="18"/>
        <v>0</v>
      </c>
      <c r="U174" s="449">
        <f>IF(D171&lt;=3,база!$M$4,
IF(D171=4,база!$M$5,
IF(D171=5,база!$M$6)))</f>
        <v>225.09719999999999</v>
      </c>
      <c r="V174" s="367">
        <v>1.2</v>
      </c>
      <c r="W174" s="471">
        <f>SUMIFS(Таблица1[Столбец1],Таблица1[коэф],"1,2",Таблица1[р/р],"3/24",Таблица1[Ф. И. О.],B176)</f>
        <v>0</v>
      </c>
      <c r="X174" s="469">
        <f t="shared" si="19"/>
        <v>0</v>
      </c>
      <c r="Y174" s="748"/>
      <c r="Z174" s="750"/>
      <c r="AA174" s="740"/>
    </row>
    <row r="175" spans="1:29" ht="18.75">
      <c r="A175" s="740"/>
      <c r="B175" s="201"/>
      <c r="C175" s="743"/>
      <c r="D175" s="746"/>
      <c r="E175" s="370"/>
      <c r="F175" s="367"/>
      <c r="G175" s="377"/>
      <c r="H175" s="369">
        <f t="shared" si="16"/>
        <v>0</v>
      </c>
      <c r="I175" s="366">
        <f>база!$J$6</f>
        <v>243.04319999999998</v>
      </c>
      <c r="J175" s="367">
        <v>1.5</v>
      </c>
      <c r="K175" s="411">
        <f>SUMIFS(Таблица1[Столбец1],Таблица1[коэф],"1,5",Таблица1[р/р],"5/8",Таблица1[Ф. И. О.],B176)</f>
        <v>0</v>
      </c>
      <c r="L175" s="461">
        <f t="shared" si="17"/>
        <v>0</v>
      </c>
      <c r="M175" s="411"/>
      <c r="N175" s="411"/>
      <c r="O175" s="411"/>
      <c r="P175" s="372"/>
      <c r="Q175" s="366">
        <f>база!$L$5</f>
        <v>231.45480000000001</v>
      </c>
      <c r="R175" s="367">
        <v>1.2</v>
      </c>
      <c r="S175" s="468">
        <f>SUMIFS(Таблица1[Столбец1],Таблица1[коэф],"1,2",Таблица1[р/р],"4/16",Таблица1[Ф. И. О.],B176)</f>
        <v>0</v>
      </c>
      <c r="T175" s="469">
        <f t="shared" si="18"/>
        <v>0</v>
      </c>
      <c r="U175" s="449">
        <f>база!$M$5</f>
        <v>247.41720000000001</v>
      </c>
      <c r="V175" s="367">
        <v>1.2</v>
      </c>
      <c r="W175" s="471">
        <f>SUMIFS(Таблица1[Столбец1],Таблица1[коэф],"1,2",Таблица1[р/р],"4/24",Таблица1[Ф. И. О.],B176)</f>
        <v>0</v>
      </c>
      <c r="X175" s="469">
        <f t="shared" si="19"/>
        <v>0</v>
      </c>
      <c r="Y175" s="748"/>
      <c r="Z175" s="750"/>
      <c r="AA175" s="740"/>
    </row>
    <row r="176" spans="1:29" ht="18.75">
      <c r="A176" s="740"/>
      <c r="B176" s="201" t="str">
        <f>база!B17</f>
        <v>Груздева Олеся Изидоровна</v>
      </c>
      <c r="C176" s="743"/>
      <c r="D176" s="746"/>
      <c r="E176" s="370"/>
      <c r="F176" s="367"/>
      <c r="G176" s="377"/>
      <c r="H176" s="369">
        <f t="shared" si="16"/>
        <v>0</v>
      </c>
      <c r="I176" s="366"/>
      <c r="J176" s="367"/>
      <c r="K176" s="411"/>
      <c r="L176" s="461">
        <f t="shared" si="17"/>
        <v>0</v>
      </c>
      <c r="M176" s="411"/>
      <c r="N176" s="411"/>
      <c r="O176" s="411"/>
      <c r="P176" s="372"/>
      <c r="Q176" s="366">
        <f>база!$L$6</f>
        <v>261.04640000000001</v>
      </c>
      <c r="R176" s="367">
        <v>1.2</v>
      </c>
      <c r="S176" s="468">
        <f>SUMIFS(Таблица1[Столбец1],Таблица1[коэф],"1,2",Таблица1[р/р],"5/16",Таблица1[Ф. И. О.],B176)</f>
        <v>0</v>
      </c>
      <c r="T176" s="469">
        <f t="shared" si="18"/>
        <v>0</v>
      </c>
      <c r="U176" s="449">
        <f>база!$M$6</f>
        <v>279.0496</v>
      </c>
      <c r="V176" s="367">
        <v>1.2</v>
      </c>
      <c r="W176" s="471">
        <f>SUMIFS(Таблица1[Столбец1],Таблица1[коэф],"1,2",Таблица1[р/р],"5/24",Таблица1[Ф. И. О.],B176)</f>
        <v>0</v>
      </c>
      <c r="X176" s="469">
        <f t="shared" si="19"/>
        <v>0</v>
      </c>
      <c r="Y176" s="748"/>
      <c r="Z176" s="750"/>
      <c r="AA176" s="740"/>
      <c r="AC176" s="693" t="str">
        <f>IF(SUMIFS(Таблица1[Столбец3],Таблица1[Ф. И. О.],B176)-Z171=0,"",SUMIFS(Таблица1[Столбец3],Таблица1[Ф. И. О.],B176)-Z171)</f>
        <v/>
      </c>
    </row>
    <row r="177" spans="1:29" ht="18.75">
      <c r="A177" s="740"/>
      <c r="B177" s="201"/>
      <c r="C177" s="743"/>
      <c r="D177" s="746"/>
      <c r="E177" s="370"/>
      <c r="F177" s="367"/>
      <c r="G177" s="377"/>
      <c r="H177" s="369">
        <f t="shared" si="16"/>
        <v>0</v>
      </c>
      <c r="I177" s="366"/>
      <c r="J177" s="367"/>
      <c r="K177" s="411"/>
      <c r="L177" s="461">
        <f t="shared" si="17"/>
        <v>0</v>
      </c>
      <c r="M177" s="411"/>
      <c r="N177" s="411"/>
      <c r="O177" s="411"/>
      <c r="P177" s="372"/>
      <c r="Q177" s="366">
        <f>IF(D171&lt;=3,база!$L$4,
IF(D171=4,база!$L$5,
IF(D171=5,база!$L$6)))</f>
        <v>210.57480000000001</v>
      </c>
      <c r="R177" s="367">
        <v>1.3</v>
      </c>
      <c r="S177" s="468">
        <f>SUMIFS(Таблица1[Столбец1],Таблица1[коэф],"1,3",Таблица1[р/р],"3/16",Таблица1[Ф. И. О.],B176)</f>
        <v>0</v>
      </c>
      <c r="T177" s="469">
        <f t="shared" si="18"/>
        <v>0</v>
      </c>
      <c r="U177" s="449">
        <f>IF(D171&lt;=3,база!$M$4,
IF(D171=4,база!$M$5,
IF(D171=5,база!$M$6)))</f>
        <v>225.09719999999999</v>
      </c>
      <c r="V177" s="367">
        <v>1.3</v>
      </c>
      <c r="W177" s="471">
        <f>SUMIFS(Таблица1[Столбец1],Таблица1[коэф],"1,3",Таблица1[р/р],"3/24",Таблица1[Ф. И. О.],B176)</f>
        <v>0</v>
      </c>
      <c r="X177" s="469">
        <f t="shared" si="19"/>
        <v>0</v>
      </c>
      <c r="Y177" s="748"/>
      <c r="Z177" s="750"/>
      <c r="AA177" s="740"/>
      <c r="AC177" s="693" t="str">
        <f>IF(SUMIFS(Таблица1[Столбец1],Таблица1[Ф. И. О.],B176)=Y171,"",B176&amp;"  часы не верны")</f>
        <v/>
      </c>
    </row>
    <row r="178" spans="1:29" ht="18.75">
      <c r="A178" s="740"/>
      <c r="B178" s="201"/>
      <c r="C178" s="743"/>
      <c r="D178" s="746"/>
      <c r="E178" s="370"/>
      <c r="F178" s="367"/>
      <c r="G178" s="377"/>
      <c r="H178" s="369">
        <f t="shared" si="16"/>
        <v>0</v>
      </c>
      <c r="I178" s="366"/>
      <c r="J178" s="367"/>
      <c r="K178" s="411"/>
      <c r="L178" s="461">
        <f t="shared" si="17"/>
        <v>0</v>
      </c>
      <c r="M178" s="411"/>
      <c r="N178" s="411"/>
      <c r="O178" s="411"/>
      <c r="P178" s="372"/>
      <c r="Q178" s="366">
        <f>база!$L$5</f>
        <v>231.45480000000001</v>
      </c>
      <c r="R178" s="367">
        <v>1.3</v>
      </c>
      <c r="S178" s="468">
        <f>SUMIFS(Таблица1[Столбец1],Таблица1[коэф],"1,3",Таблица1[р/р],"4/16",Таблица1[Ф. И. О.],B176)</f>
        <v>0</v>
      </c>
      <c r="T178" s="469">
        <f t="shared" si="18"/>
        <v>0</v>
      </c>
      <c r="U178" s="449">
        <f>база!$M$5</f>
        <v>247.41720000000001</v>
      </c>
      <c r="V178" s="367">
        <v>1.3</v>
      </c>
      <c r="W178" s="471">
        <f>SUMIFS(Таблица1[Столбец1],Таблица1[коэф],"1,3",Таблица1[р/р],"4/24",Таблица1[Ф. И. О.],B176)</f>
        <v>0</v>
      </c>
      <c r="X178" s="469">
        <f t="shared" si="19"/>
        <v>0</v>
      </c>
      <c r="Y178" s="748"/>
      <c r="Z178" s="750"/>
      <c r="AA178" s="740"/>
    </row>
    <row r="179" spans="1:29" ht="18.75">
      <c r="A179" s="740"/>
      <c r="B179" s="201"/>
      <c r="C179" s="743"/>
      <c r="D179" s="746"/>
      <c r="E179" s="370"/>
      <c r="F179" s="367"/>
      <c r="G179" s="377"/>
      <c r="H179" s="369">
        <f t="shared" si="16"/>
        <v>0</v>
      </c>
      <c r="I179" s="366"/>
      <c r="J179" s="367"/>
      <c r="K179" s="411"/>
      <c r="L179" s="461">
        <f t="shared" si="17"/>
        <v>0</v>
      </c>
      <c r="M179" s="411"/>
      <c r="N179" s="411"/>
      <c r="O179" s="411"/>
      <c r="P179" s="372"/>
      <c r="Q179" s="366">
        <f>IF(D171&lt;=3,база!$L$4,
IF(D171=4,база!$L$5,
IF(D171=5,база!$L$6)))</f>
        <v>210.57480000000001</v>
      </c>
      <c r="R179" s="367">
        <v>1.4</v>
      </c>
      <c r="S179" s="468">
        <f>SUMIFS(Таблица1[Столбец1],Таблица1[коэф],"1,4",Таблица1[р/р],"3/16",Таблица1[Ф. И. О.],B176)</f>
        <v>0</v>
      </c>
      <c r="T179" s="469">
        <f t="shared" si="18"/>
        <v>0</v>
      </c>
      <c r="U179" s="449">
        <f>IF(D171&lt;=3,база!$M$4,
IF(D171=4,база!$M$5,
IF(D171=5,база!$M$6)))</f>
        <v>225.09719999999999</v>
      </c>
      <c r="V179" s="367">
        <v>1.4</v>
      </c>
      <c r="W179" s="471">
        <f>SUMIFS(Таблица1[Столбец1],Таблица1[коэф],"1,4",Таблица1[р/р],"3/24",Таблица1[Ф. И. О.],B176)</f>
        <v>0</v>
      </c>
      <c r="X179" s="469">
        <f t="shared" si="19"/>
        <v>0</v>
      </c>
      <c r="Y179" s="748"/>
      <c r="Z179" s="750"/>
      <c r="AA179" s="740"/>
    </row>
    <row r="180" spans="1:29" ht="18.75">
      <c r="A180" s="740"/>
      <c r="B180" s="201"/>
      <c r="C180" s="743"/>
      <c r="D180" s="746"/>
      <c r="E180" s="370"/>
      <c r="F180" s="367"/>
      <c r="G180" s="377"/>
      <c r="H180" s="369">
        <f t="shared" si="16"/>
        <v>0</v>
      </c>
      <c r="I180" s="366"/>
      <c r="J180" s="367"/>
      <c r="K180" s="411"/>
      <c r="L180" s="461">
        <f t="shared" si="17"/>
        <v>0</v>
      </c>
      <c r="M180" s="411"/>
      <c r="N180" s="411"/>
      <c r="O180" s="411"/>
      <c r="P180" s="372"/>
      <c r="Q180" s="366">
        <f>база!$L$5</f>
        <v>231.45480000000001</v>
      </c>
      <c r="R180" s="367">
        <v>1.4</v>
      </c>
      <c r="S180" s="468">
        <f>SUMIFS(Таблица1[Столбец1],Таблица1[коэф],"1,4",Таблица1[р/р],"4/16",Таблица1[Ф. И. О.],B176)</f>
        <v>0</v>
      </c>
      <c r="T180" s="469">
        <f t="shared" si="18"/>
        <v>0</v>
      </c>
      <c r="U180" s="449">
        <f>база!$M$5</f>
        <v>247.41720000000001</v>
      </c>
      <c r="V180" s="367">
        <v>1.4</v>
      </c>
      <c r="W180" s="471">
        <f>SUMIFS(Таблица1[Столбец1],Таблица1[коэф],"1,4",Таблица1[р/р],"4/24",Таблица1[Ф. И. О.],B176)</f>
        <v>0</v>
      </c>
      <c r="X180" s="469">
        <f t="shared" si="19"/>
        <v>0</v>
      </c>
      <c r="Y180" s="748"/>
      <c r="Z180" s="750"/>
      <c r="AA180" s="740"/>
    </row>
    <row r="181" spans="1:29" ht="19.5" thickBot="1">
      <c r="A181" s="741"/>
      <c r="B181" s="188"/>
      <c r="C181" s="744"/>
      <c r="D181" s="747"/>
      <c r="E181" s="440"/>
      <c r="F181" s="441"/>
      <c r="G181" s="442"/>
      <c r="H181" s="445">
        <f t="shared" si="16"/>
        <v>0</v>
      </c>
      <c r="I181" s="450"/>
      <c r="J181" s="441"/>
      <c r="K181" s="434"/>
      <c r="L181" s="461">
        <f t="shared" si="17"/>
        <v>0</v>
      </c>
      <c r="M181" s="434"/>
      <c r="N181" s="434"/>
      <c r="O181" s="434"/>
      <c r="P181" s="435"/>
      <c r="Q181" s="450">
        <f>база!$L$6</f>
        <v>261.04640000000001</v>
      </c>
      <c r="R181" s="441">
        <v>1.4</v>
      </c>
      <c r="S181" s="489">
        <f>SUMIFS(Таблица1[Столбец1],Таблица1[коэф],"1,4",Таблица1[р/р],"5/16",Таблица1[Ф. И. О.],B176)</f>
        <v>0</v>
      </c>
      <c r="T181" s="469">
        <f t="shared" si="18"/>
        <v>0</v>
      </c>
      <c r="U181" s="451">
        <f>база!$M$6</f>
        <v>279.0496</v>
      </c>
      <c r="V181" s="441">
        <v>1.4</v>
      </c>
      <c r="W181" s="478">
        <f>SUMIFS(Таблица1[Столбец1],Таблица1[коэф],"1,4",Таблица1[р/р],"5/24",Таблица1[Ф. И. О.],B176)</f>
        <v>0</v>
      </c>
      <c r="X181" s="469">
        <f t="shared" si="19"/>
        <v>0</v>
      </c>
      <c r="Y181" s="749"/>
      <c r="Z181" s="751"/>
      <c r="AA181" s="741"/>
    </row>
    <row r="182" spans="1:29" ht="18.75">
      <c r="A182" s="739">
        <v>17</v>
      </c>
      <c r="B182" s="201"/>
      <c r="C182" s="742">
        <f>INDEX(база!$E$2:$E$81, MATCH(B187,база!$B$2:$B$50,0))</f>
        <v>17160</v>
      </c>
      <c r="D182" s="745">
        <f>INDEX(база!$D$2:$D$89, MATCH(B187,база!$B$2:$B$50,0))</f>
        <v>3</v>
      </c>
      <c r="E182" s="354">
        <f>IF(D182&lt;=3,база!$I$4,
IF(D182=4,база!$I$5,
IF(D182=5,база!$I$6)))</f>
        <v>188.7912</v>
      </c>
      <c r="F182" s="355">
        <v>1</v>
      </c>
      <c r="G182" s="364">
        <f>SUMIFS(Таблица1[Столбец1],Таблица1[коэф],"1",Таблица1[р/р],"2/4",Таблица1[Ф. И. О.],B187)</f>
        <v>0</v>
      </c>
      <c r="H182" s="379">
        <f t="shared" si="16"/>
        <v>0</v>
      </c>
      <c r="I182" s="428">
        <f>IF(D182&lt;=3,база!$J$4,
IF(D182=4,база!$J$5,
IF(D182=5,база!$J$6)))</f>
        <v>196.05240000000001</v>
      </c>
      <c r="J182" s="394">
        <v>1</v>
      </c>
      <c r="K182" s="430">
        <f>SUMIFS(Таблица1[Столбец1],Таблица1[коэф],"1",Таблица1[р/р],"2/8",Таблица1[Ф. И. О.],B187)</f>
        <v>0</v>
      </c>
      <c r="L182" s="360">
        <f t="shared" si="17"/>
        <v>0</v>
      </c>
      <c r="M182" s="430"/>
      <c r="N182" s="430">
        <v>1</v>
      </c>
      <c r="O182" s="430">
        <f>SUMIFS(Data_Tech!$AM$3:$AM$67,Data_Tech!$E$3:$E$67,"1",Data_Tech!$G$3:$G$67,"3/12",Data_Tech!$F$3:$F$67,B187)</f>
        <v>0</v>
      </c>
      <c r="P182" s="375">
        <f>ROUND(M182*N182*O182,2)</f>
        <v>0</v>
      </c>
      <c r="Q182" s="354">
        <f>IF(D182&lt;=3,база!$L$4,
IF(D182=4,база!$L$5,
IF(D182=5,база!$L$6)))</f>
        <v>210.57480000000001</v>
      </c>
      <c r="R182" s="355">
        <v>1</v>
      </c>
      <c r="S182" s="466">
        <f>SUMIFS(Таблица1[Столбец1],Таблица1[коэф],"1",Таблица1[р/р],"3/16",Таблица1[Ф. И. О.],B187)</f>
        <v>0</v>
      </c>
      <c r="T182" s="467">
        <f t="shared" si="18"/>
        <v>0</v>
      </c>
      <c r="U182" s="431">
        <f>IF(D182&lt;=3,база!$M$4,
IF(D182=4,база!$M$5,
IF(D182=5,база!$M$6)))</f>
        <v>225.09719999999999</v>
      </c>
      <c r="V182" s="394">
        <v>1</v>
      </c>
      <c r="W182" s="477">
        <f>SUMIFS(Таблица1[Столбец1],Таблица1[коэф],"1",Таблица1[р/р],"3/24",Таблица1[Ф. И. О.],B187)</f>
        <v>0</v>
      </c>
      <c r="X182" s="467">
        <f t="shared" si="19"/>
        <v>0</v>
      </c>
      <c r="Y182" s="748">
        <f t="shared" ref="Y182" si="28">SUM(G182:G192,K182:K192,O182:O192,S182:S192,W182:W192)</f>
        <v>0</v>
      </c>
      <c r="Z182" s="750">
        <f t="shared" ref="Z182" si="29">IFERROR(SUM(H182:H192,L182:L192,T182:T192,X182:X192),"")</f>
        <v>0</v>
      </c>
      <c r="AA182" s="740"/>
    </row>
    <row r="183" spans="1:29" ht="18.75">
      <c r="A183" s="740"/>
      <c r="B183" s="201"/>
      <c r="C183" s="743"/>
      <c r="D183" s="746"/>
      <c r="E183" s="366">
        <f>IF(D182&lt;=3,база!$I$4,
IF(D182=4,база!$I$5,
IF(D182=5,база!$I$6)))</f>
        <v>188.7912</v>
      </c>
      <c r="F183" s="367">
        <v>1</v>
      </c>
      <c r="G183" s="377">
        <f>SUMIFS(Таблица1[Столбец1],Таблица1[коэф],"1",Таблица1[р/р],"3/4",Таблица1[Ф. И. О.],B187)</f>
        <v>0</v>
      </c>
      <c r="H183" s="369">
        <f t="shared" si="16"/>
        <v>0</v>
      </c>
      <c r="I183" s="370">
        <f>IF(D182&lt;=3,база!$J$4,
IF(D182=4,база!$J$5,
IF(D182=5,база!$J$6)))</f>
        <v>196.05240000000001</v>
      </c>
      <c r="J183" s="367">
        <v>1</v>
      </c>
      <c r="K183" s="411">
        <f>SUMIFS(Таблица1[Столбец1],Таблица1[коэф],"1",Таблица1[р/р],"3/8",Таблица1[Ф. И. О.],B187)</f>
        <v>0</v>
      </c>
      <c r="L183" s="461">
        <f t="shared" si="17"/>
        <v>0</v>
      </c>
      <c r="M183" s="411"/>
      <c r="N183" s="411">
        <v>1</v>
      </c>
      <c r="O183" s="411">
        <f>SUMIFS(Data_Tech!$AM$3:$AM$67,Data_Tech!$E$3:$E$67,"1",Data_Tech!$G$3:$G$67,"4/12",Data_Tech!$F$3:$F$67,B187)</f>
        <v>0</v>
      </c>
      <c r="P183" s="383">
        <f>ROUND(M183*O183,2)</f>
        <v>0</v>
      </c>
      <c r="Q183" s="366">
        <f>база!$L$5</f>
        <v>231.45480000000001</v>
      </c>
      <c r="R183" s="367">
        <v>1</v>
      </c>
      <c r="S183" s="468">
        <f>SUMIFS(Таблица1[Столбец1],Таблица1[коэф],"1",Таблица1[р/р],"4/16",Таблица1[Ф. И. О.],B187)</f>
        <v>0</v>
      </c>
      <c r="T183" s="469">
        <f t="shared" si="18"/>
        <v>0</v>
      </c>
      <c r="U183" s="387">
        <f>база!$M$5</f>
        <v>247.41720000000001</v>
      </c>
      <c r="V183" s="367">
        <v>1</v>
      </c>
      <c r="W183" s="471">
        <f>SUMIFS(Таблица1[Столбец1],Таблица1[коэф],"1",Таблица1[р/р],"4/24",Таблица1[Ф. И. О.],B187)</f>
        <v>0</v>
      </c>
      <c r="X183" s="469">
        <f t="shared" si="19"/>
        <v>0</v>
      </c>
      <c r="Y183" s="748"/>
      <c r="Z183" s="750"/>
      <c r="AA183" s="740"/>
    </row>
    <row r="184" spans="1:29" ht="18.75">
      <c r="A184" s="740"/>
      <c r="B184" s="201"/>
      <c r="C184" s="743"/>
      <c r="D184" s="746"/>
      <c r="E184" s="366"/>
      <c r="F184" s="367"/>
      <c r="G184" s="377"/>
      <c r="H184" s="369">
        <f t="shared" si="16"/>
        <v>0</v>
      </c>
      <c r="I184" s="370"/>
      <c r="J184" s="367"/>
      <c r="K184" s="411"/>
      <c r="L184" s="461">
        <f t="shared" si="17"/>
        <v>0</v>
      </c>
      <c r="M184" s="411"/>
      <c r="N184" s="411"/>
      <c r="O184" s="411"/>
      <c r="P184" s="383"/>
      <c r="Q184" s="366">
        <f>база!$L$6</f>
        <v>261.04640000000001</v>
      </c>
      <c r="R184" s="367">
        <v>1</v>
      </c>
      <c r="S184" s="468">
        <f>SUMIFS(Таблица1[Столбец1],Таблица1[коэф],"1",Таблица1[р/р],"5/16",Таблица1[Ф. И. О.],B187)</f>
        <v>0</v>
      </c>
      <c r="T184" s="469">
        <f t="shared" si="18"/>
        <v>0</v>
      </c>
      <c r="U184" s="387">
        <f>база!$M$6</f>
        <v>279.0496</v>
      </c>
      <c r="V184" s="367">
        <v>1</v>
      </c>
      <c r="W184" s="471">
        <f>SUMIFS(Таблица1[Столбец1],Таблица1[коэф],"1",Таблица1[р/р],"5/24",Таблица1[Ф. И. О.],B187)</f>
        <v>0</v>
      </c>
      <c r="X184" s="469">
        <f t="shared" si="19"/>
        <v>0</v>
      </c>
      <c r="Y184" s="748"/>
      <c r="Z184" s="750"/>
      <c r="AA184" s="740"/>
    </row>
    <row r="185" spans="1:29" ht="18.75">
      <c r="A185" s="740"/>
      <c r="B185" s="201"/>
      <c r="C185" s="743"/>
      <c r="D185" s="746"/>
      <c r="E185" s="366"/>
      <c r="F185" s="367"/>
      <c r="G185" s="377"/>
      <c r="H185" s="369">
        <f t="shared" si="16"/>
        <v>0</v>
      </c>
      <c r="I185" s="370">
        <f>база!$J$5</f>
        <v>215.4924</v>
      </c>
      <c r="J185" s="367">
        <v>1.5</v>
      </c>
      <c r="K185" s="411">
        <f>SUMIFS(Таблица1[Столбец1],Таблица1[коэф],"1,5",Таблица1[р/р],"4/8",Таблица1[Ф. И. О.],B187)</f>
        <v>0</v>
      </c>
      <c r="L185" s="461">
        <f t="shared" si="17"/>
        <v>0</v>
      </c>
      <c r="M185" s="411"/>
      <c r="N185" s="411"/>
      <c r="O185" s="411"/>
      <c r="P185" s="383"/>
      <c r="Q185" s="366">
        <f>IF(D182&lt;=3,база!$L$4,
IF(D182=4,база!$L$5,
IF(D182=5,база!$L$6)))</f>
        <v>210.57480000000001</v>
      </c>
      <c r="R185" s="367">
        <v>1.2</v>
      </c>
      <c r="S185" s="468">
        <f>SUMIFS(Таблица1[Столбец1],Таблица1[коэф],"1,2",Таблица1[р/р],"3/16",Таблица1[Ф. И. О.],B187)</f>
        <v>0</v>
      </c>
      <c r="T185" s="469">
        <f t="shared" si="18"/>
        <v>0</v>
      </c>
      <c r="U185" s="387">
        <f>IF(D182&lt;=3,база!$M$4,
IF(D182=4,база!$M$5,
IF(D182=5,база!$M$6)))</f>
        <v>225.09719999999999</v>
      </c>
      <c r="V185" s="367">
        <v>1.2</v>
      </c>
      <c r="W185" s="471">
        <f>SUMIFS(Таблица1[Столбец1],Таблица1[коэф],"1,2",Таблица1[р/р],"3/24",Таблица1[Ф. И. О.],B187)</f>
        <v>0</v>
      </c>
      <c r="X185" s="469">
        <f t="shared" si="19"/>
        <v>0</v>
      </c>
      <c r="Y185" s="748"/>
      <c r="Z185" s="750"/>
      <c r="AA185" s="740"/>
    </row>
    <row r="186" spans="1:29" ht="18.75">
      <c r="A186" s="740"/>
      <c r="B186" s="201"/>
      <c r="C186" s="743"/>
      <c r="D186" s="746"/>
      <c r="E186" s="366"/>
      <c r="F186" s="367"/>
      <c r="G186" s="377"/>
      <c r="H186" s="369">
        <f t="shared" si="16"/>
        <v>0</v>
      </c>
      <c r="I186" s="370">
        <f>база!$J$6</f>
        <v>243.04319999999998</v>
      </c>
      <c r="J186" s="367">
        <v>1.5</v>
      </c>
      <c r="K186" s="411">
        <f>SUMIFS(Таблица1[Столбец1],Таблица1[коэф],"1,5",Таблица1[р/р],"5/8",Таблица1[Ф. И. О.],B187)</f>
        <v>0</v>
      </c>
      <c r="L186" s="461">
        <f t="shared" si="17"/>
        <v>0</v>
      </c>
      <c r="M186" s="411"/>
      <c r="N186" s="411"/>
      <c r="O186" s="411"/>
      <c r="P186" s="383"/>
      <c r="Q186" s="366">
        <f>база!$L$5</f>
        <v>231.45480000000001</v>
      </c>
      <c r="R186" s="367">
        <v>1.2</v>
      </c>
      <c r="S186" s="468">
        <f>SUMIFS(Таблица1[Столбец1],Таблица1[коэф],"1,2",Таблица1[р/р],"4/16",Таблица1[Ф. И. О.],B187)</f>
        <v>0</v>
      </c>
      <c r="T186" s="469">
        <f t="shared" si="18"/>
        <v>0</v>
      </c>
      <c r="U186" s="387">
        <f>база!$M$5</f>
        <v>247.41720000000001</v>
      </c>
      <c r="V186" s="367">
        <v>1.2</v>
      </c>
      <c r="W186" s="471">
        <f>SUMIFS(Таблица1[Столбец1],Таблица1[коэф],"1,2",Таблица1[р/р],"4/24",Таблица1[Ф. И. О.],B187)</f>
        <v>0</v>
      </c>
      <c r="X186" s="469">
        <f t="shared" si="19"/>
        <v>0</v>
      </c>
      <c r="Y186" s="748"/>
      <c r="Z186" s="750"/>
      <c r="AA186" s="740"/>
    </row>
    <row r="187" spans="1:29" ht="18.75">
      <c r="A187" s="740"/>
      <c r="B187" s="201" t="str">
        <f>база!B18</f>
        <v>Дорофеева Юлия Николаевна</v>
      </c>
      <c r="C187" s="743"/>
      <c r="D187" s="746"/>
      <c r="E187" s="366"/>
      <c r="F187" s="367"/>
      <c r="G187" s="377"/>
      <c r="H187" s="369">
        <f t="shared" si="16"/>
        <v>0</v>
      </c>
      <c r="I187" s="370"/>
      <c r="J187" s="367"/>
      <c r="K187" s="411"/>
      <c r="L187" s="461">
        <f t="shared" si="17"/>
        <v>0</v>
      </c>
      <c r="M187" s="411"/>
      <c r="N187" s="411"/>
      <c r="O187" s="411"/>
      <c r="P187" s="383"/>
      <c r="Q187" s="366">
        <f>база!$L$6</f>
        <v>261.04640000000001</v>
      </c>
      <c r="R187" s="367">
        <v>1.2</v>
      </c>
      <c r="S187" s="468">
        <f>SUMIFS(Таблица1[Столбец1],Таблица1[коэф],"1,2",Таблица1[р/р],"5/16",Таблица1[Ф. И. О.],B187)</f>
        <v>0</v>
      </c>
      <c r="T187" s="469">
        <f t="shared" si="18"/>
        <v>0</v>
      </c>
      <c r="U187" s="387">
        <f>база!$M$6</f>
        <v>279.0496</v>
      </c>
      <c r="V187" s="367">
        <v>1.2</v>
      </c>
      <c r="W187" s="471">
        <f>SUMIFS(Таблица1[Столбец1],Таблица1[коэф],"1,2",Таблица1[р/р],"5/24",Таблица1[Ф. И. О.],B187)</f>
        <v>0</v>
      </c>
      <c r="X187" s="469">
        <f t="shared" si="19"/>
        <v>0</v>
      </c>
      <c r="Y187" s="748"/>
      <c r="Z187" s="750"/>
      <c r="AA187" s="740"/>
      <c r="AC187" s="693" t="str">
        <f>IF(SUMIFS(Таблица1[Столбец3],Таблица1[Ф. И. О.],B187)-Z182=0,"",SUMIFS(Таблица1[Столбец3],Таблица1[Ф. И. О.],B187)-Z182)</f>
        <v/>
      </c>
    </row>
    <row r="188" spans="1:29" ht="18.75">
      <c r="A188" s="740"/>
      <c r="B188" s="201"/>
      <c r="C188" s="743"/>
      <c r="D188" s="746"/>
      <c r="E188" s="366"/>
      <c r="F188" s="367"/>
      <c r="G188" s="377"/>
      <c r="H188" s="369">
        <f t="shared" si="16"/>
        <v>0</v>
      </c>
      <c r="I188" s="370"/>
      <c r="J188" s="367"/>
      <c r="K188" s="411"/>
      <c r="L188" s="461">
        <f t="shared" si="17"/>
        <v>0</v>
      </c>
      <c r="M188" s="411"/>
      <c r="N188" s="411"/>
      <c r="O188" s="411"/>
      <c r="P188" s="383"/>
      <c r="Q188" s="366">
        <f>IF(D182&lt;=3,база!$L$4,
IF(D182=4,база!$L$5,
IF(D182=5,база!$L$6)))</f>
        <v>210.57480000000001</v>
      </c>
      <c r="R188" s="367">
        <v>1.3</v>
      </c>
      <c r="S188" s="468">
        <f>SUMIFS(Таблица1[Столбец1],Таблица1[коэф],"1,3",Таблица1[р/р],"3/16",Таблица1[Ф. И. О.],B187)</f>
        <v>0</v>
      </c>
      <c r="T188" s="469">
        <f t="shared" si="18"/>
        <v>0</v>
      </c>
      <c r="U188" s="387">
        <f>IF(D182&lt;=3,база!$M$4,
IF(D182=4,база!$M$5,
IF(D182=5,база!$M$6)))</f>
        <v>225.09719999999999</v>
      </c>
      <c r="V188" s="367">
        <v>1.3</v>
      </c>
      <c r="W188" s="471">
        <f>SUMIFS(Таблица1[Столбец1],Таблица1[коэф],"1,3",Таблица1[р/р],"3/24",Таблица1[Ф. И. О.],B187)</f>
        <v>0</v>
      </c>
      <c r="X188" s="469">
        <f t="shared" si="19"/>
        <v>0</v>
      </c>
      <c r="Y188" s="748"/>
      <c r="Z188" s="750"/>
      <c r="AA188" s="740"/>
      <c r="AC188" s="693" t="str">
        <f>IF(SUMIFS(Таблица1[Столбец1],Таблица1[Ф. И. О.],B187)=Y182,"",B187&amp;"  часы не верны")</f>
        <v/>
      </c>
    </row>
    <row r="189" spans="1:29" ht="18.75">
      <c r="A189" s="740"/>
      <c r="B189" s="201"/>
      <c r="C189" s="743"/>
      <c r="D189" s="746"/>
      <c r="E189" s="366"/>
      <c r="F189" s="367"/>
      <c r="G189" s="377"/>
      <c r="H189" s="369">
        <f t="shared" si="16"/>
        <v>0</v>
      </c>
      <c r="I189" s="370"/>
      <c r="J189" s="367"/>
      <c r="K189" s="411"/>
      <c r="L189" s="461">
        <f t="shared" si="17"/>
        <v>0</v>
      </c>
      <c r="M189" s="411"/>
      <c r="N189" s="411"/>
      <c r="O189" s="411"/>
      <c r="P189" s="383"/>
      <c r="Q189" s="366">
        <f>база!$L$5</f>
        <v>231.45480000000001</v>
      </c>
      <c r="R189" s="367">
        <v>1.3</v>
      </c>
      <c r="S189" s="468">
        <f>SUMIFS(Таблица1[Столбец1],Таблица1[коэф],"1,3",Таблица1[р/р],"4/16",Таблица1[Ф. И. О.],B187)</f>
        <v>0</v>
      </c>
      <c r="T189" s="469">
        <f t="shared" si="18"/>
        <v>0</v>
      </c>
      <c r="U189" s="387">
        <f>база!$M$5</f>
        <v>247.41720000000001</v>
      </c>
      <c r="V189" s="367">
        <v>1.3</v>
      </c>
      <c r="W189" s="471">
        <f>SUMIFS(Таблица1[Столбец1],Таблица1[коэф],"1,3",Таблица1[р/р],"4/24",Таблица1[Ф. И. О.],B187)</f>
        <v>0</v>
      </c>
      <c r="X189" s="469">
        <f t="shared" si="19"/>
        <v>0</v>
      </c>
      <c r="Y189" s="748"/>
      <c r="Z189" s="750"/>
      <c r="AA189" s="740"/>
    </row>
    <row r="190" spans="1:29" ht="18.75">
      <c r="A190" s="740"/>
      <c r="B190" s="201"/>
      <c r="C190" s="743"/>
      <c r="D190" s="746"/>
      <c r="E190" s="366"/>
      <c r="F190" s="367"/>
      <c r="G190" s="377"/>
      <c r="H190" s="369">
        <f t="shared" si="16"/>
        <v>0</v>
      </c>
      <c r="I190" s="370"/>
      <c r="J190" s="367"/>
      <c r="K190" s="411"/>
      <c r="L190" s="461">
        <f t="shared" si="17"/>
        <v>0</v>
      </c>
      <c r="M190" s="411"/>
      <c r="N190" s="411"/>
      <c r="O190" s="411"/>
      <c r="P190" s="383"/>
      <c r="Q190" s="366">
        <f>IF(D182&lt;=3,база!$L$4,
IF(D182=4,база!$L$5,
IF(D182=5,база!$L$6)))</f>
        <v>210.57480000000001</v>
      </c>
      <c r="R190" s="367">
        <v>1.4</v>
      </c>
      <c r="S190" s="468">
        <f>SUMIFS(Таблица1[Столбец1],Таблица1[коэф],"1,4",Таблица1[р/р],"3/16",Таблица1[Ф. И. О.],B187)</f>
        <v>0</v>
      </c>
      <c r="T190" s="469">
        <f t="shared" si="18"/>
        <v>0</v>
      </c>
      <c r="U190" s="387">
        <f>IF(D182&lt;=3,база!$M$4,
IF(D182=4,база!$M$5,
IF(D182=5,база!$M$6)))</f>
        <v>225.09719999999999</v>
      </c>
      <c r="V190" s="367">
        <v>1.4</v>
      </c>
      <c r="W190" s="471">
        <f>SUMIFS(Таблица1[Столбец1],Таблица1[коэф],"1,4",Таблица1[р/р],"3/24",Таблица1[Ф. И. О.],B187)</f>
        <v>0</v>
      </c>
      <c r="X190" s="469">
        <f t="shared" si="19"/>
        <v>0</v>
      </c>
      <c r="Y190" s="748"/>
      <c r="Z190" s="750"/>
      <c r="AA190" s="740"/>
    </row>
    <row r="191" spans="1:29" ht="18.75">
      <c r="A191" s="740"/>
      <c r="B191" s="201"/>
      <c r="C191" s="743"/>
      <c r="D191" s="746"/>
      <c r="E191" s="366"/>
      <c r="F191" s="367"/>
      <c r="G191" s="377"/>
      <c r="H191" s="369">
        <f t="shared" si="16"/>
        <v>0</v>
      </c>
      <c r="I191" s="370"/>
      <c r="J191" s="367"/>
      <c r="K191" s="411"/>
      <c r="L191" s="461">
        <f t="shared" si="17"/>
        <v>0</v>
      </c>
      <c r="M191" s="411"/>
      <c r="N191" s="411"/>
      <c r="O191" s="411"/>
      <c r="P191" s="383"/>
      <c r="Q191" s="366">
        <f>база!$L$5</f>
        <v>231.45480000000001</v>
      </c>
      <c r="R191" s="367">
        <v>1.4</v>
      </c>
      <c r="S191" s="468">
        <f>SUMIFS(Таблица1[Столбец1],Таблица1[коэф],"1,4",Таблица1[р/р],"4/16",Таблица1[Ф. И. О.],B187)</f>
        <v>0</v>
      </c>
      <c r="T191" s="469">
        <f t="shared" si="18"/>
        <v>0</v>
      </c>
      <c r="U191" s="387">
        <f>база!$M$5</f>
        <v>247.41720000000001</v>
      </c>
      <c r="V191" s="367">
        <v>1.4</v>
      </c>
      <c r="W191" s="471">
        <f>SUMIFS(Таблица1[Столбец1],Таблица1[коэф],"1,4",Таблица1[р/р],"4/24",Таблица1[Ф. И. О.],B187)</f>
        <v>0</v>
      </c>
      <c r="X191" s="469">
        <f t="shared" si="19"/>
        <v>0</v>
      </c>
      <c r="Y191" s="748"/>
      <c r="Z191" s="750"/>
      <c r="AA191" s="740"/>
    </row>
    <row r="192" spans="1:29" ht="19.5" thickBot="1">
      <c r="A192" s="741"/>
      <c r="B192" s="201"/>
      <c r="C192" s="744"/>
      <c r="D192" s="747"/>
      <c r="E192" s="450"/>
      <c r="F192" s="441"/>
      <c r="G192" s="442"/>
      <c r="H192" s="445">
        <f t="shared" si="16"/>
        <v>0</v>
      </c>
      <c r="I192" s="399"/>
      <c r="J192" s="380"/>
      <c r="K192" s="437"/>
      <c r="L192" s="461">
        <f t="shared" si="17"/>
        <v>0</v>
      </c>
      <c r="M192" s="437"/>
      <c r="N192" s="437"/>
      <c r="O192" s="437"/>
      <c r="P192" s="456"/>
      <c r="Q192" s="450">
        <f>база!$L$6</f>
        <v>261.04640000000001</v>
      </c>
      <c r="R192" s="441">
        <v>1.4</v>
      </c>
      <c r="S192" s="489">
        <f>SUMIFS(Таблица1[Столбец1],Таблица1[коэф],"1,4",Таблица1[р/р],"5/16",Таблица1[Ф. И. О.],B187)</f>
        <v>0</v>
      </c>
      <c r="T192" s="469">
        <f t="shared" si="18"/>
        <v>0</v>
      </c>
      <c r="U192" s="438">
        <f>база!$M$6</f>
        <v>279.0496</v>
      </c>
      <c r="V192" s="380">
        <v>1.4</v>
      </c>
      <c r="W192" s="473">
        <f>SUMIFS(Таблица1[Столбец1],Таблица1[коэф],"1,4",Таблица1[р/р],"5/24",Таблица1[Ф. И. О.],B187)</f>
        <v>0</v>
      </c>
      <c r="X192" s="469">
        <f t="shared" si="19"/>
        <v>0</v>
      </c>
      <c r="Y192" s="749"/>
      <c r="Z192" s="751"/>
      <c r="AA192" s="741"/>
    </row>
    <row r="193" spans="1:29" ht="18.75">
      <c r="A193" s="739">
        <v>18</v>
      </c>
      <c r="B193" s="219"/>
      <c r="C193" s="742">
        <f>INDEX(база!$E$2:$E$81, MATCH(B198,база!$B$2:$B$50,0))</f>
        <v>16860</v>
      </c>
      <c r="D193" s="745">
        <f>INDEX(база!$D$2:$D$89, MATCH(B198,база!$B$2:$B$50,0))</f>
        <v>3</v>
      </c>
      <c r="E193" s="354">
        <f>IF(D193&lt;=3,база!$I$4,
IF(D193=4,база!$I$5,
IF(D193=5,база!$I$6)))</f>
        <v>188.7912</v>
      </c>
      <c r="F193" s="355">
        <v>1</v>
      </c>
      <c r="G193" s="364">
        <f>SUMIFS(Таблица1[Столбец1],Таблица1[коэф],"1",Таблица1[р/р],"2/4",Таблица1[Ф. И. О.],B198)</f>
        <v>0</v>
      </c>
      <c r="H193" s="379">
        <f t="shared" si="16"/>
        <v>0</v>
      </c>
      <c r="I193" s="358">
        <f>IF(D193&lt;=3,база!$J$4,
IF(D193=4,база!$J$5,
IF(D193=5,база!$J$6)))</f>
        <v>196.05240000000001</v>
      </c>
      <c r="J193" s="355">
        <v>1</v>
      </c>
      <c r="K193" s="405">
        <f>SUMIFS(Таблица1[Столбец1],Таблица1[коэф],"1",Таблица1[р/р],"2/8",Таблица1[Ф. И. О.],B198)</f>
        <v>0</v>
      </c>
      <c r="L193" s="360">
        <f t="shared" si="17"/>
        <v>0</v>
      </c>
      <c r="M193" s="405"/>
      <c r="N193" s="405">
        <v>1</v>
      </c>
      <c r="O193" s="405">
        <f>SUMIFS(Data_Tech!$AM$3:$AM$67,Data_Tech!$E$3:$E$67,"1",Data_Tech!$G$3:$G$67,"3/12",Data_Tech!$F$3:$F$67,B198)</f>
        <v>0</v>
      </c>
      <c r="P193" s="362">
        <f>ROUND(M193*N193*O193,2)</f>
        <v>0</v>
      </c>
      <c r="Q193" s="354">
        <f>IF(D193&lt;=3,база!$L$4,
IF(D193=4,база!$L$5,
IF(D193=5,база!$L$6)))</f>
        <v>210.57480000000001</v>
      </c>
      <c r="R193" s="355">
        <v>1</v>
      </c>
      <c r="S193" s="466">
        <f>SUMIFS(Таблица1[Столбец1],Таблица1[коэф],"1",Таблица1[р/р],"3/16",Таблица1[Ф. И. О.],B198)</f>
        <v>0</v>
      </c>
      <c r="T193" s="467">
        <f t="shared" si="18"/>
        <v>0</v>
      </c>
      <c r="U193" s="439">
        <f>IF(D193&lt;=3,база!$M$4,
IF(D193=4,база!$M$5,
IF(D193=5,база!$M$6)))</f>
        <v>225.09719999999999</v>
      </c>
      <c r="V193" s="355">
        <v>1</v>
      </c>
      <c r="W193" s="474">
        <f>SUMIFS(Таблица1[Столбец1],Таблица1[коэф],"1",Таблица1[р/р],"3/24",Таблица1[Ф. И. О.],B198)</f>
        <v>0</v>
      </c>
      <c r="X193" s="467">
        <f t="shared" si="19"/>
        <v>0</v>
      </c>
      <c r="Y193" s="748">
        <f t="shared" ref="Y193" si="30">SUM(G193:G203,K193:K203,O193:O203,S193:S203,W193:W203)</f>
        <v>0</v>
      </c>
      <c r="Z193" s="750">
        <f t="shared" ref="Z193" si="31">IFERROR(SUM(H193:H203,L193:L203,T193:T203,X193:X203),"")</f>
        <v>0</v>
      </c>
      <c r="AA193" s="740"/>
    </row>
    <row r="194" spans="1:29" ht="18.75">
      <c r="A194" s="740"/>
      <c r="B194" s="201"/>
      <c r="C194" s="743"/>
      <c r="D194" s="746"/>
      <c r="E194" s="366">
        <f>IF(D193&lt;=3,база!$I$4,
IF(D193=4,база!$I$5,
IF(D193=5,база!$I$6)))</f>
        <v>188.7912</v>
      </c>
      <c r="F194" s="367">
        <v>1</v>
      </c>
      <c r="G194" s="377">
        <f>SUMIFS(Таблица1[Столбец1],Таблица1[коэф],"1",Таблица1[р/р],"3/4",Таблица1[Ф. И. О.],B198)</f>
        <v>0</v>
      </c>
      <c r="H194" s="369">
        <f t="shared" si="16"/>
        <v>0</v>
      </c>
      <c r="I194" s="370">
        <f>IF(D193&lt;=3,база!$J$4,
IF(D193=4,база!$J$5,
IF(D193=5,база!$J$6)))</f>
        <v>196.05240000000001</v>
      </c>
      <c r="J194" s="367">
        <v>1</v>
      </c>
      <c r="K194" s="411">
        <f>SUMIFS(Таблица1[Столбец1],Таблица1[коэф],"1",Таблица1[р/р],"3/8",Таблица1[Ф. И. О.],B198)</f>
        <v>0</v>
      </c>
      <c r="L194" s="461">
        <f t="shared" si="17"/>
        <v>0</v>
      </c>
      <c r="M194" s="411"/>
      <c r="N194" s="411">
        <v>1</v>
      </c>
      <c r="O194" s="411">
        <f>SUMIFS(Data_Tech!$AM$3:$AM$67,Data_Tech!$E$3:$E$67,"1",Data_Tech!$G$3:$G$67,"4/12",Data_Tech!$F$3:$F$67,B198)</f>
        <v>0</v>
      </c>
      <c r="P194" s="383">
        <f>ROUND(M194*O194,2)</f>
        <v>0</v>
      </c>
      <c r="Q194" s="366">
        <f>база!$L$5</f>
        <v>231.45480000000001</v>
      </c>
      <c r="R194" s="367">
        <v>1</v>
      </c>
      <c r="S194" s="468">
        <f>SUMIFS(Таблица1[Столбец1],Таблица1[коэф],"1",Таблица1[р/р],"4/16",Таблица1[Ф. И. О.],B198)</f>
        <v>0</v>
      </c>
      <c r="T194" s="469">
        <f t="shared" si="18"/>
        <v>0</v>
      </c>
      <c r="U194" s="387">
        <f>база!$M$5</f>
        <v>247.41720000000001</v>
      </c>
      <c r="V194" s="367">
        <v>1</v>
      </c>
      <c r="W194" s="471">
        <f>SUMIFS(Таблица1[Столбец1],Таблица1[коэф],"1",Таблица1[р/р],"4/24",Таблица1[Ф. И. О.],B198)</f>
        <v>0</v>
      </c>
      <c r="X194" s="469">
        <f t="shared" si="19"/>
        <v>0</v>
      </c>
      <c r="Y194" s="748"/>
      <c r="Z194" s="750"/>
      <c r="AA194" s="740"/>
    </row>
    <row r="195" spans="1:29" ht="18.75">
      <c r="A195" s="740"/>
      <c r="B195" s="201"/>
      <c r="C195" s="743"/>
      <c r="D195" s="746"/>
      <c r="E195" s="366"/>
      <c r="F195" s="367"/>
      <c r="G195" s="377"/>
      <c r="H195" s="369">
        <f t="shared" si="16"/>
        <v>0</v>
      </c>
      <c r="I195" s="370"/>
      <c r="J195" s="367"/>
      <c r="K195" s="411"/>
      <c r="L195" s="461">
        <f t="shared" si="17"/>
        <v>0</v>
      </c>
      <c r="M195" s="411"/>
      <c r="N195" s="411"/>
      <c r="O195" s="411"/>
      <c r="P195" s="383"/>
      <c r="Q195" s="366">
        <f>база!$L$6</f>
        <v>261.04640000000001</v>
      </c>
      <c r="R195" s="367">
        <v>1</v>
      </c>
      <c r="S195" s="468">
        <f>SUMIFS(Таблица1[Столбец1],Таблица1[коэф],"1",Таблица1[р/р],"5/16",Таблица1[Ф. И. О.],B198)</f>
        <v>0</v>
      </c>
      <c r="T195" s="469">
        <f t="shared" si="18"/>
        <v>0</v>
      </c>
      <c r="U195" s="387">
        <f>база!$M$6</f>
        <v>279.0496</v>
      </c>
      <c r="V195" s="367">
        <v>1</v>
      </c>
      <c r="W195" s="471">
        <f>SUMIFS(Таблица1[Столбец1],Таблица1[коэф],"1",Таблица1[р/р],"5/24",Таблица1[Ф. И. О.],B198)</f>
        <v>0</v>
      </c>
      <c r="X195" s="470">
        <f t="shared" si="19"/>
        <v>0</v>
      </c>
      <c r="Y195" s="748"/>
      <c r="Z195" s="750"/>
      <c r="AA195" s="740"/>
    </row>
    <row r="196" spans="1:29" ht="18.75">
      <c r="A196" s="740"/>
      <c r="B196" s="201"/>
      <c r="C196" s="743"/>
      <c r="D196" s="746"/>
      <c r="E196" s="366"/>
      <c r="F196" s="367"/>
      <c r="G196" s="377"/>
      <c r="H196" s="369">
        <f t="shared" si="16"/>
        <v>0</v>
      </c>
      <c r="I196" s="370">
        <f>база!$J$5</f>
        <v>215.4924</v>
      </c>
      <c r="J196" s="367">
        <v>1.5</v>
      </c>
      <c r="K196" s="411">
        <f>SUMIFS(Таблица1[Столбец1],Таблица1[коэф],"1,5",Таблица1[р/р],"4/8",Таблица1[Ф. И. О.],B198)</f>
        <v>0</v>
      </c>
      <c r="L196" s="461">
        <f t="shared" si="17"/>
        <v>0</v>
      </c>
      <c r="M196" s="411"/>
      <c r="N196" s="411"/>
      <c r="O196" s="411"/>
      <c r="P196" s="383"/>
      <c r="Q196" s="366">
        <f>IF(D193&lt;=3,база!$L$4,
IF(D193=4,база!$L$5,
IF(D193=5,база!$L$6)))</f>
        <v>210.57480000000001</v>
      </c>
      <c r="R196" s="367">
        <v>1.2</v>
      </c>
      <c r="S196" s="468">
        <f>SUMIFS(Таблица1[Столбец1],Таблица1[коэф],"1,2",Таблица1[р/р],"3/16",Таблица1[Ф. И. О.],B198)</f>
        <v>0</v>
      </c>
      <c r="T196" s="469">
        <f t="shared" si="18"/>
        <v>0</v>
      </c>
      <c r="U196" s="387">
        <f>IF(D193&lt;=3,база!$M$4,
IF(D193=4,база!$M$5,
IF(D193=5,база!$M$6)))</f>
        <v>225.09719999999999</v>
      </c>
      <c r="V196" s="367">
        <v>1.2</v>
      </c>
      <c r="W196" s="471">
        <f>SUMIFS(Таблица1[Столбец1],Таблица1[коэф],"1,2",Таблица1[р/р],"3/24",Таблица1[Ф. И. О.],B198)</f>
        <v>0</v>
      </c>
      <c r="X196" s="469">
        <f t="shared" si="19"/>
        <v>0</v>
      </c>
      <c r="Y196" s="748"/>
      <c r="Z196" s="750"/>
      <c r="AA196" s="740"/>
    </row>
    <row r="197" spans="1:29" ht="18.75">
      <c r="A197" s="740"/>
      <c r="B197" s="201"/>
      <c r="C197" s="743"/>
      <c r="D197" s="746"/>
      <c r="E197" s="366"/>
      <c r="F197" s="367"/>
      <c r="G197" s="377"/>
      <c r="H197" s="369">
        <f t="shared" si="16"/>
        <v>0</v>
      </c>
      <c r="I197" s="370">
        <f>база!$J$6</f>
        <v>243.04319999999998</v>
      </c>
      <c r="J197" s="367">
        <v>1.5</v>
      </c>
      <c r="K197" s="411">
        <f>SUMIFS(Таблица1[Столбец1],Таблица1[коэф],"1,5",Таблица1[р/р],"5/8",Таблица1[Ф. И. О.],B198)</f>
        <v>0</v>
      </c>
      <c r="L197" s="461">
        <f t="shared" si="17"/>
        <v>0</v>
      </c>
      <c r="M197" s="411"/>
      <c r="N197" s="411"/>
      <c r="O197" s="411"/>
      <c r="P197" s="383"/>
      <c r="Q197" s="366">
        <f>база!$L$5</f>
        <v>231.45480000000001</v>
      </c>
      <c r="R197" s="367">
        <v>1.2</v>
      </c>
      <c r="S197" s="468">
        <f>SUMIFS(Таблица1[Столбец1],Таблица1[коэф],"1,2",Таблица1[р/р],"4/16",Таблица1[Ф. И. О.],B198)</f>
        <v>0</v>
      </c>
      <c r="T197" s="469">
        <f t="shared" si="18"/>
        <v>0</v>
      </c>
      <c r="U197" s="387">
        <f>база!$M$5</f>
        <v>247.41720000000001</v>
      </c>
      <c r="V197" s="367">
        <v>1.2</v>
      </c>
      <c r="W197" s="471">
        <f>SUMIFS(Таблица1[Столбец1],Таблица1[коэф],"1,2",Таблица1[р/р],"4/24",Таблица1[Ф. И. О.],B198)</f>
        <v>0</v>
      </c>
      <c r="X197" s="469">
        <f t="shared" si="19"/>
        <v>0</v>
      </c>
      <c r="Y197" s="748"/>
      <c r="Z197" s="750"/>
      <c r="AA197" s="740"/>
    </row>
    <row r="198" spans="1:29" ht="18.75" customHeight="1">
      <c r="A198" s="740"/>
      <c r="B198" s="201" t="str">
        <f>база!B19</f>
        <v>Егоров Дмитрий Геннадьевич</v>
      </c>
      <c r="C198" s="743"/>
      <c r="D198" s="746"/>
      <c r="E198" s="366"/>
      <c r="F198" s="367"/>
      <c r="G198" s="377"/>
      <c r="H198" s="369">
        <f t="shared" si="16"/>
        <v>0</v>
      </c>
      <c r="I198" s="370"/>
      <c r="J198" s="367"/>
      <c r="K198" s="411"/>
      <c r="L198" s="461">
        <f t="shared" si="17"/>
        <v>0</v>
      </c>
      <c r="M198" s="411"/>
      <c r="N198" s="411"/>
      <c r="O198" s="411"/>
      <c r="P198" s="383"/>
      <c r="Q198" s="366">
        <f>база!$L$6</f>
        <v>261.04640000000001</v>
      </c>
      <c r="R198" s="367">
        <v>1.2</v>
      </c>
      <c r="S198" s="468">
        <f>SUMIFS(Таблица1[Столбец1],Таблица1[коэф],"1,2",Таблица1[р/р],"5/16",Таблица1[Ф. И. О.],B198)</f>
        <v>0</v>
      </c>
      <c r="T198" s="469">
        <f t="shared" si="18"/>
        <v>0</v>
      </c>
      <c r="U198" s="387">
        <f>база!$M$6</f>
        <v>279.0496</v>
      </c>
      <c r="V198" s="367">
        <v>1.2</v>
      </c>
      <c r="W198" s="471">
        <f>SUMIFS(Таблица1[Столбец1],Таблица1[коэф],"1,2",Таблица1[р/р],"5/24",Таблица1[Ф. И. О.],B198)</f>
        <v>0</v>
      </c>
      <c r="X198" s="469">
        <f t="shared" si="19"/>
        <v>0</v>
      </c>
      <c r="Y198" s="748"/>
      <c r="Z198" s="750"/>
      <c r="AA198" s="740"/>
      <c r="AC198" s="693" t="str">
        <f>IF(SUMIFS(Таблица1[Столбец3],Таблица1[Ф. И. О.],B198)-Z193=0,"",SUMIFS(Таблица1[Столбец3],Таблица1[Ф. И. О.],B198)-Z193)</f>
        <v/>
      </c>
    </row>
    <row r="199" spans="1:29" ht="18.75">
      <c r="A199" s="740"/>
      <c r="B199" s="201"/>
      <c r="C199" s="743"/>
      <c r="D199" s="746"/>
      <c r="E199" s="366"/>
      <c r="F199" s="367"/>
      <c r="G199" s="377"/>
      <c r="H199" s="369">
        <f t="shared" ref="H199:H511" si="32">ROUND(E199*F199*G199*2,2)</f>
        <v>0</v>
      </c>
      <c r="I199" s="370"/>
      <c r="J199" s="367"/>
      <c r="K199" s="411"/>
      <c r="L199" s="461">
        <f t="shared" ref="L199:L511" si="33">ROUND(I199*J199*K199*2,2)</f>
        <v>0</v>
      </c>
      <c r="M199" s="411"/>
      <c r="N199" s="411"/>
      <c r="O199" s="411"/>
      <c r="P199" s="383"/>
      <c r="Q199" s="366">
        <f>IF(D193&lt;=3,база!$L$4,
IF(D193=4,база!$L$5,
IF(D193=5,база!$L$6)))</f>
        <v>210.57480000000001</v>
      </c>
      <c r="R199" s="367">
        <v>1.3</v>
      </c>
      <c r="S199" s="468">
        <f>SUMIFS(Таблица1[Столбец1],Таблица1[коэф],"1,3",Таблица1[р/р],"3/16",Таблица1[Ф. И. О.],B198)</f>
        <v>0</v>
      </c>
      <c r="T199" s="469">
        <f t="shared" ref="T199:T511" si="34">ROUND(Q199*R199*S199*2,2)</f>
        <v>0</v>
      </c>
      <c r="U199" s="387">
        <f>IF(D193&lt;=3,база!$M$4,
IF(D193=4,база!$M$5,
IF(D193=5,база!$M$6)))</f>
        <v>225.09719999999999</v>
      </c>
      <c r="V199" s="367">
        <v>1.3</v>
      </c>
      <c r="W199" s="471">
        <f>SUMIFS(Таблица1[Столбец1],Таблица1[коэф],"1,3",Таблица1[р/р],"3/24",Таблица1[Ф. И. О.],B198)</f>
        <v>0</v>
      </c>
      <c r="X199" s="469">
        <f t="shared" ref="X199:X511" si="35">ROUND(U199*V199*W199*2,2)</f>
        <v>0</v>
      </c>
      <c r="Y199" s="748"/>
      <c r="Z199" s="750"/>
      <c r="AA199" s="740"/>
      <c r="AC199" s="693" t="str">
        <f>IF(SUMIFS(Таблица1[Столбец1],Таблица1[Ф. И. О.],B198)=Y193,"",B198&amp;"  часы не верны")</f>
        <v/>
      </c>
    </row>
    <row r="200" spans="1:29" ht="18.75">
      <c r="A200" s="740"/>
      <c r="B200" s="201"/>
      <c r="C200" s="743"/>
      <c r="D200" s="746"/>
      <c r="E200" s="366"/>
      <c r="F200" s="367"/>
      <c r="G200" s="377"/>
      <c r="H200" s="369">
        <f t="shared" si="32"/>
        <v>0</v>
      </c>
      <c r="I200" s="370"/>
      <c r="J200" s="367"/>
      <c r="K200" s="411"/>
      <c r="L200" s="461">
        <f t="shared" si="33"/>
        <v>0</v>
      </c>
      <c r="M200" s="411"/>
      <c r="N200" s="411"/>
      <c r="O200" s="411"/>
      <c r="P200" s="383"/>
      <c r="Q200" s="366">
        <f>база!$L$5</f>
        <v>231.45480000000001</v>
      </c>
      <c r="R200" s="367">
        <v>1.3</v>
      </c>
      <c r="S200" s="468">
        <f>SUMIFS(Таблица1[Столбец1],Таблица1[коэф],"1,3",Таблица1[р/р],"4/16",Таблица1[Ф. И. О.],B198)</f>
        <v>0</v>
      </c>
      <c r="T200" s="469">
        <f t="shared" si="34"/>
        <v>0</v>
      </c>
      <c r="U200" s="387">
        <f>база!$M$5</f>
        <v>247.41720000000001</v>
      </c>
      <c r="V200" s="367">
        <v>1.3</v>
      </c>
      <c r="W200" s="471">
        <f>SUMIFS(Таблица1[Столбец1],Таблица1[коэф],"1,3",Таблица1[р/р],"4/24",Таблица1[Ф. И. О.],B198)</f>
        <v>0</v>
      </c>
      <c r="X200" s="469">
        <f t="shared" si="35"/>
        <v>0</v>
      </c>
      <c r="Y200" s="748"/>
      <c r="Z200" s="750"/>
      <c r="AA200" s="740"/>
    </row>
    <row r="201" spans="1:29" ht="18.75">
      <c r="A201" s="740"/>
      <c r="B201" s="201"/>
      <c r="C201" s="743"/>
      <c r="D201" s="746"/>
      <c r="E201" s="366"/>
      <c r="F201" s="367"/>
      <c r="G201" s="377"/>
      <c r="H201" s="369">
        <f t="shared" si="32"/>
        <v>0</v>
      </c>
      <c r="I201" s="370"/>
      <c r="J201" s="367"/>
      <c r="K201" s="411"/>
      <c r="L201" s="461">
        <f t="shared" si="33"/>
        <v>0</v>
      </c>
      <c r="M201" s="411"/>
      <c r="N201" s="411"/>
      <c r="O201" s="411"/>
      <c r="P201" s="383"/>
      <c r="Q201" s="366">
        <f>IF(D193&lt;=3,база!$L$4,
IF(D193=4,база!$L$5,
IF(D193=5,база!$L$6)))</f>
        <v>210.57480000000001</v>
      </c>
      <c r="R201" s="367">
        <v>1.4</v>
      </c>
      <c r="S201" s="468">
        <f>SUMIFS(Таблица1[Столбец1],Таблица1[коэф],"1,4",Таблица1[р/р],"3/16",Таблица1[Ф. И. О.],B198)</f>
        <v>0</v>
      </c>
      <c r="T201" s="469">
        <f t="shared" si="34"/>
        <v>0</v>
      </c>
      <c r="U201" s="387">
        <f>IF(D193&lt;=3,база!$M$4,
IF(D193=4,база!$M$5,
IF(D193=5,база!$M$6)))</f>
        <v>225.09719999999999</v>
      </c>
      <c r="V201" s="367">
        <v>1.4</v>
      </c>
      <c r="W201" s="471">
        <f>SUMIFS(Таблица1[Столбец1],Таблица1[коэф],"1,4",Таблица1[р/р],"3/24",Таблица1[Ф. И. О.],B198)</f>
        <v>0</v>
      </c>
      <c r="X201" s="469">
        <f t="shared" si="35"/>
        <v>0</v>
      </c>
      <c r="Y201" s="748"/>
      <c r="Z201" s="750"/>
      <c r="AA201" s="740"/>
    </row>
    <row r="202" spans="1:29" ht="18.75">
      <c r="A202" s="740"/>
      <c r="B202" s="201"/>
      <c r="C202" s="743"/>
      <c r="D202" s="746"/>
      <c r="E202" s="366"/>
      <c r="F202" s="367"/>
      <c r="G202" s="377"/>
      <c r="H202" s="369">
        <f t="shared" si="32"/>
        <v>0</v>
      </c>
      <c r="I202" s="370"/>
      <c r="J202" s="367"/>
      <c r="K202" s="411"/>
      <c r="L202" s="461">
        <f t="shared" si="33"/>
        <v>0</v>
      </c>
      <c r="M202" s="411"/>
      <c r="N202" s="411"/>
      <c r="O202" s="411"/>
      <c r="P202" s="383"/>
      <c r="Q202" s="366">
        <f>база!$L$5</f>
        <v>231.45480000000001</v>
      </c>
      <c r="R202" s="367">
        <v>1.4</v>
      </c>
      <c r="S202" s="468">
        <f>SUMIFS(Таблица1[Столбец1],Таблица1[коэф],"1,4",Таблица1[р/р],"4/16",Таблица1[Ф. И. О.],B198)</f>
        <v>0</v>
      </c>
      <c r="T202" s="469">
        <f t="shared" si="34"/>
        <v>0</v>
      </c>
      <c r="U202" s="387">
        <f>база!$M$5</f>
        <v>247.41720000000001</v>
      </c>
      <c r="V202" s="367">
        <v>1.4</v>
      </c>
      <c r="W202" s="471">
        <f>SUMIFS(Таблица1[Столбец1],Таблица1[коэф],"1,4",Таблица1[р/р],"4/24",Таблица1[Ф. И. О.],B198)</f>
        <v>0</v>
      </c>
      <c r="X202" s="469">
        <f t="shared" si="35"/>
        <v>0</v>
      </c>
      <c r="Y202" s="748"/>
      <c r="Z202" s="750"/>
      <c r="AA202" s="740"/>
    </row>
    <row r="203" spans="1:29" ht="19.5" thickBot="1">
      <c r="A203" s="741"/>
      <c r="B203" s="188"/>
      <c r="C203" s="744"/>
      <c r="D203" s="747"/>
      <c r="E203" s="450"/>
      <c r="F203" s="441"/>
      <c r="G203" s="442"/>
      <c r="H203" s="445">
        <f t="shared" si="32"/>
        <v>0</v>
      </c>
      <c r="I203" s="440"/>
      <c r="J203" s="441"/>
      <c r="K203" s="434"/>
      <c r="L203" s="461">
        <f t="shared" si="33"/>
        <v>0</v>
      </c>
      <c r="M203" s="434"/>
      <c r="N203" s="434"/>
      <c r="O203" s="434"/>
      <c r="P203" s="453"/>
      <c r="Q203" s="450">
        <f>база!$L$6</f>
        <v>261.04640000000001</v>
      </c>
      <c r="R203" s="441">
        <v>1.4</v>
      </c>
      <c r="S203" s="489">
        <f>SUMIFS(Таблица1[Столбец1],Таблица1[коэф],"1,4",Таблица1[р/р],"5/16",Таблица1[Ф. И. О.],B198)</f>
        <v>0</v>
      </c>
      <c r="T203" s="469">
        <f t="shared" si="34"/>
        <v>0</v>
      </c>
      <c r="U203" s="446">
        <f>база!$M$6</f>
        <v>279.0496</v>
      </c>
      <c r="V203" s="441">
        <v>1.4</v>
      </c>
      <c r="W203" s="478">
        <f>SUMIFS(Таблица1[Столбец1],Таблица1[коэф],"1,4",Таблица1[р/р],"5/24",Таблица1[Ф. И. О.],B198)</f>
        <v>0</v>
      </c>
      <c r="X203" s="469">
        <f t="shared" si="35"/>
        <v>0</v>
      </c>
      <c r="Y203" s="749"/>
      <c r="Z203" s="751"/>
      <c r="AA203" s="741"/>
    </row>
    <row r="204" spans="1:29" ht="18.75">
      <c r="A204" s="739">
        <v>18</v>
      </c>
      <c r="B204" s="219"/>
      <c r="C204" s="742">
        <f>INDEX(база!$E$2:$E$81, MATCH(B209,база!$B$2:$B$50,0))</f>
        <v>15590</v>
      </c>
      <c r="D204" s="745">
        <f>INDEX(база!$D$2:$D$89, MATCH(B209,база!$B$2:$B$50,0))</f>
        <v>3</v>
      </c>
      <c r="E204" s="428">
        <f>IF(D204&lt;=3,база!$I$4,
IF(D204=4,база!$I$5,
IF(D204=5,база!$I$6)))</f>
        <v>188.7912</v>
      </c>
      <c r="F204" s="394">
        <v>1</v>
      </c>
      <c r="G204" s="395">
        <f>SUMIFS(Таблица1[Столбец1],Таблица1[коэф],"1",Таблица1[р/р],"2/4",Таблица1[Ф. И. О.],B209)</f>
        <v>0</v>
      </c>
      <c r="H204" s="379">
        <f t="shared" si="32"/>
        <v>0</v>
      </c>
      <c r="I204" s="354">
        <f>IF(D204&lt;=3,база!$J$4,
IF(D204=4,база!$J$5,
IF(D204=5,база!$J$6)))</f>
        <v>196.05240000000001</v>
      </c>
      <c r="J204" s="355">
        <v>1</v>
      </c>
      <c r="K204" s="405">
        <f>SUMIFS(Таблица1[Столбец1],Таблица1[коэф],"1",Таблица1[р/р],"2/8",Таблица1[Ф. И. О.],B209)</f>
        <v>0</v>
      </c>
      <c r="L204" s="360">
        <f t="shared" si="33"/>
        <v>0</v>
      </c>
      <c r="M204" s="429"/>
      <c r="N204" s="430">
        <v>1</v>
      </c>
      <c r="O204" s="430">
        <f>SUMIFS(Data_Tech!$AM$3:$AM$67,Data_Tech!$E$3:$E$67,"1",Data_Tech!$G$3:$G$67,"3/12",Data_Tech!$F$3:$F$67,B209)</f>
        <v>0</v>
      </c>
      <c r="P204" s="430">
        <f>ROUND(M204*N204*O204,2)</f>
        <v>0</v>
      </c>
      <c r="Q204" s="393">
        <f>IF(D204&lt;=3,база!$L$4,
IF(D204=4,база!$L$5,
IF(D204=5,база!$L$6)))</f>
        <v>210.57480000000001</v>
      </c>
      <c r="R204" s="394">
        <v>1</v>
      </c>
      <c r="S204" s="472">
        <f>SUMIFS(Таблица1[Столбец1],Таблица1[коэф],"1",Таблица1[р/р],"3/16",Таблица1[Ф. И. О.],B209)</f>
        <v>0</v>
      </c>
      <c r="T204" s="467">
        <f t="shared" si="34"/>
        <v>0</v>
      </c>
      <c r="U204" s="448">
        <f>IF(D204&lt;=3,база!$M$4,
IF(D204=4,база!$M$5,
IF(D204=5,база!$M$6)))</f>
        <v>225.09719999999999</v>
      </c>
      <c r="V204" s="355">
        <v>1</v>
      </c>
      <c r="W204" s="474">
        <f>SUMIFS(Таблица1[Столбец1],Таблица1[коэф],"1",Таблица1[р/р],"3/24",Таблица1[Ф. И. О.],B209)</f>
        <v>0</v>
      </c>
      <c r="X204" s="467">
        <f t="shared" si="35"/>
        <v>0</v>
      </c>
      <c r="Y204" s="748">
        <f t="shared" ref="Y204" si="36">SUM(G204:G214,K204:K214,O204:O214,S204:S214,W204:W214)</f>
        <v>0</v>
      </c>
      <c r="Z204" s="750">
        <f t="shared" ref="Z204" si="37">IFERROR(SUM(H204:H214,L204:L214,T204:T214,X204:X214),"")</f>
        <v>0</v>
      </c>
      <c r="AA204" s="740"/>
    </row>
    <row r="205" spans="1:29" ht="18.75">
      <c r="A205" s="740"/>
      <c r="B205" s="201"/>
      <c r="C205" s="743"/>
      <c r="D205" s="746"/>
      <c r="E205" s="370">
        <f>IF(D204&lt;=3,база!$I$4,
IF(D204=4,база!$I$5,
IF(D204=5,база!$I$6)))</f>
        <v>188.7912</v>
      </c>
      <c r="F205" s="367">
        <v>1</v>
      </c>
      <c r="G205" s="377">
        <f>SUMIFS(Таблица1[Столбец1],Таблица1[коэф],"1",Таблица1[р/р],"3/4",Таблица1[Ф. И. О.],B209)</f>
        <v>0</v>
      </c>
      <c r="H205" s="369">
        <f t="shared" si="32"/>
        <v>0</v>
      </c>
      <c r="I205" s="366">
        <f>IF(D204&lt;=3,база!$J$4,
IF(D204=4,база!$J$5,
IF(D204=5,база!$J$6)))</f>
        <v>196.05240000000001</v>
      </c>
      <c r="J205" s="367">
        <v>1</v>
      </c>
      <c r="K205" s="411">
        <f>SUMIFS(Таблица1[Столбец1],Таблица1[коэф],"1",Таблица1[р/р],"3/8",Таблица1[Ф. И. О.],B209)</f>
        <v>0</v>
      </c>
      <c r="L205" s="461">
        <f t="shared" si="33"/>
        <v>0</v>
      </c>
      <c r="M205" s="409"/>
      <c r="N205" s="411">
        <v>1</v>
      </c>
      <c r="O205" s="411">
        <f>SUMIFS(Data_Tech!$AM$3:$AM$67,Data_Tech!$E$3:$E$67,"1",Data_Tech!$G$3:$G$67,"4/12",Data_Tech!$F$3:$F$67,B209)</f>
        <v>0</v>
      </c>
      <c r="P205" s="411">
        <f>ROUND(M205*O205,2)</f>
        <v>0</v>
      </c>
      <c r="Q205" s="376">
        <f>база!$L$5</f>
        <v>231.45480000000001</v>
      </c>
      <c r="R205" s="367">
        <v>1</v>
      </c>
      <c r="S205" s="468">
        <f>SUMIFS(Таблица1[Столбец1],Таблица1[коэф],"1",Таблица1[р/р],"4/16",Таблица1[Ф. И. О.],B209)</f>
        <v>0</v>
      </c>
      <c r="T205" s="469">
        <f t="shared" si="34"/>
        <v>0</v>
      </c>
      <c r="U205" s="449">
        <f>база!$M$5</f>
        <v>247.41720000000001</v>
      </c>
      <c r="V205" s="367">
        <v>1</v>
      </c>
      <c r="W205" s="471">
        <f>SUMIFS(Таблица1[Столбец1],Таблица1[коэф],"1",Таблица1[р/р],"4/24",Таблица1[Ф. И. О.],B209)</f>
        <v>0</v>
      </c>
      <c r="X205" s="469">
        <f t="shared" si="35"/>
        <v>0</v>
      </c>
      <c r="Y205" s="748"/>
      <c r="Z205" s="750"/>
      <c r="AA205" s="740"/>
    </row>
    <row r="206" spans="1:29" ht="18.75">
      <c r="A206" s="740"/>
      <c r="B206" s="201"/>
      <c r="C206" s="743"/>
      <c r="D206" s="746"/>
      <c r="E206" s="370"/>
      <c r="F206" s="367"/>
      <c r="G206" s="377"/>
      <c r="H206" s="369">
        <f t="shared" si="32"/>
        <v>0</v>
      </c>
      <c r="I206" s="366"/>
      <c r="J206" s="367"/>
      <c r="K206" s="411"/>
      <c r="L206" s="461">
        <f t="shared" si="33"/>
        <v>0</v>
      </c>
      <c r="M206" s="409"/>
      <c r="N206" s="411"/>
      <c r="O206" s="411"/>
      <c r="P206" s="411"/>
      <c r="Q206" s="376">
        <f>база!$L$6</f>
        <v>261.04640000000001</v>
      </c>
      <c r="R206" s="367">
        <v>1</v>
      </c>
      <c r="S206" s="468">
        <f>SUMIFS(Таблица1[Столбец1],Таблица1[коэф],"1",Таблица1[р/р],"5/16",Таблица1[Ф. И. О.],B209)</f>
        <v>0</v>
      </c>
      <c r="T206" s="469">
        <f t="shared" si="34"/>
        <v>0</v>
      </c>
      <c r="U206" s="449">
        <f>база!$M$6</f>
        <v>279.0496</v>
      </c>
      <c r="V206" s="367">
        <v>1</v>
      </c>
      <c r="W206" s="471">
        <f>SUMIFS(Таблица1[Столбец1],Таблица1[коэф],"1",Таблица1[р/р],"5/24",Таблица1[Ф. И. О.],B209)</f>
        <v>0</v>
      </c>
      <c r="X206" s="469">
        <f t="shared" si="35"/>
        <v>0</v>
      </c>
      <c r="Y206" s="748"/>
      <c r="Z206" s="750"/>
      <c r="AA206" s="740"/>
    </row>
    <row r="207" spans="1:29" ht="18.75">
      <c r="A207" s="740"/>
      <c r="B207" s="201"/>
      <c r="C207" s="743"/>
      <c r="D207" s="746"/>
      <c r="E207" s="370"/>
      <c r="F207" s="367"/>
      <c r="G207" s="377"/>
      <c r="H207" s="369">
        <f t="shared" si="32"/>
        <v>0</v>
      </c>
      <c r="I207" s="366">
        <f>база!$J$5</f>
        <v>215.4924</v>
      </c>
      <c r="J207" s="367">
        <v>1.5</v>
      </c>
      <c r="K207" s="411">
        <f>SUMIFS(Таблица1[Столбец1],Таблица1[коэф],"1,5",Таблица1[р/р],"4/8",Таблица1[Ф. И. О.],B209)</f>
        <v>0</v>
      </c>
      <c r="L207" s="461">
        <f t="shared" si="33"/>
        <v>0</v>
      </c>
      <c r="M207" s="409"/>
      <c r="N207" s="411"/>
      <c r="O207" s="411"/>
      <c r="P207" s="411"/>
      <c r="Q207" s="376">
        <f>IF(D204&lt;=3,база!$L$4,
IF(D204=4,база!$L$5,
IF(D204=5,база!$L$6)))</f>
        <v>210.57480000000001</v>
      </c>
      <c r="R207" s="367">
        <v>1.2</v>
      </c>
      <c r="S207" s="468">
        <f>SUMIFS(Таблица1[Столбец1],Таблица1[коэф],"1,2",Таблица1[р/р],"3/16",Таблица1[Ф. И. О.],B209)</f>
        <v>0</v>
      </c>
      <c r="T207" s="469">
        <f t="shared" si="34"/>
        <v>0</v>
      </c>
      <c r="U207" s="449">
        <f>IF(D204&lt;=3,база!$M$4,
IF(D204=4,база!$M$5,
IF(D204=5,база!$M$6)))</f>
        <v>225.09719999999999</v>
      </c>
      <c r="V207" s="367">
        <v>1.2</v>
      </c>
      <c r="W207" s="471">
        <f>SUMIFS(Таблица1[Столбец1],Таблица1[коэф],"1,2",Таблица1[р/р],"3/24",Таблица1[Ф. И. О.],B209)</f>
        <v>0</v>
      </c>
      <c r="X207" s="469">
        <f t="shared" si="35"/>
        <v>0</v>
      </c>
      <c r="Y207" s="748"/>
      <c r="Z207" s="750"/>
      <c r="AA207" s="740"/>
    </row>
    <row r="208" spans="1:29" ht="18.75">
      <c r="A208" s="740"/>
      <c r="B208" s="201"/>
      <c r="C208" s="743"/>
      <c r="D208" s="746"/>
      <c r="E208" s="370"/>
      <c r="F208" s="367"/>
      <c r="G208" s="377"/>
      <c r="H208" s="369">
        <f t="shared" si="32"/>
        <v>0</v>
      </c>
      <c r="I208" s="366">
        <f>база!$J$6</f>
        <v>243.04319999999998</v>
      </c>
      <c r="J208" s="367">
        <v>1.5</v>
      </c>
      <c r="K208" s="411">
        <f>SUMIFS(Таблица1[Столбец1],Таблица1[коэф],"1,5",Таблица1[р/р],"5/8",Таблица1[Ф. И. О.],B209)</f>
        <v>0</v>
      </c>
      <c r="L208" s="461">
        <f t="shared" si="33"/>
        <v>0</v>
      </c>
      <c r="M208" s="409"/>
      <c r="N208" s="411"/>
      <c r="O208" s="411"/>
      <c r="P208" s="411"/>
      <c r="Q208" s="376">
        <f>база!$L$5</f>
        <v>231.45480000000001</v>
      </c>
      <c r="R208" s="367">
        <v>1.2</v>
      </c>
      <c r="S208" s="468">
        <f>SUMIFS(Таблица1[Столбец1],Таблица1[коэф],"1,2",Таблица1[р/р],"4/16",Таблица1[Ф. И. О.],B209)</f>
        <v>0</v>
      </c>
      <c r="T208" s="469">
        <f t="shared" si="34"/>
        <v>0</v>
      </c>
      <c r="U208" s="449">
        <f>база!$M$5</f>
        <v>247.41720000000001</v>
      </c>
      <c r="V208" s="367">
        <v>1.2</v>
      </c>
      <c r="W208" s="471">
        <f>SUMIFS(Таблица1[Столбец1],Таблица1[коэф],"1,2",Таблица1[р/р],"4/24",Таблица1[Ф. И. О.],B209)</f>
        <v>0</v>
      </c>
      <c r="X208" s="469">
        <f t="shared" si="35"/>
        <v>0</v>
      </c>
      <c r="Y208" s="748"/>
      <c r="Z208" s="750"/>
      <c r="AA208" s="740"/>
    </row>
    <row r="209" spans="1:29" ht="18" customHeight="1">
      <c r="A209" s="740"/>
      <c r="B209" s="201" t="str">
        <f>база!B20</f>
        <v>Егорова Татьяна Владимировна</v>
      </c>
      <c r="C209" s="743"/>
      <c r="D209" s="746"/>
      <c r="E209" s="370"/>
      <c r="F209" s="367"/>
      <c r="G209" s="377"/>
      <c r="H209" s="369">
        <f t="shared" si="32"/>
        <v>0</v>
      </c>
      <c r="I209" s="366"/>
      <c r="J209" s="367"/>
      <c r="K209" s="411"/>
      <c r="L209" s="461">
        <f t="shared" si="33"/>
        <v>0</v>
      </c>
      <c r="M209" s="409"/>
      <c r="N209" s="411"/>
      <c r="O209" s="411"/>
      <c r="P209" s="411"/>
      <c r="Q209" s="376">
        <f>база!$L$6</f>
        <v>261.04640000000001</v>
      </c>
      <c r="R209" s="367">
        <v>1.2</v>
      </c>
      <c r="S209" s="468">
        <f>SUMIFS(Таблица1[Столбец1],Таблица1[коэф],"1,2",Таблица1[р/р],"5/16",Таблица1[Ф. И. О.],B209)</f>
        <v>0</v>
      </c>
      <c r="T209" s="469">
        <f t="shared" si="34"/>
        <v>0</v>
      </c>
      <c r="U209" s="449">
        <f>база!$M$6</f>
        <v>279.0496</v>
      </c>
      <c r="V209" s="367">
        <v>1.2</v>
      </c>
      <c r="W209" s="471">
        <f>SUMIFS(Таблица1[Столбец1],Таблица1[коэф],"1,2",Таблица1[р/р],"5/24",Таблица1[Ф. И. О.],B209)</f>
        <v>0</v>
      </c>
      <c r="X209" s="469">
        <f t="shared" si="35"/>
        <v>0</v>
      </c>
      <c r="Y209" s="748"/>
      <c r="Z209" s="750"/>
      <c r="AA209" s="740"/>
      <c r="AC209" s="693" t="str">
        <f>IF(SUMIFS(Таблица1[Столбец3],Таблица1[Ф. И. О.],B209)-Z204=0,"",SUMIFS(Таблица1[Столбец3],Таблица1[Ф. И. О.],B209)-Z204)</f>
        <v/>
      </c>
    </row>
    <row r="210" spans="1:29" ht="18.75">
      <c r="A210" s="740"/>
      <c r="B210" s="201"/>
      <c r="C210" s="743"/>
      <c r="D210" s="746"/>
      <c r="E210" s="370"/>
      <c r="F210" s="367"/>
      <c r="G210" s="377"/>
      <c r="H210" s="369">
        <f t="shared" si="32"/>
        <v>0</v>
      </c>
      <c r="I210" s="366"/>
      <c r="J210" s="367"/>
      <c r="K210" s="411"/>
      <c r="L210" s="461">
        <f t="shared" si="33"/>
        <v>0</v>
      </c>
      <c r="M210" s="409"/>
      <c r="N210" s="411"/>
      <c r="O210" s="411"/>
      <c r="P210" s="411"/>
      <c r="Q210" s="376">
        <f>IF(D204&lt;=3,база!$L$4,
IF(D204=4,база!$L$5,
IF(D204=5,база!$L$6)))</f>
        <v>210.57480000000001</v>
      </c>
      <c r="R210" s="367">
        <v>1.3</v>
      </c>
      <c r="S210" s="468">
        <f>SUMIFS(Таблица1[Столбец1],Таблица1[коэф],"1,3",Таблица1[р/р],"3/16",Таблица1[Ф. И. О.],B209)</f>
        <v>0</v>
      </c>
      <c r="T210" s="469">
        <f t="shared" si="34"/>
        <v>0</v>
      </c>
      <c r="U210" s="449">
        <f>IF(D204&lt;=3,база!$M$4,
IF(D204=4,база!$M$5,
IF(D204=5,база!$M$6)))</f>
        <v>225.09719999999999</v>
      </c>
      <c r="V210" s="367">
        <v>1.3</v>
      </c>
      <c r="W210" s="471">
        <f>SUMIFS(Таблица1[Столбец1],Таблица1[коэф],"1,3",Таблица1[р/р],"3/24",Таблица1[Ф. И. О.],B209)</f>
        <v>0</v>
      </c>
      <c r="X210" s="469">
        <f t="shared" si="35"/>
        <v>0</v>
      </c>
      <c r="Y210" s="748"/>
      <c r="Z210" s="750"/>
      <c r="AA210" s="740"/>
      <c r="AC210" s="693" t="str">
        <f>IF(SUMIFS(Таблица1[Столбец1],Таблица1[Ф. И. О.],B209)=Y204,"",B209&amp;"  часы не верны")</f>
        <v/>
      </c>
    </row>
    <row r="211" spans="1:29" ht="18.75">
      <c r="A211" s="740"/>
      <c r="B211" s="201"/>
      <c r="C211" s="743"/>
      <c r="D211" s="746"/>
      <c r="E211" s="370"/>
      <c r="F211" s="367"/>
      <c r="G211" s="377"/>
      <c r="H211" s="369">
        <f t="shared" si="32"/>
        <v>0</v>
      </c>
      <c r="I211" s="366"/>
      <c r="J211" s="367"/>
      <c r="K211" s="411"/>
      <c r="L211" s="461">
        <f t="shared" si="33"/>
        <v>0</v>
      </c>
      <c r="M211" s="409"/>
      <c r="N211" s="411"/>
      <c r="O211" s="411"/>
      <c r="P211" s="411"/>
      <c r="Q211" s="376">
        <f>база!$L$5</f>
        <v>231.45480000000001</v>
      </c>
      <c r="R211" s="367">
        <v>1.3</v>
      </c>
      <c r="S211" s="468">
        <f>SUMIFS(Таблица1[Столбец1],Таблица1[коэф],"1,3",Таблица1[р/р],"4/16",Таблица1[Ф. И. О.],B209)</f>
        <v>0</v>
      </c>
      <c r="T211" s="469">
        <f t="shared" si="34"/>
        <v>0</v>
      </c>
      <c r="U211" s="449">
        <f>база!$M$5</f>
        <v>247.41720000000001</v>
      </c>
      <c r="V211" s="367">
        <v>1.3</v>
      </c>
      <c r="W211" s="471">
        <f>SUMIFS(Таблица1[Столбец1],Таблица1[коэф],"1,3",Таблица1[р/р],"4/24",Таблица1[Ф. И. О.],B209)</f>
        <v>0</v>
      </c>
      <c r="X211" s="469">
        <f t="shared" si="35"/>
        <v>0</v>
      </c>
      <c r="Y211" s="748"/>
      <c r="Z211" s="750"/>
      <c r="AA211" s="740"/>
    </row>
    <row r="212" spans="1:29" ht="18.75">
      <c r="A212" s="740"/>
      <c r="B212" s="201"/>
      <c r="C212" s="743"/>
      <c r="D212" s="746"/>
      <c r="E212" s="370"/>
      <c r="F212" s="367"/>
      <c r="G212" s="377"/>
      <c r="H212" s="369">
        <f t="shared" si="32"/>
        <v>0</v>
      </c>
      <c r="I212" s="366"/>
      <c r="J212" s="367"/>
      <c r="K212" s="411"/>
      <c r="L212" s="461">
        <f t="shared" si="33"/>
        <v>0</v>
      </c>
      <c r="M212" s="409"/>
      <c r="N212" s="411"/>
      <c r="O212" s="411"/>
      <c r="P212" s="411"/>
      <c r="Q212" s="376">
        <f>IF(D204&lt;=3,база!$L$4,
IF(D204=4,база!$L$5,
IF(D204=5,база!$L$6)))</f>
        <v>210.57480000000001</v>
      </c>
      <c r="R212" s="367">
        <v>1.4</v>
      </c>
      <c r="S212" s="468">
        <f>SUMIFS(Таблица1[Столбец1],Таблица1[коэф],"1,4",Таблица1[р/р],"3/16",Таблица1[Ф. И. О.],B209)</f>
        <v>0</v>
      </c>
      <c r="T212" s="469">
        <f t="shared" si="34"/>
        <v>0</v>
      </c>
      <c r="U212" s="449">
        <f>IF(D204&lt;=3,база!$M$4,
IF(D204=4,база!$M$5,
IF(D204=5,база!$M$6)))</f>
        <v>225.09719999999999</v>
      </c>
      <c r="V212" s="367">
        <v>1.4</v>
      </c>
      <c r="W212" s="471">
        <f>SUMIFS(Таблица1[Столбец1],Таблица1[коэф],"1,4",Таблица1[р/р],"3/24",Таблица1[Ф. И. О.],B209)</f>
        <v>0</v>
      </c>
      <c r="X212" s="469">
        <f t="shared" si="35"/>
        <v>0</v>
      </c>
      <c r="Y212" s="748"/>
      <c r="Z212" s="750"/>
      <c r="AA212" s="740"/>
    </row>
    <row r="213" spans="1:29" ht="18.75">
      <c r="A213" s="740"/>
      <c r="B213" s="201"/>
      <c r="C213" s="743"/>
      <c r="D213" s="746"/>
      <c r="E213" s="370"/>
      <c r="F213" s="367"/>
      <c r="G213" s="377"/>
      <c r="H213" s="369">
        <f t="shared" si="32"/>
        <v>0</v>
      </c>
      <c r="I213" s="366"/>
      <c r="J213" s="367"/>
      <c r="K213" s="411"/>
      <c r="L213" s="372">
        <f t="shared" si="33"/>
        <v>0</v>
      </c>
      <c r="M213" s="409"/>
      <c r="N213" s="411"/>
      <c r="O213" s="411"/>
      <c r="P213" s="411"/>
      <c r="Q213" s="376">
        <f>база!$L$5</f>
        <v>231.45480000000001</v>
      </c>
      <c r="R213" s="367">
        <v>1.4</v>
      </c>
      <c r="S213" s="468">
        <f>SUMIFS(Таблица1[Столбец1],Таблица1[коэф],"1,4",Таблица1[р/р],"4/16",Таблица1[Ф. И. О.],B209)</f>
        <v>0</v>
      </c>
      <c r="T213" s="469">
        <f t="shared" si="34"/>
        <v>0</v>
      </c>
      <c r="U213" s="449">
        <f>база!$M$5</f>
        <v>247.41720000000001</v>
      </c>
      <c r="V213" s="367">
        <v>1.4</v>
      </c>
      <c r="W213" s="471">
        <f>SUMIFS(Таблица1[Столбец1],Таблица1[коэф],"1,4",Таблица1[р/р],"4/24",Таблица1[Ф. И. О.],B209)</f>
        <v>0</v>
      </c>
      <c r="X213" s="469">
        <f t="shared" si="35"/>
        <v>0</v>
      </c>
      <c r="Y213" s="748"/>
      <c r="Z213" s="750"/>
      <c r="AA213" s="740"/>
    </row>
    <row r="214" spans="1:29" ht="19.5" thickBot="1">
      <c r="A214" s="741"/>
      <c r="B214" s="188"/>
      <c r="C214" s="744"/>
      <c r="D214" s="747"/>
      <c r="E214" s="440"/>
      <c r="F214" s="441"/>
      <c r="G214" s="442"/>
      <c r="H214" s="445">
        <f t="shared" si="32"/>
        <v>0</v>
      </c>
      <c r="I214" s="450"/>
      <c r="J214" s="441"/>
      <c r="K214" s="434"/>
      <c r="L214" s="461">
        <f t="shared" si="33"/>
        <v>0</v>
      </c>
      <c r="M214" s="443"/>
      <c r="N214" s="434"/>
      <c r="O214" s="434"/>
      <c r="P214" s="434"/>
      <c r="Q214" s="444">
        <f>база!$L$6</f>
        <v>261.04640000000001</v>
      </c>
      <c r="R214" s="441">
        <v>1.4</v>
      </c>
      <c r="S214" s="489">
        <f>SUMIFS(Таблица1[Столбец1],Таблица1[коэф],"1,4",Таблица1[р/р],"5/16",Таблица1[Ф. И. О.],B209)</f>
        <v>0</v>
      </c>
      <c r="T214" s="469">
        <f t="shared" si="34"/>
        <v>0</v>
      </c>
      <c r="U214" s="451">
        <f>база!$M$6</f>
        <v>279.0496</v>
      </c>
      <c r="V214" s="441">
        <v>1.4</v>
      </c>
      <c r="W214" s="478">
        <f>SUMIFS(Таблица1[Столбец1],Таблица1[коэф],"1,4",Таблица1[р/р],"5/24",Таблица1[Ф. И. О.],B209)</f>
        <v>0</v>
      </c>
      <c r="X214" s="469">
        <f t="shared" si="35"/>
        <v>0</v>
      </c>
      <c r="Y214" s="749"/>
      <c r="Z214" s="751"/>
      <c r="AA214" s="741"/>
    </row>
    <row r="215" spans="1:29" ht="18.75">
      <c r="A215" s="739">
        <v>20</v>
      </c>
      <c r="B215" s="201"/>
      <c r="C215" s="742">
        <f>INDEX(база!$E$2:$E$81, MATCH(B220,база!$B$2:$B$50,0))</f>
        <v>16771</v>
      </c>
      <c r="D215" s="745">
        <f>INDEX(база!$D$2:$D$89, MATCH(B220,база!$B$2:$B$50,0))</f>
        <v>3</v>
      </c>
      <c r="E215" s="428">
        <f>IF(D215&lt;=3,база!$I$4,
IF(D215=4,база!$I$5,
IF(D215=5,база!$I$6)))</f>
        <v>188.7912</v>
      </c>
      <c r="F215" s="394">
        <v>1</v>
      </c>
      <c r="G215" s="395">
        <f>SUMIFS(Таблица1[Столбец1],Таблица1[коэф],"1",Таблица1[р/р],"2/4",Таблица1[Ф. И. О.],B220)</f>
        <v>0</v>
      </c>
      <c r="H215" s="379">
        <f t="shared" si="32"/>
        <v>0</v>
      </c>
      <c r="I215" s="458">
        <f>IF(D215&lt;=3,база!$J$4,
IF(D215=4,база!$J$5,
IF(D215=5,база!$J$6)))</f>
        <v>196.05240000000001</v>
      </c>
      <c r="J215" s="394">
        <v>1</v>
      </c>
      <c r="K215" s="430">
        <f>SUMIFS(Таблица1[Столбец1],Таблица1[коэф],"1",Таблица1[р/р],"2/8",Таблица1[Ф. И. О.],B220)</f>
        <v>0</v>
      </c>
      <c r="L215" s="360">
        <f t="shared" si="33"/>
        <v>0</v>
      </c>
      <c r="M215" s="429"/>
      <c r="N215" s="430">
        <v>1</v>
      </c>
      <c r="O215" s="430">
        <f>SUMIFS(Data_Tech!$AM$3:$AM$67,Data_Tech!$E$3:$E$67,"1",Data_Tech!$G$3:$G$67,"3/12",Data_Tech!$F$3:$F$67,B220)</f>
        <v>0</v>
      </c>
      <c r="P215" s="430">
        <f>ROUND(M215*N215*O215,2)</f>
        <v>0</v>
      </c>
      <c r="Q215" s="393">
        <f>IF(D215&lt;=3,база!$L$4,
IF(D215=4,база!$L$5,
IF(D215=5,база!$L$6)))</f>
        <v>210.57480000000001</v>
      </c>
      <c r="R215" s="394">
        <v>1</v>
      </c>
      <c r="S215" s="472">
        <f>SUMIFS(Таблица1[Столбец1],Таблица1[коэф],"1",Таблица1[р/р],"3/16",Таблица1[Ф. И. О.],B220)</f>
        <v>0</v>
      </c>
      <c r="T215" s="467">
        <f t="shared" si="34"/>
        <v>0</v>
      </c>
      <c r="U215" s="462">
        <f>IF(D215&lt;=3,база!$M$4,
IF(D215=4,база!$M$5,
IF(D215=5,база!$M$6)))</f>
        <v>225.09719999999999</v>
      </c>
      <c r="V215" s="394">
        <v>1</v>
      </c>
      <c r="W215" s="477">
        <f>SUMIFS(Таблица1[Столбец1],Таблица1[коэф],"1",Таблица1[р/р],"3/24",Таблица1[Ф. И. О.],B220)</f>
        <v>0</v>
      </c>
      <c r="X215" s="467">
        <f t="shared" si="35"/>
        <v>0</v>
      </c>
      <c r="Y215" s="748">
        <f t="shared" ref="Y215" si="38">SUM(G215:G225,K215:K225,O215:O225,S215:S225,W215:W225)</f>
        <v>0</v>
      </c>
      <c r="Z215" s="750">
        <f t="shared" ref="Z215" si="39">IFERROR(SUM(H215:H225,L215:L225,T215:T225,X215:X225),"")</f>
        <v>0</v>
      </c>
      <c r="AA215" s="740"/>
    </row>
    <row r="216" spans="1:29" ht="18.75">
      <c r="A216" s="740"/>
      <c r="B216" s="201"/>
      <c r="C216" s="743"/>
      <c r="D216" s="746"/>
      <c r="E216" s="370">
        <f>IF(D215&lt;=3,база!$I$4,
IF(D215=4,база!$I$5,
IF(D215=5,база!$I$6)))</f>
        <v>188.7912</v>
      </c>
      <c r="F216" s="367">
        <v>1</v>
      </c>
      <c r="G216" s="377">
        <f>SUMIFS(Таблица1[Столбец1],Таблица1[коэф],"1",Таблица1[р/р],"3/4",Таблица1[Ф. И. О.],B220)</f>
        <v>0</v>
      </c>
      <c r="H216" s="369">
        <f t="shared" si="32"/>
        <v>0</v>
      </c>
      <c r="I216" s="366">
        <f>IF(D215&lt;=3,база!$J$4,
IF(D215=4,база!$J$5,
IF(D215=5,база!$J$6)))</f>
        <v>196.05240000000001</v>
      </c>
      <c r="J216" s="367">
        <v>1</v>
      </c>
      <c r="K216" s="411">
        <f>SUMIFS(Таблица1[Столбец1],Таблица1[коэф],"1",Таблица1[р/р],"3/8",Таблица1[Ф. И. О.],B220)</f>
        <v>0</v>
      </c>
      <c r="L216" s="461">
        <f t="shared" si="33"/>
        <v>0</v>
      </c>
      <c r="M216" s="409"/>
      <c r="N216" s="411">
        <v>1</v>
      </c>
      <c r="O216" s="411">
        <f>SUMIFS(Data_Tech!$AM$3:$AM$67,Data_Tech!$E$3:$E$67,"1",Data_Tech!$G$3:$G$67,"4/12",Data_Tech!$F$3:$F$67,B220)</f>
        <v>0</v>
      </c>
      <c r="P216" s="411">
        <f>ROUND(M216*O216,2)</f>
        <v>0</v>
      </c>
      <c r="Q216" s="376">
        <f>база!$L$5</f>
        <v>231.45480000000001</v>
      </c>
      <c r="R216" s="367">
        <v>1</v>
      </c>
      <c r="S216" s="468">
        <f>SUMIFS(Таблица1[Столбец1],Таблица1[коэф],"1",Таблица1[р/р],"4/16",Таблица1[Ф. И. О.],B220)</f>
        <v>0</v>
      </c>
      <c r="T216" s="469">
        <f t="shared" si="34"/>
        <v>0</v>
      </c>
      <c r="U216" s="449">
        <f>база!$M$5</f>
        <v>247.41720000000001</v>
      </c>
      <c r="V216" s="367">
        <v>1</v>
      </c>
      <c r="W216" s="471">
        <f>SUMIFS(Таблица1[Столбец1],Таблица1[коэф],"1",Таблица1[р/р],"4/24",Таблица1[Ф. И. О.],B220)</f>
        <v>0</v>
      </c>
      <c r="X216" s="469">
        <f t="shared" si="35"/>
        <v>0</v>
      </c>
      <c r="Y216" s="748"/>
      <c r="Z216" s="750"/>
      <c r="AA216" s="740"/>
    </row>
    <row r="217" spans="1:29" ht="18.75">
      <c r="A217" s="740"/>
      <c r="B217" s="201"/>
      <c r="C217" s="743"/>
      <c r="D217" s="746"/>
      <c r="E217" s="370"/>
      <c r="F217" s="367"/>
      <c r="G217" s="377"/>
      <c r="H217" s="369">
        <f t="shared" si="32"/>
        <v>0</v>
      </c>
      <c r="I217" s="366"/>
      <c r="J217" s="367"/>
      <c r="K217" s="411"/>
      <c r="L217" s="461">
        <f t="shared" si="33"/>
        <v>0</v>
      </c>
      <c r="M217" s="409"/>
      <c r="N217" s="411"/>
      <c r="O217" s="411"/>
      <c r="P217" s="411"/>
      <c r="Q217" s="376">
        <f>база!$L$6</f>
        <v>261.04640000000001</v>
      </c>
      <c r="R217" s="367">
        <v>1</v>
      </c>
      <c r="S217" s="468">
        <f>SUMIFS(Таблица1[Столбец1],Таблица1[коэф],"1",Таблица1[р/р],"5/16",Таблица1[Ф. И. О.],B220)</f>
        <v>0</v>
      </c>
      <c r="T217" s="469">
        <f t="shared" si="34"/>
        <v>0</v>
      </c>
      <c r="U217" s="449">
        <f>база!$M$6</f>
        <v>279.0496</v>
      </c>
      <c r="V217" s="367">
        <v>1</v>
      </c>
      <c r="W217" s="471">
        <f>SUMIFS(Таблица1[Столбец1],Таблица1[коэф],"1",Таблица1[р/р],"5/24",Таблица1[Ф. И. О.],B220)</f>
        <v>0</v>
      </c>
      <c r="X217" s="469">
        <f t="shared" si="35"/>
        <v>0</v>
      </c>
      <c r="Y217" s="748"/>
      <c r="Z217" s="750"/>
      <c r="AA217" s="740"/>
    </row>
    <row r="218" spans="1:29" ht="18.75">
      <c r="A218" s="740"/>
      <c r="B218" s="201"/>
      <c r="C218" s="743"/>
      <c r="D218" s="746"/>
      <c r="E218" s="370"/>
      <c r="F218" s="367"/>
      <c r="G218" s="377"/>
      <c r="H218" s="369">
        <f t="shared" si="32"/>
        <v>0</v>
      </c>
      <c r="I218" s="366">
        <f>база!$J$5</f>
        <v>215.4924</v>
      </c>
      <c r="J218" s="367">
        <v>1.5</v>
      </c>
      <c r="K218" s="411">
        <f>SUMIFS(Таблица1[Столбец1],Таблица1[коэф],"1,5",Таблица1[р/р],"4/8",Таблица1[Ф. И. О.],B220)</f>
        <v>0</v>
      </c>
      <c r="L218" s="461">
        <f t="shared" si="33"/>
        <v>0</v>
      </c>
      <c r="M218" s="409"/>
      <c r="N218" s="411"/>
      <c r="O218" s="411"/>
      <c r="P218" s="411"/>
      <c r="Q218" s="376">
        <f>IF(D215&lt;=3,база!$L$4,
IF(D215=4,база!$L$5,
IF(D215=5,база!$L$6)))</f>
        <v>210.57480000000001</v>
      </c>
      <c r="R218" s="367">
        <v>1.2</v>
      </c>
      <c r="S218" s="468">
        <f>SUMIFS(Таблица1[Столбец1],Таблица1[коэф],"1,2",Таблица1[р/р],"3/16",Таблица1[Ф. И. О.],B220)</f>
        <v>0</v>
      </c>
      <c r="T218" s="469">
        <f t="shared" si="34"/>
        <v>0</v>
      </c>
      <c r="U218" s="449">
        <f>IF(D215&lt;=3,база!$M$4,
IF(D215=4,база!$M$5,
IF(D215=5,база!$M$6)))</f>
        <v>225.09719999999999</v>
      </c>
      <c r="V218" s="367">
        <v>1.2</v>
      </c>
      <c r="W218" s="471">
        <f>SUMIFS(Таблица1[Столбец1],Таблица1[коэф],"1,2",Таблица1[р/р],"3/24",Таблица1[Ф. И. О.],B220)</f>
        <v>0</v>
      </c>
      <c r="X218" s="469">
        <f t="shared" si="35"/>
        <v>0</v>
      </c>
      <c r="Y218" s="748"/>
      <c r="Z218" s="750"/>
      <c r="AA218" s="740"/>
    </row>
    <row r="219" spans="1:29" ht="18.75">
      <c r="A219" s="740"/>
      <c r="B219" s="201"/>
      <c r="C219" s="743"/>
      <c r="D219" s="746"/>
      <c r="E219" s="370"/>
      <c r="F219" s="367"/>
      <c r="G219" s="377"/>
      <c r="H219" s="369">
        <f t="shared" si="32"/>
        <v>0</v>
      </c>
      <c r="I219" s="366">
        <f>база!$J$6</f>
        <v>243.04319999999998</v>
      </c>
      <c r="J219" s="367">
        <v>1.5</v>
      </c>
      <c r="K219" s="411">
        <f>SUMIFS(Таблица1[Столбец1],Таблица1[коэф],"1,5",Таблица1[р/р],"5/8",Таблица1[Ф. И. О.],B220)</f>
        <v>0</v>
      </c>
      <c r="L219" s="461">
        <f t="shared" si="33"/>
        <v>0</v>
      </c>
      <c r="M219" s="409"/>
      <c r="N219" s="411"/>
      <c r="O219" s="411"/>
      <c r="P219" s="411"/>
      <c r="Q219" s="376">
        <f>база!$L$5</f>
        <v>231.45480000000001</v>
      </c>
      <c r="R219" s="367">
        <v>1.2</v>
      </c>
      <c r="S219" s="468">
        <f>SUMIFS(Таблица1[Столбец1],Таблица1[коэф],"1,2",Таблица1[р/р],"4/16",Таблица1[Ф. И. О.],B220)</f>
        <v>0</v>
      </c>
      <c r="T219" s="469">
        <f t="shared" si="34"/>
        <v>0</v>
      </c>
      <c r="U219" s="449">
        <f>база!$M$5</f>
        <v>247.41720000000001</v>
      </c>
      <c r="V219" s="367">
        <v>1.2</v>
      </c>
      <c r="W219" s="471">
        <f>SUMIFS(Таблица1[Столбец1],Таблица1[коэф],"1,2",Таблица1[р/р],"4/24",Таблица1[Ф. И. О.],B220)</f>
        <v>0</v>
      </c>
      <c r="X219" s="469">
        <f t="shared" si="35"/>
        <v>0</v>
      </c>
      <c r="Y219" s="748"/>
      <c r="Z219" s="750"/>
      <c r="AA219" s="740"/>
    </row>
    <row r="220" spans="1:29" ht="22.5" customHeight="1">
      <c r="A220" s="740"/>
      <c r="B220" s="201" t="str">
        <f>база!B21</f>
        <v>Елькина Татьяна Владимировна</v>
      </c>
      <c r="C220" s="743"/>
      <c r="D220" s="746"/>
      <c r="E220" s="370"/>
      <c r="F220" s="367"/>
      <c r="G220" s="377"/>
      <c r="H220" s="369">
        <f t="shared" si="32"/>
        <v>0</v>
      </c>
      <c r="I220" s="366"/>
      <c r="J220" s="367"/>
      <c r="K220" s="411"/>
      <c r="L220" s="461">
        <f t="shared" si="33"/>
        <v>0</v>
      </c>
      <c r="M220" s="409"/>
      <c r="N220" s="411"/>
      <c r="O220" s="411"/>
      <c r="P220" s="411"/>
      <c r="Q220" s="376">
        <f>база!$L$6</f>
        <v>261.04640000000001</v>
      </c>
      <c r="R220" s="367">
        <v>1.2</v>
      </c>
      <c r="S220" s="468">
        <f>SUMIFS(Таблица1[Столбец1],Таблица1[коэф],"1,2",Таблица1[р/р],"5/16",Таблица1[Ф. И. О.],B220)</f>
        <v>0</v>
      </c>
      <c r="T220" s="469">
        <f t="shared" si="34"/>
        <v>0</v>
      </c>
      <c r="U220" s="449">
        <f>база!$M$6</f>
        <v>279.0496</v>
      </c>
      <c r="V220" s="367">
        <v>1.2</v>
      </c>
      <c r="W220" s="471">
        <f>SUMIFS(Таблица1[Столбец1],Таблица1[коэф],"1,2",Таблица1[р/р],"5/24",Таблица1[Ф. И. О.],B220)</f>
        <v>0</v>
      </c>
      <c r="X220" s="469">
        <f t="shared" si="35"/>
        <v>0</v>
      </c>
      <c r="Y220" s="748"/>
      <c r="Z220" s="750"/>
      <c r="AA220" s="740"/>
      <c r="AC220" s="693" t="str">
        <f>IF(SUMIFS(Таблица1[Столбец3],Таблица1[Ф. И. О.],B220)-Z215=0,"",SUMIFS(Таблица1[Столбец3],Таблица1[Ф. И. О.],B220)-Z215)</f>
        <v/>
      </c>
    </row>
    <row r="221" spans="1:29" ht="18.75">
      <c r="A221" s="740"/>
      <c r="B221" s="201"/>
      <c r="C221" s="743"/>
      <c r="D221" s="746"/>
      <c r="E221" s="370"/>
      <c r="F221" s="367"/>
      <c r="G221" s="377"/>
      <c r="H221" s="369">
        <f t="shared" si="32"/>
        <v>0</v>
      </c>
      <c r="I221" s="366"/>
      <c r="J221" s="367"/>
      <c r="K221" s="411"/>
      <c r="L221" s="461">
        <f t="shared" si="33"/>
        <v>0</v>
      </c>
      <c r="M221" s="409"/>
      <c r="N221" s="411"/>
      <c r="O221" s="411"/>
      <c r="P221" s="411"/>
      <c r="Q221" s="376">
        <f>IF(D215&lt;=3,база!$L$4,
IF(D215=4,база!$L$5,
IF(D215=5,база!$L$6)))</f>
        <v>210.57480000000001</v>
      </c>
      <c r="R221" s="367">
        <v>1.3</v>
      </c>
      <c r="S221" s="468">
        <f>SUMIFS(Таблица1[Столбец1],Таблица1[коэф],"1,3",Таблица1[р/р],"3/16",Таблица1[Ф. И. О.],B220)</f>
        <v>0</v>
      </c>
      <c r="T221" s="469">
        <f t="shared" si="34"/>
        <v>0</v>
      </c>
      <c r="U221" s="449">
        <f>IF(D215&lt;=3,база!$M$4,
IF(D215=4,база!$M$5,
IF(D215=5,база!$M$6)))</f>
        <v>225.09719999999999</v>
      </c>
      <c r="V221" s="367">
        <v>1.3</v>
      </c>
      <c r="W221" s="471">
        <f>SUMIFS(Таблица1[Столбец1],Таблица1[коэф],"1,3",Таблица1[р/р],"3/24",Таблица1[Ф. И. О.],B220)</f>
        <v>0</v>
      </c>
      <c r="X221" s="469">
        <f t="shared" si="35"/>
        <v>0</v>
      </c>
      <c r="Y221" s="748"/>
      <c r="Z221" s="750"/>
      <c r="AA221" s="740"/>
      <c r="AC221" s="693" t="str">
        <f>IF(SUMIFS(Таблица1[Столбец1],Таблица1[Ф. И. О.],B220)=Y215,"",B220&amp;"  часы не верны")</f>
        <v/>
      </c>
    </row>
    <row r="222" spans="1:29" ht="18.75">
      <c r="A222" s="740"/>
      <c r="B222" s="201"/>
      <c r="C222" s="743"/>
      <c r="D222" s="746"/>
      <c r="E222" s="370"/>
      <c r="F222" s="367"/>
      <c r="G222" s="377"/>
      <c r="H222" s="369">
        <f t="shared" si="32"/>
        <v>0</v>
      </c>
      <c r="I222" s="366"/>
      <c r="J222" s="367"/>
      <c r="K222" s="411"/>
      <c r="L222" s="461">
        <f t="shared" si="33"/>
        <v>0</v>
      </c>
      <c r="M222" s="409"/>
      <c r="N222" s="411"/>
      <c r="O222" s="411"/>
      <c r="P222" s="411"/>
      <c r="Q222" s="376">
        <f>база!$L$5</f>
        <v>231.45480000000001</v>
      </c>
      <c r="R222" s="367">
        <v>1.3</v>
      </c>
      <c r="S222" s="468">
        <f>SUMIFS(Таблица1[Столбец1],Таблица1[коэф],"1,3",Таблица1[р/р],"4/16",Таблица1[Ф. И. О.],B220)</f>
        <v>0</v>
      </c>
      <c r="T222" s="469">
        <f t="shared" si="34"/>
        <v>0</v>
      </c>
      <c r="U222" s="449">
        <f>база!$M$5</f>
        <v>247.41720000000001</v>
      </c>
      <c r="V222" s="367">
        <v>1.3</v>
      </c>
      <c r="W222" s="471">
        <f>SUMIFS(Таблица1[Столбец1],Таблица1[коэф],"1,3",Таблица1[р/р],"4/24",Таблица1[Ф. И. О.],B220)</f>
        <v>0</v>
      </c>
      <c r="X222" s="469">
        <f t="shared" si="35"/>
        <v>0</v>
      </c>
      <c r="Y222" s="748"/>
      <c r="Z222" s="750"/>
      <c r="AA222" s="740"/>
    </row>
    <row r="223" spans="1:29" ht="18.75">
      <c r="A223" s="740"/>
      <c r="B223" s="201"/>
      <c r="C223" s="743"/>
      <c r="D223" s="746"/>
      <c r="E223" s="370"/>
      <c r="F223" s="367"/>
      <c r="G223" s="377"/>
      <c r="H223" s="369">
        <f t="shared" si="32"/>
        <v>0</v>
      </c>
      <c r="I223" s="366"/>
      <c r="J223" s="367"/>
      <c r="K223" s="411"/>
      <c r="L223" s="461">
        <f t="shared" si="33"/>
        <v>0</v>
      </c>
      <c r="M223" s="409"/>
      <c r="N223" s="411"/>
      <c r="O223" s="411"/>
      <c r="P223" s="411"/>
      <c r="Q223" s="376">
        <f>IF(D215&lt;=3,база!$L$4,
IF(D215=4,база!$L$5,
IF(D215=5,база!$L$6)))</f>
        <v>210.57480000000001</v>
      </c>
      <c r="R223" s="367">
        <v>1.4</v>
      </c>
      <c r="S223" s="468">
        <f>SUMIFS(Таблица1[Столбец1],Таблица1[коэф],"1,4",Таблица1[р/р],"3/16",Таблица1[Ф. И. О.],B220)</f>
        <v>0</v>
      </c>
      <c r="T223" s="469">
        <f t="shared" si="34"/>
        <v>0</v>
      </c>
      <c r="U223" s="449">
        <f>IF(D215&lt;=3,база!$M$4,
IF(D215=4,база!$M$5,
IF(D215=5,база!$M$6)))</f>
        <v>225.09719999999999</v>
      </c>
      <c r="V223" s="367">
        <v>1.4</v>
      </c>
      <c r="W223" s="471">
        <f>SUMIFS(Таблица1[Столбец1],Таблица1[коэф],"1,4",Таблица1[р/р],"3/24",Таблица1[Ф. И. О.],B220)</f>
        <v>0</v>
      </c>
      <c r="X223" s="469">
        <f t="shared" si="35"/>
        <v>0</v>
      </c>
      <c r="Y223" s="748"/>
      <c r="Z223" s="750"/>
      <c r="AA223" s="740"/>
    </row>
    <row r="224" spans="1:29" ht="18.75">
      <c r="A224" s="740"/>
      <c r="B224" s="201"/>
      <c r="C224" s="743"/>
      <c r="D224" s="746"/>
      <c r="E224" s="370"/>
      <c r="F224" s="367"/>
      <c r="G224" s="377"/>
      <c r="H224" s="369">
        <f t="shared" si="32"/>
        <v>0</v>
      </c>
      <c r="I224" s="366"/>
      <c r="J224" s="367"/>
      <c r="K224" s="411"/>
      <c r="L224" s="461">
        <f t="shared" si="33"/>
        <v>0</v>
      </c>
      <c r="M224" s="409"/>
      <c r="N224" s="411"/>
      <c r="O224" s="411"/>
      <c r="P224" s="411"/>
      <c r="Q224" s="376">
        <f>база!$L$5</f>
        <v>231.45480000000001</v>
      </c>
      <c r="R224" s="367">
        <v>1.4</v>
      </c>
      <c r="S224" s="468">
        <f>SUMIFS(Таблица1[Столбец1],Таблица1[коэф],"1,4",Таблица1[р/р],"4/16",Таблица1[Ф. И. О.],B220)</f>
        <v>0</v>
      </c>
      <c r="T224" s="469">
        <f t="shared" si="34"/>
        <v>0</v>
      </c>
      <c r="U224" s="449">
        <f>база!$M$5</f>
        <v>247.41720000000001</v>
      </c>
      <c r="V224" s="367">
        <v>1.4</v>
      </c>
      <c r="W224" s="471">
        <f>SUMIFS(Таблица1[Столбец1],Таблица1[коэф],"1,4",Таблица1[р/р],"4/24",Таблица1[Ф. И. О.],B220)</f>
        <v>0</v>
      </c>
      <c r="X224" s="469">
        <f t="shared" si="35"/>
        <v>0</v>
      </c>
      <c r="Y224" s="748"/>
      <c r="Z224" s="750"/>
      <c r="AA224" s="740"/>
    </row>
    <row r="225" spans="1:29" ht="19.5" thickBot="1">
      <c r="A225" s="741"/>
      <c r="B225" s="201"/>
      <c r="C225" s="744"/>
      <c r="D225" s="747"/>
      <c r="E225" s="399"/>
      <c r="F225" s="380"/>
      <c r="G225" s="385"/>
      <c r="H225" s="445">
        <f t="shared" si="32"/>
        <v>0</v>
      </c>
      <c r="I225" s="397"/>
      <c r="J225" s="380"/>
      <c r="K225" s="437"/>
      <c r="L225" s="435">
        <f t="shared" si="33"/>
        <v>0</v>
      </c>
      <c r="M225" s="436"/>
      <c r="N225" s="437"/>
      <c r="O225" s="437"/>
      <c r="P225" s="437"/>
      <c r="Q225" s="384">
        <f>база!$L$6</f>
        <v>261.04640000000001</v>
      </c>
      <c r="R225" s="380">
        <v>1.4</v>
      </c>
      <c r="S225" s="484">
        <f>SUMIFS(Таблица1[Столбец1],Таблица1[коэф],"1,4",Таблица1[р/р],"5/16",Таблица1[Ф. И. О.],B220)</f>
        <v>0</v>
      </c>
      <c r="T225" s="469">
        <f t="shared" si="34"/>
        <v>0</v>
      </c>
      <c r="U225" s="459">
        <f>база!$M$6</f>
        <v>279.0496</v>
      </c>
      <c r="V225" s="380">
        <v>1.4</v>
      </c>
      <c r="W225" s="473">
        <f>SUMIFS(Таблица1[Столбец1],Таблица1[коэф],"1,4",Таблица1[р/р],"5/24",Таблица1[Ф. И. О.],B220)</f>
        <v>0</v>
      </c>
      <c r="X225" s="469">
        <f t="shared" si="35"/>
        <v>0</v>
      </c>
      <c r="Y225" s="749"/>
      <c r="Z225" s="751"/>
      <c r="AA225" s="741"/>
    </row>
    <row r="226" spans="1:29" ht="18.75">
      <c r="A226" s="739">
        <v>21</v>
      </c>
      <c r="B226" s="219"/>
      <c r="C226" s="742">
        <f>INDEX(база!$E$2:$E$81, MATCH(B231,база!$B$2:$B$50,0))</f>
        <v>15340</v>
      </c>
      <c r="D226" s="745">
        <f>INDEX(база!$D$2:$D$89, MATCH(B231,база!$B$2:$B$50,0))</f>
        <v>3</v>
      </c>
      <c r="E226" s="358">
        <f>IF(D226&lt;=3,база!$I$4,
IF(D226=4,база!$I$5,
IF(D226=5,база!$I$6)))</f>
        <v>188.7912</v>
      </c>
      <c r="F226" s="355">
        <v>1</v>
      </c>
      <c r="G226" s="364">
        <f>SUMIFS(Таблица1[Столбец1],Таблица1[коэф],"1",Таблица1[р/р],"2/4",Таблица1[Ф. И. О.],B231)</f>
        <v>0</v>
      </c>
      <c r="H226" s="379">
        <f t="shared" si="32"/>
        <v>0</v>
      </c>
      <c r="I226" s="354">
        <f>IF(D226&lt;=3,база!$J$4,
IF(D226=4,база!$J$5,
IF(D226=5,база!$J$6)))</f>
        <v>196.05240000000001</v>
      </c>
      <c r="J226" s="355">
        <v>1</v>
      </c>
      <c r="K226" s="405">
        <f>SUMIFS(Таблица1[Столбец1],Таблица1[коэф],"1",Таблица1[р/р],"2/8",Таблица1[Ф. И. О.],B231)</f>
        <v>0</v>
      </c>
      <c r="L226" s="461">
        <f t="shared" si="33"/>
        <v>0</v>
      </c>
      <c r="M226" s="403"/>
      <c r="N226" s="405">
        <v>1</v>
      </c>
      <c r="O226" s="405">
        <f>SUMIFS(Data_Tech!$AM$3:$AM$67,Data_Tech!$E$3:$E$67,"1",Data_Tech!$G$3:$G$67,"3/12",Data_Tech!$F$3:$F$67,B231)</f>
        <v>0</v>
      </c>
      <c r="P226" s="405">
        <f>ROUND(M226*N226*O226,2)</f>
        <v>0</v>
      </c>
      <c r="Q226" s="363">
        <f>IF(D226&lt;=3,база!$L$4,
IF(D226=4,база!$L$5,
IF(D226=5,база!$L$6)))</f>
        <v>210.57480000000001</v>
      </c>
      <c r="R226" s="355">
        <v>1</v>
      </c>
      <c r="S226" s="466">
        <f>SUMIFS(Таблица1[Столбец1],Таблица1[коэф],"1",Таблица1[р/р],"3/16",Таблица1[Ф. И. О.],B231)</f>
        <v>0</v>
      </c>
      <c r="T226" s="467">
        <f t="shared" si="34"/>
        <v>0</v>
      </c>
      <c r="U226" s="448">
        <f>IF(D226&lt;=3,база!$M$4,
IF(D226=4,база!$M$5,
IF(D226=5,база!$M$6)))</f>
        <v>225.09719999999999</v>
      </c>
      <c r="V226" s="355">
        <v>1</v>
      </c>
      <c r="W226" s="474">
        <f>SUMIFS(Таблица1[Столбец1],Таблица1[коэф],"1",Таблица1[р/р],"3/24",Таблица1[Ф. И. О.],B231)</f>
        <v>0</v>
      </c>
      <c r="X226" s="467">
        <f t="shared" si="35"/>
        <v>0</v>
      </c>
      <c r="Y226" s="748">
        <f t="shared" ref="Y226" si="40">SUM(G226:G236,K226:K236,O226:O236,S226:S236,W226:W236)</f>
        <v>0</v>
      </c>
      <c r="Z226" s="750">
        <f t="shared" ref="Z226" si="41">IFERROR(SUM(H226:H236,L226:L236,T226:T236,X226:X236),"")</f>
        <v>0</v>
      </c>
      <c r="AA226" s="740"/>
    </row>
    <row r="227" spans="1:29" ht="18.75">
      <c r="A227" s="740"/>
      <c r="B227" s="201"/>
      <c r="C227" s="743"/>
      <c r="D227" s="746"/>
      <c r="E227" s="370">
        <f>IF(D226&lt;=3,база!$I$4,
IF(D226=4,база!$I$5,
IF(D226=5,база!$I$6)))</f>
        <v>188.7912</v>
      </c>
      <c r="F227" s="367">
        <v>1</v>
      </c>
      <c r="G227" s="377">
        <f>SUMIFS(Таблица1[Столбец1],Таблица1[коэф],"1",Таблица1[р/р],"3/4",Таблица1[Ф. И. О.],B231)</f>
        <v>0</v>
      </c>
      <c r="H227" s="369">
        <f t="shared" si="32"/>
        <v>0</v>
      </c>
      <c r="I227" s="366">
        <f>IF(D226&lt;=3,база!$J$4,
IF(D226=4,база!$J$5,
IF(D226=5,база!$J$6)))</f>
        <v>196.05240000000001</v>
      </c>
      <c r="J227" s="367">
        <v>1</v>
      </c>
      <c r="K227" s="411">
        <f>SUMIFS(Таблица1[Столбец1],Таблица1[коэф],"1",Таблица1[р/р],"3/8",Таблица1[Ф. И. О.],B231)</f>
        <v>0</v>
      </c>
      <c r="L227" s="461">
        <f t="shared" si="33"/>
        <v>0</v>
      </c>
      <c r="M227" s="409"/>
      <c r="N227" s="411">
        <v>1</v>
      </c>
      <c r="O227" s="411">
        <f>SUMIFS(Data_Tech!$AM$3:$AM$67,Data_Tech!$E$3:$E$67,"1",Data_Tech!$G$3:$G$67,"4/12",Data_Tech!$F$3:$F$67,B231)</f>
        <v>0</v>
      </c>
      <c r="P227" s="411">
        <f>ROUND(M227*O227,2)</f>
        <v>0</v>
      </c>
      <c r="Q227" s="376">
        <f>база!$L$5</f>
        <v>231.45480000000001</v>
      </c>
      <c r="R227" s="367">
        <v>1</v>
      </c>
      <c r="S227" s="468">
        <f>SUMIFS(Таблица1[Столбец1],Таблица1[коэф],"1",Таблица1[р/р],"4/16",Таблица1[Ф. И. О.],B231)</f>
        <v>0</v>
      </c>
      <c r="T227" s="469">
        <f t="shared" si="34"/>
        <v>0</v>
      </c>
      <c r="U227" s="449">
        <f>база!$M$5</f>
        <v>247.41720000000001</v>
      </c>
      <c r="V227" s="367">
        <v>1</v>
      </c>
      <c r="W227" s="471">
        <f>SUMIFS(Таблица1[Столбец1],Таблица1[коэф],"1",Таблица1[р/р],"4/24",Таблица1[Ф. И. О.],B231)</f>
        <v>0</v>
      </c>
      <c r="X227" s="469">
        <f t="shared" si="35"/>
        <v>0</v>
      </c>
      <c r="Y227" s="748"/>
      <c r="Z227" s="750"/>
      <c r="AA227" s="740"/>
    </row>
    <row r="228" spans="1:29" ht="18.75">
      <c r="A228" s="740"/>
      <c r="B228" s="201"/>
      <c r="C228" s="743"/>
      <c r="D228" s="746"/>
      <c r="E228" s="370"/>
      <c r="F228" s="367"/>
      <c r="G228" s="377"/>
      <c r="H228" s="369">
        <f t="shared" si="32"/>
        <v>0</v>
      </c>
      <c r="I228" s="366"/>
      <c r="J228" s="367"/>
      <c r="K228" s="411"/>
      <c r="L228" s="461">
        <f t="shared" si="33"/>
        <v>0</v>
      </c>
      <c r="M228" s="409"/>
      <c r="N228" s="411"/>
      <c r="O228" s="411"/>
      <c r="P228" s="411"/>
      <c r="Q228" s="376">
        <f>база!$L$6</f>
        <v>261.04640000000001</v>
      </c>
      <c r="R228" s="367">
        <v>1</v>
      </c>
      <c r="S228" s="468">
        <f>SUMIFS(Таблица1[Столбец1],Таблица1[коэф],"1",Таблица1[р/р],"5/16",Таблица1[Ф. И. О.],B231)</f>
        <v>0</v>
      </c>
      <c r="T228" s="469">
        <f t="shared" si="34"/>
        <v>0</v>
      </c>
      <c r="U228" s="449">
        <f>база!$M$6</f>
        <v>279.0496</v>
      </c>
      <c r="V228" s="367">
        <v>1</v>
      </c>
      <c r="W228" s="471">
        <f>SUMIFS(Таблица1[Столбец1],Таблица1[коэф],"1",Таблица1[р/р],"5/24",Таблица1[Ф. И. О.],B231)</f>
        <v>0</v>
      </c>
      <c r="X228" s="469">
        <f t="shared" si="35"/>
        <v>0</v>
      </c>
      <c r="Y228" s="748"/>
      <c r="Z228" s="750"/>
      <c r="AA228" s="740"/>
    </row>
    <row r="229" spans="1:29" ht="18.75">
      <c r="A229" s="740"/>
      <c r="B229" s="201"/>
      <c r="C229" s="743"/>
      <c r="D229" s="746"/>
      <c r="E229" s="370"/>
      <c r="F229" s="367"/>
      <c r="G229" s="377"/>
      <c r="H229" s="369">
        <f t="shared" si="32"/>
        <v>0</v>
      </c>
      <c r="I229" s="366">
        <f>база!$J$5</f>
        <v>215.4924</v>
      </c>
      <c r="J229" s="367">
        <v>1.5</v>
      </c>
      <c r="K229" s="411">
        <f>SUMIFS(Таблица1[Столбец1],Таблица1[коэф],"1,5",Таблица1[р/р],"4/8",Таблица1[Ф. И. О.],B231)</f>
        <v>0</v>
      </c>
      <c r="L229" s="461">
        <f t="shared" si="33"/>
        <v>0</v>
      </c>
      <c r="M229" s="409"/>
      <c r="N229" s="411"/>
      <c r="O229" s="411"/>
      <c r="P229" s="411"/>
      <c r="Q229" s="376">
        <f>IF(D226&lt;=3,база!$L$4,
IF(D226=4,база!$L$5,
IF(D226=5,база!$L$6)))</f>
        <v>210.57480000000001</v>
      </c>
      <c r="R229" s="367">
        <v>1.2</v>
      </c>
      <c r="S229" s="468">
        <f>SUMIFS(Таблица1[Столбец1],Таблица1[коэф],"1,2",Таблица1[р/р],"3/16",Таблица1[Ф. И. О.],B231)</f>
        <v>0</v>
      </c>
      <c r="T229" s="469">
        <f t="shared" si="34"/>
        <v>0</v>
      </c>
      <c r="U229" s="449">
        <f>IF(D226&lt;=3,база!$M$4,
IF(D226=4,база!$M$5,
IF(D226=5,база!$M$6)))</f>
        <v>225.09719999999999</v>
      </c>
      <c r="V229" s="367">
        <v>1.2</v>
      </c>
      <c r="W229" s="471">
        <f>SUMIFS(Таблица1[Столбец1],Таблица1[коэф],"1,2",Таблица1[р/р],"3/24",Таблица1[Ф. И. О.],B231)</f>
        <v>0</v>
      </c>
      <c r="X229" s="469">
        <f t="shared" si="35"/>
        <v>0</v>
      </c>
      <c r="Y229" s="748"/>
      <c r="Z229" s="750"/>
      <c r="AA229" s="740"/>
    </row>
    <row r="230" spans="1:29" ht="18.75">
      <c r="A230" s="740"/>
      <c r="B230" s="201"/>
      <c r="C230" s="743"/>
      <c r="D230" s="746"/>
      <c r="E230" s="370"/>
      <c r="F230" s="367"/>
      <c r="G230" s="377"/>
      <c r="H230" s="369">
        <f t="shared" si="32"/>
        <v>0</v>
      </c>
      <c r="I230" s="366">
        <f>база!$J$6</f>
        <v>243.04319999999998</v>
      </c>
      <c r="J230" s="367">
        <v>1.5</v>
      </c>
      <c r="K230" s="411">
        <f>SUMIFS(Таблица1[Столбец1],Таблица1[коэф],"1,5",Таблица1[р/р],"5/8",Таблица1[Ф. И. О.],B231)</f>
        <v>0</v>
      </c>
      <c r="L230" s="461">
        <f t="shared" si="33"/>
        <v>0</v>
      </c>
      <c r="M230" s="409"/>
      <c r="N230" s="411"/>
      <c r="O230" s="411"/>
      <c r="P230" s="411"/>
      <c r="Q230" s="376">
        <f>база!$L$5</f>
        <v>231.45480000000001</v>
      </c>
      <c r="R230" s="367">
        <v>1.2</v>
      </c>
      <c r="S230" s="468">
        <f>SUMIFS(Таблица1[Столбец1],Таблица1[коэф],"1,2",Таблица1[р/р],"4/16",Таблица1[Ф. И. О.],B231)</f>
        <v>0</v>
      </c>
      <c r="T230" s="469">
        <f t="shared" si="34"/>
        <v>0</v>
      </c>
      <c r="U230" s="449">
        <f>база!$M$5</f>
        <v>247.41720000000001</v>
      </c>
      <c r="V230" s="367">
        <v>1.2</v>
      </c>
      <c r="W230" s="471">
        <f>SUMIFS(Таблица1[Столбец1],Таблица1[коэф],"1,2",Таблица1[р/р],"4/24",Таблица1[Ф. И. О.],B231)</f>
        <v>0</v>
      </c>
      <c r="X230" s="469">
        <f t="shared" si="35"/>
        <v>0</v>
      </c>
      <c r="Y230" s="748"/>
      <c r="Z230" s="750"/>
      <c r="AA230" s="740"/>
    </row>
    <row r="231" spans="1:29" ht="18.75">
      <c r="A231" s="740"/>
      <c r="B231" s="201" t="str">
        <f>база!B22</f>
        <v>Ерошина Ирина Павловна</v>
      </c>
      <c r="C231" s="743"/>
      <c r="D231" s="746"/>
      <c r="E231" s="370"/>
      <c r="F231" s="367"/>
      <c r="G231" s="377"/>
      <c r="H231" s="369">
        <f t="shared" si="32"/>
        <v>0</v>
      </c>
      <c r="I231" s="366"/>
      <c r="J231" s="367"/>
      <c r="K231" s="411"/>
      <c r="L231" s="461">
        <f t="shared" si="33"/>
        <v>0</v>
      </c>
      <c r="M231" s="409"/>
      <c r="N231" s="411"/>
      <c r="O231" s="411"/>
      <c r="P231" s="411"/>
      <c r="Q231" s="376">
        <f>база!$L$6</f>
        <v>261.04640000000001</v>
      </c>
      <c r="R231" s="367">
        <v>1.2</v>
      </c>
      <c r="S231" s="468">
        <f>SUMIFS(Таблица1[Столбец1],Таблица1[коэф],"1,2",Таблица1[р/р],"5/16",Таблица1[Ф. И. О.],B231)</f>
        <v>0</v>
      </c>
      <c r="T231" s="469">
        <f t="shared" si="34"/>
        <v>0</v>
      </c>
      <c r="U231" s="449">
        <f>база!$M$6</f>
        <v>279.0496</v>
      </c>
      <c r="V231" s="367">
        <v>1.2</v>
      </c>
      <c r="W231" s="471">
        <f>SUMIFS(Таблица1[Столбец1],Таблица1[коэф],"1,2",Таблица1[р/р],"5/24",Таблица1[Ф. И. О.],B231)</f>
        <v>0</v>
      </c>
      <c r="X231" s="469">
        <f t="shared" si="35"/>
        <v>0</v>
      </c>
      <c r="Y231" s="748"/>
      <c r="Z231" s="750"/>
      <c r="AA231" s="740"/>
      <c r="AC231" s="693" t="str">
        <f>IF(SUMIFS(Таблица1[Столбец3],Таблица1[Ф. И. О.],B231)-Z226=0,"",SUMIFS(Таблица1[Столбец3],Таблица1[Ф. И. О.],B231)-Z226)</f>
        <v/>
      </c>
    </row>
    <row r="232" spans="1:29" ht="18.75">
      <c r="A232" s="740"/>
      <c r="B232" s="201"/>
      <c r="C232" s="743"/>
      <c r="D232" s="746"/>
      <c r="E232" s="370"/>
      <c r="F232" s="367"/>
      <c r="G232" s="377"/>
      <c r="H232" s="369">
        <f t="shared" si="32"/>
        <v>0</v>
      </c>
      <c r="I232" s="366"/>
      <c r="J232" s="367"/>
      <c r="K232" s="411"/>
      <c r="L232" s="461">
        <f t="shared" si="33"/>
        <v>0</v>
      </c>
      <c r="M232" s="409"/>
      <c r="N232" s="411"/>
      <c r="O232" s="411"/>
      <c r="P232" s="411"/>
      <c r="Q232" s="376">
        <f>IF(D226&lt;=3,база!$L$4,
IF(D226=4,база!$L$5,
IF(D226=5,база!$L$6)))</f>
        <v>210.57480000000001</v>
      </c>
      <c r="R232" s="367">
        <v>1.3</v>
      </c>
      <c r="S232" s="468">
        <f>SUMIFS(Таблица1[Столбец1],Таблица1[коэф],"1,3",Таблица1[р/р],"3/16",Таблица1[Ф. И. О.],B231)</f>
        <v>0</v>
      </c>
      <c r="T232" s="469">
        <f t="shared" si="34"/>
        <v>0</v>
      </c>
      <c r="U232" s="449">
        <f>IF(D226&lt;=3,база!$M$4,
IF(D226=4,база!$M$5,
IF(D226=5,база!$M$6)))</f>
        <v>225.09719999999999</v>
      </c>
      <c r="V232" s="367">
        <v>1.3</v>
      </c>
      <c r="W232" s="471">
        <f>SUMIFS(Таблица1[Столбец1],Таблица1[коэф],"1,3",Таблица1[р/р],"3/24",Таблица1[Ф. И. О.],B231)</f>
        <v>0</v>
      </c>
      <c r="X232" s="469">
        <f t="shared" si="35"/>
        <v>0</v>
      </c>
      <c r="Y232" s="748"/>
      <c r="Z232" s="750"/>
      <c r="AA232" s="740"/>
      <c r="AC232" s="693" t="str">
        <f>IF(SUMIFS(Таблица1[Столбец1],Таблица1[Ф. И. О.],B231)=Y226,"",B231&amp;"  часы не верны")</f>
        <v/>
      </c>
    </row>
    <row r="233" spans="1:29" ht="18.75">
      <c r="A233" s="740"/>
      <c r="B233" s="201"/>
      <c r="C233" s="743"/>
      <c r="D233" s="746"/>
      <c r="E233" s="370"/>
      <c r="F233" s="367"/>
      <c r="G233" s="377"/>
      <c r="H233" s="369">
        <f t="shared" si="32"/>
        <v>0</v>
      </c>
      <c r="I233" s="366"/>
      <c r="J233" s="367"/>
      <c r="K233" s="411"/>
      <c r="L233" s="461">
        <f t="shared" si="33"/>
        <v>0</v>
      </c>
      <c r="M233" s="409"/>
      <c r="N233" s="411"/>
      <c r="O233" s="411"/>
      <c r="P233" s="411"/>
      <c r="Q233" s="376">
        <f>база!$L$5</f>
        <v>231.45480000000001</v>
      </c>
      <c r="R233" s="367">
        <v>1.3</v>
      </c>
      <c r="S233" s="468">
        <f>SUMIFS(Таблица1[Столбец1],Таблица1[коэф],"1,3",Таблица1[р/р],"4/16",Таблица1[Ф. И. О.],B231)</f>
        <v>0</v>
      </c>
      <c r="T233" s="469">
        <f t="shared" si="34"/>
        <v>0</v>
      </c>
      <c r="U233" s="449">
        <f>база!$M$5</f>
        <v>247.41720000000001</v>
      </c>
      <c r="V233" s="367">
        <v>1.3</v>
      </c>
      <c r="W233" s="471">
        <f>SUMIFS(Таблица1[Столбец1],Таблица1[коэф],"1,3",Таблица1[р/р],"4/24",Таблица1[Ф. И. О.],B231)</f>
        <v>0</v>
      </c>
      <c r="X233" s="469">
        <f t="shared" si="35"/>
        <v>0</v>
      </c>
      <c r="Y233" s="748"/>
      <c r="Z233" s="750"/>
      <c r="AA233" s="740"/>
    </row>
    <row r="234" spans="1:29" ht="18.75">
      <c r="A234" s="740"/>
      <c r="B234" s="201"/>
      <c r="C234" s="743"/>
      <c r="D234" s="746"/>
      <c r="E234" s="370"/>
      <c r="F234" s="367"/>
      <c r="G234" s="377"/>
      <c r="H234" s="369">
        <f t="shared" si="32"/>
        <v>0</v>
      </c>
      <c r="I234" s="366"/>
      <c r="J234" s="367"/>
      <c r="K234" s="411"/>
      <c r="L234" s="461">
        <f t="shared" si="33"/>
        <v>0</v>
      </c>
      <c r="M234" s="409"/>
      <c r="N234" s="411"/>
      <c r="O234" s="411"/>
      <c r="P234" s="411"/>
      <c r="Q234" s="376">
        <f>IF(D226&lt;=3,база!$L$4,
IF(D226=4,база!$L$5,
IF(D226=5,база!$L$6)))</f>
        <v>210.57480000000001</v>
      </c>
      <c r="R234" s="367">
        <v>1.4</v>
      </c>
      <c r="S234" s="468">
        <f>SUMIFS(Таблица1[Столбец1],Таблица1[коэф],"1,4",Таблица1[р/р],"3/16",Таблица1[Ф. И. О.],B231)</f>
        <v>0</v>
      </c>
      <c r="T234" s="469">
        <f t="shared" si="34"/>
        <v>0</v>
      </c>
      <c r="U234" s="449">
        <f>IF(D226&lt;=3,база!$M$4,
IF(D226=4,база!$M$5,
IF(D226=5,база!$M$6)))</f>
        <v>225.09719999999999</v>
      </c>
      <c r="V234" s="367">
        <v>1.4</v>
      </c>
      <c r="W234" s="471">
        <f>SUMIFS(Таблица1[Столбец1],Таблица1[коэф],"1,4",Таблица1[р/р],"3/24",Таблица1[Ф. И. О.],B231)</f>
        <v>0</v>
      </c>
      <c r="X234" s="469">
        <f t="shared" si="35"/>
        <v>0</v>
      </c>
      <c r="Y234" s="748"/>
      <c r="Z234" s="750"/>
      <c r="AA234" s="740"/>
    </row>
    <row r="235" spans="1:29" ht="18.75">
      <c r="A235" s="740"/>
      <c r="B235" s="201"/>
      <c r="C235" s="743"/>
      <c r="D235" s="746"/>
      <c r="E235" s="370"/>
      <c r="F235" s="367"/>
      <c r="G235" s="377"/>
      <c r="H235" s="369">
        <f t="shared" si="32"/>
        <v>0</v>
      </c>
      <c r="I235" s="366"/>
      <c r="J235" s="367"/>
      <c r="K235" s="411"/>
      <c r="L235" s="461">
        <f t="shared" si="33"/>
        <v>0</v>
      </c>
      <c r="M235" s="409"/>
      <c r="N235" s="411"/>
      <c r="O235" s="411"/>
      <c r="P235" s="411"/>
      <c r="Q235" s="376">
        <f>база!$L$5</f>
        <v>231.45480000000001</v>
      </c>
      <c r="R235" s="367">
        <v>1.4</v>
      </c>
      <c r="S235" s="468">
        <f>SUMIFS(Таблица1[Столбец1],Таблица1[коэф],"1,4",Таблица1[р/р],"4/16",Таблица1[Ф. И. О.],B231)</f>
        <v>0</v>
      </c>
      <c r="T235" s="469">
        <f t="shared" si="34"/>
        <v>0</v>
      </c>
      <c r="U235" s="449">
        <f>база!$M$5</f>
        <v>247.41720000000001</v>
      </c>
      <c r="V235" s="367">
        <v>1.4</v>
      </c>
      <c r="W235" s="471">
        <f>SUMIFS(Таблица1[Столбец1],Таблица1[коэф],"1,4",Таблица1[р/р],"4/24",Таблица1[Ф. И. О.],B231)</f>
        <v>0</v>
      </c>
      <c r="X235" s="469">
        <f t="shared" si="35"/>
        <v>0</v>
      </c>
      <c r="Y235" s="748"/>
      <c r="Z235" s="750"/>
      <c r="AA235" s="740"/>
    </row>
    <row r="236" spans="1:29" ht="19.5" thickBot="1">
      <c r="A236" s="741"/>
      <c r="B236" s="188"/>
      <c r="C236" s="744"/>
      <c r="D236" s="747"/>
      <c r="E236" s="440"/>
      <c r="F236" s="441"/>
      <c r="G236" s="442"/>
      <c r="H236" s="445">
        <f t="shared" si="32"/>
        <v>0</v>
      </c>
      <c r="I236" s="450"/>
      <c r="J236" s="441"/>
      <c r="K236" s="434"/>
      <c r="L236" s="461">
        <f t="shared" si="33"/>
        <v>0</v>
      </c>
      <c r="M236" s="443"/>
      <c r="N236" s="434"/>
      <c r="O236" s="434"/>
      <c r="P236" s="434"/>
      <c r="Q236" s="444">
        <f>база!$L$6</f>
        <v>261.04640000000001</v>
      </c>
      <c r="R236" s="441">
        <v>1.4</v>
      </c>
      <c r="S236" s="489">
        <f>SUMIFS(Таблица1[Столбец1],Таблица1[коэф],"1,4",Таблица1[р/р],"5/16",Таблица1[Ф. И. О.],B231)</f>
        <v>0</v>
      </c>
      <c r="T236" s="469">
        <f t="shared" si="34"/>
        <v>0</v>
      </c>
      <c r="U236" s="451">
        <f>база!$M$6</f>
        <v>279.0496</v>
      </c>
      <c r="V236" s="441">
        <v>1.4</v>
      </c>
      <c r="W236" s="478">
        <f>SUMIFS(Таблица1[Столбец1],Таблица1[коэф],"1,4",Таблица1[р/р],"5/24",Таблица1[Ф. И. О.],B231)</f>
        <v>0</v>
      </c>
      <c r="X236" s="469">
        <f t="shared" si="35"/>
        <v>0</v>
      </c>
      <c r="Y236" s="749"/>
      <c r="Z236" s="751"/>
      <c r="AA236" s="741"/>
    </row>
    <row r="237" spans="1:29" ht="15.75" customHeight="1">
      <c r="A237" s="739">
        <v>22</v>
      </c>
      <c r="B237" s="219"/>
      <c r="C237" s="742">
        <f>INDEX(база!$E$2:$E$81, MATCH(B242,база!$B$2:$B$50,0))</f>
        <v>17309</v>
      </c>
      <c r="D237" s="745">
        <f>INDEX(база!$D$2:$D$89, MATCH(B242,база!$B$2:$B$50,0))</f>
        <v>3</v>
      </c>
      <c r="E237" s="428">
        <f>IF(D237&lt;=3,база!$I$4,
IF(D237=4,база!$I$5,
IF(D237=5,база!$I$6)))</f>
        <v>188.7912</v>
      </c>
      <c r="F237" s="394">
        <v>1</v>
      </c>
      <c r="G237" s="395">
        <f>SUMIFS(Таблица1[Столбец1],Таблица1[коэф],"1",Таблица1[р/р],"2/4",Таблица1[Ф. И. О.],B242)</f>
        <v>0</v>
      </c>
      <c r="H237" s="379">
        <f t="shared" ref="H237:H258" si="42">ROUND(E237*F237*G237*2,2)</f>
        <v>0</v>
      </c>
      <c r="I237" s="354">
        <f>IF(D237&lt;=3,база!$J$4,
IF(D237=4,база!$J$5,
IF(D237=5,база!$J$6)))</f>
        <v>196.05240000000001</v>
      </c>
      <c r="J237" s="355">
        <v>1</v>
      </c>
      <c r="K237" s="405">
        <f>SUMIFS(Таблица1[Столбец1],Таблица1[коэф],"1",Таблица1[р/р],"2/8",Таблица1[Ф. И. О.],B242)</f>
        <v>0</v>
      </c>
      <c r="L237" s="360">
        <f t="shared" ref="L237:L258" si="43">ROUND(I237*J237*K237*2,2)</f>
        <v>0</v>
      </c>
      <c r="M237" s="429"/>
      <c r="N237" s="430">
        <v>1</v>
      </c>
      <c r="O237" s="430">
        <f>SUMIFS(Data_Tech!$AM$3:$AM$67,Data_Tech!$E$3:$E$67,"1",Data_Tech!$G$3:$G$67,"3/12",Data_Tech!$F$3:$F$67,B242)</f>
        <v>0</v>
      </c>
      <c r="P237" s="430">
        <f>ROUND(M237*N237*O237,2)</f>
        <v>0</v>
      </c>
      <c r="Q237" s="393">
        <f>IF(D237&lt;=3,база!$L$4,
IF(D237=4,база!$L$5,
IF(D237=5,база!$L$6)))</f>
        <v>210.57480000000001</v>
      </c>
      <c r="R237" s="394">
        <v>1</v>
      </c>
      <c r="S237" s="472">
        <f>SUMIFS(Таблица1[Столбец1],Таблица1[коэф],"1",Таблица1[р/р],"3/16",Таблица1[Ф. И. О.],B242)</f>
        <v>0</v>
      </c>
      <c r="T237" s="467">
        <f t="shared" ref="T237:T258" si="44">ROUND(Q237*R237*S237*2,2)</f>
        <v>0</v>
      </c>
      <c r="U237" s="448">
        <f>IF(D237&lt;=3,база!$M$4,
IF(D237=4,база!$M$5,
IF(D237=5,база!$M$6)))</f>
        <v>225.09719999999999</v>
      </c>
      <c r="V237" s="355">
        <v>1</v>
      </c>
      <c r="W237" s="474">
        <f>SUMIFS(Таблица1[Столбец1],Таблица1[коэф],"1",Таблица1[р/р],"3/24",Таблица1[Ф. И. О.],B242)</f>
        <v>0</v>
      </c>
      <c r="X237" s="467">
        <f t="shared" ref="X237:X258" si="45">ROUND(U237*V237*W237*2,2)</f>
        <v>0</v>
      </c>
      <c r="Y237" s="753">
        <f t="shared" ref="Y237" si="46">SUM(G237:G247,K237:K247,O237:O247,S237:S247,W237:W247)</f>
        <v>0</v>
      </c>
      <c r="Z237" s="752">
        <f t="shared" ref="Z237" si="47">IFERROR(SUM(H237:H247,L237:L247,T237:T247,X237:X247),"")</f>
        <v>0</v>
      </c>
      <c r="AA237" s="739"/>
    </row>
    <row r="238" spans="1:29" ht="15.75" customHeight="1">
      <c r="A238" s="740"/>
      <c r="B238" s="201"/>
      <c r="C238" s="743"/>
      <c r="D238" s="746"/>
      <c r="E238" s="370">
        <f>IF(D237&lt;=3,база!$I$4,
IF(D237=4,база!$I$5,
IF(D237=5,база!$I$6)))</f>
        <v>188.7912</v>
      </c>
      <c r="F238" s="367">
        <v>1</v>
      </c>
      <c r="G238" s="377">
        <f>SUMIFS(Таблица1[Столбец1],Таблица1[коэф],"1",Таблица1[р/р],"3/4",Таблица1[Ф. И. О.],B242)</f>
        <v>0</v>
      </c>
      <c r="H238" s="369">
        <f t="shared" si="42"/>
        <v>0</v>
      </c>
      <c r="I238" s="366">
        <f>IF(D237&lt;=3,база!$J$4,
IF(D237=4,база!$J$5,
IF(D237=5,база!$J$6)))</f>
        <v>196.05240000000001</v>
      </c>
      <c r="J238" s="367">
        <v>1</v>
      </c>
      <c r="K238" s="411">
        <f>SUMIFS(Таблица1[Столбец1],Таблица1[коэф],"1",Таблица1[р/р],"3/8",Таблица1[Ф. И. О.],B242)</f>
        <v>0</v>
      </c>
      <c r="L238" s="461">
        <f t="shared" si="43"/>
        <v>0</v>
      </c>
      <c r="M238" s="409"/>
      <c r="N238" s="411">
        <v>1</v>
      </c>
      <c r="O238" s="411">
        <f>SUMIFS(Data_Tech!$AM$3:$AM$67,Data_Tech!$E$3:$E$67,"1",Data_Tech!$G$3:$G$67,"4/12",Data_Tech!$F$3:$F$67,B242)</f>
        <v>0</v>
      </c>
      <c r="P238" s="411">
        <f>ROUND(M238*O238,2)</f>
        <v>0</v>
      </c>
      <c r="Q238" s="376">
        <f>база!$L$5</f>
        <v>231.45480000000001</v>
      </c>
      <c r="R238" s="367">
        <v>1</v>
      </c>
      <c r="S238" s="468">
        <f>SUMIFS(Таблица1[Столбец1],Таблица1[коэф],"1",Таблица1[р/р],"4/16",Таблица1[Ф. И. О.],B242)</f>
        <v>0</v>
      </c>
      <c r="T238" s="469">
        <f t="shared" si="44"/>
        <v>0</v>
      </c>
      <c r="U238" s="449">
        <f>база!$M$5</f>
        <v>247.41720000000001</v>
      </c>
      <c r="V238" s="367">
        <v>1</v>
      </c>
      <c r="W238" s="471">
        <f>SUMIFS(Таблица1[Столбец1],Таблица1[коэф],"1",Таблица1[р/р],"4/24",Таблица1[Ф. И. О.],B242)</f>
        <v>0</v>
      </c>
      <c r="X238" s="469">
        <f t="shared" si="45"/>
        <v>0</v>
      </c>
      <c r="Y238" s="754"/>
      <c r="Z238" s="750"/>
      <c r="AA238" s="740"/>
    </row>
    <row r="239" spans="1:29" ht="15.75" customHeight="1">
      <c r="A239" s="740"/>
      <c r="B239" s="201"/>
      <c r="C239" s="743"/>
      <c r="D239" s="746"/>
      <c r="E239" s="370"/>
      <c r="F239" s="367"/>
      <c r="G239" s="377"/>
      <c r="H239" s="369">
        <f t="shared" si="42"/>
        <v>0</v>
      </c>
      <c r="I239" s="366"/>
      <c r="J239" s="367"/>
      <c r="K239" s="411"/>
      <c r="L239" s="461">
        <f t="shared" si="43"/>
        <v>0</v>
      </c>
      <c r="M239" s="409"/>
      <c r="N239" s="411"/>
      <c r="O239" s="411"/>
      <c r="P239" s="411"/>
      <c r="Q239" s="376">
        <f>база!$L$6</f>
        <v>261.04640000000001</v>
      </c>
      <c r="R239" s="367">
        <v>1</v>
      </c>
      <c r="S239" s="468">
        <f>SUMIFS(Таблица1[Столбец1],Таблица1[коэф],"1",Таблица1[р/р],"5/16",Таблица1[Ф. И. О.],B242)</f>
        <v>0</v>
      </c>
      <c r="T239" s="469">
        <f t="shared" si="44"/>
        <v>0</v>
      </c>
      <c r="U239" s="449">
        <f>база!$M$6</f>
        <v>279.0496</v>
      </c>
      <c r="V239" s="367">
        <v>1</v>
      </c>
      <c r="W239" s="471">
        <f>SUMIFS(Таблица1[Столбец1],Таблица1[коэф],"1",Таблица1[р/р],"5/24",Таблица1[Ф. И. О.],B242)</f>
        <v>0</v>
      </c>
      <c r="X239" s="469">
        <f t="shared" si="45"/>
        <v>0</v>
      </c>
      <c r="Y239" s="754"/>
      <c r="Z239" s="750"/>
      <c r="AA239" s="740"/>
    </row>
    <row r="240" spans="1:29" ht="15.75" customHeight="1">
      <c r="A240" s="740"/>
      <c r="B240" s="201"/>
      <c r="C240" s="743"/>
      <c r="D240" s="746"/>
      <c r="E240" s="370"/>
      <c r="F240" s="367"/>
      <c r="G240" s="377"/>
      <c r="H240" s="369">
        <f t="shared" si="42"/>
        <v>0</v>
      </c>
      <c r="I240" s="366">
        <f>база!$J$5</f>
        <v>215.4924</v>
      </c>
      <c r="J240" s="367">
        <v>1.5</v>
      </c>
      <c r="K240" s="411">
        <f>SUMIFS(Таблица1[Столбец1],Таблица1[коэф],"1,5",Таблица1[р/р],"4/8",Таблица1[Ф. И. О.],B242)</f>
        <v>0</v>
      </c>
      <c r="L240" s="461">
        <f t="shared" si="43"/>
        <v>0</v>
      </c>
      <c r="M240" s="409"/>
      <c r="N240" s="411"/>
      <c r="O240" s="411"/>
      <c r="P240" s="411"/>
      <c r="Q240" s="376">
        <f>IF(D237&lt;=3,база!$L$4,
IF(D237=4,база!$L$5,
IF(D237=5,база!$L$6)))</f>
        <v>210.57480000000001</v>
      </c>
      <c r="R240" s="367">
        <v>1.2</v>
      </c>
      <c r="S240" s="468">
        <f>SUMIFS(Таблица1[Столбец1],Таблица1[коэф],"1,2",Таблица1[р/р],"3/16",Таблица1[Ф. И. О.],B242)</f>
        <v>0</v>
      </c>
      <c r="T240" s="469">
        <f t="shared" si="44"/>
        <v>0</v>
      </c>
      <c r="U240" s="449">
        <f>IF(D237&lt;=3,база!$M$4,
IF(D237=4,база!$M$5,
IF(D237=5,база!$M$6)))</f>
        <v>225.09719999999999</v>
      </c>
      <c r="V240" s="367">
        <v>1.2</v>
      </c>
      <c r="W240" s="471">
        <f>SUMIFS(Таблица1[Столбец1],Таблица1[коэф],"1,2",Таблица1[р/р],"3/24",Таблица1[Ф. И. О.],B242)</f>
        <v>0</v>
      </c>
      <c r="X240" s="469">
        <f t="shared" si="45"/>
        <v>0</v>
      </c>
      <c r="Y240" s="754"/>
      <c r="Z240" s="750"/>
      <c r="AA240" s="740"/>
    </row>
    <row r="241" spans="1:29" ht="15.75" customHeight="1">
      <c r="A241" s="740"/>
      <c r="B241" s="201"/>
      <c r="C241" s="743"/>
      <c r="D241" s="746"/>
      <c r="E241" s="370"/>
      <c r="F241" s="367"/>
      <c r="G241" s="377"/>
      <c r="H241" s="369">
        <f t="shared" si="42"/>
        <v>0</v>
      </c>
      <c r="I241" s="366">
        <f>база!$J$6</f>
        <v>243.04319999999998</v>
      </c>
      <c r="J241" s="367">
        <v>1.5</v>
      </c>
      <c r="K241" s="411">
        <f>SUMIFS(Таблица1[Столбец1],Таблица1[коэф],"1,5",Таблица1[р/р],"5/8",Таблица1[Ф. И. О.],B242)</f>
        <v>0</v>
      </c>
      <c r="L241" s="461">
        <f t="shared" si="43"/>
        <v>0</v>
      </c>
      <c r="M241" s="409"/>
      <c r="N241" s="411"/>
      <c r="O241" s="411"/>
      <c r="P241" s="411"/>
      <c r="Q241" s="376">
        <f>база!$L$5</f>
        <v>231.45480000000001</v>
      </c>
      <c r="R241" s="367">
        <v>1.2</v>
      </c>
      <c r="S241" s="468">
        <f>SUMIFS(Таблица1[Столбец1],Таблица1[коэф],"1,2",Таблица1[р/р],"4/16",Таблица1[Ф. И. О.],B242)</f>
        <v>0</v>
      </c>
      <c r="T241" s="469">
        <f t="shared" si="44"/>
        <v>0</v>
      </c>
      <c r="U241" s="449">
        <f>база!$M$5</f>
        <v>247.41720000000001</v>
      </c>
      <c r="V241" s="367">
        <v>1.2</v>
      </c>
      <c r="W241" s="471">
        <f>SUMIFS(Таблица1[Столбец1],Таблица1[коэф],"1,2",Таблица1[р/р],"4/24",Таблица1[Ф. И. О.],B242)</f>
        <v>0</v>
      </c>
      <c r="X241" s="469">
        <f t="shared" si="45"/>
        <v>0</v>
      </c>
      <c r="Y241" s="754"/>
      <c r="Z241" s="750"/>
      <c r="AA241" s="740"/>
    </row>
    <row r="242" spans="1:29" ht="15.75" customHeight="1">
      <c r="A242" s="740"/>
      <c r="B242" s="201" t="str">
        <f>база!B23</f>
        <v>Ескина Ксения Анатольевна</v>
      </c>
      <c r="C242" s="743"/>
      <c r="D242" s="746"/>
      <c r="E242" s="370"/>
      <c r="F242" s="367"/>
      <c r="G242" s="377"/>
      <c r="H242" s="369">
        <f t="shared" si="42"/>
        <v>0</v>
      </c>
      <c r="I242" s="366"/>
      <c r="J242" s="367"/>
      <c r="K242" s="411"/>
      <c r="L242" s="461">
        <f t="shared" si="43"/>
        <v>0</v>
      </c>
      <c r="M242" s="409"/>
      <c r="N242" s="411"/>
      <c r="O242" s="411"/>
      <c r="P242" s="411"/>
      <c r="Q242" s="376">
        <f>база!$L$6</f>
        <v>261.04640000000001</v>
      </c>
      <c r="R242" s="367">
        <v>1.2</v>
      </c>
      <c r="S242" s="468">
        <f>SUMIFS(Таблица1[Столбец1],Таблица1[коэф],"1,2",Таблица1[р/р],"5/16",Таблица1[Ф. И. О.],B242)</f>
        <v>0</v>
      </c>
      <c r="T242" s="469">
        <f t="shared" si="44"/>
        <v>0</v>
      </c>
      <c r="U242" s="449">
        <f>база!$M$6</f>
        <v>279.0496</v>
      </c>
      <c r="V242" s="367">
        <v>1.2</v>
      </c>
      <c r="W242" s="471">
        <f>SUMIFS(Таблица1[Столбец1],Таблица1[коэф],"1,2",Таблица1[р/р],"5/24",Таблица1[Ф. И. О.],B242)</f>
        <v>0</v>
      </c>
      <c r="X242" s="469">
        <f t="shared" si="45"/>
        <v>0</v>
      </c>
      <c r="Y242" s="754"/>
      <c r="Z242" s="750"/>
      <c r="AA242" s="740"/>
      <c r="AC242" s="693" t="str">
        <f>IF(SUMIFS(Таблица1[Столбец3],Таблица1[Ф. И. О.],B242)-Z237=0,"",SUMIFS(Таблица1[Столбец3],Таблица1[Ф. И. О.],B242)-Z237)</f>
        <v/>
      </c>
    </row>
    <row r="243" spans="1:29" ht="15.75" customHeight="1">
      <c r="A243" s="740"/>
      <c r="B243" s="201"/>
      <c r="C243" s="743"/>
      <c r="D243" s="746"/>
      <c r="E243" s="370"/>
      <c r="F243" s="367"/>
      <c r="G243" s="377"/>
      <c r="H243" s="369">
        <f t="shared" si="42"/>
        <v>0</v>
      </c>
      <c r="I243" s="366"/>
      <c r="J243" s="367"/>
      <c r="K243" s="411"/>
      <c r="L243" s="461">
        <f t="shared" si="43"/>
        <v>0</v>
      </c>
      <c r="M243" s="409"/>
      <c r="N243" s="411"/>
      <c r="O243" s="411"/>
      <c r="P243" s="411"/>
      <c r="Q243" s="376">
        <f>IF(D237&lt;=3,база!$L$4,
IF(D237=4,база!$L$5,
IF(D237=5,база!$L$6)))</f>
        <v>210.57480000000001</v>
      </c>
      <c r="R243" s="367">
        <v>1.3</v>
      </c>
      <c r="S243" s="468">
        <f>SUMIFS(Таблица1[Столбец1],Таблица1[коэф],"1,3",Таблица1[р/р],"3/16",Таблица1[Ф. И. О.],B242)</f>
        <v>0</v>
      </c>
      <c r="T243" s="469">
        <f t="shared" si="44"/>
        <v>0</v>
      </c>
      <c r="U243" s="449">
        <f>IF(D237&lt;=3,база!$M$4,
IF(D237=4,база!$M$5,
IF(D237=5,база!$M$6)))</f>
        <v>225.09719999999999</v>
      </c>
      <c r="V243" s="367">
        <v>1.3</v>
      </c>
      <c r="W243" s="471">
        <f>SUMIFS(Таблица1[Столбец1],Таблица1[коэф],"1,3",Таблица1[р/р],"3/24",Таблица1[Ф. И. О.],B242)</f>
        <v>0</v>
      </c>
      <c r="X243" s="469">
        <f t="shared" si="45"/>
        <v>0</v>
      </c>
      <c r="Y243" s="754"/>
      <c r="Z243" s="750"/>
      <c r="AA243" s="740"/>
      <c r="AC243" s="693" t="str">
        <f>IF(SUMIFS(Таблица1[Столбец1],Таблица1[Ф. И. О.],B242)=Y237,"",B242&amp;"  часы не верны")</f>
        <v/>
      </c>
    </row>
    <row r="244" spans="1:29" ht="15.75" customHeight="1">
      <c r="A244" s="740"/>
      <c r="B244" s="201"/>
      <c r="C244" s="743"/>
      <c r="D244" s="746"/>
      <c r="E244" s="370"/>
      <c r="F244" s="367"/>
      <c r="G244" s="377"/>
      <c r="H244" s="369">
        <f t="shared" si="42"/>
        <v>0</v>
      </c>
      <c r="I244" s="366"/>
      <c r="J244" s="367"/>
      <c r="K244" s="411"/>
      <c r="L244" s="461">
        <f t="shared" si="43"/>
        <v>0</v>
      </c>
      <c r="M244" s="409"/>
      <c r="N244" s="411"/>
      <c r="O244" s="411"/>
      <c r="P244" s="411"/>
      <c r="Q244" s="376">
        <f>база!$L$5</f>
        <v>231.45480000000001</v>
      </c>
      <c r="R244" s="367">
        <v>1.3</v>
      </c>
      <c r="S244" s="468">
        <f>SUMIFS(Таблица1[Столбец1],Таблица1[коэф],"1,3",Таблица1[р/р],"4/16",Таблица1[Ф. И. О.],B242)</f>
        <v>0</v>
      </c>
      <c r="T244" s="469">
        <f t="shared" si="44"/>
        <v>0</v>
      </c>
      <c r="U244" s="449">
        <f>база!$M$5</f>
        <v>247.41720000000001</v>
      </c>
      <c r="V244" s="367">
        <v>1.3</v>
      </c>
      <c r="W244" s="471">
        <f>SUMIFS(Таблица1[Столбец1],Таблица1[коэф],"1,3",Таблица1[р/р],"4/24",Таблица1[Ф. И. О.],B242)</f>
        <v>0</v>
      </c>
      <c r="X244" s="469">
        <f t="shared" si="45"/>
        <v>0</v>
      </c>
      <c r="Y244" s="754"/>
      <c r="Z244" s="750"/>
      <c r="AA244" s="740"/>
    </row>
    <row r="245" spans="1:29" ht="15.75" customHeight="1">
      <c r="A245" s="740"/>
      <c r="B245" s="201"/>
      <c r="C245" s="743"/>
      <c r="D245" s="746"/>
      <c r="E245" s="370"/>
      <c r="F245" s="367"/>
      <c r="G245" s="377"/>
      <c r="H245" s="369">
        <f t="shared" si="42"/>
        <v>0</v>
      </c>
      <c r="I245" s="366"/>
      <c r="J245" s="367"/>
      <c r="K245" s="411"/>
      <c r="L245" s="461">
        <f t="shared" si="43"/>
        <v>0</v>
      </c>
      <c r="M245" s="409"/>
      <c r="N245" s="411"/>
      <c r="O245" s="411"/>
      <c r="P245" s="411"/>
      <c r="Q245" s="376">
        <f>IF(D237&lt;=3,база!$L$4,
IF(D237=4,база!$L$5,
IF(D237=5,база!$L$6)))</f>
        <v>210.57480000000001</v>
      </c>
      <c r="R245" s="367">
        <v>1.4</v>
      </c>
      <c r="S245" s="468">
        <f>SUMIFS(Таблица1[Столбец1],Таблица1[коэф],"1,4",Таблица1[р/р],"3/16",Таблица1[Ф. И. О.],B242)</f>
        <v>0</v>
      </c>
      <c r="T245" s="469">
        <f t="shared" si="44"/>
        <v>0</v>
      </c>
      <c r="U245" s="449">
        <f>IF(D237&lt;=3,база!$M$4,
IF(D237=4,база!$M$5,
IF(D237=5,база!$M$6)))</f>
        <v>225.09719999999999</v>
      </c>
      <c r="V245" s="367">
        <v>1.4</v>
      </c>
      <c r="W245" s="471">
        <f>SUMIFS(Таблица1[Столбец1],Таблица1[коэф],"1,4",Таблица1[р/р],"3/24",Таблица1[Ф. И. О.],B242)</f>
        <v>0</v>
      </c>
      <c r="X245" s="469">
        <f t="shared" si="45"/>
        <v>0</v>
      </c>
      <c r="Y245" s="754"/>
      <c r="Z245" s="750"/>
      <c r="AA245" s="740"/>
    </row>
    <row r="246" spans="1:29" ht="15.75" customHeight="1">
      <c r="A246" s="740"/>
      <c r="B246" s="201"/>
      <c r="C246" s="743"/>
      <c r="D246" s="746"/>
      <c r="E246" s="370"/>
      <c r="F246" s="367"/>
      <c r="G246" s="377"/>
      <c r="H246" s="369">
        <f t="shared" si="42"/>
        <v>0</v>
      </c>
      <c r="I246" s="366"/>
      <c r="J246" s="367"/>
      <c r="K246" s="411"/>
      <c r="L246" s="372">
        <f t="shared" si="43"/>
        <v>0</v>
      </c>
      <c r="M246" s="409"/>
      <c r="N246" s="411"/>
      <c r="O246" s="411"/>
      <c r="P246" s="411"/>
      <c r="Q246" s="376">
        <f>база!$L$5</f>
        <v>231.45480000000001</v>
      </c>
      <c r="R246" s="367">
        <v>1.4</v>
      </c>
      <c r="S246" s="468">
        <f>SUMIFS(Таблица1[Столбец1],Таблица1[коэф],"1,4",Таблица1[р/р],"4/16",Таблица1[Ф. И. О.],B242)</f>
        <v>0</v>
      </c>
      <c r="T246" s="469">
        <f t="shared" si="44"/>
        <v>0</v>
      </c>
      <c r="U246" s="449">
        <f>база!$M$5</f>
        <v>247.41720000000001</v>
      </c>
      <c r="V246" s="367">
        <v>1.4</v>
      </c>
      <c r="W246" s="471">
        <f>SUMIFS(Таблица1[Столбец1],Таблица1[коэф],"1,4",Таблица1[р/р],"4/24",Таблица1[Ф. И. О.],B242)</f>
        <v>0</v>
      </c>
      <c r="X246" s="469">
        <f t="shared" si="45"/>
        <v>0</v>
      </c>
      <c r="Y246" s="754"/>
      <c r="Z246" s="750"/>
      <c r="AA246" s="740"/>
    </row>
    <row r="247" spans="1:29" ht="15.75" customHeight="1" thickBot="1">
      <c r="A247" s="741"/>
      <c r="B247" s="188"/>
      <c r="C247" s="744"/>
      <c r="D247" s="747"/>
      <c r="E247" s="440"/>
      <c r="F247" s="441"/>
      <c r="G247" s="442"/>
      <c r="H247" s="445">
        <f t="shared" si="42"/>
        <v>0</v>
      </c>
      <c r="I247" s="450"/>
      <c r="J247" s="441"/>
      <c r="K247" s="434"/>
      <c r="L247" s="461">
        <f t="shared" si="43"/>
        <v>0</v>
      </c>
      <c r="M247" s="443"/>
      <c r="N247" s="434"/>
      <c r="O247" s="434"/>
      <c r="P247" s="434"/>
      <c r="Q247" s="444">
        <f>база!$L$6</f>
        <v>261.04640000000001</v>
      </c>
      <c r="R247" s="441">
        <v>1.4</v>
      </c>
      <c r="S247" s="489">
        <f>SUMIFS(Таблица1[Столбец1],Таблица1[коэф],"1,4",Таблица1[р/р],"5/16",Таблица1[Ф. И. О.],B242)</f>
        <v>0</v>
      </c>
      <c r="T247" s="469">
        <f t="shared" si="44"/>
        <v>0</v>
      </c>
      <c r="U247" s="451">
        <f>база!$M$6</f>
        <v>279.0496</v>
      </c>
      <c r="V247" s="441">
        <v>1.4</v>
      </c>
      <c r="W247" s="478">
        <f>SUMIFS(Таблица1[Столбец1],Таблица1[коэф],"1,4",Таблица1[р/р],"5/24",Таблица1[Ф. И. О.],B242)</f>
        <v>0</v>
      </c>
      <c r="X247" s="469">
        <f t="shared" si="45"/>
        <v>0</v>
      </c>
      <c r="Y247" s="755"/>
      <c r="Z247" s="751"/>
      <c r="AA247" s="741"/>
    </row>
    <row r="248" spans="1:29" ht="18.75" customHeight="1">
      <c r="A248" s="739">
        <v>23</v>
      </c>
      <c r="B248" s="201"/>
      <c r="C248" s="742">
        <f>INDEX(база!$E$2:$E$81, MATCH(B253,база!$B$2:$B$50,0))</f>
        <v>15608</v>
      </c>
      <c r="D248" s="745">
        <f>INDEX(база!$D$2:$D$89, MATCH(B253,база!$B$2:$B$50,0))</f>
        <v>3</v>
      </c>
      <c r="E248" s="354">
        <f>IF(D248&lt;=3,база!$I$4,
IF(D248=4,база!$I$5,
IF(D248=5,база!$I$6)))</f>
        <v>188.7912</v>
      </c>
      <c r="F248" s="355">
        <v>1</v>
      </c>
      <c r="G248" s="364">
        <f>SUMIFS(Таблица1[Столбец1],Таблица1[коэф],"1",Таблица1[р/р],"2/4",Таблица1[Ф. И. О.],B253)</f>
        <v>0</v>
      </c>
      <c r="H248" s="379">
        <f t="shared" si="42"/>
        <v>0</v>
      </c>
      <c r="I248" s="428">
        <f>IF(D248&lt;=3,база!$J$4,
IF(D248=4,база!$J$5,
IF(D248=5,база!$J$6)))</f>
        <v>196.05240000000001</v>
      </c>
      <c r="J248" s="394">
        <v>1</v>
      </c>
      <c r="K248" s="430">
        <f>SUMIFS(Таблица1[Столбец1],Таблица1[коэф],"1",Таблица1[р/р],"2/8",Таблица1[Ф. И. О.],B253)</f>
        <v>0</v>
      </c>
      <c r="L248" s="360">
        <f t="shared" si="43"/>
        <v>0</v>
      </c>
      <c r="M248" s="430"/>
      <c r="N248" s="430">
        <v>1</v>
      </c>
      <c r="O248" s="430">
        <f>SUMIFS(Data_Tech!$AM$3:$AM$67,Data_Tech!$E$3:$E$67,"1",Data_Tech!$G$3:$G$67,"3/12",Data_Tech!$F$3:$F$67,B253)</f>
        <v>0</v>
      </c>
      <c r="P248" s="375">
        <f>ROUND(M248*N248*O248,2)</f>
        <v>0</v>
      </c>
      <c r="Q248" s="354">
        <f>IF(D248&lt;=3,база!$L$4,
IF(D248=4,база!$L$5,
IF(D248=5,база!$L$6)))</f>
        <v>210.57480000000001</v>
      </c>
      <c r="R248" s="355">
        <v>1</v>
      </c>
      <c r="S248" s="466">
        <f>SUMIFS(Таблица1[Столбец1],Таблица1[коэф],"1",Таблица1[р/р],"3/16",Таблица1[Ф. И. О.],B253)</f>
        <v>0</v>
      </c>
      <c r="T248" s="467">
        <f t="shared" si="44"/>
        <v>0</v>
      </c>
      <c r="U248" s="431">
        <f>IF(D248&lt;=3,база!$M$4,
IF(D248=4,база!$M$5,
IF(D248=5,база!$M$6)))</f>
        <v>225.09719999999999</v>
      </c>
      <c r="V248" s="394">
        <v>1</v>
      </c>
      <c r="W248" s="477">
        <f>SUMIFS(Таблица1[Столбец1],Таблица1[коэф],"1",Таблица1[р/р],"3/24",Таблица1[Ф. И. О.],B253)</f>
        <v>0</v>
      </c>
      <c r="X248" s="467">
        <f t="shared" si="45"/>
        <v>0</v>
      </c>
      <c r="Y248" s="753">
        <f t="shared" ref="Y248" si="48">SUM(G248:G258,K248:K258,O248:O258,S248:S258,W248:W258)</f>
        <v>0</v>
      </c>
      <c r="Z248" s="752">
        <f t="shared" ref="Z248" si="49">IFERROR(SUM(H248:H258,L248:L258,T248:T258,X248:X258),"")</f>
        <v>0</v>
      </c>
      <c r="AA248" s="739"/>
    </row>
    <row r="249" spans="1:29" ht="18.75" customHeight="1">
      <c r="A249" s="740"/>
      <c r="B249" s="201"/>
      <c r="C249" s="743"/>
      <c r="D249" s="746"/>
      <c r="E249" s="366">
        <f>IF(D248&lt;=3,база!$I$4,
IF(D248=4,база!$I$5,
IF(D248=5,база!$I$6)))</f>
        <v>188.7912</v>
      </c>
      <c r="F249" s="367">
        <v>1</v>
      </c>
      <c r="G249" s="377">
        <f>SUMIFS(Таблица1[Столбец1],Таблица1[коэф],"1",Таблица1[р/р],"3/4",Таблица1[Ф. И. О.],B253)</f>
        <v>0</v>
      </c>
      <c r="H249" s="369">
        <f t="shared" si="42"/>
        <v>0</v>
      </c>
      <c r="I249" s="370">
        <f>IF(D248&lt;=3,база!$J$4,
IF(D248=4,база!$J$5,
IF(D248=5,база!$J$6)))</f>
        <v>196.05240000000001</v>
      </c>
      <c r="J249" s="367">
        <v>1</v>
      </c>
      <c r="K249" s="411">
        <f>SUMIFS(Таблица1[Столбец1],Таблица1[коэф],"1",Таблица1[р/р],"3/8",Таблица1[Ф. И. О.],B253)</f>
        <v>0</v>
      </c>
      <c r="L249" s="461">
        <f t="shared" si="43"/>
        <v>0</v>
      </c>
      <c r="M249" s="411"/>
      <c r="N249" s="411">
        <v>1</v>
      </c>
      <c r="O249" s="411">
        <f>SUMIFS(Data_Tech!$AM$3:$AM$67,Data_Tech!$E$3:$E$67,"1",Data_Tech!$G$3:$G$67,"4/12",Data_Tech!$F$3:$F$67,B253)</f>
        <v>0</v>
      </c>
      <c r="P249" s="383">
        <f>ROUND(M249*O249,2)</f>
        <v>0</v>
      </c>
      <c r="Q249" s="366">
        <f>база!$L$5</f>
        <v>231.45480000000001</v>
      </c>
      <c r="R249" s="367">
        <v>1</v>
      </c>
      <c r="S249" s="468">
        <f>SUMIFS(Таблица1[Столбец1],Таблица1[коэф],"1",Таблица1[р/р],"4/16",Таблица1[Ф. И. О.],B253)</f>
        <v>0</v>
      </c>
      <c r="T249" s="469">
        <f t="shared" si="44"/>
        <v>0</v>
      </c>
      <c r="U249" s="387">
        <f>база!$M$5</f>
        <v>247.41720000000001</v>
      </c>
      <c r="V249" s="367">
        <v>1</v>
      </c>
      <c r="W249" s="471">
        <f>SUMIFS(Таблица1[Столбец1],Таблица1[коэф],"1",Таблица1[р/р],"4/24",Таблица1[Ф. И. О.],B253)</f>
        <v>0</v>
      </c>
      <c r="X249" s="469">
        <f t="shared" si="45"/>
        <v>0</v>
      </c>
      <c r="Y249" s="754"/>
      <c r="Z249" s="750"/>
      <c r="AA249" s="740"/>
    </row>
    <row r="250" spans="1:29" ht="18.75" customHeight="1">
      <c r="A250" s="740"/>
      <c r="B250" s="201"/>
      <c r="C250" s="743"/>
      <c r="D250" s="746"/>
      <c r="E250" s="366"/>
      <c r="F250" s="367"/>
      <c r="G250" s="377"/>
      <c r="H250" s="369">
        <f t="shared" si="42"/>
        <v>0</v>
      </c>
      <c r="I250" s="370"/>
      <c r="J250" s="367"/>
      <c r="K250" s="411"/>
      <c r="L250" s="461">
        <f t="shared" si="43"/>
        <v>0</v>
      </c>
      <c r="M250" s="411"/>
      <c r="N250" s="411"/>
      <c r="O250" s="411"/>
      <c r="P250" s="383"/>
      <c r="Q250" s="366">
        <f>база!$L$6</f>
        <v>261.04640000000001</v>
      </c>
      <c r="R250" s="367">
        <v>1</v>
      </c>
      <c r="S250" s="468">
        <f>SUMIFS(Таблица1[Столбец1],Таблица1[коэф],"1",Таблица1[р/р],"5/16",Таблица1[Ф. И. О.],B253)</f>
        <v>0</v>
      </c>
      <c r="T250" s="469">
        <f t="shared" si="44"/>
        <v>0</v>
      </c>
      <c r="U250" s="387">
        <f>база!$M$6</f>
        <v>279.0496</v>
      </c>
      <c r="V250" s="367">
        <v>1</v>
      </c>
      <c r="W250" s="471">
        <f>SUMIFS(Таблица1[Столбец1],Таблица1[коэф],"1",Таблица1[р/р],"5/24",Таблица1[Ф. И. О.],B253)</f>
        <v>0</v>
      </c>
      <c r="X250" s="469">
        <f t="shared" si="45"/>
        <v>0</v>
      </c>
      <c r="Y250" s="754"/>
      <c r="Z250" s="750"/>
      <c r="AA250" s="740"/>
    </row>
    <row r="251" spans="1:29" ht="18.75" customHeight="1">
      <c r="A251" s="740"/>
      <c r="B251" s="201"/>
      <c r="C251" s="743"/>
      <c r="D251" s="746"/>
      <c r="E251" s="366"/>
      <c r="F251" s="367"/>
      <c r="G251" s="377"/>
      <c r="H251" s="369">
        <f t="shared" si="42"/>
        <v>0</v>
      </c>
      <c r="I251" s="370">
        <f>база!$J$5</f>
        <v>215.4924</v>
      </c>
      <c r="J251" s="367">
        <v>1.5</v>
      </c>
      <c r="K251" s="411">
        <f>SUMIFS(Таблица1[Столбец1],Таблица1[коэф],"1,5",Таблица1[р/р],"4/8",Таблица1[Ф. И. О.],B253)</f>
        <v>0</v>
      </c>
      <c r="L251" s="461">
        <f t="shared" si="43"/>
        <v>0</v>
      </c>
      <c r="M251" s="411"/>
      <c r="N251" s="411"/>
      <c r="O251" s="411"/>
      <c r="P251" s="383"/>
      <c r="Q251" s="366">
        <f>IF(D248&lt;=3,база!$L$4,
IF(D248=4,база!$L$5,
IF(D248=5,база!$L$6)))</f>
        <v>210.57480000000001</v>
      </c>
      <c r="R251" s="367">
        <v>1.2</v>
      </c>
      <c r="S251" s="468">
        <f>SUMIFS(Таблица1[Столбец1],Таблица1[коэф],"1,2",Таблица1[р/р],"3/16",Таблица1[Ф. И. О.],B253)</f>
        <v>0</v>
      </c>
      <c r="T251" s="469">
        <f t="shared" si="44"/>
        <v>0</v>
      </c>
      <c r="U251" s="387">
        <f>IF(D248&lt;=3,база!$M$4,
IF(D248=4,база!$M$5,
IF(D248=5,база!$M$6)))</f>
        <v>225.09719999999999</v>
      </c>
      <c r="V251" s="367">
        <v>1.2</v>
      </c>
      <c r="W251" s="471">
        <f>SUMIFS(Таблица1[Столбец1],Таблица1[коэф],"1,2",Таблица1[р/р],"3/24",Таблица1[Ф. И. О.],B253)</f>
        <v>0</v>
      </c>
      <c r="X251" s="469">
        <f t="shared" si="45"/>
        <v>0</v>
      </c>
      <c r="Y251" s="754"/>
      <c r="Z251" s="750"/>
      <c r="AA251" s="740"/>
    </row>
    <row r="252" spans="1:29" ht="18.75" customHeight="1">
      <c r="A252" s="740"/>
      <c r="B252" s="201"/>
      <c r="C252" s="743"/>
      <c r="D252" s="746"/>
      <c r="E252" s="366"/>
      <c r="F252" s="367"/>
      <c r="G252" s="377"/>
      <c r="H252" s="369">
        <f t="shared" si="42"/>
        <v>0</v>
      </c>
      <c r="I252" s="370">
        <f>база!$J$6</f>
        <v>243.04319999999998</v>
      </c>
      <c r="J252" s="367">
        <v>1.5</v>
      </c>
      <c r="K252" s="411">
        <f>SUMIFS(Таблица1[Столбец1],Таблица1[коэф],"1,5",Таблица1[р/р],"5/8",Таблица1[Ф. И. О.],B253)</f>
        <v>0</v>
      </c>
      <c r="L252" s="461">
        <f t="shared" si="43"/>
        <v>0</v>
      </c>
      <c r="M252" s="411"/>
      <c r="N252" s="411"/>
      <c r="O252" s="411"/>
      <c r="P252" s="383"/>
      <c r="Q252" s="366">
        <f>база!$L$5</f>
        <v>231.45480000000001</v>
      </c>
      <c r="R252" s="367">
        <v>1.2</v>
      </c>
      <c r="S252" s="468">
        <f>SUMIFS(Таблица1[Столбец1],Таблица1[коэф],"1,2",Таблица1[р/р],"4/16",Таблица1[Ф. И. О.],B253)</f>
        <v>0</v>
      </c>
      <c r="T252" s="469">
        <f t="shared" si="44"/>
        <v>0</v>
      </c>
      <c r="U252" s="387">
        <f>база!$M$5</f>
        <v>247.41720000000001</v>
      </c>
      <c r="V252" s="367">
        <v>1.2</v>
      </c>
      <c r="W252" s="471">
        <f>SUMIFS(Таблица1[Столбец1],Таблица1[коэф],"1,2",Таблица1[р/р],"4/24",Таблица1[Ф. И. О.],B253)</f>
        <v>0</v>
      </c>
      <c r="X252" s="469">
        <f t="shared" si="45"/>
        <v>0</v>
      </c>
      <c r="Y252" s="754"/>
      <c r="Z252" s="750"/>
      <c r="AA252" s="740"/>
    </row>
    <row r="253" spans="1:29" ht="18.75" customHeight="1">
      <c r="A253" s="740"/>
      <c r="B253" s="201" t="str">
        <f>база!B24</f>
        <v>Журавлева Мария Валентиновна</v>
      </c>
      <c r="C253" s="743"/>
      <c r="D253" s="746"/>
      <c r="E253" s="366"/>
      <c r="F253" s="367"/>
      <c r="G253" s="377"/>
      <c r="H253" s="369">
        <f t="shared" si="42"/>
        <v>0</v>
      </c>
      <c r="I253" s="370"/>
      <c r="J253" s="367"/>
      <c r="K253" s="411"/>
      <c r="L253" s="461">
        <f t="shared" si="43"/>
        <v>0</v>
      </c>
      <c r="M253" s="411"/>
      <c r="N253" s="411"/>
      <c r="O253" s="411"/>
      <c r="P253" s="383"/>
      <c r="Q253" s="366">
        <f>база!$L$6</f>
        <v>261.04640000000001</v>
      </c>
      <c r="R253" s="367">
        <v>1.2</v>
      </c>
      <c r="S253" s="468">
        <f>SUMIFS(Таблица1[Столбец1],Таблица1[коэф],"1,2",Таблица1[р/р],"5/16",Таблица1[Ф. И. О.],B253)</f>
        <v>0</v>
      </c>
      <c r="T253" s="469">
        <f t="shared" si="44"/>
        <v>0</v>
      </c>
      <c r="U253" s="387">
        <f>база!$M$6</f>
        <v>279.0496</v>
      </c>
      <c r="V253" s="367">
        <v>1.2</v>
      </c>
      <c r="W253" s="471">
        <f>SUMIFS(Таблица1[Столбец1],Таблица1[коэф],"1,2",Таблица1[р/р],"5/24",Таблица1[Ф. И. О.],B253)</f>
        <v>0</v>
      </c>
      <c r="X253" s="469">
        <f t="shared" si="45"/>
        <v>0</v>
      </c>
      <c r="Y253" s="754"/>
      <c r="Z253" s="750"/>
      <c r="AA253" s="740"/>
      <c r="AC253" s="693" t="str">
        <f>IF(SUMIFS(Таблица1[Столбец3],Таблица1[Ф. И. О.],B253)-Z248=0,"",SUMIFS(Таблица1[Столбец3],Таблица1[Ф. И. О.],B253)-Z248)</f>
        <v/>
      </c>
    </row>
    <row r="254" spans="1:29" ht="18.75" customHeight="1">
      <c r="A254" s="740"/>
      <c r="B254" s="201"/>
      <c r="C254" s="743"/>
      <c r="D254" s="746"/>
      <c r="E254" s="366"/>
      <c r="F254" s="367"/>
      <c r="G254" s="377"/>
      <c r="H254" s="369">
        <f t="shared" si="42"/>
        <v>0</v>
      </c>
      <c r="I254" s="370"/>
      <c r="J254" s="367"/>
      <c r="K254" s="411"/>
      <c r="L254" s="461">
        <f t="shared" si="43"/>
        <v>0</v>
      </c>
      <c r="M254" s="411"/>
      <c r="N254" s="411"/>
      <c r="O254" s="411"/>
      <c r="P254" s="383"/>
      <c r="Q254" s="366">
        <f>IF(D248&lt;=3,база!$L$4,
IF(D248=4,база!$L$5,
IF(D248=5,база!$L$6)))</f>
        <v>210.57480000000001</v>
      </c>
      <c r="R254" s="367">
        <v>1.3</v>
      </c>
      <c r="S254" s="468">
        <f>SUMIFS(Таблица1[Столбец1],Таблица1[коэф],"1,3",Таблица1[р/р],"3/16",Таблица1[Ф. И. О.],B253)</f>
        <v>0</v>
      </c>
      <c r="T254" s="469">
        <f t="shared" si="44"/>
        <v>0</v>
      </c>
      <c r="U254" s="387">
        <f>IF(D248&lt;=3,база!$M$4,
IF(D248=4,база!$M$5,
IF(D248=5,база!$M$6)))</f>
        <v>225.09719999999999</v>
      </c>
      <c r="V254" s="367">
        <v>1.3</v>
      </c>
      <c r="W254" s="471">
        <f>SUMIFS(Таблица1[Столбец1],Таблица1[коэф],"1,3",Таблица1[р/р],"3/24",Таблица1[Ф. И. О.],B253)</f>
        <v>0</v>
      </c>
      <c r="X254" s="469">
        <f t="shared" si="45"/>
        <v>0</v>
      </c>
      <c r="Y254" s="754"/>
      <c r="Z254" s="750"/>
      <c r="AA254" s="740"/>
      <c r="AC254" s="693" t="str">
        <f>IF(SUMIFS(Таблица1[Столбец1],Таблица1[Ф. И. О.],B253)=Y248,"",B253&amp;"  часы не верны")</f>
        <v/>
      </c>
    </row>
    <row r="255" spans="1:29" ht="18.75" customHeight="1">
      <c r="A255" s="740"/>
      <c r="B255" s="201"/>
      <c r="C255" s="743"/>
      <c r="D255" s="746"/>
      <c r="E255" s="366"/>
      <c r="F255" s="367"/>
      <c r="G255" s="377"/>
      <c r="H255" s="369">
        <f t="shared" si="42"/>
        <v>0</v>
      </c>
      <c r="I255" s="370"/>
      <c r="J255" s="367"/>
      <c r="K255" s="411"/>
      <c r="L255" s="461">
        <f t="shared" si="43"/>
        <v>0</v>
      </c>
      <c r="M255" s="411"/>
      <c r="N255" s="411"/>
      <c r="O255" s="411"/>
      <c r="P255" s="383"/>
      <c r="Q255" s="366">
        <f>база!$L$5</f>
        <v>231.45480000000001</v>
      </c>
      <c r="R255" s="367">
        <v>1.3</v>
      </c>
      <c r="S255" s="468">
        <f>SUMIFS(Таблица1[Столбец1],Таблица1[коэф],"1,3",Таблица1[р/р],"4/16",Таблица1[Ф. И. О.],B253)</f>
        <v>0</v>
      </c>
      <c r="T255" s="469">
        <f t="shared" si="44"/>
        <v>0</v>
      </c>
      <c r="U255" s="387">
        <f>база!$M$5</f>
        <v>247.41720000000001</v>
      </c>
      <c r="V255" s="367">
        <v>1.3</v>
      </c>
      <c r="W255" s="471">
        <f>SUMIFS(Таблица1[Столбец1],Таблица1[коэф],"1,3",Таблица1[р/р],"4/24",Таблица1[Ф. И. О.],B253)</f>
        <v>0</v>
      </c>
      <c r="X255" s="469">
        <f t="shared" si="45"/>
        <v>0</v>
      </c>
      <c r="Y255" s="754"/>
      <c r="Z255" s="750"/>
      <c r="AA255" s="740"/>
    </row>
    <row r="256" spans="1:29" ht="18.75" customHeight="1">
      <c r="A256" s="740"/>
      <c r="B256" s="201"/>
      <c r="C256" s="743"/>
      <c r="D256" s="746"/>
      <c r="E256" s="366"/>
      <c r="F256" s="367"/>
      <c r="G256" s="377"/>
      <c r="H256" s="369">
        <f t="shared" si="42"/>
        <v>0</v>
      </c>
      <c r="I256" s="370"/>
      <c r="J256" s="367"/>
      <c r="K256" s="411"/>
      <c r="L256" s="461">
        <f t="shared" si="43"/>
        <v>0</v>
      </c>
      <c r="M256" s="411"/>
      <c r="N256" s="411"/>
      <c r="O256" s="411"/>
      <c r="P256" s="383"/>
      <c r="Q256" s="366">
        <f>IF(D248&lt;=3,база!$L$4,
IF(D248=4,база!$L$5,
IF(D248=5,база!$L$6)))</f>
        <v>210.57480000000001</v>
      </c>
      <c r="R256" s="367">
        <v>1.4</v>
      </c>
      <c r="S256" s="468">
        <f>SUMIFS(Таблица1[Столбец1],Таблица1[коэф],"1,4",Таблица1[р/р],"3/16",Таблица1[Ф. И. О.],B253)</f>
        <v>0</v>
      </c>
      <c r="T256" s="469">
        <f t="shared" si="44"/>
        <v>0</v>
      </c>
      <c r="U256" s="387">
        <f>IF(D248&lt;=3,база!$M$4,
IF(D248=4,база!$M$5,
IF(D248=5,база!$M$6)))</f>
        <v>225.09719999999999</v>
      </c>
      <c r="V256" s="367">
        <v>1.4</v>
      </c>
      <c r="W256" s="471">
        <f>SUMIFS(Таблица1[Столбец1],Таблица1[коэф],"1,4",Таблица1[р/р],"3/24",Таблица1[Ф. И. О.],B253)</f>
        <v>0</v>
      </c>
      <c r="X256" s="469">
        <f t="shared" si="45"/>
        <v>0</v>
      </c>
      <c r="Y256" s="754"/>
      <c r="Z256" s="750"/>
      <c r="AA256" s="740"/>
    </row>
    <row r="257" spans="1:29" ht="18.75" customHeight="1">
      <c r="A257" s="740"/>
      <c r="B257" s="201"/>
      <c r="C257" s="743"/>
      <c r="D257" s="746"/>
      <c r="E257" s="366"/>
      <c r="F257" s="367"/>
      <c r="G257" s="377"/>
      <c r="H257" s="369">
        <f t="shared" si="42"/>
        <v>0</v>
      </c>
      <c r="I257" s="370"/>
      <c r="J257" s="367"/>
      <c r="K257" s="411"/>
      <c r="L257" s="461">
        <f t="shared" si="43"/>
        <v>0</v>
      </c>
      <c r="M257" s="411"/>
      <c r="N257" s="411"/>
      <c r="O257" s="411"/>
      <c r="P257" s="383"/>
      <c r="Q257" s="366">
        <f>база!$L$5</f>
        <v>231.45480000000001</v>
      </c>
      <c r="R257" s="367">
        <v>1.4</v>
      </c>
      <c r="S257" s="468">
        <f>SUMIFS(Таблица1[Столбец1],Таблица1[коэф],"1,4",Таблица1[р/р],"4/16",Таблица1[Ф. И. О.],B253)</f>
        <v>0</v>
      </c>
      <c r="T257" s="469">
        <f t="shared" si="44"/>
        <v>0</v>
      </c>
      <c r="U257" s="387">
        <f>база!$M$5</f>
        <v>247.41720000000001</v>
      </c>
      <c r="V257" s="367">
        <v>1.4</v>
      </c>
      <c r="W257" s="471">
        <f>SUMIFS(Таблица1[Столбец1],Таблица1[коэф],"1,4",Таблица1[р/р],"4/24",Таблица1[Ф. И. О.],B253)</f>
        <v>0</v>
      </c>
      <c r="X257" s="469">
        <f t="shared" si="45"/>
        <v>0</v>
      </c>
      <c r="Y257" s="754"/>
      <c r="Z257" s="750"/>
      <c r="AA257" s="740"/>
    </row>
    <row r="258" spans="1:29" ht="19.5" customHeight="1" thickBot="1">
      <c r="A258" s="741"/>
      <c r="B258" s="188"/>
      <c r="C258" s="744"/>
      <c r="D258" s="747"/>
      <c r="E258" s="450"/>
      <c r="F258" s="441"/>
      <c r="G258" s="442"/>
      <c r="H258" s="445">
        <f t="shared" si="42"/>
        <v>0</v>
      </c>
      <c r="I258" s="450"/>
      <c r="J258" s="441"/>
      <c r="K258" s="434"/>
      <c r="L258" s="461">
        <f t="shared" si="43"/>
        <v>0</v>
      </c>
      <c r="M258" s="437"/>
      <c r="N258" s="437"/>
      <c r="O258" s="437"/>
      <c r="P258" s="456"/>
      <c r="Q258" s="450">
        <f>база!$L$6</f>
        <v>261.04640000000001</v>
      </c>
      <c r="R258" s="441">
        <v>1.4</v>
      </c>
      <c r="S258" s="489">
        <f>SUMIFS(Таблица1[Столбец1],Таблица1[коэф],"1,4",Таблица1[р/р],"5/16",Таблица1[Ф. И. О.],B253)</f>
        <v>0</v>
      </c>
      <c r="T258" s="469">
        <f t="shared" si="44"/>
        <v>0</v>
      </c>
      <c r="U258" s="451">
        <f>база!$M$6</f>
        <v>279.0496</v>
      </c>
      <c r="V258" s="441">
        <v>1.4</v>
      </c>
      <c r="W258" s="478">
        <f>SUMIFS(Таблица1[Столбец1],Таблица1[коэф],"1,4",Таблица1[р/р],"5/24",Таблица1[Ф. И. О.],B253)</f>
        <v>0</v>
      </c>
      <c r="X258" s="469">
        <f t="shared" si="45"/>
        <v>0</v>
      </c>
      <c r="Y258" s="755"/>
      <c r="Z258" s="751"/>
      <c r="AA258" s="741"/>
    </row>
    <row r="259" spans="1:29" ht="18.75" customHeight="1">
      <c r="A259" s="739">
        <v>24</v>
      </c>
      <c r="B259" s="201"/>
      <c r="C259" s="742">
        <f>INDEX(база!$E$2:$E$81, MATCH(B264,база!$B$2:$B$50,0))</f>
        <v>17129</v>
      </c>
      <c r="D259" s="745">
        <f>INDEX(база!$D$2:$D$89, MATCH(B264,база!$B$2:$B$50,0))</f>
        <v>3</v>
      </c>
      <c r="E259" s="354">
        <f>IF(D259&lt;=3,база!$I$4,
IF(D259=4,база!$I$5,
IF(D259=5,база!$I$6)))</f>
        <v>188.7912</v>
      </c>
      <c r="F259" s="355">
        <v>1</v>
      </c>
      <c r="G259" s="364">
        <f>SUMIFS(Таблица1[Столбец1],Таблица1[коэф],"1",Таблица1[р/р],"2/4",Таблица1[Ф. И. О.],B264)</f>
        <v>0</v>
      </c>
      <c r="H259" s="379">
        <f t="shared" ref="H259:H280" si="50">ROUND(E259*F259*G259*2,2)</f>
        <v>0</v>
      </c>
      <c r="I259" s="428">
        <f>IF(D259&lt;=3,база!$J$4,
IF(D259=4,база!$J$5,
IF(D259=5,база!$J$6)))</f>
        <v>196.05240000000001</v>
      </c>
      <c r="J259" s="394">
        <v>1</v>
      </c>
      <c r="K259" s="430">
        <f>SUMIFS(Таблица1[Столбец1],Таблица1[коэф],"1",Таблица1[р/р],"2/8",Таблица1[Ф. И. О.],B264)</f>
        <v>0</v>
      </c>
      <c r="L259" s="360">
        <f t="shared" ref="L259:L280" si="51">ROUND(I259*J259*K259*2,2)</f>
        <v>0</v>
      </c>
      <c r="M259" s="430"/>
      <c r="N259" s="430">
        <v>1</v>
      </c>
      <c r="O259" s="430">
        <f>SUMIFS(Data_Tech!$AM$3:$AM$67,Data_Tech!$E$3:$E$67,"1",Data_Tech!$G$3:$G$67,"3/12",Data_Tech!$F$3:$F$67,B264)</f>
        <v>0</v>
      </c>
      <c r="P259" s="375">
        <f>ROUND(M259*N259*O259,2)</f>
        <v>0</v>
      </c>
      <c r="Q259" s="354">
        <f>IF(D259&lt;=3,база!$L$4,
IF(D259=4,база!$L$5,
IF(D259=5,база!$L$6)))</f>
        <v>210.57480000000001</v>
      </c>
      <c r="R259" s="355">
        <v>1</v>
      </c>
      <c r="S259" s="466">
        <f>SUMIFS(Таблица1[Столбец1],Таблица1[коэф],"1",Таблица1[р/р],"3/16",Таблица1[Ф. И. О.],B264)</f>
        <v>0</v>
      </c>
      <c r="T259" s="467">
        <f t="shared" ref="T259:T280" si="52">ROUND(Q259*R259*S259*2,2)</f>
        <v>0</v>
      </c>
      <c r="U259" s="431">
        <f>IF(D259&lt;=3,база!$M$4,
IF(D259=4,база!$M$5,
IF(D259=5,база!$M$6)))</f>
        <v>225.09719999999999</v>
      </c>
      <c r="V259" s="394">
        <v>1</v>
      </c>
      <c r="W259" s="477">
        <f>SUMIFS(Таблица1[Столбец1],Таблица1[коэф],"1",Таблица1[р/р],"3/24",Таблица1[Ф. И. О.],B264)</f>
        <v>0</v>
      </c>
      <c r="X259" s="467">
        <f t="shared" ref="X259:X280" si="53">ROUND(U259*V259*W259*2,2)</f>
        <v>0</v>
      </c>
      <c r="Y259" s="753">
        <f t="shared" ref="Y259" si="54">SUM(G259:G269,K259:K269,O259:O269,S259:S269,W259:W269)</f>
        <v>0</v>
      </c>
      <c r="Z259" s="752">
        <f t="shared" ref="Z259" si="55">IFERROR(SUM(H259:H269,L259:L269,T259:T269,X259:X269),"")</f>
        <v>0</v>
      </c>
      <c r="AA259" s="739"/>
    </row>
    <row r="260" spans="1:29" ht="18.75" customHeight="1">
      <c r="A260" s="740"/>
      <c r="B260" s="201"/>
      <c r="C260" s="743"/>
      <c r="D260" s="746"/>
      <c r="E260" s="366">
        <f>IF(D259&lt;=3,база!$I$4,
IF(D259=4,база!$I$5,
IF(D259=5,база!$I$6)))</f>
        <v>188.7912</v>
      </c>
      <c r="F260" s="367">
        <v>1</v>
      </c>
      <c r="G260" s="377">
        <f>SUMIFS(Таблица1[Столбец1],Таблица1[коэф],"1",Таблица1[р/р],"3/4",Таблица1[Ф. И. О.],B264)</f>
        <v>0</v>
      </c>
      <c r="H260" s="369">
        <f t="shared" si="50"/>
        <v>0</v>
      </c>
      <c r="I260" s="370">
        <f>IF(D259&lt;=3,база!$J$4,
IF(D259=4,база!$J$5,
IF(D259=5,база!$J$6)))</f>
        <v>196.05240000000001</v>
      </c>
      <c r="J260" s="367">
        <v>1</v>
      </c>
      <c r="K260" s="411">
        <f>SUMIFS(Таблица1[Столбец1],Таблица1[коэф],"1",Таблица1[р/р],"3/8",Таблица1[Ф. И. О.],B264)</f>
        <v>0</v>
      </c>
      <c r="L260" s="461">
        <f t="shared" si="51"/>
        <v>0</v>
      </c>
      <c r="M260" s="411"/>
      <c r="N260" s="411">
        <v>1</v>
      </c>
      <c r="O260" s="411">
        <f>SUMIFS(Data_Tech!$AM$3:$AM$67,Data_Tech!$E$3:$E$67,"1",Data_Tech!$G$3:$G$67,"4/12",Data_Tech!$F$3:$F$67,B264)</f>
        <v>0</v>
      </c>
      <c r="P260" s="383">
        <f>ROUND(M260*O260,2)</f>
        <v>0</v>
      </c>
      <c r="Q260" s="366">
        <f>база!$L$5</f>
        <v>231.45480000000001</v>
      </c>
      <c r="R260" s="367">
        <v>1</v>
      </c>
      <c r="S260" s="468">
        <f>SUMIFS(Таблица1[Столбец1],Таблица1[коэф],"1",Таблица1[р/р],"4/16",Таблица1[Ф. И. О.],B264)</f>
        <v>0</v>
      </c>
      <c r="T260" s="469">
        <f t="shared" si="52"/>
        <v>0</v>
      </c>
      <c r="U260" s="387">
        <f>база!$M$5</f>
        <v>247.41720000000001</v>
      </c>
      <c r="V260" s="367">
        <v>1</v>
      </c>
      <c r="W260" s="471">
        <f>SUMIFS(Таблица1[Столбец1],Таблица1[коэф],"1",Таблица1[р/р],"4/24",Таблица1[Ф. И. О.],B264)</f>
        <v>0</v>
      </c>
      <c r="X260" s="469">
        <f t="shared" si="53"/>
        <v>0</v>
      </c>
      <c r="Y260" s="754"/>
      <c r="Z260" s="750"/>
      <c r="AA260" s="740"/>
    </row>
    <row r="261" spans="1:29" ht="18.75" customHeight="1">
      <c r="A261" s="740"/>
      <c r="B261" s="201"/>
      <c r="C261" s="743"/>
      <c r="D261" s="746"/>
      <c r="E261" s="366"/>
      <c r="F261" s="367"/>
      <c r="G261" s="377"/>
      <c r="H261" s="369">
        <f t="shared" si="50"/>
        <v>0</v>
      </c>
      <c r="I261" s="370"/>
      <c r="J261" s="367"/>
      <c r="K261" s="411"/>
      <c r="L261" s="461">
        <f t="shared" si="51"/>
        <v>0</v>
      </c>
      <c r="M261" s="411"/>
      <c r="N261" s="411"/>
      <c r="O261" s="411"/>
      <c r="P261" s="383"/>
      <c r="Q261" s="366">
        <f>база!$L$6</f>
        <v>261.04640000000001</v>
      </c>
      <c r="R261" s="367">
        <v>1</v>
      </c>
      <c r="S261" s="468">
        <f>SUMIFS(Таблица1[Столбец1],Таблица1[коэф],"1",Таблица1[р/р],"5/16",Таблица1[Ф. И. О.],B264)</f>
        <v>0</v>
      </c>
      <c r="T261" s="469">
        <f t="shared" si="52"/>
        <v>0</v>
      </c>
      <c r="U261" s="387">
        <f>база!$M$6</f>
        <v>279.0496</v>
      </c>
      <c r="V261" s="367">
        <v>1</v>
      </c>
      <c r="W261" s="471">
        <f>SUMIFS(Таблица1[Столбец1],Таблица1[коэф],"1",Таблица1[р/р],"5/24",Таблица1[Ф. И. О.],B264)</f>
        <v>0</v>
      </c>
      <c r="X261" s="469">
        <f t="shared" si="53"/>
        <v>0</v>
      </c>
      <c r="Y261" s="754"/>
      <c r="Z261" s="750"/>
      <c r="AA261" s="740"/>
    </row>
    <row r="262" spans="1:29" ht="18.75" customHeight="1">
      <c r="A262" s="740"/>
      <c r="B262" s="201"/>
      <c r="C262" s="743"/>
      <c r="D262" s="746"/>
      <c r="E262" s="366"/>
      <c r="F262" s="367"/>
      <c r="G262" s="377"/>
      <c r="H262" s="369">
        <f t="shared" si="50"/>
        <v>0</v>
      </c>
      <c r="I262" s="370">
        <f>база!$J$5</f>
        <v>215.4924</v>
      </c>
      <c r="J262" s="367">
        <v>1.5</v>
      </c>
      <c r="K262" s="411">
        <f>SUMIFS(Таблица1[Столбец1],Таблица1[коэф],"1,5",Таблица1[р/р],"4/8",Таблица1[Ф. И. О.],B264)</f>
        <v>0</v>
      </c>
      <c r="L262" s="461">
        <f t="shared" si="51"/>
        <v>0</v>
      </c>
      <c r="M262" s="411"/>
      <c r="N262" s="411"/>
      <c r="O262" s="411"/>
      <c r="P262" s="383"/>
      <c r="Q262" s="366">
        <f>IF(D259&lt;=3,база!$L$4,
IF(D259=4,база!$L$5,
IF(D259=5,база!$L$6)))</f>
        <v>210.57480000000001</v>
      </c>
      <c r="R262" s="367">
        <v>1.2</v>
      </c>
      <c r="S262" s="468">
        <f>SUMIFS(Таблица1[Столбец1],Таблица1[коэф],"1,2",Таблица1[р/р],"3/16",Таблица1[Ф. И. О.],B264)</f>
        <v>0</v>
      </c>
      <c r="T262" s="469">
        <f t="shared" si="52"/>
        <v>0</v>
      </c>
      <c r="U262" s="387">
        <f>IF(D259&lt;=3,база!$M$4,
IF(D259=4,база!$M$5,
IF(D259=5,база!$M$6)))</f>
        <v>225.09719999999999</v>
      </c>
      <c r="V262" s="367">
        <v>1.2</v>
      </c>
      <c r="W262" s="471">
        <f>SUMIFS(Таблица1[Столбец1],Таблица1[коэф],"1,2",Таблица1[р/р],"3/24",Таблица1[Ф. И. О.],B264)</f>
        <v>0</v>
      </c>
      <c r="X262" s="469">
        <f t="shared" si="53"/>
        <v>0</v>
      </c>
      <c r="Y262" s="754"/>
      <c r="Z262" s="750"/>
      <c r="AA262" s="740"/>
    </row>
    <row r="263" spans="1:29" ht="18.75" customHeight="1">
      <c r="A263" s="740"/>
      <c r="B263" s="201"/>
      <c r="C263" s="743"/>
      <c r="D263" s="746"/>
      <c r="E263" s="366"/>
      <c r="F263" s="367"/>
      <c r="G263" s="377"/>
      <c r="H263" s="369">
        <f t="shared" si="50"/>
        <v>0</v>
      </c>
      <c r="I263" s="370">
        <f>база!$J$6</f>
        <v>243.04319999999998</v>
      </c>
      <c r="J263" s="367">
        <v>1.5</v>
      </c>
      <c r="K263" s="411">
        <f>SUMIFS(Таблица1[Столбец1],Таблица1[коэф],"1,5",Таблица1[р/р],"5/8",Таблица1[Ф. И. О.],B264)</f>
        <v>0</v>
      </c>
      <c r="L263" s="461">
        <f t="shared" si="51"/>
        <v>0</v>
      </c>
      <c r="M263" s="411"/>
      <c r="N263" s="411"/>
      <c r="O263" s="411"/>
      <c r="P263" s="383"/>
      <c r="Q263" s="366">
        <f>база!$L$5</f>
        <v>231.45480000000001</v>
      </c>
      <c r="R263" s="367">
        <v>1.2</v>
      </c>
      <c r="S263" s="468">
        <f>SUMIFS(Таблица1[Столбец1],Таблица1[коэф],"1,2",Таблица1[р/р],"4/16",Таблица1[Ф. И. О.],B264)</f>
        <v>0</v>
      </c>
      <c r="T263" s="469">
        <f t="shared" si="52"/>
        <v>0</v>
      </c>
      <c r="U263" s="387">
        <f>база!$M$5</f>
        <v>247.41720000000001</v>
      </c>
      <c r="V263" s="367">
        <v>1.2</v>
      </c>
      <c r="W263" s="471">
        <f>SUMIFS(Таблица1[Столбец1],Таблица1[коэф],"1,2",Таблица1[р/р],"4/24",Таблица1[Ф. И. О.],B264)</f>
        <v>0</v>
      </c>
      <c r="X263" s="469">
        <f t="shared" si="53"/>
        <v>0</v>
      </c>
      <c r="Y263" s="754"/>
      <c r="Z263" s="750"/>
      <c r="AA263" s="740"/>
    </row>
    <row r="264" spans="1:29" ht="18.75" customHeight="1">
      <c r="A264" s="740"/>
      <c r="B264" s="201" t="str">
        <f>база!B25</f>
        <v>Зинина Екатерина Олеговна</v>
      </c>
      <c r="C264" s="743"/>
      <c r="D264" s="746"/>
      <c r="E264" s="366"/>
      <c r="F264" s="367"/>
      <c r="G264" s="377"/>
      <c r="H264" s="369">
        <f t="shared" si="50"/>
        <v>0</v>
      </c>
      <c r="I264" s="370"/>
      <c r="J264" s="367"/>
      <c r="K264" s="411"/>
      <c r="L264" s="461">
        <f t="shared" si="51"/>
        <v>0</v>
      </c>
      <c r="M264" s="411"/>
      <c r="N264" s="411"/>
      <c r="O264" s="411"/>
      <c r="P264" s="383"/>
      <c r="Q264" s="366">
        <f>база!$L$6</f>
        <v>261.04640000000001</v>
      </c>
      <c r="R264" s="367">
        <v>1.2</v>
      </c>
      <c r="S264" s="468">
        <f>SUMIFS(Таблица1[Столбец1],Таблица1[коэф],"1,2",Таблица1[р/р],"5/16",Таблица1[Ф. И. О.],B264)</f>
        <v>0</v>
      </c>
      <c r="T264" s="469">
        <f t="shared" si="52"/>
        <v>0</v>
      </c>
      <c r="U264" s="387">
        <f>база!$M$6</f>
        <v>279.0496</v>
      </c>
      <c r="V264" s="367">
        <v>1.2</v>
      </c>
      <c r="W264" s="471">
        <f>SUMIFS(Таблица1[Столбец1],Таблица1[коэф],"1,2",Таблица1[р/р],"5/24",Таблица1[Ф. И. О.],B264)</f>
        <v>0</v>
      </c>
      <c r="X264" s="469">
        <f t="shared" si="53"/>
        <v>0</v>
      </c>
      <c r="Y264" s="754"/>
      <c r="Z264" s="750"/>
      <c r="AA264" s="740"/>
      <c r="AC264" s="693" t="str">
        <f>IF(SUMIFS(Таблица1[Столбец3],Таблица1[Ф. И. О.],B264)-Z259=0,"",SUMIFS(Таблица1[Столбец3],Таблица1[Ф. И. О.],B264)-Z259)</f>
        <v/>
      </c>
    </row>
    <row r="265" spans="1:29" ht="18.75" customHeight="1">
      <c r="A265" s="740"/>
      <c r="B265" s="201"/>
      <c r="C265" s="743"/>
      <c r="D265" s="746"/>
      <c r="E265" s="366"/>
      <c r="F265" s="367"/>
      <c r="G265" s="377"/>
      <c r="H265" s="369">
        <f t="shared" si="50"/>
        <v>0</v>
      </c>
      <c r="I265" s="370"/>
      <c r="J265" s="367"/>
      <c r="K265" s="411"/>
      <c r="L265" s="461">
        <f t="shared" si="51"/>
        <v>0</v>
      </c>
      <c r="M265" s="411"/>
      <c r="N265" s="411"/>
      <c r="O265" s="411"/>
      <c r="P265" s="383"/>
      <c r="Q265" s="366">
        <f>IF(D259&lt;=3,база!$L$4,
IF(D259=4,база!$L$5,
IF(D259=5,база!$L$6)))</f>
        <v>210.57480000000001</v>
      </c>
      <c r="R265" s="367">
        <v>1.3</v>
      </c>
      <c r="S265" s="468">
        <f>SUMIFS(Таблица1[Столбец1],Таблица1[коэф],"1,3",Таблица1[р/р],"3/16",Таблица1[Ф. И. О.],B264)</f>
        <v>0</v>
      </c>
      <c r="T265" s="469">
        <f t="shared" si="52"/>
        <v>0</v>
      </c>
      <c r="U265" s="387">
        <f>IF(D259&lt;=3,база!$M$4,
IF(D259=4,база!$M$5,
IF(D259=5,база!$M$6)))</f>
        <v>225.09719999999999</v>
      </c>
      <c r="V265" s="367">
        <v>1.3</v>
      </c>
      <c r="W265" s="471">
        <f>SUMIFS(Таблица1[Столбец1],Таблица1[коэф],"1,3",Таблица1[р/р],"3/24",Таблица1[Ф. И. О.],B264)</f>
        <v>0</v>
      </c>
      <c r="X265" s="469">
        <f t="shared" si="53"/>
        <v>0</v>
      </c>
      <c r="Y265" s="754"/>
      <c r="Z265" s="750"/>
      <c r="AA265" s="740"/>
      <c r="AC265" s="693" t="str">
        <f>IF(SUMIFS(Таблица1[Столбец1],Таблица1[Ф. И. О.],B264)=Y259,"",B264&amp;"  часы не верны")</f>
        <v/>
      </c>
    </row>
    <row r="266" spans="1:29" ht="18.75" customHeight="1">
      <c r="A266" s="740"/>
      <c r="B266" s="201"/>
      <c r="C266" s="743"/>
      <c r="D266" s="746"/>
      <c r="E266" s="366"/>
      <c r="F266" s="367"/>
      <c r="G266" s="377"/>
      <c r="H266" s="369">
        <f t="shared" si="50"/>
        <v>0</v>
      </c>
      <c r="I266" s="370"/>
      <c r="J266" s="367"/>
      <c r="K266" s="411"/>
      <c r="L266" s="461">
        <f t="shared" si="51"/>
        <v>0</v>
      </c>
      <c r="M266" s="411"/>
      <c r="N266" s="411"/>
      <c r="O266" s="411"/>
      <c r="P266" s="383"/>
      <c r="Q266" s="366">
        <f>база!$L$5</f>
        <v>231.45480000000001</v>
      </c>
      <c r="R266" s="367">
        <v>1.3</v>
      </c>
      <c r="S266" s="468">
        <f>SUMIFS(Таблица1[Столбец1],Таблица1[коэф],"1,3",Таблица1[р/р],"4/16",Таблица1[Ф. И. О.],B264)</f>
        <v>0</v>
      </c>
      <c r="T266" s="469">
        <f t="shared" si="52"/>
        <v>0</v>
      </c>
      <c r="U266" s="387">
        <f>база!$M$5</f>
        <v>247.41720000000001</v>
      </c>
      <c r="V266" s="367">
        <v>1.3</v>
      </c>
      <c r="W266" s="471">
        <f>SUMIFS(Таблица1[Столбец1],Таблица1[коэф],"1,3",Таблица1[р/р],"4/24",Таблица1[Ф. И. О.],B264)</f>
        <v>0</v>
      </c>
      <c r="X266" s="469">
        <f t="shared" si="53"/>
        <v>0</v>
      </c>
      <c r="Y266" s="754"/>
      <c r="Z266" s="750"/>
      <c r="AA266" s="740"/>
    </row>
    <row r="267" spans="1:29" ht="18.75" customHeight="1">
      <c r="A267" s="740"/>
      <c r="B267" s="201"/>
      <c r="C267" s="743"/>
      <c r="D267" s="746"/>
      <c r="E267" s="366"/>
      <c r="F267" s="367"/>
      <c r="G267" s="377"/>
      <c r="H267" s="369">
        <f t="shared" si="50"/>
        <v>0</v>
      </c>
      <c r="I267" s="370"/>
      <c r="J267" s="367"/>
      <c r="K267" s="411"/>
      <c r="L267" s="461">
        <f t="shared" si="51"/>
        <v>0</v>
      </c>
      <c r="M267" s="411"/>
      <c r="N267" s="411"/>
      <c r="O267" s="411"/>
      <c r="P267" s="383"/>
      <c r="Q267" s="366">
        <f>IF(D259&lt;=3,база!$L$4,
IF(D259=4,база!$L$5,
IF(D259=5,база!$L$6)))</f>
        <v>210.57480000000001</v>
      </c>
      <c r="R267" s="367">
        <v>1.4</v>
      </c>
      <c r="S267" s="468">
        <f>SUMIFS(Таблица1[Столбец1],Таблица1[коэф],"1,4",Таблица1[р/р],"3/16",Таблица1[Ф. И. О.],B264)</f>
        <v>0</v>
      </c>
      <c r="T267" s="469">
        <f t="shared" si="52"/>
        <v>0</v>
      </c>
      <c r="U267" s="387">
        <f>IF(D259&lt;=3,база!$M$4,
IF(D259=4,база!$M$5,
IF(D259=5,база!$M$6)))</f>
        <v>225.09719999999999</v>
      </c>
      <c r="V267" s="367">
        <v>1.4</v>
      </c>
      <c r="W267" s="471">
        <f>SUMIFS(Таблица1[Столбец1],Таблица1[коэф],"1,4",Таблица1[р/р],"3/24",Таблица1[Ф. И. О.],B264)</f>
        <v>0</v>
      </c>
      <c r="X267" s="469">
        <f t="shared" si="53"/>
        <v>0</v>
      </c>
      <c r="Y267" s="754"/>
      <c r="Z267" s="750"/>
      <c r="AA267" s="740"/>
    </row>
    <row r="268" spans="1:29" ht="18.75" customHeight="1">
      <c r="A268" s="740"/>
      <c r="B268" s="201"/>
      <c r="C268" s="743"/>
      <c r="D268" s="746"/>
      <c r="E268" s="366"/>
      <c r="F268" s="367"/>
      <c r="G268" s="377"/>
      <c r="H268" s="369">
        <f t="shared" si="50"/>
        <v>0</v>
      </c>
      <c r="I268" s="370"/>
      <c r="J268" s="367"/>
      <c r="K268" s="411"/>
      <c r="L268" s="461">
        <f t="shared" si="51"/>
        <v>0</v>
      </c>
      <c r="M268" s="411"/>
      <c r="N268" s="411"/>
      <c r="O268" s="411"/>
      <c r="P268" s="383"/>
      <c r="Q268" s="366">
        <f>база!$L$5</f>
        <v>231.45480000000001</v>
      </c>
      <c r="R268" s="367">
        <v>1.4</v>
      </c>
      <c r="S268" s="468">
        <f>SUMIFS(Таблица1[Столбец1],Таблица1[коэф],"1,4",Таблица1[р/р],"4/16",Таблица1[Ф. И. О.],B264)</f>
        <v>0</v>
      </c>
      <c r="T268" s="469">
        <f t="shared" si="52"/>
        <v>0</v>
      </c>
      <c r="U268" s="387">
        <f>база!$M$5</f>
        <v>247.41720000000001</v>
      </c>
      <c r="V268" s="367">
        <v>1.4</v>
      </c>
      <c r="W268" s="471">
        <f>SUMIFS(Таблица1[Столбец1],Таблица1[коэф],"1,4",Таблица1[р/р],"4/24",Таблица1[Ф. И. О.],B264)</f>
        <v>0</v>
      </c>
      <c r="X268" s="469">
        <f t="shared" si="53"/>
        <v>0</v>
      </c>
      <c r="Y268" s="754"/>
      <c r="Z268" s="750"/>
      <c r="AA268" s="740"/>
    </row>
    <row r="269" spans="1:29" ht="19.5" customHeight="1" thickBot="1">
      <c r="A269" s="741"/>
      <c r="B269" s="201"/>
      <c r="C269" s="744"/>
      <c r="D269" s="747"/>
      <c r="E269" s="450"/>
      <c r="F269" s="441"/>
      <c r="G269" s="442"/>
      <c r="H269" s="445">
        <f t="shared" si="50"/>
        <v>0</v>
      </c>
      <c r="I269" s="399"/>
      <c r="J269" s="380"/>
      <c r="K269" s="437"/>
      <c r="L269" s="461">
        <f t="shared" si="51"/>
        <v>0</v>
      </c>
      <c r="M269" s="437"/>
      <c r="N269" s="437"/>
      <c r="O269" s="437"/>
      <c r="P269" s="456"/>
      <c r="Q269" s="450">
        <f>база!$L$6</f>
        <v>261.04640000000001</v>
      </c>
      <c r="R269" s="441">
        <v>1.4</v>
      </c>
      <c r="S269" s="489">
        <f>SUMIFS(Таблица1[Столбец1],Таблица1[коэф],"1,4",Таблица1[р/р],"5/16",Таблица1[Ф. И. О.],B264)</f>
        <v>0</v>
      </c>
      <c r="T269" s="469">
        <f t="shared" si="52"/>
        <v>0</v>
      </c>
      <c r="U269" s="438">
        <f>база!$M$6</f>
        <v>279.0496</v>
      </c>
      <c r="V269" s="380">
        <v>1.4</v>
      </c>
      <c r="W269" s="473">
        <f>SUMIFS(Таблица1[Столбец1],Таблица1[коэф],"1,4",Таблица1[р/р],"5/24",Таблица1[Ф. И. О.],B264)</f>
        <v>0</v>
      </c>
      <c r="X269" s="469">
        <f t="shared" si="53"/>
        <v>0</v>
      </c>
      <c r="Y269" s="755"/>
      <c r="Z269" s="751"/>
      <c r="AA269" s="741"/>
    </row>
    <row r="270" spans="1:29" ht="18.75" collapsed="1">
      <c r="A270" s="739">
        <v>25</v>
      </c>
      <c r="B270" s="219"/>
      <c r="C270" s="742">
        <f>INDEX(база!$E$2:$E$81, MATCH(B275,база!$B$2:$B$50,0))</f>
        <v>13676</v>
      </c>
      <c r="D270" s="745">
        <f>INDEX(база!$D$2:$D$89, MATCH(B275,база!$B$2:$B$50,0))</f>
        <v>4</v>
      </c>
      <c r="E270" s="428">
        <f>IF(D270&lt;=3,база!$I$4,
IF(D270=4,база!$I$5,
IF(D270=5,база!$I$6)))</f>
        <v>207.5112</v>
      </c>
      <c r="F270" s="394">
        <v>1</v>
      </c>
      <c r="G270" s="395">
        <f>SUMIFS(Таблица1[Столбец1],Таблица1[коэф],"1",Таблица1[р/р],"2/4",Таблица1[Ф. И. О.],B275)</f>
        <v>0</v>
      </c>
      <c r="H270" s="379">
        <f t="shared" si="50"/>
        <v>0</v>
      </c>
      <c r="I270" s="354">
        <f>IF(D270&lt;=3,база!$J$4,
IF(D270=4,база!$J$5,
IF(D270=5,база!$J$6)))</f>
        <v>215.4924</v>
      </c>
      <c r="J270" s="355">
        <v>1</v>
      </c>
      <c r="K270" s="405">
        <f>SUMIFS(Таблица1[Столбец1],Таблица1[коэф],"1",Таблица1[р/р],"2/8",Таблица1[Ф. И. О.],B275)</f>
        <v>0</v>
      </c>
      <c r="L270" s="360">
        <f t="shared" si="51"/>
        <v>0</v>
      </c>
      <c r="M270" s="429"/>
      <c r="N270" s="430">
        <v>1</v>
      </c>
      <c r="O270" s="430">
        <f>SUMIFS(Data_Tech!$AM$3:$AM$67,Data_Tech!$E$3:$E$67,"1",Data_Tech!$G$3:$G$67,"3/12",Data_Tech!$F$3:$F$67,B275)</f>
        <v>0</v>
      </c>
      <c r="P270" s="430">
        <f>ROUND(M270*N270*O270,2)</f>
        <v>0</v>
      </c>
      <c r="Q270" s="393">
        <f>IF(D270&lt;=3,база!$L$4,
IF(D270=4,база!$L$5,
IF(D270=5,база!$L$6)))</f>
        <v>231.45480000000001</v>
      </c>
      <c r="R270" s="394">
        <v>1</v>
      </c>
      <c r="S270" s="472">
        <f>SUMIFS(Таблица1[Столбец1],Таблица1[коэф],"1",Таблица1[р/р],"3/16",Таблица1[Ф. И. О.],B275)</f>
        <v>0</v>
      </c>
      <c r="T270" s="467">
        <f t="shared" si="52"/>
        <v>0</v>
      </c>
      <c r="U270" s="448">
        <f>IF(D270&lt;=3,база!$M$4,
IF(D270=4,база!$M$5,
IF(D270=5,база!$M$6)))</f>
        <v>247.41720000000001</v>
      </c>
      <c r="V270" s="355">
        <v>1</v>
      </c>
      <c r="W270" s="474">
        <f>SUMIFS(Таблица1[Столбец1],Таблица1[коэф],"1",Таблица1[р/р],"3/24",Таблица1[Ф. И. О.],B275)</f>
        <v>0</v>
      </c>
      <c r="X270" s="467">
        <f t="shared" si="53"/>
        <v>0</v>
      </c>
      <c r="Y270" s="748">
        <f t="shared" ref="Y270" si="56">SUM(G270:G280,K270:K280,O270:O280,S270:S280,W270:W280)</f>
        <v>0</v>
      </c>
      <c r="Z270" s="750">
        <f t="shared" ref="Z270" si="57">IFERROR(SUM(H270:H280,L270:L280,T270:T280,X270:X280),"")</f>
        <v>0</v>
      </c>
      <c r="AA270" s="740"/>
    </row>
    <row r="271" spans="1:29" ht="18.75">
      <c r="A271" s="740"/>
      <c r="B271" s="201"/>
      <c r="C271" s="743"/>
      <c r="D271" s="746"/>
      <c r="E271" s="370">
        <f>IF(D270&lt;=3,база!$I$4,
IF(D270=4,база!$I$5,
IF(D270=5,база!$I$6)))</f>
        <v>207.5112</v>
      </c>
      <c r="F271" s="367">
        <v>1</v>
      </c>
      <c r="G271" s="377">
        <f>SUMIFS(Таблица1[Столбец1],Таблица1[коэф],"1",Таблица1[р/р],"3/4",Таблица1[Ф. И. О.],B275)</f>
        <v>0</v>
      </c>
      <c r="H271" s="369">
        <f t="shared" si="50"/>
        <v>0</v>
      </c>
      <c r="I271" s="366">
        <f>IF(D270&lt;=3,база!$J$4,
IF(D270=4,база!$J$5,
IF(D270=5,база!$J$6)))</f>
        <v>215.4924</v>
      </c>
      <c r="J271" s="367">
        <v>1</v>
      </c>
      <c r="K271" s="411">
        <f>SUMIFS(Таблица1[Столбец1],Таблица1[коэф],"1",Таблица1[р/р],"3/8",Таблица1[Ф. И. О.],B275)</f>
        <v>0</v>
      </c>
      <c r="L271" s="461">
        <f t="shared" si="51"/>
        <v>0</v>
      </c>
      <c r="M271" s="409"/>
      <c r="N271" s="411">
        <v>1</v>
      </c>
      <c r="O271" s="411">
        <f>SUMIFS(Data_Tech!$AM$3:$AM$67,Data_Tech!$E$3:$E$67,"1",Data_Tech!$G$3:$G$67,"4/12",Data_Tech!$F$3:$F$67,B275)</f>
        <v>0</v>
      </c>
      <c r="P271" s="411">
        <f>ROUND(M271*O271,2)</f>
        <v>0</v>
      </c>
      <c r="Q271" s="376">
        <f>база!$L$5</f>
        <v>231.45480000000001</v>
      </c>
      <c r="R271" s="367">
        <v>1</v>
      </c>
      <c r="S271" s="468">
        <f>SUMIFS(Таблица1[Столбец1],Таблица1[коэф],"1",Таблица1[р/р],"4/16",Таблица1[Ф. И. О.],B275)</f>
        <v>0</v>
      </c>
      <c r="T271" s="469">
        <f t="shared" si="52"/>
        <v>0</v>
      </c>
      <c r="U271" s="449">
        <f>база!$M$5</f>
        <v>247.41720000000001</v>
      </c>
      <c r="V271" s="367">
        <v>1</v>
      </c>
      <c r="W271" s="471">
        <f>SUMIFS(Таблица1[Столбец1],Таблица1[коэф],"1",Таблица1[р/р],"4/24",Таблица1[Ф. И. О.],B275)</f>
        <v>0</v>
      </c>
      <c r="X271" s="469">
        <f t="shared" si="53"/>
        <v>0</v>
      </c>
      <c r="Y271" s="748"/>
      <c r="Z271" s="750"/>
      <c r="AA271" s="740"/>
    </row>
    <row r="272" spans="1:29" ht="18.75">
      <c r="A272" s="740"/>
      <c r="B272" s="201"/>
      <c r="C272" s="743"/>
      <c r="D272" s="746"/>
      <c r="E272" s="370"/>
      <c r="F272" s="367"/>
      <c r="G272" s="377"/>
      <c r="H272" s="369">
        <f t="shared" si="50"/>
        <v>0</v>
      </c>
      <c r="I272" s="366"/>
      <c r="J272" s="367"/>
      <c r="K272" s="411"/>
      <c r="L272" s="461">
        <f t="shared" si="51"/>
        <v>0</v>
      </c>
      <c r="M272" s="409"/>
      <c r="N272" s="411"/>
      <c r="O272" s="411"/>
      <c r="P272" s="411"/>
      <c r="Q272" s="376">
        <f>база!$L$6</f>
        <v>261.04640000000001</v>
      </c>
      <c r="R272" s="367">
        <v>1</v>
      </c>
      <c r="S272" s="468">
        <f>SUMIFS(Таблица1[Столбец1],Таблица1[коэф],"1",Таблица1[р/р],"5/16",Таблица1[Ф. И. О.],B275)</f>
        <v>0</v>
      </c>
      <c r="T272" s="469">
        <f t="shared" si="52"/>
        <v>0</v>
      </c>
      <c r="U272" s="449">
        <f>база!$M$6</f>
        <v>279.0496</v>
      </c>
      <c r="V272" s="367">
        <v>1</v>
      </c>
      <c r="W272" s="471">
        <f>SUMIFS(Таблица1[Столбец1],Таблица1[коэф],"1",Таблица1[р/р],"5/24",Таблица1[Ф. И. О.],B275)</f>
        <v>0</v>
      </c>
      <c r="X272" s="469">
        <f t="shared" si="53"/>
        <v>0</v>
      </c>
      <c r="Y272" s="748"/>
      <c r="Z272" s="750"/>
      <c r="AA272" s="740"/>
    </row>
    <row r="273" spans="1:29" ht="18.75">
      <c r="A273" s="740"/>
      <c r="B273" s="201"/>
      <c r="C273" s="743"/>
      <c r="D273" s="746"/>
      <c r="E273" s="370"/>
      <c r="F273" s="367"/>
      <c r="G273" s="377"/>
      <c r="H273" s="369">
        <f t="shared" si="50"/>
        <v>0</v>
      </c>
      <c r="I273" s="366">
        <f>база!$J$5</f>
        <v>215.4924</v>
      </c>
      <c r="J273" s="367">
        <v>1.5</v>
      </c>
      <c r="K273" s="411">
        <f>SUMIFS(Таблица1[Столбец1],Таблица1[коэф],"1,5",Таблица1[р/р],"4/8",Таблица1[Ф. И. О.],B275)</f>
        <v>0</v>
      </c>
      <c r="L273" s="461">
        <f t="shared" si="51"/>
        <v>0</v>
      </c>
      <c r="M273" s="409"/>
      <c r="N273" s="411"/>
      <c r="O273" s="411"/>
      <c r="P273" s="411"/>
      <c r="Q273" s="376">
        <f>IF(D270&lt;=3,база!$L$4,
IF(D270=4,база!$L$5,
IF(D270=5,база!$L$6)))</f>
        <v>231.45480000000001</v>
      </c>
      <c r="R273" s="367">
        <v>1.2</v>
      </c>
      <c r="S273" s="468">
        <f>SUMIFS(Таблица1[Столбец1],Таблица1[коэф],"1,2",Таблица1[р/р],"3/16",Таблица1[Ф. И. О.],B275)</f>
        <v>0</v>
      </c>
      <c r="T273" s="469">
        <f t="shared" si="52"/>
        <v>0</v>
      </c>
      <c r="U273" s="449">
        <f>IF(D270&lt;=3,база!$M$4,
IF(D270=4,база!$M$5,
IF(D270=5,база!$M$6)))</f>
        <v>247.41720000000001</v>
      </c>
      <c r="V273" s="367">
        <v>1.2</v>
      </c>
      <c r="W273" s="471">
        <f>SUMIFS(Таблица1[Столбец1],Таблица1[коэф],"1,2",Таблица1[р/р],"3/24",Таблица1[Ф. И. О.],B275)</f>
        <v>0</v>
      </c>
      <c r="X273" s="469">
        <f t="shared" si="53"/>
        <v>0</v>
      </c>
      <c r="Y273" s="748"/>
      <c r="Z273" s="750"/>
      <c r="AA273" s="740"/>
    </row>
    <row r="274" spans="1:29" ht="18.75">
      <c r="A274" s="740"/>
      <c r="B274" s="201"/>
      <c r="C274" s="743"/>
      <c r="D274" s="746"/>
      <c r="E274" s="370"/>
      <c r="F274" s="367"/>
      <c r="G274" s="377"/>
      <c r="H274" s="369">
        <f t="shared" si="50"/>
        <v>0</v>
      </c>
      <c r="I274" s="366">
        <f>база!$J$6</f>
        <v>243.04319999999998</v>
      </c>
      <c r="J274" s="367">
        <v>1.5</v>
      </c>
      <c r="K274" s="411">
        <f>SUMIFS(Таблица1[Столбец1],Таблица1[коэф],"1,5",Таблица1[р/р],"5/8",Таблица1[Ф. И. О.],B275)</f>
        <v>0</v>
      </c>
      <c r="L274" s="461">
        <f t="shared" si="51"/>
        <v>0</v>
      </c>
      <c r="M274" s="409"/>
      <c r="N274" s="411"/>
      <c r="O274" s="411"/>
      <c r="P274" s="411"/>
      <c r="Q274" s="376">
        <f>база!$L$5</f>
        <v>231.45480000000001</v>
      </c>
      <c r="R274" s="367">
        <v>1.2</v>
      </c>
      <c r="S274" s="468">
        <f>SUMIFS(Таблица1[Столбец1],Таблица1[коэф],"1,2",Таблица1[р/р],"4/16",Таблица1[Ф. И. О.],B275)</f>
        <v>0</v>
      </c>
      <c r="T274" s="469">
        <f t="shared" si="52"/>
        <v>0</v>
      </c>
      <c r="U274" s="449">
        <f>база!$M$5</f>
        <v>247.41720000000001</v>
      </c>
      <c r="V274" s="367">
        <v>1.2</v>
      </c>
      <c r="W274" s="471">
        <f>SUMIFS(Таблица1[Столбец1],Таблица1[коэф],"1,2",Таблица1[р/р],"4/24",Таблица1[Ф. И. О.],B275)</f>
        <v>0</v>
      </c>
      <c r="X274" s="469">
        <f t="shared" si="53"/>
        <v>0</v>
      </c>
      <c r="Y274" s="748"/>
      <c r="Z274" s="750"/>
      <c r="AA274" s="740"/>
    </row>
    <row r="275" spans="1:29" ht="18" customHeight="1">
      <c r="A275" s="740"/>
      <c r="B275" s="201" t="str">
        <f>база!B26</f>
        <v>Зоидзе Ирина Сергеевна</v>
      </c>
      <c r="C275" s="743"/>
      <c r="D275" s="746"/>
      <c r="E275" s="370"/>
      <c r="F275" s="367"/>
      <c r="G275" s="377"/>
      <c r="H275" s="369">
        <f t="shared" si="50"/>
        <v>0</v>
      </c>
      <c r="I275" s="366"/>
      <c r="J275" s="367"/>
      <c r="K275" s="411"/>
      <c r="L275" s="461">
        <f t="shared" si="51"/>
        <v>0</v>
      </c>
      <c r="M275" s="409"/>
      <c r="N275" s="411"/>
      <c r="O275" s="411"/>
      <c r="P275" s="411"/>
      <c r="Q275" s="376">
        <f>база!$L$6</f>
        <v>261.04640000000001</v>
      </c>
      <c r="R275" s="367">
        <v>1.2</v>
      </c>
      <c r="S275" s="468">
        <f>SUMIFS(Таблица1[Столбец1],Таблица1[коэф],"1,2",Таблица1[р/р],"5/16",Таблица1[Ф. И. О.],B275)</f>
        <v>0</v>
      </c>
      <c r="T275" s="469">
        <f t="shared" si="52"/>
        <v>0</v>
      </c>
      <c r="U275" s="449">
        <f>база!$M$6</f>
        <v>279.0496</v>
      </c>
      <c r="V275" s="367">
        <v>1.2</v>
      </c>
      <c r="W275" s="471">
        <f>SUMIFS(Таблица1[Столбец1],Таблица1[коэф],"1,2",Таблица1[р/р],"5/24",Таблица1[Ф. И. О.],B275)</f>
        <v>0</v>
      </c>
      <c r="X275" s="469">
        <f t="shared" si="53"/>
        <v>0</v>
      </c>
      <c r="Y275" s="748"/>
      <c r="Z275" s="750"/>
      <c r="AA275" s="740"/>
      <c r="AC275" s="693" t="str">
        <f>IF(SUMIFS(Таблица1[Столбец3],Таблица1[Ф. И. О.],B275)-Z270=0,"",SUMIFS(Таблица1[Столбец3],Таблица1[Ф. И. О.],B275)-Z270)</f>
        <v/>
      </c>
    </row>
    <row r="276" spans="1:29" ht="18.75">
      <c r="A276" s="740"/>
      <c r="B276" s="201"/>
      <c r="C276" s="743"/>
      <c r="D276" s="746"/>
      <c r="E276" s="370"/>
      <c r="F276" s="367"/>
      <c r="G276" s="377"/>
      <c r="H276" s="369">
        <f t="shared" si="50"/>
        <v>0</v>
      </c>
      <c r="I276" s="366"/>
      <c r="J276" s="367"/>
      <c r="K276" s="411"/>
      <c r="L276" s="461">
        <f t="shared" si="51"/>
        <v>0</v>
      </c>
      <c r="M276" s="409"/>
      <c r="N276" s="411"/>
      <c r="O276" s="411"/>
      <c r="P276" s="411"/>
      <c r="Q276" s="376">
        <f>IF(D270&lt;=3,база!$L$4,
IF(D270=4,база!$L$5,
IF(D270=5,база!$L$6)))</f>
        <v>231.45480000000001</v>
      </c>
      <c r="R276" s="367">
        <v>1.3</v>
      </c>
      <c r="S276" s="468">
        <f>SUMIFS(Таблица1[Столбец1],Таблица1[коэф],"1,3",Таблица1[р/р],"3/16",Таблица1[Ф. И. О.],B275)</f>
        <v>0</v>
      </c>
      <c r="T276" s="469">
        <f t="shared" si="52"/>
        <v>0</v>
      </c>
      <c r="U276" s="449">
        <f>IF(D270&lt;=3,база!$M$4,
IF(D270=4,база!$M$5,
IF(D270=5,база!$M$6)))</f>
        <v>247.41720000000001</v>
      </c>
      <c r="V276" s="367">
        <v>1.3</v>
      </c>
      <c r="W276" s="471">
        <f>SUMIFS(Таблица1[Столбец1],Таблица1[коэф],"1,3",Таблица1[р/р],"3/24",Таблица1[Ф. И. О.],B275)</f>
        <v>0</v>
      </c>
      <c r="X276" s="469">
        <f t="shared" si="53"/>
        <v>0</v>
      </c>
      <c r="Y276" s="748"/>
      <c r="Z276" s="750"/>
      <c r="AA276" s="740"/>
      <c r="AC276" s="693" t="str">
        <f>IF(SUMIFS(Таблица1[Столбец1],Таблица1[Ф. И. О.],B275)=Y270,"",B275&amp;"  часы не верны")</f>
        <v/>
      </c>
    </row>
    <row r="277" spans="1:29" ht="18.75">
      <c r="A277" s="740"/>
      <c r="B277" s="201"/>
      <c r="C277" s="743"/>
      <c r="D277" s="746"/>
      <c r="E277" s="370"/>
      <c r="F277" s="367"/>
      <c r="G277" s="377"/>
      <c r="H277" s="369">
        <f t="shared" si="50"/>
        <v>0</v>
      </c>
      <c r="I277" s="366"/>
      <c r="J277" s="367"/>
      <c r="K277" s="411"/>
      <c r="L277" s="461">
        <f t="shared" si="51"/>
        <v>0</v>
      </c>
      <c r="M277" s="409"/>
      <c r="N277" s="411"/>
      <c r="O277" s="411"/>
      <c r="P277" s="411"/>
      <c r="Q277" s="376">
        <f>база!$L$5</f>
        <v>231.45480000000001</v>
      </c>
      <c r="R277" s="367">
        <v>1.3</v>
      </c>
      <c r="S277" s="468">
        <f>SUMIFS(Таблица1[Столбец1],Таблица1[коэф],"1,3",Таблица1[р/р],"4/16",Таблица1[Ф. И. О.],B275)</f>
        <v>0</v>
      </c>
      <c r="T277" s="469">
        <f t="shared" si="52"/>
        <v>0</v>
      </c>
      <c r="U277" s="449">
        <f>база!$M$5</f>
        <v>247.41720000000001</v>
      </c>
      <c r="V277" s="367">
        <v>1.3</v>
      </c>
      <c r="W277" s="471">
        <f>SUMIFS(Таблица1[Столбец1],Таблица1[коэф],"1,3",Таблица1[р/р],"4/24",Таблица1[Ф. И. О.],B275)</f>
        <v>0</v>
      </c>
      <c r="X277" s="469">
        <f t="shared" si="53"/>
        <v>0</v>
      </c>
      <c r="Y277" s="748"/>
      <c r="Z277" s="750"/>
      <c r="AA277" s="740"/>
    </row>
    <row r="278" spans="1:29" ht="18.75">
      <c r="A278" s="740"/>
      <c r="B278" s="201"/>
      <c r="C278" s="743"/>
      <c r="D278" s="746"/>
      <c r="E278" s="370"/>
      <c r="F278" s="367"/>
      <c r="G278" s="377"/>
      <c r="H278" s="369">
        <f t="shared" si="50"/>
        <v>0</v>
      </c>
      <c r="I278" s="366"/>
      <c r="J278" s="367"/>
      <c r="K278" s="411"/>
      <c r="L278" s="461">
        <f t="shared" si="51"/>
        <v>0</v>
      </c>
      <c r="M278" s="409"/>
      <c r="N278" s="411"/>
      <c r="O278" s="411"/>
      <c r="P278" s="411"/>
      <c r="Q278" s="376">
        <f>IF(D270&lt;=3,база!$L$4,
IF(D270=4,база!$L$5,
IF(D270=5,база!$L$6)))</f>
        <v>231.45480000000001</v>
      </c>
      <c r="R278" s="367">
        <v>1.4</v>
      </c>
      <c r="S278" s="468">
        <f>SUMIFS(Таблица1[Столбец1],Таблица1[коэф],"1,4",Таблица1[р/р],"3/16",Таблица1[Ф. И. О.],B275)</f>
        <v>0</v>
      </c>
      <c r="T278" s="469">
        <f t="shared" si="52"/>
        <v>0</v>
      </c>
      <c r="U278" s="449">
        <f>IF(D270&lt;=3,база!$M$4,
IF(D270=4,база!$M$5,
IF(D270=5,база!$M$6)))</f>
        <v>247.41720000000001</v>
      </c>
      <c r="V278" s="367">
        <v>1.4</v>
      </c>
      <c r="W278" s="471">
        <f>SUMIFS(Таблица1[Столбец1],Таблица1[коэф],"1,4",Таблица1[р/р],"3/24",Таблица1[Ф. И. О.],B275)</f>
        <v>0</v>
      </c>
      <c r="X278" s="469">
        <f t="shared" si="53"/>
        <v>0</v>
      </c>
      <c r="Y278" s="748"/>
      <c r="Z278" s="750"/>
      <c r="AA278" s="740"/>
    </row>
    <row r="279" spans="1:29" ht="18.75">
      <c r="A279" s="740"/>
      <c r="B279" s="201"/>
      <c r="C279" s="743"/>
      <c r="D279" s="746"/>
      <c r="E279" s="370"/>
      <c r="F279" s="367"/>
      <c r="G279" s="377"/>
      <c r="H279" s="369">
        <f t="shared" si="50"/>
        <v>0</v>
      </c>
      <c r="I279" s="366"/>
      <c r="J279" s="367"/>
      <c r="K279" s="411"/>
      <c r="L279" s="372">
        <f t="shared" si="51"/>
        <v>0</v>
      </c>
      <c r="M279" s="409"/>
      <c r="N279" s="411"/>
      <c r="O279" s="411"/>
      <c r="P279" s="411"/>
      <c r="Q279" s="376">
        <f>база!$L$5</f>
        <v>231.45480000000001</v>
      </c>
      <c r="R279" s="367">
        <v>1.4</v>
      </c>
      <c r="S279" s="468">
        <f>SUMIFS(Таблица1[Столбец1],Таблица1[коэф],"1,4",Таблица1[р/р],"4/16",Таблица1[Ф. И. О.],B275)</f>
        <v>0</v>
      </c>
      <c r="T279" s="469">
        <f t="shared" si="52"/>
        <v>0</v>
      </c>
      <c r="U279" s="449">
        <f>база!$M$5</f>
        <v>247.41720000000001</v>
      </c>
      <c r="V279" s="367">
        <v>1.4</v>
      </c>
      <c r="W279" s="471">
        <f>SUMIFS(Таблица1[Столбец1],Таблица1[коэф],"1,4",Таблица1[р/р],"4/24",Таблица1[Ф. И. О.],B275)</f>
        <v>0</v>
      </c>
      <c r="X279" s="469">
        <f t="shared" si="53"/>
        <v>0</v>
      </c>
      <c r="Y279" s="748"/>
      <c r="Z279" s="750"/>
      <c r="AA279" s="740"/>
    </row>
    <row r="280" spans="1:29" ht="19.5" thickBot="1">
      <c r="A280" s="741"/>
      <c r="B280" s="188"/>
      <c r="C280" s="744"/>
      <c r="D280" s="747"/>
      <c r="E280" s="440"/>
      <c r="F280" s="441"/>
      <c r="G280" s="442"/>
      <c r="H280" s="445">
        <f t="shared" si="50"/>
        <v>0</v>
      </c>
      <c r="I280" s="450"/>
      <c r="J280" s="441"/>
      <c r="K280" s="434"/>
      <c r="L280" s="461">
        <f t="shared" si="51"/>
        <v>0</v>
      </c>
      <c r="M280" s="443"/>
      <c r="N280" s="434"/>
      <c r="O280" s="434"/>
      <c r="P280" s="434"/>
      <c r="Q280" s="444">
        <f>база!$L$6</f>
        <v>261.04640000000001</v>
      </c>
      <c r="R280" s="441">
        <v>1.4</v>
      </c>
      <c r="S280" s="489">
        <f>SUMIFS(Таблица1[Столбец1],Таблица1[коэф],"1,4",Таблица1[р/р],"5/16",Таблица1[Ф. И. О.],B275)</f>
        <v>0</v>
      </c>
      <c r="T280" s="469">
        <f t="shared" si="52"/>
        <v>0</v>
      </c>
      <c r="U280" s="451">
        <f>база!$M$6</f>
        <v>279.0496</v>
      </c>
      <c r="V280" s="441">
        <v>1.4</v>
      </c>
      <c r="W280" s="478">
        <f>SUMIFS(Таблица1[Столбец1],Таблица1[коэф],"1,4",Таблица1[р/р],"5/24",Таблица1[Ф. И. О.],B275)</f>
        <v>0</v>
      </c>
      <c r="X280" s="469">
        <f t="shared" si="53"/>
        <v>0</v>
      </c>
      <c r="Y280" s="749"/>
      <c r="Z280" s="751"/>
      <c r="AA280" s="741"/>
    </row>
    <row r="281" spans="1:29" ht="18.75" collapsed="1">
      <c r="A281" s="739">
        <v>26</v>
      </c>
      <c r="B281" s="219"/>
      <c r="C281" s="742">
        <f>INDEX(база!$E$2:$E$81, MATCH(B286,база!$B$2:$B$50,0))</f>
        <v>17122</v>
      </c>
      <c r="D281" s="745">
        <f>INDEX(база!$D$2:$D$89, MATCH(B286,база!$B$2:$B$50,0))</f>
        <v>3</v>
      </c>
      <c r="E281" s="428">
        <f>IF(D281&lt;=3,база!$I$4,
IF(D281=4,база!$I$5,
IF(D281=5,база!$I$6)))</f>
        <v>188.7912</v>
      </c>
      <c r="F281" s="394">
        <v>1</v>
      </c>
      <c r="G281" s="395">
        <f>SUMIFS(Таблица1[Столбец1],Таблица1[коэф],"1",Таблица1[р/р],"2/4",Таблица1[Ф. И. О.],B286)</f>
        <v>0</v>
      </c>
      <c r="H281" s="379">
        <f t="shared" ref="H281:H291" si="58">ROUND(E281*F281*G281*2,2)</f>
        <v>0</v>
      </c>
      <c r="I281" s="354">
        <f>IF(D281&lt;=3,база!$J$4,
IF(D281=4,база!$J$5,
IF(D281=5,база!$J$6)))</f>
        <v>196.05240000000001</v>
      </c>
      <c r="J281" s="355">
        <v>1</v>
      </c>
      <c r="K281" s="405">
        <f>SUMIFS(Таблица1[Столбец1],Таблица1[коэф],"1",Таблица1[р/р],"2/8",Таблица1[Ф. И. О.],B286)</f>
        <v>0</v>
      </c>
      <c r="L281" s="360">
        <f t="shared" ref="L281:L291" si="59">ROUND(I281*J281*K281*2,2)</f>
        <v>0</v>
      </c>
      <c r="M281" s="429"/>
      <c r="N281" s="430">
        <v>1</v>
      </c>
      <c r="O281" s="430">
        <f>SUMIFS(Data_Tech!$AM$3:$AM$67,Data_Tech!$E$3:$E$67,"1",Data_Tech!$G$3:$G$67,"3/12",Data_Tech!$F$3:$F$67,B286)</f>
        <v>0</v>
      </c>
      <c r="P281" s="430">
        <f>ROUND(M281*N281*O281,2)</f>
        <v>0</v>
      </c>
      <c r="Q281" s="393">
        <f>IF(D281&lt;=3,база!$L$4,
IF(D281=4,база!$L$5,
IF(D281=5,база!$L$6)))</f>
        <v>210.57480000000001</v>
      </c>
      <c r="R281" s="394">
        <v>1</v>
      </c>
      <c r="S281" s="472">
        <f>SUMIFS(Таблица1[Столбец1],Таблица1[коэф],"1",Таблица1[р/р],"3/16",Таблица1[Ф. И. О.],B286)</f>
        <v>0</v>
      </c>
      <c r="T281" s="467">
        <f t="shared" ref="T281:T291" si="60">ROUND(Q281*R281*S281*2,2)</f>
        <v>0</v>
      </c>
      <c r="U281" s="448">
        <f>IF(D281&lt;=3,база!$M$4,
IF(D281=4,база!$M$5,
IF(D281=5,база!$M$6)))</f>
        <v>225.09719999999999</v>
      </c>
      <c r="V281" s="355">
        <v>1</v>
      </c>
      <c r="W281" s="474">
        <f>SUMIFS(Таблица1[Столбец1],Таблица1[коэф],"1",Таблица1[р/р],"3/24",Таблица1[Ф. И. О.],B286)</f>
        <v>0</v>
      </c>
      <c r="X281" s="467">
        <f t="shared" ref="X281:X291" si="61">ROUND(U281*V281*W281*2,2)</f>
        <v>0</v>
      </c>
      <c r="Y281" s="748">
        <f t="shared" ref="Y281" si="62">SUM(G281:G291,K281:K291,O281:O291,S281:S291,W281:W291)</f>
        <v>0</v>
      </c>
      <c r="Z281" s="750">
        <f t="shared" ref="Z281" si="63">IFERROR(SUM(H281:H291,L281:L291,T281:T291,X281:X291),"")</f>
        <v>0</v>
      </c>
      <c r="AA281" s="740"/>
    </row>
    <row r="282" spans="1:29" ht="18.75">
      <c r="A282" s="740"/>
      <c r="B282" s="201"/>
      <c r="C282" s="743"/>
      <c r="D282" s="746"/>
      <c r="E282" s="370">
        <f>IF(D281&lt;=3,база!$I$4,
IF(D281=4,база!$I$5,
IF(D281=5,база!$I$6)))</f>
        <v>188.7912</v>
      </c>
      <c r="F282" s="367">
        <v>1</v>
      </c>
      <c r="G282" s="377">
        <f>SUMIFS(Таблица1[Столбец1],Таблица1[коэф],"1",Таблица1[р/р],"3/4",Таблица1[Ф. И. О.],B286)</f>
        <v>0</v>
      </c>
      <c r="H282" s="369">
        <f t="shared" si="58"/>
        <v>0</v>
      </c>
      <c r="I282" s="366">
        <f>IF(D281&lt;=3,база!$J$4,
IF(D281=4,база!$J$5,
IF(D281=5,база!$J$6)))</f>
        <v>196.05240000000001</v>
      </c>
      <c r="J282" s="367">
        <v>1</v>
      </c>
      <c r="K282" s="411">
        <f>SUMIFS(Таблица1[Столбец1],Таблица1[коэф],"1",Таблица1[р/р],"3/8",Таблица1[Ф. И. О.],B286)</f>
        <v>0</v>
      </c>
      <c r="L282" s="461">
        <f t="shared" si="59"/>
        <v>0</v>
      </c>
      <c r="M282" s="409"/>
      <c r="N282" s="411">
        <v>1</v>
      </c>
      <c r="O282" s="411">
        <f>SUMIFS(Data_Tech!$AM$3:$AM$67,Data_Tech!$E$3:$E$67,"1",Data_Tech!$G$3:$G$67,"4/12",Data_Tech!$F$3:$F$67,B286)</f>
        <v>0</v>
      </c>
      <c r="P282" s="411">
        <f>ROUND(M282*O282,2)</f>
        <v>0</v>
      </c>
      <c r="Q282" s="376">
        <f>база!$L$5</f>
        <v>231.45480000000001</v>
      </c>
      <c r="R282" s="367">
        <v>1</v>
      </c>
      <c r="S282" s="468">
        <f>SUMIFS(Таблица1[Столбец1],Таблица1[коэф],"1",Таблица1[р/р],"4/16",Таблица1[Ф. И. О.],B286)</f>
        <v>0</v>
      </c>
      <c r="T282" s="469">
        <f t="shared" si="60"/>
        <v>0</v>
      </c>
      <c r="U282" s="449">
        <f>база!$M$5</f>
        <v>247.41720000000001</v>
      </c>
      <c r="V282" s="367">
        <v>1</v>
      </c>
      <c r="W282" s="471">
        <f>SUMIFS(Таблица1[Столбец1],Таблица1[коэф],"1",Таблица1[р/р],"4/24",Таблица1[Ф. И. О.],B286)</f>
        <v>0</v>
      </c>
      <c r="X282" s="469">
        <f t="shared" si="61"/>
        <v>0</v>
      </c>
      <c r="Y282" s="748"/>
      <c r="Z282" s="750"/>
      <c r="AA282" s="740"/>
    </row>
    <row r="283" spans="1:29" ht="18.75">
      <c r="A283" s="740"/>
      <c r="B283" s="201"/>
      <c r="C283" s="743"/>
      <c r="D283" s="746"/>
      <c r="E283" s="370"/>
      <c r="F283" s="367"/>
      <c r="G283" s="377"/>
      <c r="H283" s="369">
        <f t="shared" si="58"/>
        <v>0</v>
      </c>
      <c r="I283" s="366"/>
      <c r="J283" s="367"/>
      <c r="K283" s="411"/>
      <c r="L283" s="461">
        <f t="shared" si="59"/>
        <v>0</v>
      </c>
      <c r="M283" s="409"/>
      <c r="N283" s="411"/>
      <c r="O283" s="411"/>
      <c r="P283" s="411"/>
      <c r="Q283" s="376">
        <f>база!$L$6</f>
        <v>261.04640000000001</v>
      </c>
      <c r="R283" s="367">
        <v>1</v>
      </c>
      <c r="S283" s="468">
        <f>SUMIFS(Таблица1[Столбец1],Таблица1[коэф],"1",Таблица1[р/р],"5/16",Таблица1[Ф. И. О.],B286)</f>
        <v>0</v>
      </c>
      <c r="T283" s="469">
        <f t="shared" si="60"/>
        <v>0</v>
      </c>
      <c r="U283" s="449">
        <f>база!$M$6</f>
        <v>279.0496</v>
      </c>
      <c r="V283" s="367">
        <v>1</v>
      </c>
      <c r="W283" s="471">
        <f>SUMIFS(Таблица1[Столбец1],Таблица1[коэф],"1",Таблица1[р/р],"5/24",Таблица1[Ф. И. О.],B286)</f>
        <v>0</v>
      </c>
      <c r="X283" s="469">
        <f t="shared" si="61"/>
        <v>0</v>
      </c>
      <c r="Y283" s="748"/>
      <c r="Z283" s="750"/>
      <c r="AA283" s="740"/>
    </row>
    <row r="284" spans="1:29" ht="18.75">
      <c r="A284" s="740"/>
      <c r="B284" s="201"/>
      <c r="C284" s="743"/>
      <c r="D284" s="746"/>
      <c r="E284" s="370"/>
      <c r="F284" s="367"/>
      <c r="G284" s="377"/>
      <c r="H284" s="369">
        <f t="shared" si="58"/>
        <v>0</v>
      </c>
      <c r="I284" s="366">
        <f>база!$J$5</f>
        <v>215.4924</v>
      </c>
      <c r="J284" s="367">
        <v>1.5</v>
      </c>
      <c r="K284" s="411">
        <f>SUMIFS(Таблица1[Столбец1],Таблица1[коэф],"1,5",Таблица1[р/р],"4/8",Таблица1[Ф. И. О.],B286)</f>
        <v>0</v>
      </c>
      <c r="L284" s="461">
        <f t="shared" si="59"/>
        <v>0</v>
      </c>
      <c r="M284" s="409"/>
      <c r="N284" s="411"/>
      <c r="O284" s="411"/>
      <c r="P284" s="411"/>
      <c r="Q284" s="376">
        <f>IF(D281&lt;=3,база!$L$4,
IF(D281=4,база!$L$5,
IF(D281=5,база!$L$6)))</f>
        <v>210.57480000000001</v>
      </c>
      <c r="R284" s="367">
        <v>1.2</v>
      </c>
      <c r="S284" s="468">
        <f>SUMIFS(Таблица1[Столбец1],Таблица1[коэф],"1,2",Таблица1[р/р],"3/16",Таблица1[Ф. И. О.],B286)</f>
        <v>0</v>
      </c>
      <c r="T284" s="469">
        <f t="shared" si="60"/>
        <v>0</v>
      </c>
      <c r="U284" s="449">
        <f>IF(D281&lt;=3,база!$M$4,
IF(D281=4,база!$M$5,
IF(D281=5,база!$M$6)))</f>
        <v>225.09719999999999</v>
      </c>
      <c r="V284" s="367">
        <v>1.2</v>
      </c>
      <c r="W284" s="471">
        <f>SUMIFS(Таблица1[Столбец1],Таблица1[коэф],"1,2",Таблица1[р/р],"3/24",Таблица1[Ф. И. О.],B286)</f>
        <v>0</v>
      </c>
      <c r="X284" s="469">
        <f t="shared" si="61"/>
        <v>0</v>
      </c>
      <c r="Y284" s="748"/>
      <c r="Z284" s="750"/>
      <c r="AA284" s="740"/>
    </row>
    <row r="285" spans="1:29" ht="18.75">
      <c r="A285" s="740"/>
      <c r="B285" s="201"/>
      <c r="C285" s="743"/>
      <c r="D285" s="746"/>
      <c r="E285" s="370"/>
      <c r="F285" s="367"/>
      <c r="G285" s="377"/>
      <c r="H285" s="369">
        <f t="shared" si="58"/>
        <v>0</v>
      </c>
      <c r="I285" s="366">
        <f>база!$J$6</f>
        <v>243.04319999999998</v>
      </c>
      <c r="J285" s="367">
        <v>1.5</v>
      </c>
      <c r="K285" s="411">
        <f>SUMIFS(Таблица1[Столбец1],Таблица1[коэф],"1,5",Таблица1[р/р],"5/8",Таблица1[Ф. И. О.],B286)</f>
        <v>0</v>
      </c>
      <c r="L285" s="461">
        <f t="shared" si="59"/>
        <v>0</v>
      </c>
      <c r="M285" s="409"/>
      <c r="N285" s="411"/>
      <c r="O285" s="411"/>
      <c r="P285" s="411"/>
      <c r="Q285" s="376">
        <f>база!$L$5</f>
        <v>231.45480000000001</v>
      </c>
      <c r="R285" s="367">
        <v>1.2</v>
      </c>
      <c r="S285" s="468">
        <f>SUMIFS(Таблица1[Столбец1],Таблица1[коэф],"1,2",Таблица1[р/р],"4/16",Таблица1[Ф. И. О.],B286)</f>
        <v>0</v>
      </c>
      <c r="T285" s="469">
        <f t="shared" si="60"/>
        <v>0</v>
      </c>
      <c r="U285" s="449">
        <f>база!$M$5</f>
        <v>247.41720000000001</v>
      </c>
      <c r="V285" s="367">
        <v>1.2</v>
      </c>
      <c r="W285" s="471">
        <f>SUMIFS(Таблица1[Столбец1],Таблица1[коэф],"1,2",Таблица1[р/р],"4/24",Таблица1[Ф. И. О.],B286)</f>
        <v>0</v>
      </c>
      <c r="X285" s="469">
        <f t="shared" si="61"/>
        <v>0</v>
      </c>
      <c r="Y285" s="748"/>
      <c r="Z285" s="750"/>
      <c r="AA285" s="740"/>
    </row>
    <row r="286" spans="1:29" ht="18" customHeight="1">
      <c r="A286" s="740"/>
      <c r="B286" s="201" t="str">
        <f>база!B27</f>
        <v>Иванова Екатерина Борисовна</v>
      </c>
      <c r="C286" s="743"/>
      <c r="D286" s="746"/>
      <c r="E286" s="370"/>
      <c r="F286" s="367"/>
      <c r="G286" s="377"/>
      <c r="H286" s="369">
        <f t="shared" si="58"/>
        <v>0</v>
      </c>
      <c r="I286" s="366"/>
      <c r="J286" s="367"/>
      <c r="K286" s="411"/>
      <c r="L286" s="461">
        <f t="shared" si="59"/>
        <v>0</v>
      </c>
      <c r="M286" s="409"/>
      <c r="N286" s="411"/>
      <c r="O286" s="411"/>
      <c r="P286" s="411"/>
      <c r="Q286" s="376">
        <f>база!$L$6</f>
        <v>261.04640000000001</v>
      </c>
      <c r="R286" s="367">
        <v>1.2</v>
      </c>
      <c r="S286" s="468">
        <f>SUMIFS(Таблица1[Столбец1],Таблица1[коэф],"1,2",Таблица1[р/р],"5/16",Таблица1[Ф. И. О.],B286)</f>
        <v>0</v>
      </c>
      <c r="T286" s="469">
        <f t="shared" si="60"/>
        <v>0</v>
      </c>
      <c r="U286" s="449">
        <f>база!$M$6</f>
        <v>279.0496</v>
      </c>
      <c r="V286" s="367">
        <v>1.2</v>
      </c>
      <c r="W286" s="471">
        <f>SUMIFS(Таблица1[Столбец1],Таблица1[коэф],"1,2",Таблица1[р/р],"5/24",Таблица1[Ф. И. О.],B286)</f>
        <v>0</v>
      </c>
      <c r="X286" s="469">
        <f t="shared" si="61"/>
        <v>0</v>
      </c>
      <c r="Y286" s="748"/>
      <c r="Z286" s="750"/>
      <c r="AA286" s="740"/>
      <c r="AC286" s="693" t="str">
        <f>IF(SUMIFS(Таблица1[Столбец3],Таблица1[Ф. И. О.],B286)-Z281=0,"",SUMIFS(Таблица1[Столбец3],Таблица1[Ф. И. О.],B286)-Z281)</f>
        <v/>
      </c>
    </row>
    <row r="287" spans="1:29" ht="18.75">
      <c r="A287" s="740"/>
      <c r="B287" s="201"/>
      <c r="C287" s="743"/>
      <c r="D287" s="746"/>
      <c r="E287" s="370"/>
      <c r="F287" s="367"/>
      <c r="G287" s="377"/>
      <c r="H287" s="369">
        <f t="shared" si="58"/>
        <v>0</v>
      </c>
      <c r="I287" s="366"/>
      <c r="J287" s="367"/>
      <c r="K287" s="411"/>
      <c r="L287" s="461">
        <f t="shared" si="59"/>
        <v>0</v>
      </c>
      <c r="M287" s="409"/>
      <c r="N287" s="411"/>
      <c r="O287" s="411"/>
      <c r="P287" s="411"/>
      <c r="Q287" s="376">
        <f>IF(D281&lt;=3,база!$L$4,
IF(D281=4,база!$L$5,
IF(D281=5,база!$L$6)))</f>
        <v>210.57480000000001</v>
      </c>
      <c r="R287" s="367">
        <v>1.3</v>
      </c>
      <c r="S287" s="468">
        <f>SUMIFS(Таблица1[Столбец1],Таблица1[коэф],"1,3",Таблица1[р/р],"3/16",Таблица1[Ф. И. О.],B286)</f>
        <v>0</v>
      </c>
      <c r="T287" s="469">
        <f t="shared" si="60"/>
        <v>0</v>
      </c>
      <c r="U287" s="449">
        <f>IF(D281&lt;=3,база!$M$4,
IF(D281=4,база!$M$5,
IF(D281=5,база!$M$6)))</f>
        <v>225.09719999999999</v>
      </c>
      <c r="V287" s="367">
        <v>1.3</v>
      </c>
      <c r="W287" s="471">
        <f>SUMIFS(Таблица1[Столбец1],Таблица1[коэф],"1,3",Таблица1[р/р],"3/24",Таблица1[Ф. И. О.],B286)</f>
        <v>0</v>
      </c>
      <c r="X287" s="469">
        <f t="shared" si="61"/>
        <v>0</v>
      </c>
      <c r="Y287" s="748"/>
      <c r="Z287" s="750"/>
      <c r="AA287" s="740"/>
      <c r="AC287" s="693" t="str">
        <f>IF(SUMIFS(Таблица1[Столбец1],Таблица1[Ф. И. О.],B286)=Y281,"",B286&amp;"  часы не верны")</f>
        <v/>
      </c>
    </row>
    <row r="288" spans="1:29" ht="18.75">
      <c r="A288" s="740"/>
      <c r="B288" s="201"/>
      <c r="C288" s="743"/>
      <c r="D288" s="746"/>
      <c r="E288" s="370"/>
      <c r="F288" s="367"/>
      <c r="G288" s="377"/>
      <c r="H288" s="369">
        <f t="shared" si="58"/>
        <v>0</v>
      </c>
      <c r="I288" s="366"/>
      <c r="J288" s="367"/>
      <c r="K288" s="411"/>
      <c r="L288" s="461">
        <f t="shared" si="59"/>
        <v>0</v>
      </c>
      <c r="M288" s="409"/>
      <c r="N288" s="411"/>
      <c r="O288" s="411"/>
      <c r="P288" s="411"/>
      <c r="Q288" s="376">
        <f>база!$L$5</f>
        <v>231.45480000000001</v>
      </c>
      <c r="R288" s="367">
        <v>1.3</v>
      </c>
      <c r="S288" s="468">
        <f>SUMIFS(Таблица1[Столбец1],Таблица1[коэф],"1,3",Таблица1[р/р],"4/16",Таблица1[Ф. И. О.],B286)</f>
        <v>0</v>
      </c>
      <c r="T288" s="469">
        <f t="shared" si="60"/>
        <v>0</v>
      </c>
      <c r="U288" s="449">
        <f>база!$M$5</f>
        <v>247.41720000000001</v>
      </c>
      <c r="V288" s="367">
        <v>1.3</v>
      </c>
      <c r="W288" s="471">
        <f>SUMIFS(Таблица1[Столбец1],Таблица1[коэф],"1,3",Таблица1[р/р],"4/24",Таблица1[Ф. И. О.],B286)</f>
        <v>0</v>
      </c>
      <c r="X288" s="469">
        <f t="shared" si="61"/>
        <v>0</v>
      </c>
      <c r="Y288" s="748"/>
      <c r="Z288" s="750"/>
      <c r="AA288" s="740"/>
    </row>
    <row r="289" spans="1:29" ht="18.75">
      <c r="A289" s="740"/>
      <c r="B289" s="201"/>
      <c r="C289" s="743"/>
      <c r="D289" s="746"/>
      <c r="E289" s="370"/>
      <c r="F289" s="367"/>
      <c r="G289" s="377"/>
      <c r="H289" s="369">
        <f t="shared" si="58"/>
        <v>0</v>
      </c>
      <c r="I289" s="366"/>
      <c r="J289" s="367"/>
      <c r="K289" s="411"/>
      <c r="L289" s="461">
        <f t="shared" si="59"/>
        <v>0</v>
      </c>
      <c r="M289" s="409"/>
      <c r="N289" s="411"/>
      <c r="O289" s="411"/>
      <c r="P289" s="411"/>
      <c r="Q289" s="376">
        <f>IF(D281&lt;=3,база!$L$4,
IF(D281=4,база!$L$5,
IF(D281=5,база!$L$6)))</f>
        <v>210.57480000000001</v>
      </c>
      <c r="R289" s="367">
        <v>1.4</v>
      </c>
      <c r="S289" s="468">
        <f>SUMIFS(Таблица1[Столбец1],Таблица1[коэф],"1,4",Таблица1[р/р],"3/16",Таблица1[Ф. И. О.],B286)</f>
        <v>0</v>
      </c>
      <c r="T289" s="469">
        <f t="shared" si="60"/>
        <v>0</v>
      </c>
      <c r="U289" s="449">
        <f>IF(D281&lt;=3,база!$M$4,
IF(D281=4,база!$M$5,
IF(D281=5,база!$M$6)))</f>
        <v>225.09719999999999</v>
      </c>
      <c r="V289" s="367">
        <v>1.4</v>
      </c>
      <c r="W289" s="471">
        <f>SUMIFS(Таблица1[Столбец1],Таблица1[коэф],"1,4",Таблица1[р/р],"3/24",Таблица1[Ф. И. О.],B286)</f>
        <v>0</v>
      </c>
      <c r="X289" s="469">
        <f t="shared" si="61"/>
        <v>0</v>
      </c>
      <c r="Y289" s="748"/>
      <c r="Z289" s="750"/>
      <c r="AA289" s="740"/>
    </row>
    <row r="290" spans="1:29" ht="18.75">
      <c r="A290" s="740"/>
      <c r="B290" s="201"/>
      <c r="C290" s="743"/>
      <c r="D290" s="746"/>
      <c r="E290" s="370"/>
      <c r="F290" s="367"/>
      <c r="G290" s="377"/>
      <c r="H290" s="369">
        <f t="shared" si="58"/>
        <v>0</v>
      </c>
      <c r="I290" s="366"/>
      <c r="J290" s="367"/>
      <c r="K290" s="411"/>
      <c r="L290" s="372">
        <f t="shared" si="59"/>
        <v>0</v>
      </c>
      <c r="M290" s="409"/>
      <c r="N290" s="411"/>
      <c r="O290" s="411"/>
      <c r="P290" s="411"/>
      <c r="Q290" s="376">
        <f>база!$L$5</f>
        <v>231.45480000000001</v>
      </c>
      <c r="R290" s="367">
        <v>1.4</v>
      </c>
      <c r="S290" s="468">
        <f>SUMIFS(Таблица1[Столбец1],Таблица1[коэф],"1,4",Таблица1[р/р],"4/16",Таблица1[Ф. И. О.],B286)</f>
        <v>0</v>
      </c>
      <c r="T290" s="469">
        <f t="shared" si="60"/>
        <v>0</v>
      </c>
      <c r="U290" s="449">
        <f>база!$M$5</f>
        <v>247.41720000000001</v>
      </c>
      <c r="V290" s="367">
        <v>1.4</v>
      </c>
      <c r="W290" s="471">
        <f>SUMIFS(Таблица1[Столбец1],Таблица1[коэф],"1,4",Таблица1[р/р],"4/24",Таблица1[Ф. И. О.],B286)</f>
        <v>0</v>
      </c>
      <c r="X290" s="469">
        <f t="shared" si="61"/>
        <v>0</v>
      </c>
      <c r="Y290" s="748"/>
      <c r="Z290" s="750"/>
      <c r="AA290" s="740"/>
    </row>
    <row r="291" spans="1:29" ht="19.5" thickBot="1">
      <c r="A291" s="741"/>
      <c r="B291" s="188"/>
      <c r="C291" s="744"/>
      <c r="D291" s="747"/>
      <c r="E291" s="440"/>
      <c r="F291" s="441"/>
      <c r="G291" s="442"/>
      <c r="H291" s="445">
        <f t="shared" si="58"/>
        <v>0</v>
      </c>
      <c r="I291" s="450"/>
      <c r="J291" s="441"/>
      <c r="K291" s="434"/>
      <c r="L291" s="435">
        <f t="shared" si="59"/>
        <v>0</v>
      </c>
      <c r="M291" s="443"/>
      <c r="N291" s="434"/>
      <c r="O291" s="434"/>
      <c r="P291" s="434"/>
      <c r="Q291" s="444">
        <f>база!$L$6</f>
        <v>261.04640000000001</v>
      </c>
      <c r="R291" s="441">
        <v>1.4</v>
      </c>
      <c r="S291" s="489">
        <f>SUMIFS(Таблица1[Столбец1],Таблица1[коэф],"1,4",Таблица1[р/р],"5/16",Таблица1[Ф. И. О.],B286)</f>
        <v>0</v>
      </c>
      <c r="T291" s="490">
        <f t="shared" si="60"/>
        <v>0</v>
      </c>
      <c r="U291" s="451">
        <f>база!$M$6</f>
        <v>279.0496</v>
      </c>
      <c r="V291" s="441">
        <v>1.4</v>
      </c>
      <c r="W291" s="478">
        <f>SUMIFS(Таблица1[Столбец1],Таблица1[коэф],"1,4",Таблица1[р/р],"5/24",Таблица1[Ф. И. О.],B286)</f>
        <v>0</v>
      </c>
      <c r="X291" s="490">
        <f t="shared" si="61"/>
        <v>0</v>
      </c>
      <c r="Y291" s="749"/>
      <c r="Z291" s="751"/>
      <c r="AA291" s="741"/>
    </row>
    <row r="292" spans="1:29" ht="18.75" collapsed="1">
      <c r="A292" s="739">
        <v>27</v>
      </c>
      <c r="B292" s="219"/>
      <c r="C292" s="742">
        <f>INDEX(база!$E$2:$E$81, MATCH(B297,база!$B$2:$B$50,0))</f>
        <v>17068</v>
      </c>
      <c r="D292" s="745">
        <f>INDEX(база!$D$2:$D$89, MATCH(B297,база!$B$2:$B$50,0))</f>
        <v>3</v>
      </c>
      <c r="E292" s="428">
        <f>IF(D292&lt;=3,база!$I$4,
IF(D292=4,база!$I$5,
IF(D292=5,база!$I$6)))</f>
        <v>188.7912</v>
      </c>
      <c r="F292" s="394">
        <v>1</v>
      </c>
      <c r="G292" s="395">
        <f>SUMIFS(Таблица1[Столбец1],Таблица1[коэф],"1",Таблица1[р/р],"2/4",Таблица1[Ф. И. О.],B297)</f>
        <v>0</v>
      </c>
      <c r="H292" s="379">
        <f t="shared" ref="H292:H302" si="64">ROUND(E292*F292*G292*2,2)</f>
        <v>0</v>
      </c>
      <c r="I292" s="354">
        <f>IF(D292&lt;=3,база!$J$4,
IF(D292=4,база!$J$5,
IF(D292=5,база!$J$6)))</f>
        <v>196.05240000000001</v>
      </c>
      <c r="J292" s="355">
        <v>1</v>
      </c>
      <c r="K292" s="405">
        <f>SUMIFS(Таблица1[Столбец1],Таблица1[коэф],"1",Таблица1[р/р],"2/8",Таблица1[Ф. И. О.],B297)</f>
        <v>0</v>
      </c>
      <c r="L292" s="360">
        <f t="shared" ref="L292:L302" si="65">ROUND(I292*J292*K292*2,2)</f>
        <v>0</v>
      </c>
      <c r="M292" s="429"/>
      <c r="N292" s="430">
        <v>1</v>
      </c>
      <c r="O292" s="430">
        <f>SUMIFS(Data_Tech!$AM$3:$AM$67,Data_Tech!$E$3:$E$67,"1",Data_Tech!$G$3:$G$67,"3/12",Data_Tech!$F$3:$F$67,B297)</f>
        <v>0</v>
      </c>
      <c r="P292" s="430">
        <f>ROUND(M292*N292*O292,2)</f>
        <v>0</v>
      </c>
      <c r="Q292" s="393">
        <f>IF(D292&lt;=3,база!$L$4,
IF(D292=4,база!$L$5,
IF(D292=5,база!$L$6)))</f>
        <v>210.57480000000001</v>
      </c>
      <c r="R292" s="394">
        <v>1</v>
      </c>
      <c r="S292" s="472">
        <f>SUMIFS(Таблица1[Столбец1],Таблица1[коэф],"1",Таблица1[р/р],"3/16",Таблица1[Ф. И. О.],B297)</f>
        <v>0</v>
      </c>
      <c r="T292" s="467">
        <f t="shared" ref="T292:T302" si="66">ROUND(Q292*R292*S292*2,2)</f>
        <v>0</v>
      </c>
      <c r="U292" s="448">
        <f>IF(D292&lt;=3,база!$M$4,
IF(D292=4,база!$M$5,
IF(D292=5,база!$M$6)))</f>
        <v>225.09719999999999</v>
      </c>
      <c r="V292" s="355">
        <v>1</v>
      </c>
      <c r="W292" s="474">
        <f>SUMIFS(Таблица1[Столбец1],Таблица1[коэф],"1",Таблица1[р/р],"3/24",Таблица1[Ф. И. О.],B297)</f>
        <v>0</v>
      </c>
      <c r="X292" s="467">
        <f t="shared" ref="X292:X302" si="67">ROUND(U292*V292*W292*2,2)</f>
        <v>0</v>
      </c>
      <c r="Y292" s="748">
        <f t="shared" ref="Y292" si="68">SUM(G292:G302,K292:K302,O292:O302,S292:S302,W292:W302)</f>
        <v>0</v>
      </c>
      <c r="Z292" s="750">
        <f t="shared" ref="Z292" si="69">IFERROR(SUM(H292:H302,L292:L302,T292:T302,X292:X302),"")</f>
        <v>0</v>
      </c>
      <c r="AA292" s="740"/>
    </row>
    <row r="293" spans="1:29" ht="18.75">
      <c r="A293" s="740"/>
      <c r="B293" s="201"/>
      <c r="C293" s="743"/>
      <c r="D293" s="746"/>
      <c r="E293" s="370">
        <f>IF(D292&lt;=3,база!$I$4,
IF(D292=4,база!$I$5,
IF(D292=5,база!$I$6)))</f>
        <v>188.7912</v>
      </c>
      <c r="F293" s="367">
        <v>1</v>
      </c>
      <c r="G293" s="377">
        <f>SUMIFS(Таблица1[Столбец1],Таблица1[коэф],"1",Таблица1[р/р],"3/4",Таблица1[Ф. И. О.],B297)</f>
        <v>0</v>
      </c>
      <c r="H293" s="369">
        <f t="shared" si="64"/>
        <v>0</v>
      </c>
      <c r="I293" s="366">
        <f>IF(D292&lt;=3,база!$J$4,
IF(D292=4,база!$J$5,
IF(D292=5,база!$J$6)))</f>
        <v>196.05240000000001</v>
      </c>
      <c r="J293" s="367">
        <v>1</v>
      </c>
      <c r="K293" s="411">
        <f>SUMIFS(Таблица1[Столбец1],Таблица1[коэф],"1",Таблица1[р/р],"3/8",Таблица1[Ф. И. О.],B297)</f>
        <v>0</v>
      </c>
      <c r="L293" s="461">
        <f t="shared" si="65"/>
        <v>0</v>
      </c>
      <c r="M293" s="409"/>
      <c r="N293" s="411">
        <v>1</v>
      </c>
      <c r="O293" s="411">
        <f>SUMIFS(Data_Tech!$AM$3:$AM$67,Data_Tech!$E$3:$E$67,"1",Data_Tech!$G$3:$G$67,"4/12",Data_Tech!$F$3:$F$67,B297)</f>
        <v>0</v>
      </c>
      <c r="P293" s="411">
        <f>ROUND(M293*O293,2)</f>
        <v>0</v>
      </c>
      <c r="Q293" s="376">
        <f>база!$L$5</f>
        <v>231.45480000000001</v>
      </c>
      <c r="R293" s="367">
        <v>1</v>
      </c>
      <c r="S293" s="468">
        <f>SUMIFS(Таблица1[Столбец1],Таблица1[коэф],"1",Таблица1[р/р],"4/16",Таблица1[Ф. И. О.],B297)</f>
        <v>0</v>
      </c>
      <c r="T293" s="469">
        <f t="shared" si="66"/>
        <v>0</v>
      </c>
      <c r="U293" s="449">
        <f>база!$M$5</f>
        <v>247.41720000000001</v>
      </c>
      <c r="V293" s="367">
        <v>1</v>
      </c>
      <c r="W293" s="471">
        <f>SUMIFS(Таблица1[Столбец1],Таблица1[коэф],"1",Таблица1[р/р],"4/24",Таблица1[Ф. И. О.],B297)</f>
        <v>0</v>
      </c>
      <c r="X293" s="469">
        <f t="shared" si="67"/>
        <v>0</v>
      </c>
      <c r="Y293" s="748"/>
      <c r="Z293" s="750"/>
      <c r="AA293" s="740"/>
    </row>
    <row r="294" spans="1:29" ht="18.75">
      <c r="A294" s="740"/>
      <c r="B294" s="201"/>
      <c r="C294" s="743"/>
      <c r="D294" s="746"/>
      <c r="E294" s="370"/>
      <c r="F294" s="367"/>
      <c r="G294" s="377"/>
      <c r="H294" s="369">
        <f t="shared" si="64"/>
        <v>0</v>
      </c>
      <c r="I294" s="366"/>
      <c r="J294" s="367"/>
      <c r="K294" s="411"/>
      <c r="L294" s="461">
        <f t="shared" si="65"/>
        <v>0</v>
      </c>
      <c r="M294" s="409"/>
      <c r="N294" s="411"/>
      <c r="O294" s="411"/>
      <c r="P294" s="411"/>
      <c r="Q294" s="376">
        <f>база!$L$6</f>
        <v>261.04640000000001</v>
      </c>
      <c r="R294" s="367">
        <v>1</v>
      </c>
      <c r="S294" s="468">
        <f>SUMIFS(Таблица1[Столбец1],Таблица1[коэф],"1",Таблица1[р/р],"5/16",Таблица1[Ф. И. О.],B297)</f>
        <v>0</v>
      </c>
      <c r="T294" s="469">
        <f t="shared" si="66"/>
        <v>0</v>
      </c>
      <c r="U294" s="449">
        <f>база!$M$6</f>
        <v>279.0496</v>
      </c>
      <c r="V294" s="367">
        <v>1</v>
      </c>
      <c r="W294" s="471">
        <f>SUMIFS(Таблица1[Столбец1],Таблица1[коэф],"1",Таблица1[р/р],"5/24",Таблица1[Ф. И. О.],B297)</f>
        <v>0</v>
      </c>
      <c r="X294" s="469">
        <f t="shared" si="67"/>
        <v>0</v>
      </c>
      <c r="Y294" s="748"/>
      <c r="Z294" s="750"/>
      <c r="AA294" s="740"/>
    </row>
    <row r="295" spans="1:29" ht="18.75">
      <c r="A295" s="740"/>
      <c r="B295" s="201"/>
      <c r="C295" s="743"/>
      <c r="D295" s="746"/>
      <c r="E295" s="370"/>
      <c r="F295" s="367"/>
      <c r="G295" s="377"/>
      <c r="H295" s="369">
        <f t="shared" si="64"/>
        <v>0</v>
      </c>
      <c r="I295" s="366">
        <f>база!$J$5</f>
        <v>215.4924</v>
      </c>
      <c r="J295" s="367">
        <v>1.5</v>
      </c>
      <c r="K295" s="411">
        <f>SUMIFS(Таблица1[Столбец1],Таблица1[коэф],"1,5",Таблица1[р/р],"4/8",Таблица1[Ф. И. О.],B297)</f>
        <v>0</v>
      </c>
      <c r="L295" s="461">
        <f t="shared" si="65"/>
        <v>0</v>
      </c>
      <c r="M295" s="409"/>
      <c r="N295" s="411"/>
      <c r="O295" s="411"/>
      <c r="P295" s="411"/>
      <c r="Q295" s="376">
        <f>IF(D292&lt;=3,база!$L$4,
IF(D292=4,база!$L$5,
IF(D292=5,база!$L$6)))</f>
        <v>210.57480000000001</v>
      </c>
      <c r="R295" s="367">
        <v>1.2</v>
      </c>
      <c r="S295" s="468">
        <f>SUMIFS(Таблица1[Столбец1],Таблица1[коэф],"1,2",Таблица1[р/р],"3/16",Таблица1[Ф. И. О.],B297)</f>
        <v>0</v>
      </c>
      <c r="T295" s="469">
        <f t="shared" si="66"/>
        <v>0</v>
      </c>
      <c r="U295" s="449">
        <f>IF(D292&lt;=3,база!$M$4,
IF(D292=4,база!$M$5,
IF(D292=5,база!$M$6)))</f>
        <v>225.09719999999999</v>
      </c>
      <c r="V295" s="367">
        <v>1.2</v>
      </c>
      <c r="W295" s="471">
        <f>SUMIFS(Таблица1[Столбец1],Таблица1[коэф],"1,2",Таблица1[р/р],"3/24",Таблица1[Ф. И. О.],B297)</f>
        <v>0</v>
      </c>
      <c r="X295" s="469">
        <f t="shared" si="67"/>
        <v>0</v>
      </c>
      <c r="Y295" s="748"/>
      <c r="Z295" s="750"/>
      <c r="AA295" s="740"/>
    </row>
    <row r="296" spans="1:29" ht="18.75">
      <c r="A296" s="740"/>
      <c r="B296" s="201"/>
      <c r="C296" s="743"/>
      <c r="D296" s="746"/>
      <c r="E296" s="370"/>
      <c r="F296" s="367"/>
      <c r="G296" s="377"/>
      <c r="H296" s="369">
        <f t="shared" si="64"/>
        <v>0</v>
      </c>
      <c r="I296" s="366">
        <f>база!$J$6</f>
        <v>243.04319999999998</v>
      </c>
      <c r="J296" s="367">
        <v>1.5</v>
      </c>
      <c r="K296" s="411">
        <f>SUMIFS(Таблица1[Столбец1],Таблица1[коэф],"1,5",Таблица1[р/р],"5/8",Таблица1[Ф. И. О.],B297)</f>
        <v>0</v>
      </c>
      <c r="L296" s="461">
        <f t="shared" si="65"/>
        <v>0</v>
      </c>
      <c r="M296" s="409"/>
      <c r="N296" s="411"/>
      <c r="O296" s="411"/>
      <c r="P296" s="411"/>
      <c r="Q296" s="376">
        <f>база!$L$5</f>
        <v>231.45480000000001</v>
      </c>
      <c r="R296" s="367">
        <v>1.2</v>
      </c>
      <c r="S296" s="468">
        <f>SUMIFS(Таблица1[Столбец1],Таблица1[коэф],"1,2",Таблица1[р/р],"4/16",Таблица1[Ф. И. О.],B297)</f>
        <v>0</v>
      </c>
      <c r="T296" s="469">
        <f t="shared" si="66"/>
        <v>0</v>
      </c>
      <c r="U296" s="449">
        <f>база!$M$5</f>
        <v>247.41720000000001</v>
      </c>
      <c r="V296" s="367">
        <v>1.2</v>
      </c>
      <c r="W296" s="471">
        <f>SUMIFS(Таблица1[Столбец1],Таблица1[коэф],"1,2",Таблица1[р/р],"4/24",Таблица1[Ф. И. О.],B297)</f>
        <v>0</v>
      </c>
      <c r="X296" s="469">
        <f t="shared" si="67"/>
        <v>0</v>
      </c>
      <c r="Y296" s="748"/>
      <c r="Z296" s="750"/>
      <c r="AA296" s="740"/>
    </row>
    <row r="297" spans="1:29" ht="18" customHeight="1">
      <c r="A297" s="740"/>
      <c r="B297" s="201" t="str">
        <f>база!B28</f>
        <v>Иванова Оксана Михайловна</v>
      </c>
      <c r="C297" s="743"/>
      <c r="D297" s="746"/>
      <c r="E297" s="370"/>
      <c r="F297" s="367"/>
      <c r="G297" s="377"/>
      <c r="H297" s="369">
        <f t="shared" si="64"/>
        <v>0</v>
      </c>
      <c r="I297" s="366"/>
      <c r="J297" s="367"/>
      <c r="K297" s="411"/>
      <c r="L297" s="461">
        <f t="shared" si="65"/>
        <v>0</v>
      </c>
      <c r="M297" s="409"/>
      <c r="N297" s="411"/>
      <c r="O297" s="411"/>
      <c r="P297" s="411"/>
      <c r="Q297" s="376">
        <f>база!$L$6</f>
        <v>261.04640000000001</v>
      </c>
      <c r="R297" s="367">
        <v>1.2</v>
      </c>
      <c r="S297" s="468">
        <f>SUMIFS(Таблица1[Столбец1],Таблица1[коэф],"1,2",Таблица1[р/р],"5/16",Таблица1[Ф. И. О.],B297)</f>
        <v>0</v>
      </c>
      <c r="T297" s="469">
        <f t="shared" si="66"/>
        <v>0</v>
      </c>
      <c r="U297" s="449">
        <f>база!$M$6</f>
        <v>279.0496</v>
      </c>
      <c r="V297" s="367">
        <v>1.2</v>
      </c>
      <c r="W297" s="471">
        <f>SUMIFS(Таблица1[Столбец1],Таблица1[коэф],"1,2",Таблица1[р/р],"5/24",Таблица1[Ф. И. О.],B297)</f>
        <v>0</v>
      </c>
      <c r="X297" s="469">
        <f t="shared" si="67"/>
        <v>0</v>
      </c>
      <c r="Y297" s="748"/>
      <c r="Z297" s="750"/>
      <c r="AA297" s="740"/>
      <c r="AC297" s="693" t="str">
        <f>IF(SUMIFS(Таблица1[Столбец3],Таблица1[Ф. И. О.],B297)-Z292=0,"",SUMIFS(Таблица1[Столбец3],Таблица1[Ф. И. О.],B297)-Z292)</f>
        <v/>
      </c>
    </row>
    <row r="298" spans="1:29" ht="18.75">
      <c r="A298" s="740"/>
      <c r="B298" s="201"/>
      <c r="C298" s="743"/>
      <c r="D298" s="746"/>
      <c r="E298" s="370"/>
      <c r="F298" s="367"/>
      <c r="G298" s="377"/>
      <c r="H298" s="369">
        <f t="shared" si="64"/>
        <v>0</v>
      </c>
      <c r="I298" s="366"/>
      <c r="J298" s="367"/>
      <c r="K298" s="411"/>
      <c r="L298" s="461">
        <f t="shared" si="65"/>
        <v>0</v>
      </c>
      <c r="M298" s="409"/>
      <c r="N298" s="411"/>
      <c r="O298" s="411"/>
      <c r="P298" s="411"/>
      <c r="Q298" s="376">
        <f>IF(D292&lt;=3,база!$L$4,
IF(D292=4,база!$L$5,
IF(D292=5,база!$L$6)))</f>
        <v>210.57480000000001</v>
      </c>
      <c r="R298" s="367">
        <v>1.3</v>
      </c>
      <c r="S298" s="468">
        <f>SUMIFS(Таблица1[Столбец1],Таблица1[коэф],"1,3",Таблица1[р/р],"3/16",Таблица1[Ф. И. О.],B297)</f>
        <v>0</v>
      </c>
      <c r="T298" s="469">
        <f t="shared" si="66"/>
        <v>0</v>
      </c>
      <c r="U298" s="449">
        <f>IF(D292&lt;=3,база!$M$4,
IF(D292=4,база!$M$5,
IF(D292=5,база!$M$6)))</f>
        <v>225.09719999999999</v>
      </c>
      <c r="V298" s="367">
        <v>1.3</v>
      </c>
      <c r="W298" s="471">
        <f>SUMIFS(Таблица1[Столбец1],Таблица1[коэф],"1,3",Таблица1[р/р],"3/24",Таблица1[Ф. И. О.],B297)</f>
        <v>0</v>
      </c>
      <c r="X298" s="469">
        <f t="shared" si="67"/>
        <v>0</v>
      </c>
      <c r="Y298" s="748"/>
      <c r="Z298" s="750"/>
      <c r="AA298" s="740"/>
      <c r="AC298" s="693" t="str">
        <f>IF(SUMIFS(Таблица1[Столбец1],Таблица1[Ф. И. О.],B297)=Y292,"",B297&amp;"  часы не верны")</f>
        <v/>
      </c>
    </row>
    <row r="299" spans="1:29" ht="18.75">
      <c r="A299" s="740"/>
      <c r="B299" s="201"/>
      <c r="C299" s="743"/>
      <c r="D299" s="746"/>
      <c r="E299" s="370"/>
      <c r="F299" s="367"/>
      <c r="G299" s="377"/>
      <c r="H299" s="369">
        <f t="shared" si="64"/>
        <v>0</v>
      </c>
      <c r="I299" s="366"/>
      <c r="J299" s="367"/>
      <c r="K299" s="411"/>
      <c r="L299" s="461">
        <f t="shared" si="65"/>
        <v>0</v>
      </c>
      <c r="M299" s="409"/>
      <c r="N299" s="411"/>
      <c r="O299" s="411"/>
      <c r="P299" s="411"/>
      <c r="Q299" s="376">
        <f>база!$L$5</f>
        <v>231.45480000000001</v>
      </c>
      <c r="R299" s="367">
        <v>1.3</v>
      </c>
      <c r="S299" s="468">
        <f>SUMIFS(Таблица1[Столбец1],Таблица1[коэф],"1,3",Таблица1[р/р],"4/16",Таблица1[Ф. И. О.],B297)</f>
        <v>0</v>
      </c>
      <c r="T299" s="469">
        <f t="shared" si="66"/>
        <v>0</v>
      </c>
      <c r="U299" s="449">
        <f>база!$M$5</f>
        <v>247.41720000000001</v>
      </c>
      <c r="V299" s="367">
        <v>1.3</v>
      </c>
      <c r="W299" s="471">
        <f>SUMIFS(Таблица1[Столбец1],Таблица1[коэф],"1,3",Таблица1[р/р],"4/24",Таблица1[Ф. И. О.],B297)</f>
        <v>0</v>
      </c>
      <c r="X299" s="469">
        <f t="shared" si="67"/>
        <v>0</v>
      </c>
      <c r="Y299" s="748"/>
      <c r="Z299" s="750"/>
      <c r="AA299" s="740"/>
    </row>
    <row r="300" spans="1:29" ht="18.75">
      <c r="A300" s="740"/>
      <c r="B300" s="201"/>
      <c r="C300" s="743"/>
      <c r="D300" s="746"/>
      <c r="E300" s="370"/>
      <c r="F300" s="367"/>
      <c r="G300" s="377"/>
      <c r="H300" s="369">
        <f t="shared" si="64"/>
        <v>0</v>
      </c>
      <c r="I300" s="366"/>
      <c r="J300" s="367"/>
      <c r="K300" s="411"/>
      <c r="L300" s="461">
        <f t="shared" si="65"/>
        <v>0</v>
      </c>
      <c r="M300" s="409"/>
      <c r="N300" s="411"/>
      <c r="O300" s="411"/>
      <c r="P300" s="411"/>
      <c r="Q300" s="376">
        <f>IF(D292&lt;=3,база!$L$4,
IF(D292=4,база!$L$5,
IF(D292=5,база!$L$6)))</f>
        <v>210.57480000000001</v>
      </c>
      <c r="R300" s="367">
        <v>1.4</v>
      </c>
      <c r="S300" s="468">
        <f>SUMIFS(Таблица1[Столбец1],Таблица1[коэф],"1,4",Таблица1[р/р],"3/16",Таблица1[Ф. И. О.],B297)</f>
        <v>0</v>
      </c>
      <c r="T300" s="469">
        <f t="shared" si="66"/>
        <v>0</v>
      </c>
      <c r="U300" s="449">
        <f>IF(D292&lt;=3,база!$M$4,
IF(D292=4,база!$M$5,
IF(D292=5,база!$M$6)))</f>
        <v>225.09719999999999</v>
      </c>
      <c r="V300" s="367">
        <v>1.4</v>
      </c>
      <c r="W300" s="471">
        <f>SUMIFS(Таблица1[Столбец1],Таблица1[коэф],"1,4",Таблица1[р/р],"3/24",Таблица1[Ф. И. О.],B297)</f>
        <v>0</v>
      </c>
      <c r="X300" s="469">
        <f t="shared" si="67"/>
        <v>0</v>
      </c>
      <c r="Y300" s="748"/>
      <c r="Z300" s="750"/>
      <c r="AA300" s="740"/>
    </row>
    <row r="301" spans="1:29" ht="18.75">
      <c r="A301" s="740"/>
      <c r="B301" s="201"/>
      <c r="C301" s="743"/>
      <c r="D301" s="746"/>
      <c r="E301" s="370"/>
      <c r="F301" s="367"/>
      <c r="G301" s="377"/>
      <c r="H301" s="369">
        <f t="shared" si="64"/>
        <v>0</v>
      </c>
      <c r="I301" s="366"/>
      <c r="J301" s="367"/>
      <c r="K301" s="411"/>
      <c r="L301" s="372">
        <f t="shared" si="65"/>
        <v>0</v>
      </c>
      <c r="M301" s="409"/>
      <c r="N301" s="411"/>
      <c r="O301" s="411"/>
      <c r="P301" s="411"/>
      <c r="Q301" s="376">
        <f>база!$L$5</f>
        <v>231.45480000000001</v>
      </c>
      <c r="R301" s="367">
        <v>1.4</v>
      </c>
      <c r="S301" s="468">
        <f>SUMIFS(Таблица1[Столбец1],Таблица1[коэф],"1,4",Таблица1[р/р],"4/16",Таблица1[Ф. И. О.],B297)</f>
        <v>0</v>
      </c>
      <c r="T301" s="469">
        <f t="shared" si="66"/>
        <v>0</v>
      </c>
      <c r="U301" s="449">
        <f>база!$M$5</f>
        <v>247.41720000000001</v>
      </c>
      <c r="V301" s="367">
        <v>1.4</v>
      </c>
      <c r="W301" s="471">
        <f>SUMIFS(Таблица1[Столбец1],Таблица1[коэф],"1,4",Таблица1[р/р],"4/24",Таблица1[Ф. И. О.],B297)</f>
        <v>0</v>
      </c>
      <c r="X301" s="469">
        <f t="shared" si="67"/>
        <v>0</v>
      </c>
      <c r="Y301" s="748"/>
      <c r="Z301" s="750"/>
      <c r="AA301" s="740"/>
    </row>
    <row r="302" spans="1:29" ht="19.5" thickBot="1">
      <c r="A302" s="741"/>
      <c r="B302" s="188"/>
      <c r="C302" s="744"/>
      <c r="D302" s="747"/>
      <c r="E302" s="440"/>
      <c r="F302" s="441"/>
      <c r="G302" s="442"/>
      <c r="H302" s="445">
        <f t="shared" si="64"/>
        <v>0</v>
      </c>
      <c r="I302" s="450"/>
      <c r="J302" s="441"/>
      <c r="K302" s="434"/>
      <c r="L302" s="435">
        <f t="shared" si="65"/>
        <v>0</v>
      </c>
      <c r="M302" s="443"/>
      <c r="N302" s="434"/>
      <c r="O302" s="434"/>
      <c r="P302" s="434"/>
      <c r="Q302" s="444">
        <f>база!$L$6</f>
        <v>261.04640000000001</v>
      </c>
      <c r="R302" s="441">
        <v>1.4</v>
      </c>
      <c r="S302" s="489">
        <f>SUMIFS(Таблица1[Столбец1],Таблица1[коэф],"1,4",Таблица1[р/р],"5/16",Таблица1[Ф. И. О.],B297)</f>
        <v>0</v>
      </c>
      <c r="T302" s="490">
        <f t="shared" si="66"/>
        <v>0</v>
      </c>
      <c r="U302" s="451">
        <f>база!$M$6</f>
        <v>279.0496</v>
      </c>
      <c r="V302" s="441">
        <v>1.4</v>
      </c>
      <c r="W302" s="478">
        <f>SUMIFS(Таблица1[Столбец1],Таблица1[коэф],"1,4",Таблица1[р/р],"5/24",Таблица1[Ф. И. О.],B297)</f>
        <v>0</v>
      </c>
      <c r="X302" s="490">
        <f t="shared" si="67"/>
        <v>0</v>
      </c>
      <c r="Y302" s="749"/>
      <c r="Z302" s="751"/>
      <c r="AA302" s="741"/>
    </row>
    <row r="303" spans="1:29" ht="18.75" collapsed="1">
      <c r="A303" s="739">
        <v>28</v>
      </c>
      <c r="B303" s="219"/>
      <c r="C303" s="742">
        <f>INDEX(база!$E$2:$E$81, MATCH(B308,база!$B$2:$B$50,0))</f>
        <v>14578</v>
      </c>
      <c r="D303" s="745">
        <f>INDEX(база!$D$2:$D$89, MATCH(B308,база!$B$2:$B$50,0))</f>
        <v>3</v>
      </c>
      <c r="E303" s="428">
        <f>IF(D303&lt;=3,база!$I$4,
IF(D303=4,база!$I$5,
IF(D303=5,база!$I$6)))</f>
        <v>188.7912</v>
      </c>
      <c r="F303" s="394">
        <v>1</v>
      </c>
      <c r="G303" s="395">
        <f>SUMIFS(Таблица1[Столбец1],Таблица1[коэф],"1",Таблица1[р/р],"2/4",Таблица1[Ф. И. О.],B308)</f>
        <v>0</v>
      </c>
      <c r="H303" s="379">
        <f t="shared" ref="H303:H313" si="70">ROUND(E303*F303*G303*2,2)</f>
        <v>0</v>
      </c>
      <c r="I303" s="354">
        <f>IF(D303&lt;=3,база!$J$4,
IF(D303=4,база!$J$5,
IF(D303=5,база!$J$6)))</f>
        <v>196.05240000000001</v>
      </c>
      <c r="J303" s="355">
        <v>1</v>
      </c>
      <c r="K303" s="405">
        <f>SUMIFS(Таблица1[Столбец1],Таблица1[коэф],"1",Таблица1[р/р],"2/8",Таблица1[Ф. И. О.],B308)</f>
        <v>0</v>
      </c>
      <c r="L303" s="360">
        <f t="shared" ref="L303:L313" si="71">ROUND(I303*J303*K303*2,2)</f>
        <v>0</v>
      </c>
      <c r="M303" s="429"/>
      <c r="N303" s="430">
        <v>1</v>
      </c>
      <c r="O303" s="430">
        <f>SUMIFS(Data_Tech!$AM$3:$AM$67,Data_Tech!$E$3:$E$67,"1",Data_Tech!$G$3:$G$67,"3/12",Data_Tech!$F$3:$F$67,B308)</f>
        <v>0</v>
      </c>
      <c r="P303" s="430">
        <f>ROUND(M303*N303*O303,2)</f>
        <v>0</v>
      </c>
      <c r="Q303" s="393">
        <f>IF(D303&lt;=3,база!$L$4,
IF(D303=4,база!$L$5,
IF(D303=5,база!$L$6)))</f>
        <v>210.57480000000001</v>
      </c>
      <c r="R303" s="394">
        <v>1</v>
      </c>
      <c r="S303" s="472">
        <f>SUMIFS(Таблица1[Столбец1],Таблица1[коэф],"1",Таблица1[р/р],"3/16",Таблица1[Ф. И. О.],B308)</f>
        <v>0</v>
      </c>
      <c r="T303" s="467">
        <f t="shared" ref="T303:T313" si="72">ROUND(Q303*R303*S303*2,2)</f>
        <v>0</v>
      </c>
      <c r="U303" s="448">
        <f>IF(D303&lt;=3,база!$M$4,
IF(D303=4,база!$M$5,
IF(D303=5,база!$M$6)))</f>
        <v>225.09719999999999</v>
      </c>
      <c r="V303" s="355">
        <v>1</v>
      </c>
      <c r="W303" s="474">
        <f>SUMIFS(Таблица1[Столбец1],Таблица1[коэф],"1",Таблица1[р/р],"3/24",Таблица1[Ф. И. О.],B308)</f>
        <v>0</v>
      </c>
      <c r="X303" s="467">
        <f t="shared" ref="X303:X313" si="73">ROUND(U303*V303*W303*2,2)</f>
        <v>0</v>
      </c>
      <c r="Y303" s="748">
        <f t="shared" ref="Y303" si="74">SUM(G303:G313,K303:K313,O303:O313,S303:S313,W303:W313)</f>
        <v>0</v>
      </c>
      <c r="Z303" s="750">
        <f t="shared" ref="Z303" si="75">IFERROR(SUM(H303:H313,L303:L313,T303:T313,X303:X313),"")</f>
        <v>0</v>
      </c>
      <c r="AA303" s="740"/>
    </row>
    <row r="304" spans="1:29" ht="18.75">
      <c r="A304" s="740"/>
      <c r="B304" s="201"/>
      <c r="C304" s="743"/>
      <c r="D304" s="746"/>
      <c r="E304" s="370">
        <f>IF(D303&lt;=3,база!$I$4,
IF(D303=4,база!$I$5,
IF(D303=5,база!$I$6)))</f>
        <v>188.7912</v>
      </c>
      <c r="F304" s="367">
        <v>1</v>
      </c>
      <c r="G304" s="377">
        <f>SUMIFS(Таблица1[Столбец1],Таблица1[коэф],"1",Таблица1[р/р],"3/4",Таблица1[Ф. И. О.],B308)</f>
        <v>0</v>
      </c>
      <c r="H304" s="369">
        <f t="shared" si="70"/>
        <v>0</v>
      </c>
      <c r="I304" s="366">
        <f>IF(D303&lt;=3,база!$J$4,
IF(D303=4,база!$J$5,
IF(D303=5,база!$J$6)))</f>
        <v>196.05240000000001</v>
      </c>
      <c r="J304" s="367">
        <v>1</v>
      </c>
      <c r="K304" s="411">
        <f>SUMIFS(Таблица1[Столбец1],Таблица1[коэф],"1",Таблица1[р/р],"3/8",Таблица1[Ф. И. О.],B308)</f>
        <v>0</v>
      </c>
      <c r="L304" s="461">
        <f t="shared" si="71"/>
        <v>0</v>
      </c>
      <c r="M304" s="409"/>
      <c r="N304" s="411">
        <v>1</v>
      </c>
      <c r="O304" s="411">
        <f>SUMIFS(Data_Tech!$AM$3:$AM$67,Data_Tech!$E$3:$E$67,"1",Data_Tech!$G$3:$G$67,"4/12",Data_Tech!$F$3:$F$67,B308)</f>
        <v>0</v>
      </c>
      <c r="P304" s="411">
        <f>ROUND(M304*O304,2)</f>
        <v>0</v>
      </c>
      <c r="Q304" s="376">
        <f>база!$L$5</f>
        <v>231.45480000000001</v>
      </c>
      <c r="R304" s="367">
        <v>1</v>
      </c>
      <c r="S304" s="468">
        <f>SUMIFS(Таблица1[Столбец1],Таблица1[коэф],"1",Таблица1[р/р],"4/16",Таблица1[Ф. И. О.],B308)</f>
        <v>0</v>
      </c>
      <c r="T304" s="469">
        <f t="shared" si="72"/>
        <v>0</v>
      </c>
      <c r="U304" s="449">
        <f>база!$M$5</f>
        <v>247.41720000000001</v>
      </c>
      <c r="V304" s="367">
        <v>1</v>
      </c>
      <c r="W304" s="471">
        <f>SUMIFS(Таблица1[Столбец1],Таблица1[коэф],"1",Таблица1[р/р],"4/24",Таблица1[Ф. И. О.],B308)</f>
        <v>0</v>
      </c>
      <c r="X304" s="469">
        <f t="shared" si="73"/>
        <v>0</v>
      </c>
      <c r="Y304" s="748"/>
      <c r="Z304" s="750"/>
      <c r="AA304" s="740"/>
    </row>
    <row r="305" spans="1:29" ht="18.75">
      <c r="A305" s="740"/>
      <c r="B305" s="201"/>
      <c r="C305" s="743"/>
      <c r="D305" s="746"/>
      <c r="E305" s="370"/>
      <c r="F305" s="367"/>
      <c r="G305" s="377"/>
      <c r="H305" s="369">
        <f t="shared" si="70"/>
        <v>0</v>
      </c>
      <c r="I305" s="366"/>
      <c r="J305" s="367"/>
      <c r="K305" s="411"/>
      <c r="L305" s="461">
        <f t="shared" si="71"/>
        <v>0</v>
      </c>
      <c r="M305" s="409"/>
      <c r="N305" s="411"/>
      <c r="O305" s="411"/>
      <c r="P305" s="411"/>
      <c r="Q305" s="376">
        <f>база!$L$6</f>
        <v>261.04640000000001</v>
      </c>
      <c r="R305" s="367">
        <v>1</v>
      </c>
      <c r="S305" s="468">
        <f>SUMIFS(Таблица1[Столбец1],Таблица1[коэф],"1",Таблица1[р/р],"5/16",Таблица1[Ф. И. О.],B308)</f>
        <v>0</v>
      </c>
      <c r="T305" s="469">
        <f t="shared" si="72"/>
        <v>0</v>
      </c>
      <c r="U305" s="449">
        <f>база!$M$6</f>
        <v>279.0496</v>
      </c>
      <c r="V305" s="367">
        <v>1</v>
      </c>
      <c r="W305" s="471">
        <f>SUMIFS(Таблица1[Столбец1],Таблица1[коэф],"1",Таблица1[р/р],"5/24",Таблица1[Ф. И. О.],B308)</f>
        <v>0</v>
      </c>
      <c r="X305" s="469">
        <f t="shared" si="73"/>
        <v>0</v>
      </c>
      <c r="Y305" s="748"/>
      <c r="Z305" s="750"/>
      <c r="AA305" s="740"/>
    </row>
    <row r="306" spans="1:29" ht="18.75">
      <c r="A306" s="740"/>
      <c r="B306" s="201"/>
      <c r="C306" s="743"/>
      <c r="D306" s="746"/>
      <c r="E306" s="370"/>
      <c r="F306" s="367"/>
      <c r="G306" s="377"/>
      <c r="H306" s="369">
        <f t="shared" si="70"/>
        <v>0</v>
      </c>
      <c r="I306" s="366">
        <f>база!$J$5</f>
        <v>215.4924</v>
      </c>
      <c r="J306" s="367">
        <v>1.5</v>
      </c>
      <c r="K306" s="411">
        <f>SUMIFS(Таблица1[Столбец1],Таблица1[коэф],"1,5",Таблица1[р/р],"4/8",Таблица1[Ф. И. О.],B308)</f>
        <v>0</v>
      </c>
      <c r="L306" s="461">
        <f t="shared" si="71"/>
        <v>0</v>
      </c>
      <c r="M306" s="409"/>
      <c r="N306" s="411"/>
      <c r="O306" s="411"/>
      <c r="P306" s="411"/>
      <c r="Q306" s="376">
        <f>IF(D303&lt;=3,база!$L$4,
IF(D303=4,база!$L$5,
IF(D303=5,база!$L$6)))</f>
        <v>210.57480000000001</v>
      </c>
      <c r="R306" s="367">
        <v>1.2</v>
      </c>
      <c r="S306" s="468">
        <f>SUMIFS(Таблица1[Столбец1],Таблица1[коэф],"1,2",Таблица1[р/р],"3/16",Таблица1[Ф. И. О.],B308)</f>
        <v>0</v>
      </c>
      <c r="T306" s="469">
        <f t="shared" si="72"/>
        <v>0</v>
      </c>
      <c r="U306" s="449">
        <f>IF(D303&lt;=3,база!$M$4,
IF(D303=4,база!$M$5,
IF(D303=5,база!$M$6)))</f>
        <v>225.09719999999999</v>
      </c>
      <c r="V306" s="367">
        <v>1.2</v>
      </c>
      <c r="W306" s="471">
        <f>SUMIFS(Таблица1[Столбец1],Таблица1[коэф],"1,2",Таблица1[р/р],"3/24",Таблица1[Ф. И. О.],B308)</f>
        <v>0</v>
      </c>
      <c r="X306" s="469">
        <f t="shared" si="73"/>
        <v>0</v>
      </c>
      <c r="Y306" s="748"/>
      <c r="Z306" s="750"/>
      <c r="AA306" s="740"/>
    </row>
    <row r="307" spans="1:29" ht="18.75">
      <c r="A307" s="740"/>
      <c r="B307" s="201"/>
      <c r="C307" s="743"/>
      <c r="D307" s="746"/>
      <c r="E307" s="370"/>
      <c r="F307" s="367"/>
      <c r="G307" s="377"/>
      <c r="H307" s="369">
        <f t="shared" si="70"/>
        <v>0</v>
      </c>
      <c r="I307" s="366">
        <f>база!$J$6</f>
        <v>243.04319999999998</v>
      </c>
      <c r="J307" s="367">
        <v>1.5</v>
      </c>
      <c r="K307" s="411">
        <f>SUMIFS(Таблица1[Столбец1],Таблица1[коэф],"1,5",Таблица1[р/р],"5/8",Таблица1[Ф. И. О.],B308)</f>
        <v>0</v>
      </c>
      <c r="L307" s="461">
        <f t="shared" si="71"/>
        <v>0</v>
      </c>
      <c r="M307" s="409"/>
      <c r="N307" s="411"/>
      <c r="O307" s="411"/>
      <c r="P307" s="411"/>
      <c r="Q307" s="376">
        <f>база!$L$5</f>
        <v>231.45480000000001</v>
      </c>
      <c r="R307" s="367">
        <v>1.2</v>
      </c>
      <c r="S307" s="468">
        <f>SUMIFS(Таблица1[Столбец1],Таблица1[коэф],"1,2",Таблица1[р/р],"4/16",Таблица1[Ф. И. О.],B308)</f>
        <v>0</v>
      </c>
      <c r="T307" s="469">
        <f t="shared" si="72"/>
        <v>0</v>
      </c>
      <c r="U307" s="449">
        <f>база!$M$5</f>
        <v>247.41720000000001</v>
      </c>
      <c r="V307" s="367">
        <v>1.2</v>
      </c>
      <c r="W307" s="471">
        <f>SUMIFS(Таблица1[Столбец1],Таблица1[коэф],"1,2",Таблица1[р/р],"4/24",Таблица1[Ф. И. О.],B308)</f>
        <v>0</v>
      </c>
      <c r="X307" s="469">
        <f t="shared" si="73"/>
        <v>0</v>
      </c>
      <c r="Y307" s="748"/>
      <c r="Z307" s="750"/>
      <c r="AA307" s="740"/>
    </row>
    <row r="308" spans="1:29" ht="18" customHeight="1">
      <c r="A308" s="740"/>
      <c r="B308" s="201" t="str">
        <f>база!B29</f>
        <v>Иванова Ольга Анатольевна</v>
      </c>
      <c r="C308" s="743"/>
      <c r="D308" s="746"/>
      <c r="E308" s="370"/>
      <c r="F308" s="367"/>
      <c r="G308" s="377"/>
      <c r="H308" s="369">
        <f t="shared" si="70"/>
        <v>0</v>
      </c>
      <c r="I308" s="366"/>
      <c r="J308" s="367"/>
      <c r="K308" s="411"/>
      <c r="L308" s="461">
        <f t="shared" si="71"/>
        <v>0</v>
      </c>
      <c r="M308" s="409"/>
      <c r="N308" s="411"/>
      <c r="O308" s="411"/>
      <c r="P308" s="411"/>
      <c r="Q308" s="376">
        <f>база!$L$6</f>
        <v>261.04640000000001</v>
      </c>
      <c r="R308" s="367">
        <v>1.2</v>
      </c>
      <c r="S308" s="468">
        <f>SUMIFS(Таблица1[Столбец1],Таблица1[коэф],"1,2",Таблица1[р/р],"5/16",Таблица1[Ф. И. О.],B308)</f>
        <v>0</v>
      </c>
      <c r="T308" s="469">
        <f t="shared" si="72"/>
        <v>0</v>
      </c>
      <c r="U308" s="449">
        <f>база!$M$6</f>
        <v>279.0496</v>
      </c>
      <c r="V308" s="367">
        <v>1.2</v>
      </c>
      <c r="W308" s="471">
        <f>SUMIFS(Таблица1[Столбец1],Таблица1[коэф],"1,2",Таблица1[р/р],"5/24",Таблица1[Ф. И. О.],B308)</f>
        <v>0</v>
      </c>
      <c r="X308" s="469">
        <f t="shared" si="73"/>
        <v>0</v>
      </c>
      <c r="Y308" s="748"/>
      <c r="Z308" s="750"/>
      <c r="AA308" s="740"/>
      <c r="AC308" s="693" t="str">
        <f>IF(SUMIFS(Таблица1[Столбец3],Таблица1[Ф. И. О.],B308)-Z303=0,"",SUMIFS(Таблица1[Столбец3],Таблица1[Ф. И. О.],B308)-Z303)</f>
        <v/>
      </c>
    </row>
    <row r="309" spans="1:29" ht="18.75">
      <c r="A309" s="740"/>
      <c r="B309" s="201"/>
      <c r="C309" s="743"/>
      <c r="D309" s="746"/>
      <c r="E309" s="370"/>
      <c r="F309" s="367"/>
      <c r="G309" s="377"/>
      <c r="H309" s="369">
        <f t="shared" si="70"/>
        <v>0</v>
      </c>
      <c r="I309" s="366"/>
      <c r="J309" s="367"/>
      <c r="K309" s="411"/>
      <c r="L309" s="461">
        <f t="shared" si="71"/>
        <v>0</v>
      </c>
      <c r="M309" s="409"/>
      <c r="N309" s="411"/>
      <c r="O309" s="411"/>
      <c r="P309" s="411"/>
      <c r="Q309" s="376">
        <f>IF(D303&lt;=3,база!$L$4,
IF(D303=4,база!$L$5,
IF(D303=5,база!$L$6)))</f>
        <v>210.57480000000001</v>
      </c>
      <c r="R309" s="367">
        <v>1.3</v>
      </c>
      <c r="S309" s="468">
        <f>SUMIFS(Таблица1[Столбец1],Таблица1[коэф],"1,3",Таблица1[р/р],"3/16",Таблица1[Ф. И. О.],B308)</f>
        <v>0</v>
      </c>
      <c r="T309" s="469">
        <f t="shared" si="72"/>
        <v>0</v>
      </c>
      <c r="U309" s="449">
        <f>IF(D303&lt;=3,база!$M$4,
IF(D303=4,база!$M$5,
IF(D303=5,база!$M$6)))</f>
        <v>225.09719999999999</v>
      </c>
      <c r="V309" s="367">
        <v>1.3</v>
      </c>
      <c r="W309" s="471">
        <f>SUMIFS(Таблица1[Столбец1],Таблица1[коэф],"1,3",Таблица1[р/р],"3/24",Таблица1[Ф. И. О.],B308)</f>
        <v>0</v>
      </c>
      <c r="X309" s="469">
        <f t="shared" si="73"/>
        <v>0</v>
      </c>
      <c r="Y309" s="748"/>
      <c r="Z309" s="750"/>
      <c r="AA309" s="740"/>
      <c r="AC309" s="693" t="str">
        <f>IF(SUMIFS(Таблица1[Столбец1],Таблица1[Ф. И. О.],B308)=Y303,"",B308&amp;"  часы не верны")</f>
        <v/>
      </c>
    </row>
    <row r="310" spans="1:29" ht="18.75">
      <c r="A310" s="740"/>
      <c r="B310" s="201"/>
      <c r="C310" s="743"/>
      <c r="D310" s="746"/>
      <c r="E310" s="370"/>
      <c r="F310" s="367"/>
      <c r="G310" s="377"/>
      <c r="H310" s="369">
        <f t="shared" si="70"/>
        <v>0</v>
      </c>
      <c r="I310" s="366"/>
      <c r="J310" s="367"/>
      <c r="K310" s="411"/>
      <c r="L310" s="461">
        <f t="shared" si="71"/>
        <v>0</v>
      </c>
      <c r="M310" s="409"/>
      <c r="N310" s="411"/>
      <c r="O310" s="411"/>
      <c r="P310" s="411"/>
      <c r="Q310" s="376">
        <f>база!$L$5</f>
        <v>231.45480000000001</v>
      </c>
      <c r="R310" s="367">
        <v>1.3</v>
      </c>
      <c r="S310" s="468">
        <f>SUMIFS(Таблица1[Столбец1],Таблица1[коэф],"1,3",Таблица1[р/р],"4/16",Таблица1[Ф. И. О.],B308)</f>
        <v>0</v>
      </c>
      <c r="T310" s="469">
        <f t="shared" si="72"/>
        <v>0</v>
      </c>
      <c r="U310" s="449">
        <f>база!$M$5</f>
        <v>247.41720000000001</v>
      </c>
      <c r="V310" s="367">
        <v>1.3</v>
      </c>
      <c r="W310" s="471">
        <f>SUMIFS(Таблица1[Столбец1],Таблица1[коэф],"1,3",Таблица1[р/р],"4/24",Таблица1[Ф. И. О.],B308)</f>
        <v>0</v>
      </c>
      <c r="X310" s="469">
        <f t="shared" si="73"/>
        <v>0</v>
      </c>
      <c r="Y310" s="748"/>
      <c r="Z310" s="750"/>
      <c r="AA310" s="740"/>
    </row>
    <row r="311" spans="1:29" ht="18.75">
      <c r="A311" s="740"/>
      <c r="B311" s="201"/>
      <c r="C311" s="743"/>
      <c r="D311" s="746"/>
      <c r="E311" s="370"/>
      <c r="F311" s="367"/>
      <c r="G311" s="377"/>
      <c r="H311" s="369">
        <f t="shared" si="70"/>
        <v>0</v>
      </c>
      <c r="I311" s="366"/>
      <c r="J311" s="367"/>
      <c r="K311" s="411"/>
      <c r="L311" s="461">
        <f t="shared" si="71"/>
        <v>0</v>
      </c>
      <c r="M311" s="409"/>
      <c r="N311" s="411"/>
      <c r="O311" s="411"/>
      <c r="P311" s="411"/>
      <c r="Q311" s="376">
        <f>IF(D303&lt;=3,база!$L$4,
IF(D303=4,база!$L$5,
IF(D303=5,база!$L$6)))</f>
        <v>210.57480000000001</v>
      </c>
      <c r="R311" s="367">
        <v>1.4</v>
      </c>
      <c r="S311" s="468">
        <f>SUMIFS(Таблица1[Столбец1],Таблица1[коэф],"1,4",Таблица1[р/р],"3/16",Таблица1[Ф. И. О.],B308)</f>
        <v>0</v>
      </c>
      <c r="T311" s="469">
        <f t="shared" si="72"/>
        <v>0</v>
      </c>
      <c r="U311" s="449">
        <f>IF(D303&lt;=3,база!$M$4,
IF(D303=4,база!$M$5,
IF(D303=5,база!$M$6)))</f>
        <v>225.09719999999999</v>
      </c>
      <c r="V311" s="367">
        <v>1.4</v>
      </c>
      <c r="W311" s="471">
        <f>SUMIFS(Таблица1[Столбец1],Таблица1[коэф],"1,4",Таблица1[р/р],"3/24",Таблица1[Ф. И. О.],B308)</f>
        <v>0</v>
      </c>
      <c r="X311" s="469">
        <f t="shared" si="73"/>
        <v>0</v>
      </c>
      <c r="Y311" s="748"/>
      <c r="Z311" s="750"/>
      <c r="AA311" s="740"/>
    </row>
    <row r="312" spans="1:29" ht="18.75">
      <c r="A312" s="740"/>
      <c r="B312" s="201"/>
      <c r="C312" s="743"/>
      <c r="D312" s="746"/>
      <c r="E312" s="370"/>
      <c r="F312" s="367"/>
      <c r="G312" s="377"/>
      <c r="H312" s="369">
        <f t="shared" si="70"/>
        <v>0</v>
      </c>
      <c r="I312" s="366"/>
      <c r="J312" s="367"/>
      <c r="K312" s="411"/>
      <c r="L312" s="372">
        <f t="shared" si="71"/>
        <v>0</v>
      </c>
      <c r="M312" s="409"/>
      <c r="N312" s="411"/>
      <c r="O312" s="411"/>
      <c r="P312" s="411"/>
      <c r="Q312" s="376">
        <f>база!$L$5</f>
        <v>231.45480000000001</v>
      </c>
      <c r="R312" s="367">
        <v>1.4</v>
      </c>
      <c r="S312" s="468">
        <f>SUMIFS(Таблица1[Столбец1],Таблица1[коэф],"1,4",Таблица1[р/р],"4/16",Таблица1[Ф. И. О.],B308)</f>
        <v>0</v>
      </c>
      <c r="T312" s="469">
        <f t="shared" si="72"/>
        <v>0</v>
      </c>
      <c r="U312" s="449">
        <f>база!$M$5</f>
        <v>247.41720000000001</v>
      </c>
      <c r="V312" s="367">
        <v>1.4</v>
      </c>
      <c r="W312" s="471">
        <f>SUMIFS(Таблица1[Столбец1],Таблица1[коэф],"1,4",Таблица1[р/р],"4/24",Таблица1[Ф. И. О.],B308)</f>
        <v>0</v>
      </c>
      <c r="X312" s="469">
        <f t="shared" si="73"/>
        <v>0</v>
      </c>
      <c r="Y312" s="748"/>
      <c r="Z312" s="750"/>
      <c r="AA312" s="740"/>
    </row>
    <row r="313" spans="1:29" ht="19.5" thickBot="1">
      <c r="A313" s="741"/>
      <c r="B313" s="188"/>
      <c r="C313" s="744"/>
      <c r="D313" s="747"/>
      <c r="E313" s="440"/>
      <c r="F313" s="441"/>
      <c r="G313" s="442"/>
      <c r="H313" s="445">
        <f t="shared" si="70"/>
        <v>0</v>
      </c>
      <c r="I313" s="450"/>
      <c r="J313" s="441"/>
      <c r="K313" s="434"/>
      <c r="L313" s="435">
        <f t="shared" si="71"/>
        <v>0</v>
      </c>
      <c r="M313" s="443"/>
      <c r="N313" s="434"/>
      <c r="O313" s="434"/>
      <c r="P313" s="434"/>
      <c r="Q313" s="444">
        <f>база!$L$6</f>
        <v>261.04640000000001</v>
      </c>
      <c r="R313" s="441">
        <v>1.4</v>
      </c>
      <c r="S313" s="489">
        <f>SUMIFS(Таблица1[Столбец1],Таблица1[коэф],"1,4",Таблица1[р/р],"5/16",Таблица1[Ф. И. О.],B308)</f>
        <v>0</v>
      </c>
      <c r="T313" s="490">
        <f t="shared" si="72"/>
        <v>0</v>
      </c>
      <c r="U313" s="451">
        <f>база!$M$6</f>
        <v>279.0496</v>
      </c>
      <c r="V313" s="441">
        <v>1.4</v>
      </c>
      <c r="W313" s="478">
        <f>SUMIFS(Таблица1[Столбец1],Таблица1[коэф],"1,4",Таблица1[р/р],"5/24",Таблица1[Ф. И. О.],B308)</f>
        <v>0</v>
      </c>
      <c r="X313" s="490">
        <f t="shared" si="73"/>
        <v>0</v>
      </c>
      <c r="Y313" s="749"/>
      <c r="Z313" s="751"/>
      <c r="AA313" s="741"/>
    </row>
    <row r="314" spans="1:29" ht="18.75" collapsed="1">
      <c r="A314" s="739">
        <v>29</v>
      </c>
      <c r="B314" s="219"/>
      <c r="C314" s="742">
        <f>INDEX(база!$E$2:$E$81, MATCH(B319,база!$B$2:$B$50,0))</f>
        <v>16799</v>
      </c>
      <c r="D314" s="745">
        <f>INDEX(база!$D$2:$D$89, MATCH(B319,база!$B$2:$B$50,0))</f>
        <v>3</v>
      </c>
      <c r="E314" s="428">
        <f>IF(D314&lt;=3,база!$I$4,
IF(D314=4,база!$I$5,
IF(D314=5,база!$I$6)))</f>
        <v>188.7912</v>
      </c>
      <c r="F314" s="394">
        <v>1</v>
      </c>
      <c r="G314" s="395">
        <f>SUMIFS(Таблица1[Столбец1],Таблица1[коэф],"1",Таблица1[р/р],"2/4",Таблица1[Ф. И. О.],B319)</f>
        <v>0</v>
      </c>
      <c r="H314" s="379">
        <f t="shared" ref="H314:H324" si="76">ROUND(E314*F314*G314*2,2)</f>
        <v>0</v>
      </c>
      <c r="I314" s="354">
        <f>IF(D314&lt;=3,база!$J$4,
IF(D314=4,база!$J$5,
IF(D314=5,база!$J$6)))</f>
        <v>196.05240000000001</v>
      </c>
      <c r="J314" s="355">
        <v>1</v>
      </c>
      <c r="K314" s="405">
        <f>SUMIFS(Таблица1[Столбец1],Таблица1[коэф],"1",Таблица1[р/р],"2/8",Таблица1[Ф. И. О.],B319)</f>
        <v>0</v>
      </c>
      <c r="L314" s="360">
        <f t="shared" ref="L314:L324" si="77">ROUND(I314*J314*K314*2,2)</f>
        <v>0</v>
      </c>
      <c r="M314" s="429"/>
      <c r="N314" s="430">
        <v>1</v>
      </c>
      <c r="O314" s="430">
        <f>SUMIFS(Data_Tech!$AM$3:$AM$67,Data_Tech!$E$3:$E$67,"1",Data_Tech!$G$3:$G$67,"3/12",Data_Tech!$F$3:$F$67,B319)</f>
        <v>0</v>
      </c>
      <c r="P314" s="430">
        <f>ROUND(M314*N314*O314,2)</f>
        <v>0</v>
      </c>
      <c r="Q314" s="393">
        <f>IF(D314&lt;=3,база!$L$4,
IF(D314=4,база!$L$5,
IF(D314=5,база!$L$6)))</f>
        <v>210.57480000000001</v>
      </c>
      <c r="R314" s="394">
        <v>1</v>
      </c>
      <c r="S314" s="472">
        <f>SUMIFS(Таблица1[Столбец1],Таблица1[коэф],"1",Таблица1[р/р],"3/16",Таблица1[Ф. И. О.],B319)</f>
        <v>0</v>
      </c>
      <c r="T314" s="467">
        <f t="shared" ref="T314:T324" si="78">ROUND(Q314*R314*S314*2,2)</f>
        <v>0</v>
      </c>
      <c r="U314" s="448">
        <f>IF(D314&lt;=3,база!$M$4,
IF(D314=4,база!$M$5,
IF(D314=5,база!$M$6)))</f>
        <v>225.09719999999999</v>
      </c>
      <c r="V314" s="355">
        <v>1</v>
      </c>
      <c r="W314" s="474">
        <f>SUMIFS(Таблица1[Столбец1],Таблица1[коэф],"1",Таблица1[р/р],"3/24",Таблица1[Ф. И. О.],B319)</f>
        <v>0</v>
      </c>
      <c r="X314" s="467">
        <f t="shared" ref="X314:X324" si="79">ROUND(U314*V314*W314*2,2)</f>
        <v>0</v>
      </c>
      <c r="Y314" s="748">
        <f t="shared" ref="Y314" si="80">SUM(G314:G324,K314:K324,O314:O324,S314:S324,W314:W324)</f>
        <v>0</v>
      </c>
      <c r="Z314" s="750">
        <f t="shared" ref="Z314" si="81">IFERROR(SUM(H314:H324,L314:L324,T314:T324,X314:X324),"")</f>
        <v>0</v>
      </c>
      <c r="AA314" s="740"/>
    </row>
    <row r="315" spans="1:29" ht="18.75">
      <c r="A315" s="740"/>
      <c r="B315" s="201"/>
      <c r="C315" s="743"/>
      <c r="D315" s="746"/>
      <c r="E315" s="370">
        <f>IF(D314&lt;=3,база!$I$4,
IF(D314=4,база!$I$5,
IF(D314=5,база!$I$6)))</f>
        <v>188.7912</v>
      </c>
      <c r="F315" s="367">
        <v>1</v>
      </c>
      <c r="G315" s="377">
        <f>SUMIFS(Таблица1[Столбец1],Таблица1[коэф],"1",Таблица1[р/р],"3/4",Таблица1[Ф. И. О.],B319)</f>
        <v>0</v>
      </c>
      <c r="H315" s="369">
        <f t="shared" si="76"/>
        <v>0</v>
      </c>
      <c r="I315" s="366">
        <f>IF(D314&lt;=3,база!$J$4,
IF(D314=4,база!$J$5,
IF(D314=5,база!$J$6)))</f>
        <v>196.05240000000001</v>
      </c>
      <c r="J315" s="367">
        <v>1</v>
      </c>
      <c r="K315" s="411">
        <f>SUMIFS(Таблица1[Столбец1],Таблица1[коэф],"1",Таблица1[р/р],"3/8",Таблица1[Ф. И. О.],B319)</f>
        <v>0</v>
      </c>
      <c r="L315" s="461">
        <f t="shared" si="77"/>
        <v>0</v>
      </c>
      <c r="M315" s="409"/>
      <c r="N315" s="411">
        <v>1</v>
      </c>
      <c r="O315" s="411">
        <f>SUMIFS(Data_Tech!$AM$3:$AM$67,Data_Tech!$E$3:$E$67,"1",Data_Tech!$G$3:$G$67,"4/12",Data_Tech!$F$3:$F$67,B319)</f>
        <v>0</v>
      </c>
      <c r="P315" s="411">
        <f>ROUND(M315*O315,2)</f>
        <v>0</v>
      </c>
      <c r="Q315" s="376">
        <f>база!$L$5</f>
        <v>231.45480000000001</v>
      </c>
      <c r="R315" s="367">
        <v>1</v>
      </c>
      <c r="S315" s="468">
        <f>SUMIFS(Таблица1[Столбец1],Таблица1[коэф],"1",Таблица1[р/р],"4/16",Таблица1[Ф. И. О.],B319)</f>
        <v>0</v>
      </c>
      <c r="T315" s="469">
        <f t="shared" si="78"/>
        <v>0</v>
      </c>
      <c r="U315" s="449">
        <f>база!$M$5</f>
        <v>247.41720000000001</v>
      </c>
      <c r="V315" s="367">
        <v>1</v>
      </c>
      <c r="W315" s="471">
        <f>SUMIFS(Таблица1[Столбец1],Таблица1[коэф],"1",Таблица1[р/р],"4/24",Таблица1[Ф. И. О.],B319)</f>
        <v>0</v>
      </c>
      <c r="X315" s="469">
        <f t="shared" si="79"/>
        <v>0</v>
      </c>
      <c r="Y315" s="748"/>
      <c r="Z315" s="750"/>
      <c r="AA315" s="740"/>
    </row>
    <row r="316" spans="1:29" ht="18.75">
      <c r="A316" s="740"/>
      <c r="B316" s="201"/>
      <c r="C316" s="743"/>
      <c r="D316" s="746"/>
      <c r="E316" s="370"/>
      <c r="F316" s="367"/>
      <c r="G316" s="377"/>
      <c r="H316" s="369">
        <f t="shared" si="76"/>
        <v>0</v>
      </c>
      <c r="I316" s="366"/>
      <c r="J316" s="367"/>
      <c r="K316" s="411"/>
      <c r="L316" s="461">
        <f t="shared" si="77"/>
        <v>0</v>
      </c>
      <c r="M316" s="409"/>
      <c r="N316" s="411"/>
      <c r="O316" s="411"/>
      <c r="P316" s="411"/>
      <c r="Q316" s="376">
        <f>база!$L$6</f>
        <v>261.04640000000001</v>
      </c>
      <c r="R316" s="367">
        <v>1</v>
      </c>
      <c r="S316" s="468">
        <f>SUMIFS(Таблица1[Столбец1],Таблица1[коэф],"1",Таблица1[р/р],"5/16",Таблица1[Ф. И. О.],B319)</f>
        <v>0</v>
      </c>
      <c r="T316" s="469">
        <f t="shared" si="78"/>
        <v>0</v>
      </c>
      <c r="U316" s="449">
        <f>база!$M$6</f>
        <v>279.0496</v>
      </c>
      <c r="V316" s="367">
        <v>1</v>
      </c>
      <c r="W316" s="471">
        <f>SUMIFS(Таблица1[Столбец1],Таблица1[коэф],"1",Таблица1[р/р],"5/24",Таблица1[Ф. И. О.],B319)</f>
        <v>0</v>
      </c>
      <c r="X316" s="469">
        <f t="shared" si="79"/>
        <v>0</v>
      </c>
      <c r="Y316" s="748"/>
      <c r="Z316" s="750"/>
      <c r="AA316" s="740"/>
    </row>
    <row r="317" spans="1:29" ht="18.75">
      <c r="A317" s="740"/>
      <c r="B317" s="201"/>
      <c r="C317" s="743"/>
      <c r="D317" s="746"/>
      <c r="E317" s="370"/>
      <c r="F317" s="367"/>
      <c r="G317" s="377"/>
      <c r="H317" s="369">
        <f t="shared" si="76"/>
        <v>0</v>
      </c>
      <c r="I317" s="366">
        <f>база!$J$5</f>
        <v>215.4924</v>
      </c>
      <c r="J317" s="367">
        <v>1.5</v>
      </c>
      <c r="K317" s="411">
        <f>SUMIFS(Таблица1[Столбец1],Таблица1[коэф],"1,5",Таблица1[р/р],"4/8",Таблица1[Ф. И. О.],B319)</f>
        <v>0</v>
      </c>
      <c r="L317" s="461">
        <f t="shared" si="77"/>
        <v>0</v>
      </c>
      <c r="M317" s="409"/>
      <c r="N317" s="411"/>
      <c r="O317" s="411"/>
      <c r="P317" s="411"/>
      <c r="Q317" s="376">
        <f>IF(D314&lt;=3,база!$L$4,
IF(D314=4,база!$L$5,
IF(D314=5,база!$L$6)))</f>
        <v>210.57480000000001</v>
      </c>
      <c r="R317" s="367">
        <v>1.2</v>
      </c>
      <c r="S317" s="468">
        <f>SUMIFS(Таблица1[Столбец1],Таблица1[коэф],"1,2",Таблица1[р/р],"3/16",Таблица1[Ф. И. О.],B319)</f>
        <v>0</v>
      </c>
      <c r="T317" s="469">
        <f t="shared" si="78"/>
        <v>0</v>
      </c>
      <c r="U317" s="449">
        <f>IF(D314&lt;=3,база!$M$4,
IF(D314=4,база!$M$5,
IF(D314=5,база!$M$6)))</f>
        <v>225.09719999999999</v>
      </c>
      <c r="V317" s="367">
        <v>1.2</v>
      </c>
      <c r="W317" s="471">
        <f>SUMIFS(Таблица1[Столбец1],Таблица1[коэф],"1,2",Таблица1[р/р],"3/24",Таблица1[Ф. И. О.],B319)</f>
        <v>0</v>
      </c>
      <c r="X317" s="469">
        <f t="shared" si="79"/>
        <v>0</v>
      </c>
      <c r="Y317" s="748"/>
      <c r="Z317" s="750"/>
      <c r="AA317" s="740"/>
    </row>
    <row r="318" spans="1:29" ht="18.75">
      <c r="A318" s="740"/>
      <c r="B318" s="201"/>
      <c r="C318" s="743"/>
      <c r="D318" s="746"/>
      <c r="E318" s="370"/>
      <c r="F318" s="367"/>
      <c r="G318" s="377"/>
      <c r="H318" s="369">
        <f t="shared" si="76"/>
        <v>0</v>
      </c>
      <c r="I318" s="366">
        <f>база!$J$6</f>
        <v>243.04319999999998</v>
      </c>
      <c r="J318" s="367">
        <v>1.5</v>
      </c>
      <c r="K318" s="411">
        <f>SUMIFS(Таблица1[Столбец1],Таблица1[коэф],"1,5",Таблица1[р/р],"5/8",Таблица1[Ф. И. О.],B319)</f>
        <v>0</v>
      </c>
      <c r="L318" s="461">
        <f t="shared" si="77"/>
        <v>0</v>
      </c>
      <c r="M318" s="409"/>
      <c r="N318" s="411"/>
      <c r="O318" s="411"/>
      <c r="P318" s="411"/>
      <c r="Q318" s="376">
        <f>база!$L$5</f>
        <v>231.45480000000001</v>
      </c>
      <c r="R318" s="367">
        <v>1.2</v>
      </c>
      <c r="S318" s="468">
        <f>SUMIFS(Таблица1[Столбец1],Таблица1[коэф],"1,2",Таблица1[р/р],"4/16",Таблица1[Ф. И. О.],B319)</f>
        <v>0</v>
      </c>
      <c r="T318" s="469">
        <f t="shared" si="78"/>
        <v>0</v>
      </c>
      <c r="U318" s="449">
        <f>база!$M$5</f>
        <v>247.41720000000001</v>
      </c>
      <c r="V318" s="367">
        <v>1.2</v>
      </c>
      <c r="W318" s="471">
        <f>SUMIFS(Таблица1[Столбец1],Таблица1[коэф],"1,2",Таблица1[р/р],"4/24",Таблица1[Ф. И. О.],B319)</f>
        <v>0</v>
      </c>
      <c r="X318" s="469">
        <f t="shared" si="79"/>
        <v>0</v>
      </c>
      <c r="Y318" s="748"/>
      <c r="Z318" s="750"/>
      <c r="AA318" s="740"/>
    </row>
    <row r="319" spans="1:29" ht="18" customHeight="1">
      <c r="A319" s="740"/>
      <c r="B319" s="201" t="str">
        <f>база!B30</f>
        <v>Иванченко Ульяна Леонидовна</v>
      </c>
      <c r="C319" s="743"/>
      <c r="D319" s="746"/>
      <c r="E319" s="370"/>
      <c r="F319" s="367"/>
      <c r="G319" s="377"/>
      <c r="H319" s="369">
        <f t="shared" si="76"/>
        <v>0</v>
      </c>
      <c r="I319" s="366"/>
      <c r="J319" s="367"/>
      <c r="K319" s="411"/>
      <c r="L319" s="461">
        <f t="shared" si="77"/>
        <v>0</v>
      </c>
      <c r="M319" s="409"/>
      <c r="N319" s="411"/>
      <c r="O319" s="411"/>
      <c r="P319" s="411"/>
      <c r="Q319" s="376">
        <f>база!$L$6</f>
        <v>261.04640000000001</v>
      </c>
      <c r="R319" s="367">
        <v>1.2</v>
      </c>
      <c r="S319" s="468">
        <f>SUMIFS(Таблица1[Столбец1],Таблица1[коэф],"1,2",Таблица1[р/р],"5/16",Таблица1[Ф. И. О.],B319)</f>
        <v>0</v>
      </c>
      <c r="T319" s="469">
        <f t="shared" si="78"/>
        <v>0</v>
      </c>
      <c r="U319" s="449">
        <f>база!$M$6</f>
        <v>279.0496</v>
      </c>
      <c r="V319" s="367">
        <v>1.2</v>
      </c>
      <c r="W319" s="471">
        <f>SUMIFS(Таблица1[Столбец1],Таблица1[коэф],"1,2",Таблица1[р/р],"5/24",Таблица1[Ф. И. О.],B319)</f>
        <v>0</v>
      </c>
      <c r="X319" s="469">
        <f t="shared" si="79"/>
        <v>0</v>
      </c>
      <c r="Y319" s="748"/>
      <c r="Z319" s="750"/>
      <c r="AA319" s="740"/>
      <c r="AC319" s="693" t="str">
        <f>IF(SUMIFS(Таблица1[Столбец3],Таблица1[Ф. И. О.],B319)-Z314=0,"",SUMIFS(Таблица1[Столбец3],Таблица1[Ф. И. О.],B319)-Z314)</f>
        <v/>
      </c>
    </row>
    <row r="320" spans="1:29" ht="18.75">
      <c r="A320" s="740"/>
      <c r="B320" s="201"/>
      <c r="C320" s="743"/>
      <c r="D320" s="746"/>
      <c r="E320" s="370"/>
      <c r="F320" s="367"/>
      <c r="G320" s="377"/>
      <c r="H320" s="369">
        <f t="shared" si="76"/>
        <v>0</v>
      </c>
      <c r="I320" s="366"/>
      <c r="J320" s="367"/>
      <c r="K320" s="411"/>
      <c r="L320" s="461">
        <f t="shared" si="77"/>
        <v>0</v>
      </c>
      <c r="M320" s="409"/>
      <c r="N320" s="411"/>
      <c r="O320" s="411"/>
      <c r="P320" s="411"/>
      <c r="Q320" s="376">
        <f>IF(D314&lt;=3,база!$L$4,
IF(D314=4,база!$L$5,
IF(D314=5,база!$L$6)))</f>
        <v>210.57480000000001</v>
      </c>
      <c r="R320" s="367">
        <v>1.3</v>
      </c>
      <c r="S320" s="468">
        <f>SUMIFS(Таблица1[Столбец1],Таблица1[коэф],"1,3",Таблица1[р/р],"3/16",Таблица1[Ф. И. О.],B319)</f>
        <v>0</v>
      </c>
      <c r="T320" s="469">
        <f t="shared" si="78"/>
        <v>0</v>
      </c>
      <c r="U320" s="449">
        <f>IF(D314&lt;=3,база!$M$4,
IF(D314=4,база!$M$5,
IF(D314=5,база!$M$6)))</f>
        <v>225.09719999999999</v>
      </c>
      <c r="V320" s="367">
        <v>1.3</v>
      </c>
      <c r="W320" s="471">
        <f>SUMIFS(Таблица1[Столбец1],Таблица1[коэф],"1,3",Таблица1[р/р],"3/24",Таблица1[Ф. И. О.],B319)</f>
        <v>0</v>
      </c>
      <c r="X320" s="469">
        <f t="shared" si="79"/>
        <v>0</v>
      </c>
      <c r="Y320" s="748"/>
      <c r="Z320" s="750"/>
      <c r="AA320" s="740"/>
      <c r="AC320" s="693" t="str">
        <f>IF(SUMIFS(Таблица1[Столбец1],Таблица1[Ф. И. О.],B319)=Y314,"",B319&amp;"  часы не верны")</f>
        <v/>
      </c>
    </row>
    <row r="321" spans="1:29" ht="18.75">
      <c r="A321" s="740"/>
      <c r="B321" s="201"/>
      <c r="C321" s="743"/>
      <c r="D321" s="746"/>
      <c r="E321" s="370"/>
      <c r="F321" s="367"/>
      <c r="G321" s="377"/>
      <c r="H321" s="369">
        <f t="shared" si="76"/>
        <v>0</v>
      </c>
      <c r="I321" s="366"/>
      <c r="J321" s="367"/>
      <c r="K321" s="411"/>
      <c r="L321" s="461">
        <f t="shared" si="77"/>
        <v>0</v>
      </c>
      <c r="M321" s="409"/>
      <c r="N321" s="411"/>
      <c r="O321" s="411"/>
      <c r="P321" s="411"/>
      <c r="Q321" s="376">
        <f>база!$L$5</f>
        <v>231.45480000000001</v>
      </c>
      <c r="R321" s="367">
        <v>1.3</v>
      </c>
      <c r="S321" s="468">
        <f>SUMIFS(Таблица1[Столбец1],Таблица1[коэф],"1,3",Таблица1[р/р],"4/16",Таблица1[Ф. И. О.],B319)</f>
        <v>0</v>
      </c>
      <c r="T321" s="469">
        <f t="shared" si="78"/>
        <v>0</v>
      </c>
      <c r="U321" s="449">
        <f>база!$M$5</f>
        <v>247.41720000000001</v>
      </c>
      <c r="V321" s="367">
        <v>1.3</v>
      </c>
      <c r="W321" s="471">
        <f>SUMIFS(Таблица1[Столбец1],Таблица1[коэф],"1,3",Таблица1[р/р],"4/24",Таблица1[Ф. И. О.],B319)</f>
        <v>0</v>
      </c>
      <c r="X321" s="469">
        <f t="shared" si="79"/>
        <v>0</v>
      </c>
      <c r="Y321" s="748"/>
      <c r="Z321" s="750"/>
      <c r="AA321" s="740"/>
    </row>
    <row r="322" spans="1:29" ht="18.75">
      <c r="A322" s="740"/>
      <c r="B322" s="201"/>
      <c r="C322" s="743"/>
      <c r="D322" s="746"/>
      <c r="E322" s="370"/>
      <c r="F322" s="367"/>
      <c r="G322" s="377"/>
      <c r="H322" s="369">
        <f t="shared" si="76"/>
        <v>0</v>
      </c>
      <c r="I322" s="366"/>
      <c r="J322" s="367"/>
      <c r="K322" s="411"/>
      <c r="L322" s="461">
        <f t="shared" si="77"/>
        <v>0</v>
      </c>
      <c r="M322" s="409"/>
      <c r="N322" s="411"/>
      <c r="O322" s="411"/>
      <c r="P322" s="411"/>
      <c r="Q322" s="376">
        <f>IF(D314&lt;=3,база!$L$4,
IF(D314=4,база!$L$5,
IF(D314=5,база!$L$6)))</f>
        <v>210.57480000000001</v>
      </c>
      <c r="R322" s="367">
        <v>1.4</v>
      </c>
      <c r="S322" s="468">
        <f>SUMIFS(Таблица1[Столбец1],Таблица1[коэф],"1,4",Таблица1[р/р],"3/16",Таблица1[Ф. И. О.],B319)</f>
        <v>0</v>
      </c>
      <c r="T322" s="469">
        <f t="shared" si="78"/>
        <v>0</v>
      </c>
      <c r="U322" s="449">
        <f>IF(D314&lt;=3,база!$M$4,
IF(D314=4,база!$M$5,
IF(D314=5,база!$M$6)))</f>
        <v>225.09719999999999</v>
      </c>
      <c r="V322" s="367">
        <v>1.4</v>
      </c>
      <c r="W322" s="471">
        <f>SUMIFS(Таблица1[Столбец1],Таблица1[коэф],"1,4",Таблица1[р/р],"3/24",Таблица1[Ф. И. О.],B319)</f>
        <v>0</v>
      </c>
      <c r="X322" s="469">
        <f t="shared" si="79"/>
        <v>0</v>
      </c>
      <c r="Y322" s="748"/>
      <c r="Z322" s="750"/>
      <c r="AA322" s="740"/>
    </row>
    <row r="323" spans="1:29" ht="18.75">
      <c r="A323" s="740"/>
      <c r="B323" s="201"/>
      <c r="C323" s="743"/>
      <c r="D323" s="746"/>
      <c r="E323" s="370"/>
      <c r="F323" s="367"/>
      <c r="G323" s="377"/>
      <c r="H323" s="369">
        <f t="shared" si="76"/>
        <v>0</v>
      </c>
      <c r="I323" s="366"/>
      <c r="J323" s="367"/>
      <c r="K323" s="411"/>
      <c r="L323" s="372">
        <f t="shared" si="77"/>
        <v>0</v>
      </c>
      <c r="M323" s="409"/>
      <c r="N323" s="411"/>
      <c r="O323" s="411"/>
      <c r="P323" s="411"/>
      <c r="Q323" s="376">
        <f>база!$L$5</f>
        <v>231.45480000000001</v>
      </c>
      <c r="R323" s="367">
        <v>1.4</v>
      </c>
      <c r="S323" s="468">
        <f>SUMIFS(Таблица1[Столбец1],Таблица1[коэф],"1,4",Таблица1[р/р],"4/16",Таблица1[Ф. И. О.],B319)</f>
        <v>0</v>
      </c>
      <c r="T323" s="469">
        <f t="shared" si="78"/>
        <v>0</v>
      </c>
      <c r="U323" s="449">
        <f>база!$M$5</f>
        <v>247.41720000000001</v>
      </c>
      <c r="V323" s="367">
        <v>1.4</v>
      </c>
      <c r="W323" s="471">
        <f>SUMIFS(Таблица1[Столбец1],Таблица1[коэф],"1,4",Таблица1[р/р],"4/24",Таблица1[Ф. И. О.],B319)</f>
        <v>0</v>
      </c>
      <c r="X323" s="469">
        <f t="shared" si="79"/>
        <v>0</v>
      </c>
      <c r="Y323" s="748"/>
      <c r="Z323" s="750"/>
      <c r="AA323" s="740"/>
    </row>
    <row r="324" spans="1:29" ht="19.5" thickBot="1">
      <c r="A324" s="741"/>
      <c r="B324" s="188"/>
      <c r="C324" s="744"/>
      <c r="D324" s="747"/>
      <c r="E324" s="440"/>
      <c r="F324" s="441"/>
      <c r="G324" s="442"/>
      <c r="H324" s="445">
        <f t="shared" si="76"/>
        <v>0</v>
      </c>
      <c r="I324" s="450"/>
      <c r="J324" s="441"/>
      <c r="K324" s="434"/>
      <c r="L324" s="435">
        <f t="shared" si="77"/>
        <v>0</v>
      </c>
      <c r="M324" s="443"/>
      <c r="N324" s="434"/>
      <c r="O324" s="434"/>
      <c r="P324" s="434"/>
      <c r="Q324" s="444">
        <f>база!$L$6</f>
        <v>261.04640000000001</v>
      </c>
      <c r="R324" s="441">
        <v>1.4</v>
      </c>
      <c r="S324" s="489">
        <f>SUMIFS(Таблица1[Столбец1],Таблица1[коэф],"1,4",Таблица1[р/р],"5/16",Таблица1[Ф. И. О.],B319)</f>
        <v>0</v>
      </c>
      <c r="T324" s="490">
        <f t="shared" si="78"/>
        <v>0</v>
      </c>
      <c r="U324" s="451">
        <f>база!$M$6</f>
        <v>279.0496</v>
      </c>
      <c r="V324" s="441">
        <v>1.4</v>
      </c>
      <c r="W324" s="478">
        <f>SUMIFS(Таблица1[Столбец1],Таблица1[коэф],"1,4",Таблица1[р/р],"5/24",Таблица1[Ф. И. О.],B319)</f>
        <v>0</v>
      </c>
      <c r="X324" s="490">
        <f t="shared" si="79"/>
        <v>0</v>
      </c>
      <c r="Y324" s="749"/>
      <c r="Z324" s="751"/>
      <c r="AA324" s="741"/>
    </row>
    <row r="325" spans="1:29" ht="18.75" collapsed="1">
      <c r="A325" s="739">
        <v>30</v>
      </c>
      <c r="B325" s="219"/>
      <c r="C325" s="742">
        <f>INDEX(база!$E$2:$E$81, MATCH(B330,база!$B$2:$B$50,0))</f>
        <v>17305</v>
      </c>
      <c r="D325" s="745">
        <f>INDEX(база!$D$2:$D$89, MATCH(B330,база!$B$2:$B$50,0))</f>
        <v>3</v>
      </c>
      <c r="E325" s="428">
        <f>IF(D325&lt;=3,база!$I$4,
IF(D325=4,база!$I$5,
IF(D325=5,база!$I$6)))</f>
        <v>188.7912</v>
      </c>
      <c r="F325" s="394">
        <v>1</v>
      </c>
      <c r="G325" s="395">
        <f>SUMIFS(Таблица1[Столбец1],Таблица1[коэф],"1",Таблица1[р/р],"2/4",Таблица1[Ф. И. О.],B330)</f>
        <v>0</v>
      </c>
      <c r="H325" s="379">
        <f t="shared" ref="H325:H335" si="82">ROUND(E325*F325*G325*2,2)</f>
        <v>0</v>
      </c>
      <c r="I325" s="354">
        <f>IF(D325&lt;=3,база!$J$4,
IF(D325=4,база!$J$5,
IF(D325=5,база!$J$6)))</f>
        <v>196.05240000000001</v>
      </c>
      <c r="J325" s="355">
        <v>1</v>
      </c>
      <c r="K325" s="405">
        <f>SUMIFS(Таблица1[Столбец1],Таблица1[коэф],"1",Таблица1[р/р],"2/8",Таблица1[Ф. И. О.],B330)</f>
        <v>0</v>
      </c>
      <c r="L325" s="360">
        <f t="shared" ref="L325:L335" si="83">ROUND(I325*J325*K325*2,2)</f>
        <v>0</v>
      </c>
      <c r="M325" s="429"/>
      <c r="N325" s="430">
        <v>1</v>
      </c>
      <c r="O325" s="430">
        <f>SUMIFS(Data_Tech!$AM$3:$AM$67,Data_Tech!$E$3:$E$67,"1",Data_Tech!$G$3:$G$67,"3/12",Data_Tech!$F$3:$F$67,B330)</f>
        <v>0</v>
      </c>
      <c r="P325" s="430">
        <f>ROUND(M325*N325*O325,2)</f>
        <v>0</v>
      </c>
      <c r="Q325" s="393">
        <f>IF(D325&lt;=3,база!$L$4,
IF(D325=4,база!$L$5,
IF(D325=5,база!$L$6)))</f>
        <v>210.57480000000001</v>
      </c>
      <c r="R325" s="394">
        <v>1</v>
      </c>
      <c r="S325" s="472">
        <f>SUMIFS(Таблица1[Столбец1],Таблица1[коэф],"1",Таблица1[р/р],"3/16",Таблица1[Ф. И. О.],B330)</f>
        <v>0</v>
      </c>
      <c r="T325" s="467">
        <f t="shared" ref="T325:T335" si="84">ROUND(Q325*R325*S325*2,2)</f>
        <v>0</v>
      </c>
      <c r="U325" s="448">
        <f>IF(D325&lt;=3,база!$M$4,
IF(D325=4,база!$M$5,
IF(D325=5,база!$M$6)))</f>
        <v>225.09719999999999</v>
      </c>
      <c r="V325" s="355">
        <v>1</v>
      </c>
      <c r="W325" s="474">
        <f>SUMIFS(Таблица1[Столбец1],Таблица1[коэф],"1",Таблица1[р/р],"3/24",Таблица1[Ф. И. О.],B330)</f>
        <v>0</v>
      </c>
      <c r="X325" s="467">
        <f t="shared" ref="X325:X335" si="85">ROUND(U325*V325*W325*2,2)</f>
        <v>0</v>
      </c>
      <c r="Y325" s="748">
        <f t="shared" ref="Y325" si="86">SUM(G325:G335,K325:K335,O325:O335,S325:S335,W325:W335)</f>
        <v>0</v>
      </c>
      <c r="Z325" s="750">
        <f t="shared" ref="Z325" si="87">IFERROR(SUM(H325:H335,L325:L335,T325:T335,X325:X335),"")</f>
        <v>0</v>
      </c>
      <c r="AA325" s="740"/>
    </row>
    <row r="326" spans="1:29" ht="18.75">
      <c r="A326" s="740"/>
      <c r="B326" s="201"/>
      <c r="C326" s="743"/>
      <c r="D326" s="746"/>
      <c r="E326" s="370">
        <f>IF(D325&lt;=3,база!$I$4,
IF(D325=4,база!$I$5,
IF(D325=5,база!$I$6)))</f>
        <v>188.7912</v>
      </c>
      <c r="F326" s="367">
        <v>1</v>
      </c>
      <c r="G326" s="377">
        <f>SUMIFS(Таблица1[Столбец1],Таблица1[коэф],"1",Таблица1[р/р],"3/4",Таблица1[Ф. И. О.],B330)</f>
        <v>0</v>
      </c>
      <c r="H326" s="369">
        <f t="shared" si="82"/>
        <v>0</v>
      </c>
      <c r="I326" s="366">
        <f>IF(D325&lt;=3,база!$J$4,
IF(D325=4,база!$J$5,
IF(D325=5,база!$J$6)))</f>
        <v>196.05240000000001</v>
      </c>
      <c r="J326" s="367">
        <v>1</v>
      </c>
      <c r="K326" s="411">
        <f>SUMIFS(Таблица1[Столбец1],Таблица1[коэф],"1",Таблица1[р/р],"3/8",Таблица1[Ф. И. О.],B330)</f>
        <v>0</v>
      </c>
      <c r="L326" s="461">
        <f t="shared" si="83"/>
        <v>0</v>
      </c>
      <c r="M326" s="409"/>
      <c r="N326" s="411">
        <v>1</v>
      </c>
      <c r="O326" s="411">
        <f>SUMIFS(Data_Tech!$AM$3:$AM$67,Data_Tech!$E$3:$E$67,"1",Data_Tech!$G$3:$G$67,"4/12",Data_Tech!$F$3:$F$67,B330)</f>
        <v>0</v>
      </c>
      <c r="P326" s="411">
        <f>ROUND(M326*O326,2)</f>
        <v>0</v>
      </c>
      <c r="Q326" s="376">
        <f>база!$L$5</f>
        <v>231.45480000000001</v>
      </c>
      <c r="R326" s="367">
        <v>1</v>
      </c>
      <c r="S326" s="468">
        <f>SUMIFS(Таблица1[Столбец1],Таблица1[коэф],"1",Таблица1[р/р],"4/16",Таблица1[Ф. И. О.],B330)</f>
        <v>0</v>
      </c>
      <c r="T326" s="469">
        <f t="shared" si="84"/>
        <v>0</v>
      </c>
      <c r="U326" s="449">
        <f>база!$M$5</f>
        <v>247.41720000000001</v>
      </c>
      <c r="V326" s="367">
        <v>1</v>
      </c>
      <c r="W326" s="471">
        <f>SUMIFS(Таблица1[Столбец1],Таблица1[коэф],"1",Таблица1[р/р],"4/24",Таблица1[Ф. И. О.],B330)</f>
        <v>0</v>
      </c>
      <c r="X326" s="469">
        <f t="shared" si="85"/>
        <v>0</v>
      </c>
      <c r="Y326" s="748"/>
      <c r="Z326" s="750"/>
      <c r="AA326" s="740"/>
    </row>
    <row r="327" spans="1:29" ht="18.75">
      <c r="A327" s="740"/>
      <c r="B327" s="201"/>
      <c r="C327" s="743"/>
      <c r="D327" s="746"/>
      <c r="E327" s="370"/>
      <c r="F327" s="367"/>
      <c r="G327" s="377"/>
      <c r="H327" s="369">
        <f t="shared" si="82"/>
        <v>0</v>
      </c>
      <c r="I327" s="366"/>
      <c r="J327" s="367"/>
      <c r="K327" s="411"/>
      <c r="L327" s="461">
        <f t="shared" si="83"/>
        <v>0</v>
      </c>
      <c r="M327" s="409"/>
      <c r="N327" s="411"/>
      <c r="O327" s="411"/>
      <c r="P327" s="411"/>
      <c r="Q327" s="376">
        <f>база!$L$6</f>
        <v>261.04640000000001</v>
      </c>
      <c r="R327" s="367">
        <v>1</v>
      </c>
      <c r="S327" s="468">
        <f>SUMIFS(Таблица1[Столбец1],Таблица1[коэф],"1",Таблица1[р/р],"5/16",Таблица1[Ф. И. О.],B330)</f>
        <v>0</v>
      </c>
      <c r="T327" s="469">
        <f t="shared" si="84"/>
        <v>0</v>
      </c>
      <c r="U327" s="449">
        <f>база!$M$6</f>
        <v>279.0496</v>
      </c>
      <c r="V327" s="367">
        <v>1</v>
      </c>
      <c r="W327" s="471">
        <f>SUMIFS(Таблица1[Столбец1],Таблица1[коэф],"1",Таблица1[р/р],"5/24",Таблица1[Ф. И. О.],B330)</f>
        <v>0</v>
      </c>
      <c r="X327" s="469">
        <f t="shared" si="85"/>
        <v>0</v>
      </c>
      <c r="Y327" s="748"/>
      <c r="Z327" s="750"/>
      <c r="AA327" s="740"/>
    </row>
    <row r="328" spans="1:29" ht="18.75">
      <c r="A328" s="740"/>
      <c r="B328" s="201"/>
      <c r="C328" s="743"/>
      <c r="D328" s="746"/>
      <c r="E328" s="370"/>
      <c r="F328" s="367"/>
      <c r="G328" s="377"/>
      <c r="H328" s="369">
        <f t="shared" si="82"/>
        <v>0</v>
      </c>
      <c r="I328" s="366">
        <f>база!$J$5</f>
        <v>215.4924</v>
      </c>
      <c r="J328" s="367">
        <v>1.5</v>
      </c>
      <c r="K328" s="411">
        <f>SUMIFS(Таблица1[Столбец1],Таблица1[коэф],"1,5",Таблица1[р/р],"4/8",Таблица1[Ф. И. О.],B330)</f>
        <v>0</v>
      </c>
      <c r="L328" s="461">
        <f t="shared" si="83"/>
        <v>0</v>
      </c>
      <c r="M328" s="409"/>
      <c r="N328" s="411"/>
      <c r="O328" s="411"/>
      <c r="P328" s="411"/>
      <c r="Q328" s="376">
        <f>IF(D325&lt;=3,база!$L$4,
IF(D325=4,база!$L$5,
IF(D325=5,база!$L$6)))</f>
        <v>210.57480000000001</v>
      </c>
      <c r="R328" s="367">
        <v>1.2</v>
      </c>
      <c r="S328" s="468">
        <f>SUMIFS(Таблица1[Столбец1],Таблица1[коэф],"1,2",Таблица1[р/р],"3/16",Таблица1[Ф. И. О.],B330)</f>
        <v>0</v>
      </c>
      <c r="T328" s="469">
        <f t="shared" si="84"/>
        <v>0</v>
      </c>
      <c r="U328" s="449">
        <f>IF(D325&lt;=3,база!$M$4,
IF(D325=4,база!$M$5,
IF(D325=5,база!$M$6)))</f>
        <v>225.09719999999999</v>
      </c>
      <c r="V328" s="367">
        <v>1.2</v>
      </c>
      <c r="W328" s="471">
        <f>SUMIFS(Таблица1[Столбец1],Таблица1[коэф],"1,2",Таблица1[р/р],"3/24",Таблица1[Ф. И. О.],B330)</f>
        <v>0</v>
      </c>
      <c r="X328" s="469">
        <f t="shared" si="85"/>
        <v>0</v>
      </c>
      <c r="Y328" s="748"/>
      <c r="Z328" s="750"/>
      <c r="AA328" s="740"/>
    </row>
    <row r="329" spans="1:29" ht="18.75">
      <c r="A329" s="740"/>
      <c r="B329" s="201"/>
      <c r="C329" s="743"/>
      <c r="D329" s="746"/>
      <c r="E329" s="370"/>
      <c r="F329" s="367"/>
      <c r="G329" s="377"/>
      <c r="H329" s="369">
        <f t="shared" si="82"/>
        <v>0</v>
      </c>
      <c r="I329" s="366">
        <f>база!$J$6</f>
        <v>243.04319999999998</v>
      </c>
      <c r="J329" s="367">
        <v>1.5</v>
      </c>
      <c r="K329" s="411">
        <f>SUMIFS(Таблица1[Столбец1],Таблица1[коэф],"1,5",Таблица1[р/р],"5/8",Таблица1[Ф. И. О.],B330)</f>
        <v>0</v>
      </c>
      <c r="L329" s="461">
        <f t="shared" si="83"/>
        <v>0</v>
      </c>
      <c r="M329" s="409"/>
      <c r="N329" s="411"/>
      <c r="O329" s="411"/>
      <c r="P329" s="411"/>
      <c r="Q329" s="376">
        <f>база!$L$5</f>
        <v>231.45480000000001</v>
      </c>
      <c r="R329" s="367">
        <v>1.2</v>
      </c>
      <c r="S329" s="468">
        <f>SUMIFS(Таблица1[Столбец1],Таблица1[коэф],"1,2",Таблица1[р/р],"4/16",Таблица1[Ф. И. О.],B330)</f>
        <v>0</v>
      </c>
      <c r="T329" s="469">
        <f t="shared" si="84"/>
        <v>0</v>
      </c>
      <c r="U329" s="449">
        <f>база!$M$5</f>
        <v>247.41720000000001</v>
      </c>
      <c r="V329" s="367">
        <v>1.2</v>
      </c>
      <c r="W329" s="471">
        <f>SUMIFS(Таблица1[Столбец1],Таблица1[коэф],"1,2",Таблица1[р/р],"4/24",Таблица1[Ф. И. О.],B330)</f>
        <v>0</v>
      </c>
      <c r="X329" s="469">
        <f t="shared" si="85"/>
        <v>0</v>
      </c>
      <c r="Y329" s="748"/>
      <c r="Z329" s="750"/>
      <c r="AA329" s="740"/>
    </row>
    <row r="330" spans="1:29" ht="18" customHeight="1">
      <c r="A330" s="740"/>
      <c r="B330" s="201" t="str">
        <f>база!B31</f>
        <v>Исаева Инна Игоревна</v>
      </c>
      <c r="C330" s="743"/>
      <c r="D330" s="746"/>
      <c r="E330" s="370"/>
      <c r="F330" s="367"/>
      <c r="G330" s="377"/>
      <c r="H330" s="369">
        <f t="shared" si="82"/>
        <v>0</v>
      </c>
      <c r="I330" s="366"/>
      <c r="J330" s="367"/>
      <c r="K330" s="411"/>
      <c r="L330" s="461">
        <f t="shared" si="83"/>
        <v>0</v>
      </c>
      <c r="M330" s="409"/>
      <c r="N330" s="411"/>
      <c r="O330" s="411"/>
      <c r="P330" s="411"/>
      <c r="Q330" s="376">
        <f>база!$L$6</f>
        <v>261.04640000000001</v>
      </c>
      <c r="R330" s="367">
        <v>1.2</v>
      </c>
      <c r="S330" s="468">
        <f>SUMIFS(Таблица1[Столбец1],Таблица1[коэф],"1,2",Таблица1[р/р],"5/16",Таблица1[Ф. И. О.],B330)</f>
        <v>0</v>
      </c>
      <c r="T330" s="469">
        <f t="shared" si="84"/>
        <v>0</v>
      </c>
      <c r="U330" s="449">
        <f>база!$M$6</f>
        <v>279.0496</v>
      </c>
      <c r="V330" s="367">
        <v>1.2</v>
      </c>
      <c r="W330" s="471">
        <f>SUMIFS(Таблица1[Столбец1],Таблица1[коэф],"1,2",Таблица1[р/р],"5/24",Таблица1[Ф. И. О.],B330)</f>
        <v>0</v>
      </c>
      <c r="X330" s="469">
        <f t="shared" si="85"/>
        <v>0</v>
      </c>
      <c r="Y330" s="748"/>
      <c r="Z330" s="750"/>
      <c r="AA330" s="740"/>
      <c r="AC330" s="693" t="str">
        <f>IF(SUMIFS(Таблица1[Столбец3],Таблица1[Ф. И. О.],B330)-Z325=0,"",SUMIFS(Таблица1[Столбец3],Таблица1[Ф. И. О.],B330)-Z325)</f>
        <v/>
      </c>
    </row>
    <row r="331" spans="1:29" ht="18.75">
      <c r="A331" s="740"/>
      <c r="B331" s="201"/>
      <c r="C331" s="743"/>
      <c r="D331" s="746"/>
      <c r="E331" s="370"/>
      <c r="F331" s="367"/>
      <c r="G331" s="377"/>
      <c r="H331" s="369">
        <f t="shared" si="82"/>
        <v>0</v>
      </c>
      <c r="I331" s="366"/>
      <c r="J331" s="367"/>
      <c r="K331" s="411"/>
      <c r="L331" s="461">
        <f t="shared" si="83"/>
        <v>0</v>
      </c>
      <c r="M331" s="409"/>
      <c r="N331" s="411"/>
      <c r="O331" s="411"/>
      <c r="P331" s="411"/>
      <c r="Q331" s="376">
        <f>IF(D325&lt;=3,база!$L$4,
IF(D325=4,база!$L$5,
IF(D325=5,база!$L$6)))</f>
        <v>210.57480000000001</v>
      </c>
      <c r="R331" s="367">
        <v>1.3</v>
      </c>
      <c r="S331" s="468">
        <f>SUMIFS(Таблица1[Столбец1],Таблица1[коэф],"1,3",Таблица1[р/р],"3/16",Таблица1[Ф. И. О.],B330)</f>
        <v>0</v>
      </c>
      <c r="T331" s="469">
        <f t="shared" si="84"/>
        <v>0</v>
      </c>
      <c r="U331" s="449">
        <f>IF(D325&lt;=3,база!$M$4,
IF(D325=4,база!$M$5,
IF(D325=5,база!$M$6)))</f>
        <v>225.09719999999999</v>
      </c>
      <c r="V331" s="367">
        <v>1.3</v>
      </c>
      <c r="W331" s="471">
        <f>SUMIFS(Таблица1[Столбец1],Таблица1[коэф],"1,3",Таблица1[р/р],"3/24",Таблица1[Ф. И. О.],B330)</f>
        <v>0</v>
      </c>
      <c r="X331" s="469">
        <f t="shared" si="85"/>
        <v>0</v>
      </c>
      <c r="Y331" s="748"/>
      <c r="Z331" s="750"/>
      <c r="AA331" s="740"/>
      <c r="AC331" s="693" t="str">
        <f>IF(SUMIFS(Таблица1[Столбец1],Таблица1[Ф. И. О.],B330)=Y325,"",B330&amp;"  часы не верны")</f>
        <v/>
      </c>
    </row>
    <row r="332" spans="1:29" ht="18.75">
      <c r="A332" s="740"/>
      <c r="B332" s="201"/>
      <c r="C332" s="743"/>
      <c r="D332" s="746"/>
      <c r="E332" s="370"/>
      <c r="F332" s="367"/>
      <c r="G332" s="377"/>
      <c r="H332" s="369">
        <f t="shared" si="82"/>
        <v>0</v>
      </c>
      <c r="I332" s="366"/>
      <c r="J332" s="367"/>
      <c r="K332" s="411"/>
      <c r="L332" s="461">
        <f t="shared" si="83"/>
        <v>0</v>
      </c>
      <c r="M332" s="409"/>
      <c r="N332" s="411"/>
      <c r="O332" s="411"/>
      <c r="P332" s="411"/>
      <c r="Q332" s="376">
        <f>база!$L$5</f>
        <v>231.45480000000001</v>
      </c>
      <c r="R332" s="367">
        <v>1.3</v>
      </c>
      <c r="S332" s="468">
        <f>SUMIFS(Таблица1[Столбец1],Таблица1[коэф],"1,3",Таблица1[р/р],"4/16",Таблица1[Ф. И. О.],B330)</f>
        <v>0</v>
      </c>
      <c r="T332" s="469">
        <f t="shared" si="84"/>
        <v>0</v>
      </c>
      <c r="U332" s="449">
        <f>база!$M$5</f>
        <v>247.41720000000001</v>
      </c>
      <c r="V332" s="367">
        <v>1.3</v>
      </c>
      <c r="W332" s="471">
        <f>SUMIFS(Таблица1[Столбец1],Таблица1[коэф],"1,3",Таблица1[р/р],"4/24",Таблица1[Ф. И. О.],B330)</f>
        <v>0</v>
      </c>
      <c r="X332" s="469">
        <f t="shared" si="85"/>
        <v>0</v>
      </c>
      <c r="Y332" s="748"/>
      <c r="Z332" s="750"/>
      <c r="AA332" s="740"/>
    </row>
    <row r="333" spans="1:29" ht="18.75">
      <c r="A333" s="740"/>
      <c r="B333" s="201"/>
      <c r="C333" s="743"/>
      <c r="D333" s="746"/>
      <c r="E333" s="370"/>
      <c r="F333" s="367"/>
      <c r="G333" s="377"/>
      <c r="H333" s="369">
        <f t="shared" si="82"/>
        <v>0</v>
      </c>
      <c r="I333" s="366"/>
      <c r="J333" s="367"/>
      <c r="K333" s="411"/>
      <c r="L333" s="461">
        <f t="shared" si="83"/>
        <v>0</v>
      </c>
      <c r="M333" s="409"/>
      <c r="N333" s="411"/>
      <c r="O333" s="411"/>
      <c r="P333" s="411"/>
      <c r="Q333" s="376">
        <f>IF(D325&lt;=3,база!$L$4,
IF(D325=4,база!$L$5,
IF(D325=5,база!$L$6)))</f>
        <v>210.57480000000001</v>
      </c>
      <c r="R333" s="367">
        <v>1.4</v>
      </c>
      <c r="S333" s="468">
        <f>SUMIFS(Таблица1[Столбец1],Таблица1[коэф],"1,4",Таблица1[р/р],"3/16",Таблица1[Ф. И. О.],B330)</f>
        <v>0</v>
      </c>
      <c r="T333" s="469">
        <f t="shared" si="84"/>
        <v>0</v>
      </c>
      <c r="U333" s="449">
        <f>IF(D325&lt;=3,база!$M$4,
IF(D325=4,база!$M$5,
IF(D325=5,база!$M$6)))</f>
        <v>225.09719999999999</v>
      </c>
      <c r="V333" s="367">
        <v>1.4</v>
      </c>
      <c r="W333" s="471">
        <f>SUMIFS(Таблица1[Столбец1],Таблица1[коэф],"1,4",Таблица1[р/р],"3/24",Таблица1[Ф. И. О.],B330)</f>
        <v>0</v>
      </c>
      <c r="X333" s="469">
        <f t="shared" si="85"/>
        <v>0</v>
      </c>
      <c r="Y333" s="748"/>
      <c r="Z333" s="750"/>
      <c r="AA333" s="740"/>
    </row>
    <row r="334" spans="1:29" ht="18.75">
      <c r="A334" s="740"/>
      <c r="B334" s="201"/>
      <c r="C334" s="743"/>
      <c r="D334" s="746"/>
      <c r="E334" s="370"/>
      <c r="F334" s="367"/>
      <c r="G334" s="377"/>
      <c r="H334" s="369">
        <f t="shared" si="82"/>
        <v>0</v>
      </c>
      <c r="I334" s="366"/>
      <c r="J334" s="367"/>
      <c r="K334" s="411"/>
      <c r="L334" s="372">
        <f t="shared" si="83"/>
        <v>0</v>
      </c>
      <c r="M334" s="409"/>
      <c r="N334" s="411"/>
      <c r="O334" s="411"/>
      <c r="P334" s="411"/>
      <c r="Q334" s="376">
        <f>база!$L$5</f>
        <v>231.45480000000001</v>
      </c>
      <c r="R334" s="367">
        <v>1.4</v>
      </c>
      <c r="S334" s="468">
        <f>SUMIFS(Таблица1[Столбец1],Таблица1[коэф],"1,4",Таблица1[р/р],"4/16",Таблица1[Ф. И. О.],B330)</f>
        <v>0</v>
      </c>
      <c r="T334" s="469">
        <f t="shared" si="84"/>
        <v>0</v>
      </c>
      <c r="U334" s="449">
        <f>база!$M$5</f>
        <v>247.41720000000001</v>
      </c>
      <c r="V334" s="367">
        <v>1.4</v>
      </c>
      <c r="W334" s="471">
        <f>SUMIFS(Таблица1[Столбец1],Таблица1[коэф],"1,4",Таблица1[р/р],"4/24",Таблица1[Ф. И. О.],B330)</f>
        <v>0</v>
      </c>
      <c r="X334" s="469">
        <f t="shared" si="85"/>
        <v>0</v>
      </c>
      <c r="Y334" s="748"/>
      <c r="Z334" s="750"/>
      <c r="AA334" s="740"/>
    </row>
    <row r="335" spans="1:29" ht="19.5" thickBot="1">
      <c r="A335" s="741"/>
      <c r="B335" s="188"/>
      <c r="C335" s="744"/>
      <c r="D335" s="747"/>
      <c r="E335" s="440"/>
      <c r="F335" s="441"/>
      <c r="G335" s="442"/>
      <c r="H335" s="445">
        <f t="shared" si="82"/>
        <v>0</v>
      </c>
      <c r="I335" s="450"/>
      <c r="J335" s="441"/>
      <c r="K335" s="434"/>
      <c r="L335" s="435">
        <f t="shared" si="83"/>
        <v>0</v>
      </c>
      <c r="M335" s="443"/>
      <c r="N335" s="434"/>
      <c r="O335" s="434"/>
      <c r="P335" s="434"/>
      <c r="Q335" s="444">
        <f>база!$L$6</f>
        <v>261.04640000000001</v>
      </c>
      <c r="R335" s="441">
        <v>1.4</v>
      </c>
      <c r="S335" s="489">
        <f>SUMIFS(Таблица1[Столбец1],Таблица1[коэф],"1,4",Таблица1[р/р],"5/16",Таблица1[Ф. И. О.],B330)</f>
        <v>0</v>
      </c>
      <c r="T335" s="490">
        <f t="shared" si="84"/>
        <v>0</v>
      </c>
      <c r="U335" s="451">
        <f>база!$M$6</f>
        <v>279.0496</v>
      </c>
      <c r="V335" s="441">
        <v>1.4</v>
      </c>
      <c r="W335" s="478">
        <f>SUMIFS(Таблица1[Столбец1],Таблица1[коэф],"1,4",Таблица1[р/р],"5/24",Таблица1[Ф. И. О.],B330)</f>
        <v>0</v>
      </c>
      <c r="X335" s="490">
        <f t="shared" si="85"/>
        <v>0</v>
      </c>
      <c r="Y335" s="749"/>
      <c r="Z335" s="751"/>
      <c r="AA335" s="741"/>
    </row>
    <row r="336" spans="1:29" ht="17.25" customHeight="1" collapsed="1">
      <c r="A336" s="739">
        <v>31</v>
      </c>
      <c r="B336" s="219"/>
      <c r="C336" s="742">
        <f>INDEX(база!$E$2:$E$81, MATCH(B341,база!$B$2:$B$50,0))</f>
        <v>17270</v>
      </c>
      <c r="D336" s="745">
        <f>INDEX(база!$D$2:$D$89, MATCH(B341,база!$B$2:$B$50,0))</f>
        <v>3</v>
      </c>
      <c r="E336" s="428">
        <f>IF(D336&lt;=3,база!$I$4,
IF(D336=4,база!$I$5,
IF(D336=5,база!$I$6)))</f>
        <v>188.7912</v>
      </c>
      <c r="F336" s="394">
        <v>1</v>
      </c>
      <c r="G336" s="395">
        <f>SUMIFS(Таблица1[Столбец1],Таблица1[коэф],"1",Таблица1[р/р],"2/4",Таблица1[Ф. И. О.],B341)</f>
        <v>0</v>
      </c>
      <c r="H336" s="379">
        <f t="shared" ref="H336:H346" si="88">ROUND(E336*F336*G336*2,2)</f>
        <v>0</v>
      </c>
      <c r="I336" s="354">
        <f>IF(D336&lt;=3,база!$J$4,
IF(D336=4,база!$J$5,
IF(D336=5,база!$J$6)))</f>
        <v>196.05240000000001</v>
      </c>
      <c r="J336" s="355">
        <v>1</v>
      </c>
      <c r="K336" s="405">
        <f>SUMIFS(Таблица1[Столбец1],Таблица1[коэф],"1",Таблица1[р/р],"2/8",Таблица1[Ф. И. О.],B341)</f>
        <v>0</v>
      </c>
      <c r="L336" s="360">
        <f t="shared" ref="L336:L346" si="89">ROUND(I336*J336*K336*2,2)</f>
        <v>0</v>
      </c>
      <c r="M336" s="429"/>
      <c r="N336" s="430">
        <v>1</v>
      </c>
      <c r="O336" s="430">
        <f>SUMIFS(Data_Tech!$AM$3:$AM$67,Data_Tech!$E$3:$E$67,"1",Data_Tech!$G$3:$G$67,"3/12",Data_Tech!$F$3:$F$67,B341)</f>
        <v>0</v>
      </c>
      <c r="P336" s="430">
        <f>ROUND(M336*N336*O336,2)</f>
        <v>0</v>
      </c>
      <c r="Q336" s="393">
        <f>IF(D336&lt;=3,база!$L$4,
IF(D336=4,база!$L$5,
IF(D336=5,база!$L$6)))</f>
        <v>210.57480000000001</v>
      </c>
      <c r="R336" s="394">
        <v>1</v>
      </c>
      <c r="S336" s="472">
        <f>SUMIFS(Таблица1[Столбец1],Таблица1[коэф],"1",Таблица1[р/р],"3/16",Таблица1[Ф. И. О.],B341)</f>
        <v>0</v>
      </c>
      <c r="T336" s="467">
        <f t="shared" ref="T336:T346" si="90">ROUND(Q336*R336*S336*2,2)</f>
        <v>0</v>
      </c>
      <c r="U336" s="448">
        <f>IF(D336&lt;=3,база!$M$4,
IF(D336=4,база!$M$5,
IF(D336=5,база!$M$6)))</f>
        <v>225.09719999999999</v>
      </c>
      <c r="V336" s="355">
        <v>1</v>
      </c>
      <c r="W336" s="474">
        <f>SUMIFS(Таблица1[Столбец1],Таблица1[коэф],"1",Таблица1[р/р],"3/24",Таблица1[Ф. И. О.],B341)</f>
        <v>0</v>
      </c>
      <c r="X336" s="467">
        <f t="shared" ref="X336:X346" si="91">ROUND(U336*V336*W336*2,2)</f>
        <v>0</v>
      </c>
      <c r="Y336" s="748">
        <f t="shared" ref="Y336" si="92">SUM(G336:G346,K336:K346,O336:O346,S336:S346,W336:W346)</f>
        <v>0</v>
      </c>
      <c r="Z336" s="750">
        <f t="shared" ref="Z336" si="93">IFERROR(SUM(H336:H346,L336:L346,T336:T346,X336:X346),"")</f>
        <v>0</v>
      </c>
      <c r="AA336" s="740"/>
    </row>
    <row r="337" spans="1:29" ht="17.25" customHeight="1">
      <c r="A337" s="740"/>
      <c r="B337" s="201"/>
      <c r="C337" s="743"/>
      <c r="D337" s="746"/>
      <c r="E337" s="370">
        <f>IF(D336&lt;=3,база!$I$4,
IF(D336=4,база!$I$5,
IF(D336=5,база!$I$6)))</f>
        <v>188.7912</v>
      </c>
      <c r="F337" s="367">
        <v>1</v>
      </c>
      <c r="G337" s="377">
        <f>SUMIFS(Таблица1[Столбец1],Таблица1[коэф],"1",Таблица1[р/р],"3/4",Таблица1[Ф. И. О.],B341)</f>
        <v>0</v>
      </c>
      <c r="H337" s="369">
        <f t="shared" si="88"/>
        <v>0</v>
      </c>
      <c r="I337" s="366">
        <f>IF(D336&lt;=3,база!$J$4,
IF(D336=4,база!$J$5,
IF(D336=5,база!$J$6)))</f>
        <v>196.05240000000001</v>
      </c>
      <c r="J337" s="367">
        <v>1</v>
      </c>
      <c r="K337" s="411">
        <f>SUMIFS(Таблица1[Столбец1],Таблица1[коэф],"1",Таблица1[р/р],"3/8",Таблица1[Ф. И. О.],B341)</f>
        <v>0</v>
      </c>
      <c r="L337" s="461">
        <f t="shared" si="89"/>
        <v>0</v>
      </c>
      <c r="M337" s="409"/>
      <c r="N337" s="411">
        <v>1</v>
      </c>
      <c r="O337" s="411">
        <f>SUMIFS(Data_Tech!$AM$3:$AM$67,Data_Tech!$E$3:$E$67,"1",Data_Tech!$G$3:$G$67,"4/12",Data_Tech!$F$3:$F$67,B341)</f>
        <v>0</v>
      </c>
      <c r="P337" s="411">
        <f>ROUND(M337*O337,2)</f>
        <v>0</v>
      </c>
      <c r="Q337" s="376">
        <f>база!$L$5</f>
        <v>231.45480000000001</v>
      </c>
      <c r="R337" s="367">
        <v>1</v>
      </c>
      <c r="S337" s="468">
        <f>SUMIFS(Таблица1[Столбец1],Таблица1[коэф],"1",Таблица1[р/р],"4/16",Таблица1[Ф. И. О.],B341)</f>
        <v>0</v>
      </c>
      <c r="T337" s="469">
        <f t="shared" si="90"/>
        <v>0</v>
      </c>
      <c r="U337" s="449">
        <f>база!$M$5</f>
        <v>247.41720000000001</v>
      </c>
      <c r="V337" s="367">
        <v>1</v>
      </c>
      <c r="W337" s="471">
        <f>SUMIFS(Таблица1[Столбец1],Таблица1[коэф],"1",Таблица1[р/р],"4/24",Таблица1[Ф. И. О.],B341)</f>
        <v>0</v>
      </c>
      <c r="X337" s="469">
        <f t="shared" si="91"/>
        <v>0</v>
      </c>
      <c r="Y337" s="748"/>
      <c r="Z337" s="750"/>
      <c r="AA337" s="740"/>
    </row>
    <row r="338" spans="1:29" ht="17.25" customHeight="1">
      <c r="A338" s="740"/>
      <c r="B338" s="201"/>
      <c r="C338" s="743"/>
      <c r="D338" s="746"/>
      <c r="E338" s="370"/>
      <c r="F338" s="367"/>
      <c r="G338" s="377"/>
      <c r="H338" s="369">
        <f t="shared" si="88"/>
        <v>0</v>
      </c>
      <c r="I338" s="366"/>
      <c r="J338" s="367"/>
      <c r="K338" s="411"/>
      <c r="L338" s="461">
        <f t="shared" si="89"/>
        <v>0</v>
      </c>
      <c r="M338" s="409"/>
      <c r="N338" s="411"/>
      <c r="O338" s="411"/>
      <c r="P338" s="411"/>
      <c r="Q338" s="376">
        <f>база!$L$6</f>
        <v>261.04640000000001</v>
      </c>
      <c r="R338" s="367">
        <v>1</v>
      </c>
      <c r="S338" s="468">
        <f>SUMIFS(Таблица1[Столбец1],Таблица1[коэф],"1",Таблица1[р/р],"5/16",Таблица1[Ф. И. О.],B341)</f>
        <v>0</v>
      </c>
      <c r="T338" s="469">
        <f t="shared" si="90"/>
        <v>0</v>
      </c>
      <c r="U338" s="449">
        <f>база!$M$6</f>
        <v>279.0496</v>
      </c>
      <c r="V338" s="367">
        <v>1</v>
      </c>
      <c r="W338" s="471">
        <f>SUMIFS(Таблица1[Столбец1],Таблица1[коэф],"1",Таблица1[р/р],"5/24",Таблица1[Ф. И. О.],B341)</f>
        <v>0</v>
      </c>
      <c r="X338" s="469">
        <f t="shared" si="91"/>
        <v>0</v>
      </c>
      <c r="Y338" s="748"/>
      <c r="Z338" s="750"/>
      <c r="AA338" s="740"/>
    </row>
    <row r="339" spans="1:29" ht="17.25" customHeight="1">
      <c r="A339" s="740"/>
      <c r="B339" s="201"/>
      <c r="C339" s="743"/>
      <c r="D339" s="746"/>
      <c r="E339" s="370"/>
      <c r="F339" s="367"/>
      <c r="G339" s="377"/>
      <c r="H339" s="369">
        <f t="shared" si="88"/>
        <v>0</v>
      </c>
      <c r="I339" s="366">
        <f>база!$J$5</f>
        <v>215.4924</v>
      </c>
      <c r="J339" s="367">
        <v>1.5</v>
      </c>
      <c r="K339" s="411">
        <f>SUMIFS(Таблица1[Столбец1],Таблица1[коэф],"1,5",Таблица1[р/р],"4/8",Таблица1[Ф. И. О.],B341)</f>
        <v>0</v>
      </c>
      <c r="L339" s="461">
        <f t="shared" si="89"/>
        <v>0</v>
      </c>
      <c r="M339" s="409"/>
      <c r="N339" s="411"/>
      <c r="O339" s="411"/>
      <c r="P339" s="411"/>
      <c r="Q339" s="376">
        <f>IF(D336&lt;=3,база!$L$4,
IF(D336=4,база!$L$5,
IF(D336=5,база!$L$6)))</f>
        <v>210.57480000000001</v>
      </c>
      <c r="R339" s="367">
        <v>1.2</v>
      </c>
      <c r="S339" s="468">
        <f>SUMIFS(Таблица1[Столбец1],Таблица1[коэф],"1,2",Таблица1[р/р],"3/16",Таблица1[Ф. И. О.],B341)</f>
        <v>0</v>
      </c>
      <c r="T339" s="469">
        <f t="shared" si="90"/>
        <v>0</v>
      </c>
      <c r="U339" s="449">
        <f>IF(D336&lt;=3,база!$M$4,
IF(D336=4,база!$M$5,
IF(D336=5,база!$M$6)))</f>
        <v>225.09719999999999</v>
      </c>
      <c r="V339" s="367">
        <v>1.2</v>
      </c>
      <c r="W339" s="471">
        <f>SUMIFS(Таблица1[Столбец1],Таблица1[коэф],"1,2",Таблица1[р/р],"3/24",Таблица1[Ф. И. О.],B341)</f>
        <v>0</v>
      </c>
      <c r="X339" s="469">
        <f t="shared" si="91"/>
        <v>0</v>
      </c>
      <c r="Y339" s="748"/>
      <c r="Z339" s="750"/>
      <c r="AA339" s="740"/>
    </row>
    <row r="340" spans="1:29" ht="17.25" customHeight="1">
      <c r="A340" s="740"/>
      <c r="B340" s="201"/>
      <c r="C340" s="743"/>
      <c r="D340" s="746"/>
      <c r="E340" s="370"/>
      <c r="F340" s="367"/>
      <c r="G340" s="377"/>
      <c r="H340" s="369">
        <f t="shared" si="88"/>
        <v>0</v>
      </c>
      <c r="I340" s="366">
        <f>база!$J$6</f>
        <v>243.04319999999998</v>
      </c>
      <c r="J340" s="367">
        <v>1.5</v>
      </c>
      <c r="K340" s="411">
        <f>SUMIFS(Таблица1[Столбец1],Таблица1[коэф],"1,5",Таблица1[р/р],"5/8",Таблица1[Ф. И. О.],B341)</f>
        <v>0</v>
      </c>
      <c r="L340" s="461">
        <f t="shared" si="89"/>
        <v>0</v>
      </c>
      <c r="M340" s="409"/>
      <c r="N340" s="411"/>
      <c r="O340" s="411"/>
      <c r="P340" s="411"/>
      <c r="Q340" s="376">
        <f>база!$L$5</f>
        <v>231.45480000000001</v>
      </c>
      <c r="R340" s="367">
        <v>1.2</v>
      </c>
      <c r="S340" s="468">
        <f>SUMIFS(Таблица1[Столбец1],Таблица1[коэф],"1,2",Таблица1[р/р],"4/16",Таблица1[Ф. И. О.],B341)</f>
        <v>0</v>
      </c>
      <c r="T340" s="469">
        <f t="shared" si="90"/>
        <v>0</v>
      </c>
      <c r="U340" s="449">
        <f>база!$M$5</f>
        <v>247.41720000000001</v>
      </c>
      <c r="V340" s="367">
        <v>1.2</v>
      </c>
      <c r="W340" s="471">
        <f>SUMIFS(Таблица1[Столбец1],Таблица1[коэф],"1,2",Таблица1[р/р],"4/24",Таблица1[Ф. И. О.],B341)</f>
        <v>0</v>
      </c>
      <c r="X340" s="469">
        <f t="shared" si="91"/>
        <v>0</v>
      </c>
      <c r="Y340" s="748"/>
      <c r="Z340" s="750"/>
      <c r="AA340" s="740"/>
    </row>
    <row r="341" spans="1:29" ht="17.25" customHeight="1">
      <c r="A341" s="740"/>
      <c r="B341" s="201" t="str">
        <f>база!B32</f>
        <v>Кабакова Алина Дмитриевна</v>
      </c>
      <c r="C341" s="743"/>
      <c r="D341" s="746"/>
      <c r="E341" s="370"/>
      <c r="F341" s="367"/>
      <c r="G341" s="377"/>
      <c r="H341" s="369">
        <f t="shared" si="88"/>
        <v>0</v>
      </c>
      <c r="I341" s="366"/>
      <c r="J341" s="367"/>
      <c r="K341" s="411"/>
      <c r="L341" s="461">
        <f t="shared" si="89"/>
        <v>0</v>
      </c>
      <c r="M341" s="409"/>
      <c r="N341" s="411"/>
      <c r="O341" s="411"/>
      <c r="P341" s="411"/>
      <c r="Q341" s="376">
        <f>база!$L$6</f>
        <v>261.04640000000001</v>
      </c>
      <c r="R341" s="367">
        <v>1.2</v>
      </c>
      <c r="S341" s="468">
        <f>SUMIFS(Таблица1[Столбец1],Таблица1[коэф],"1,2",Таблица1[р/р],"5/16",Таблица1[Ф. И. О.],B341)</f>
        <v>0</v>
      </c>
      <c r="T341" s="469">
        <f t="shared" si="90"/>
        <v>0</v>
      </c>
      <c r="U341" s="449">
        <f>база!$M$6</f>
        <v>279.0496</v>
      </c>
      <c r="V341" s="367">
        <v>1.2</v>
      </c>
      <c r="W341" s="471">
        <f>SUMIFS(Таблица1[Столбец1],Таблица1[коэф],"1,2",Таблица1[р/р],"5/24",Таблица1[Ф. И. О.],B341)</f>
        <v>0</v>
      </c>
      <c r="X341" s="469">
        <f t="shared" si="91"/>
        <v>0</v>
      </c>
      <c r="Y341" s="748"/>
      <c r="Z341" s="750"/>
      <c r="AA341" s="740"/>
      <c r="AC341" s="693" t="str">
        <f>IF(SUMIFS(Таблица1[Столбец3],Таблица1[Ф. И. О.],B341)-Z336=0,"",SUMIFS(Таблица1[Столбец3],Таблица1[Ф. И. О.],B341)-Z336)</f>
        <v/>
      </c>
    </row>
    <row r="342" spans="1:29" ht="17.25" customHeight="1">
      <c r="A342" s="740"/>
      <c r="B342" s="201"/>
      <c r="C342" s="743"/>
      <c r="D342" s="746"/>
      <c r="E342" s="370"/>
      <c r="F342" s="367"/>
      <c r="G342" s="377"/>
      <c r="H342" s="369">
        <f t="shared" si="88"/>
        <v>0</v>
      </c>
      <c r="I342" s="366"/>
      <c r="J342" s="367"/>
      <c r="K342" s="411"/>
      <c r="L342" s="461">
        <f t="shared" si="89"/>
        <v>0</v>
      </c>
      <c r="M342" s="409"/>
      <c r="N342" s="411"/>
      <c r="O342" s="411"/>
      <c r="P342" s="411"/>
      <c r="Q342" s="376">
        <f>IF(D336&lt;=3,база!$L$4,
IF(D336=4,база!$L$5,
IF(D336=5,база!$L$6)))</f>
        <v>210.57480000000001</v>
      </c>
      <c r="R342" s="367">
        <v>1.3</v>
      </c>
      <c r="S342" s="468">
        <f>SUMIFS(Таблица1[Столбец1],Таблица1[коэф],"1,3",Таблица1[р/р],"3/16",Таблица1[Ф. И. О.],B341)</f>
        <v>0</v>
      </c>
      <c r="T342" s="469">
        <f t="shared" si="90"/>
        <v>0</v>
      </c>
      <c r="U342" s="449">
        <f>IF(D336&lt;=3,база!$M$4,
IF(D336=4,база!$M$5,
IF(D336=5,база!$M$6)))</f>
        <v>225.09719999999999</v>
      </c>
      <c r="V342" s="367">
        <v>1.3</v>
      </c>
      <c r="W342" s="471">
        <f>SUMIFS(Таблица1[Столбец1],Таблица1[коэф],"1,3",Таблица1[р/р],"3/24",Таблица1[Ф. И. О.],B341)</f>
        <v>0</v>
      </c>
      <c r="X342" s="469">
        <f t="shared" si="91"/>
        <v>0</v>
      </c>
      <c r="Y342" s="748"/>
      <c r="Z342" s="750"/>
      <c r="AA342" s="740"/>
      <c r="AC342" s="693" t="str">
        <f>IF(SUMIFS(Таблица1[Столбец1],Таблица1[Ф. И. О.],B341)=Y336,"",B341&amp;"  часы не верны")</f>
        <v/>
      </c>
    </row>
    <row r="343" spans="1:29" ht="17.25" customHeight="1">
      <c r="A343" s="740"/>
      <c r="B343" s="201"/>
      <c r="C343" s="743"/>
      <c r="D343" s="746"/>
      <c r="E343" s="370"/>
      <c r="F343" s="367"/>
      <c r="G343" s="377"/>
      <c r="H343" s="369">
        <f t="shared" si="88"/>
        <v>0</v>
      </c>
      <c r="I343" s="366"/>
      <c r="J343" s="367"/>
      <c r="K343" s="411"/>
      <c r="L343" s="461">
        <f t="shared" si="89"/>
        <v>0</v>
      </c>
      <c r="M343" s="409"/>
      <c r="N343" s="411"/>
      <c r="O343" s="411"/>
      <c r="P343" s="411"/>
      <c r="Q343" s="376">
        <f>база!$L$5</f>
        <v>231.45480000000001</v>
      </c>
      <c r="R343" s="367">
        <v>1.3</v>
      </c>
      <c r="S343" s="468">
        <f>SUMIFS(Таблица1[Столбец1],Таблица1[коэф],"1,3",Таблица1[р/р],"4/16",Таблица1[Ф. И. О.],B341)</f>
        <v>0</v>
      </c>
      <c r="T343" s="469">
        <f t="shared" si="90"/>
        <v>0</v>
      </c>
      <c r="U343" s="449">
        <f>база!$M$5</f>
        <v>247.41720000000001</v>
      </c>
      <c r="V343" s="367">
        <v>1.3</v>
      </c>
      <c r="W343" s="471">
        <f>SUMIFS(Таблица1[Столбец1],Таблица1[коэф],"1,3",Таблица1[р/р],"4/24",Таблица1[Ф. И. О.],B341)</f>
        <v>0</v>
      </c>
      <c r="X343" s="469">
        <f t="shared" si="91"/>
        <v>0</v>
      </c>
      <c r="Y343" s="748"/>
      <c r="Z343" s="750"/>
      <c r="AA343" s="740"/>
    </row>
    <row r="344" spans="1:29" ht="17.25" customHeight="1">
      <c r="A344" s="740"/>
      <c r="B344" s="201"/>
      <c r="C344" s="743"/>
      <c r="D344" s="746"/>
      <c r="E344" s="370"/>
      <c r="F344" s="367"/>
      <c r="G344" s="377"/>
      <c r="H344" s="369">
        <f t="shared" si="88"/>
        <v>0</v>
      </c>
      <c r="I344" s="366"/>
      <c r="J344" s="367"/>
      <c r="K344" s="411"/>
      <c r="L344" s="461">
        <f t="shared" si="89"/>
        <v>0</v>
      </c>
      <c r="M344" s="409"/>
      <c r="N344" s="411"/>
      <c r="O344" s="411"/>
      <c r="P344" s="411"/>
      <c r="Q344" s="376">
        <f>IF(D336&lt;=3,база!$L$4,
IF(D336=4,база!$L$5,
IF(D336=5,база!$L$6)))</f>
        <v>210.57480000000001</v>
      </c>
      <c r="R344" s="367">
        <v>1.4</v>
      </c>
      <c r="S344" s="468">
        <f>SUMIFS(Таблица1[Столбец1],Таблица1[коэф],"1,4",Таблица1[р/р],"3/16",Таблица1[Ф. И. О.],B341)</f>
        <v>0</v>
      </c>
      <c r="T344" s="469">
        <f t="shared" si="90"/>
        <v>0</v>
      </c>
      <c r="U344" s="449">
        <f>IF(D336&lt;=3,база!$M$4,
IF(D336=4,база!$M$5,
IF(D336=5,база!$M$6)))</f>
        <v>225.09719999999999</v>
      </c>
      <c r="V344" s="367">
        <v>1.4</v>
      </c>
      <c r="W344" s="471">
        <f>SUMIFS(Таблица1[Столбец1],Таблица1[коэф],"1,4",Таблица1[р/р],"3/24",Таблица1[Ф. И. О.],B341)</f>
        <v>0</v>
      </c>
      <c r="X344" s="469">
        <f t="shared" si="91"/>
        <v>0</v>
      </c>
      <c r="Y344" s="748"/>
      <c r="Z344" s="750"/>
      <c r="AA344" s="740"/>
    </row>
    <row r="345" spans="1:29" ht="17.25" customHeight="1">
      <c r="A345" s="740"/>
      <c r="B345" s="201"/>
      <c r="C345" s="743"/>
      <c r="D345" s="746"/>
      <c r="E345" s="370"/>
      <c r="F345" s="367"/>
      <c r="G345" s="377"/>
      <c r="H345" s="369">
        <f t="shared" si="88"/>
        <v>0</v>
      </c>
      <c r="I345" s="366"/>
      <c r="J345" s="367"/>
      <c r="K345" s="411"/>
      <c r="L345" s="372">
        <f t="shared" si="89"/>
        <v>0</v>
      </c>
      <c r="M345" s="409"/>
      <c r="N345" s="411"/>
      <c r="O345" s="411"/>
      <c r="P345" s="411"/>
      <c r="Q345" s="376">
        <f>база!$L$5</f>
        <v>231.45480000000001</v>
      </c>
      <c r="R345" s="367">
        <v>1.4</v>
      </c>
      <c r="S345" s="468">
        <f>SUMIFS(Таблица1[Столбец1],Таблица1[коэф],"1,4",Таблица1[р/р],"4/16",Таблица1[Ф. И. О.],B341)</f>
        <v>0</v>
      </c>
      <c r="T345" s="469">
        <f t="shared" si="90"/>
        <v>0</v>
      </c>
      <c r="U345" s="449">
        <f>база!$M$5</f>
        <v>247.41720000000001</v>
      </c>
      <c r="V345" s="367">
        <v>1.4</v>
      </c>
      <c r="W345" s="471">
        <f>SUMIFS(Таблица1[Столбец1],Таблица1[коэф],"1,4",Таблица1[р/р],"4/24",Таблица1[Ф. И. О.],B341)</f>
        <v>0</v>
      </c>
      <c r="X345" s="469">
        <f t="shared" si="91"/>
        <v>0</v>
      </c>
      <c r="Y345" s="748"/>
      <c r="Z345" s="750"/>
      <c r="AA345" s="740"/>
    </row>
    <row r="346" spans="1:29" ht="17.25" customHeight="1" thickBot="1">
      <c r="A346" s="741"/>
      <c r="B346" s="188"/>
      <c r="C346" s="744"/>
      <c r="D346" s="747"/>
      <c r="E346" s="440"/>
      <c r="F346" s="441"/>
      <c r="G346" s="442"/>
      <c r="H346" s="445">
        <f t="shared" si="88"/>
        <v>0</v>
      </c>
      <c r="I346" s="450"/>
      <c r="J346" s="441"/>
      <c r="K346" s="434"/>
      <c r="L346" s="435">
        <f t="shared" si="89"/>
        <v>0</v>
      </c>
      <c r="M346" s="443"/>
      <c r="N346" s="434"/>
      <c r="O346" s="434"/>
      <c r="P346" s="434"/>
      <c r="Q346" s="444">
        <f>база!$L$6</f>
        <v>261.04640000000001</v>
      </c>
      <c r="R346" s="441">
        <v>1.4</v>
      </c>
      <c r="S346" s="489">
        <f>SUMIFS(Таблица1[Столбец1],Таблица1[коэф],"1,4",Таблица1[р/р],"5/16",Таблица1[Ф. И. О.],B341)</f>
        <v>0</v>
      </c>
      <c r="T346" s="490">
        <f t="shared" si="90"/>
        <v>0</v>
      </c>
      <c r="U346" s="451">
        <f>база!$M$6</f>
        <v>279.0496</v>
      </c>
      <c r="V346" s="441">
        <v>1.4</v>
      </c>
      <c r="W346" s="478">
        <f>SUMIFS(Таблица1[Столбец1],Таблица1[коэф],"1,4",Таблица1[р/р],"5/24",Таблица1[Ф. И. О.],B341)</f>
        <v>0</v>
      </c>
      <c r="X346" s="490">
        <f t="shared" si="91"/>
        <v>0</v>
      </c>
      <c r="Y346" s="749"/>
      <c r="Z346" s="751"/>
      <c r="AA346" s="741"/>
    </row>
    <row r="347" spans="1:29" ht="18.75" collapsed="1">
      <c r="A347" s="739">
        <v>32</v>
      </c>
      <c r="B347" s="219"/>
      <c r="C347" s="742">
        <f>INDEX(база!$E$2:$E$81, MATCH(B352,база!$B$2:$B$50,0))</f>
        <v>16919</v>
      </c>
      <c r="D347" s="745">
        <f>INDEX(база!$D$2:$D$89, MATCH(B352,база!$B$2:$B$50,0))</f>
        <v>3</v>
      </c>
      <c r="E347" s="428">
        <f>IF(D347&lt;=3,база!$I$4,
IF(D347=4,база!$I$5,
IF(D347=5,база!$I$6)))</f>
        <v>188.7912</v>
      </c>
      <c r="F347" s="394">
        <v>1</v>
      </c>
      <c r="G347" s="395">
        <f>SUMIFS(Таблица1[Столбец1],Таблица1[коэф],"1",Таблица1[р/р],"2/4",Таблица1[Ф. И. О.],B352)</f>
        <v>0</v>
      </c>
      <c r="H347" s="379">
        <f t="shared" ref="H347:H368" si="94">ROUND(E347*F347*G347*2,2)</f>
        <v>0</v>
      </c>
      <c r="I347" s="354">
        <f>IF(D347&lt;=3,база!$J$4,
IF(D347=4,база!$J$5,
IF(D347=5,база!$J$6)))</f>
        <v>196.05240000000001</v>
      </c>
      <c r="J347" s="355">
        <v>1</v>
      </c>
      <c r="K347" s="405">
        <f>SUMIFS(Таблица1[Столбец1],Таблица1[коэф],"1",Таблица1[р/р],"2/8",Таблица1[Ф. И. О.],B352)</f>
        <v>0</v>
      </c>
      <c r="L347" s="360">
        <f t="shared" ref="L347:L368" si="95">ROUND(I347*J347*K347*2,2)</f>
        <v>0</v>
      </c>
      <c r="M347" s="429"/>
      <c r="N347" s="430">
        <v>1</v>
      </c>
      <c r="O347" s="430">
        <f>SUMIFS(Data_Tech!$AM$3:$AM$67,Data_Tech!$E$3:$E$67,"1",Data_Tech!$G$3:$G$67,"3/12",Data_Tech!$F$3:$F$67,B352)</f>
        <v>0</v>
      </c>
      <c r="P347" s="430">
        <f>ROUND(M347*N347*O347,2)</f>
        <v>0</v>
      </c>
      <c r="Q347" s="393">
        <f>IF(D347&lt;=3,база!$L$4,
IF(D347=4,база!$L$5,
IF(D347=5,база!$L$6)))</f>
        <v>210.57480000000001</v>
      </c>
      <c r="R347" s="394">
        <v>1</v>
      </c>
      <c r="S347" s="472">
        <f>SUMIFS(Таблица1[Столбец1],Таблица1[коэф],"1",Таблица1[р/р],"3/16",Таблица1[Ф. И. О.],B352)</f>
        <v>0</v>
      </c>
      <c r="T347" s="467">
        <f t="shared" ref="T347:T368" si="96">ROUND(Q347*R347*S347*2,2)</f>
        <v>0</v>
      </c>
      <c r="U347" s="448">
        <f>IF(D347&lt;=3,база!$M$4,
IF(D347=4,база!$M$5,
IF(D347=5,база!$M$6)))</f>
        <v>225.09719999999999</v>
      </c>
      <c r="V347" s="355">
        <v>1</v>
      </c>
      <c r="W347" s="474">
        <f>SUMIFS(Таблица1[Столбец1],Таблица1[коэф],"1",Таблица1[р/р],"3/24",Таблица1[Ф. И. О.],B352)</f>
        <v>0</v>
      </c>
      <c r="X347" s="467">
        <f t="shared" ref="X347:X368" si="97">ROUND(U347*V347*W347*2,2)</f>
        <v>0</v>
      </c>
      <c r="Y347" s="748">
        <f t="shared" ref="Y347" si="98">SUM(G347:G357,K347:K357,O347:O357,S347:S357,W347:W357)</f>
        <v>0</v>
      </c>
      <c r="Z347" s="750">
        <f t="shared" ref="Z347" si="99">IFERROR(SUM(H347:H357,L347:L357,T347:T357,X347:X357),"")</f>
        <v>0</v>
      </c>
      <c r="AA347" s="740"/>
    </row>
    <row r="348" spans="1:29" ht="18.75">
      <c r="A348" s="740"/>
      <c r="B348" s="201"/>
      <c r="C348" s="743"/>
      <c r="D348" s="746"/>
      <c r="E348" s="370">
        <f>IF(D347&lt;=3,база!$I$4,
IF(D347=4,база!$I$5,
IF(D347=5,база!$I$6)))</f>
        <v>188.7912</v>
      </c>
      <c r="F348" s="367">
        <v>1</v>
      </c>
      <c r="G348" s="377">
        <f>SUMIFS(Таблица1[Столбец1],Таблица1[коэф],"1",Таблица1[р/р],"3/4",Таблица1[Ф. И. О.],B352)</f>
        <v>0</v>
      </c>
      <c r="H348" s="369">
        <f t="shared" si="94"/>
        <v>0</v>
      </c>
      <c r="I348" s="366">
        <f>IF(D347&lt;=3,база!$J$4,
IF(D347=4,база!$J$5,
IF(D347=5,база!$J$6)))</f>
        <v>196.05240000000001</v>
      </c>
      <c r="J348" s="367">
        <v>1</v>
      </c>
      <c r="K348" s="411">
        <f>SUMIFS(Таблица1[Столбец1],Таблица1[коэф],"1",Таблица1[р/р],"3/8",Таблица1[Ф. И. О.],B352)</f>
        <v>0</v>
      </c>
      <c r="L348" s="461">
        <f t="shared" si="95"/>
        <v>0</v>
      </c>
      <c r="M348" s="409"/>
      <c r="N348" s="411">
        <v>1</v>
      </c>
      <c r="O348" s="411">
        <f>SUMIFS(Data_Tech!$AM$3:$AM$67,Data_Tech!$E$3:$E$67,"1",Data_Tech!$G$3:$G$67,"4/12",Data_Tech!$F$3:$F$67,B352)</f>
        <v>0</v>
      </c>
      <c r="P348" s="411">
        <f>ROUND(M348*O348,2)</f>
        <v>0</v>
      </c>
      <c r="Q348" s="376">
        <f>база!$L$5</f>
        <v>231.45480000000001</v>
      </c>
      <c r="R348" s="367">
        <v>1</v>
      </c>
      <c r="S348" s="468">
        <f>SUMIFS(Таблица1[Столбец1],Таблица1[коэф],"1",Таблица1[р/р],"4/16",Таблица1[Ф. И. О.],B352)</f>
        <v>0</v>
      </c>
      <c r="T348" s="469">
        <f t="shared" si="96"/>
        <v>0</v>
      </c>
      <c r="U348" s="449">
        <f>база!$M$5</f>
        <v>247.41720000000001</v>
      </c>
      <c r="V348" s="367">
        <v>1</v>
      </c>
      <c r="W348" s="471">
        <f>SUMIFS(Таблица1[Столбец1],Таблица1[коэф],"1",Таблица1[р/р],"4/24",Таблица1[Ф. И. О.],B352)</f>
        <v>0</v>
      </c>
      <c r="X348" s="469">
        <f t="shared" si="97"/>
        <v>0</v>
      </c>
      <c r="Y348" s="748"/>
      <c r="Z348" s="750"/>
      <c r="AA348" s="740"/>
    </row>
    <row r="349" spans="1:29" ht="18.75">
      <c r="A349" s="740"/>
      <c r="B349" s="201"/>
      <c r="C349" s="743"/>
      <c r="D349" s="746"/>
      <c r="E349" s="370"/>
      <c r="F349" s="367"/>
      <c r="G349" s="377"/>
      <c r="H349" s="369">
        <f t="shared" si="94"/>
        <v>0</v>
      </c>
      <c r="I349" s="366"/>
      <c r="J349" s="367"/>
      <c r="K349" s="411"/>
      <c r="L349" s="461">
        <f t="shared" si="95"/>
        <v>0</v>
      </c>
      <c r="M349" s="409"/>
      <c r="N349" s="411"/>
      <c r="O349" s="411"/>
      <c r="P349" s="411"/>
      <c r="Q349" s="376">
        <f>база!$L$6</f>
        <v>261.04640000000001</v>
      </c>
      <c r="R349" s="367">
        <v>1</v>
      </c>
      <c r="S349" s="468">
        <f>SUMIFS(Таблица1[Столбец1],Таблица1[коэф],"1",Таблица1[р/р],"5/16",Таблица1[Ф. И. О.],B352)</f>
        <v>0</v>
      </c>
      <c r="T349" s="469">
        <f t="shared" si="96"/>
        <v>0</v>
      </c>
      <c r="U349" s="449">
        <f>база!$M$6</f>
        <v>279.0496</v>
      </c>
      <c r="V349" s="367">
        <v>1</v>
      </c>
      <c r="W349" s="471">
        <f>SUMIFS(Таблица1[Столбец1],Таблица1[коэф],"1",Таблица1[р/р],"5/24",Таблица1[Ф. И. О.],B352)</f>
        <v>0</v>
      </c>
      <c r="X349" s="469">
        <f t="shared" si="97"/>
        <v>0</v>
      </c>
      <c r="Y349" s="748"/>
      <c r="Z349" s="750"/>
      <c r="AA349" s="740"/>
    </row>
    <row r="350" spans="1:29" ht="18.75">
      <c r="A350" s="740"/>
      <c r="B350" s="201"/>
      <c r="C350" s="743"/>
      <c r="D350" s="746"/>
      <c r="E350" s="370"/>
      <c r="F350" s="367"/>
      <c r="G350" s="377"/>
      <c r="H350" s="369">
        <f t="shared" si="94"/>
        <v>0</v>
      </c>
      <c r="I350" s="366">
        <f>база!$J$5</f>
        <v>215.4924</v>
      </c>
      <c r="J350" s="367">
        <v>1.5</v>
      </c>
      <c r="K350" s="411">
        <f>SUMIFS(Таблица1[Столбец1],Таблица1[коэф],"1,5",Таблица1[р/р],"4/8",Таблица1[Ф. И. О.],B352)</f>
        <v>0</v>
      </c>
      <c r="L350" s="461">
        <f t="shared" si="95"/>
        <v>0</v>
      </c>
      <c r="M350" s="409"/>
      <c r="N350" s="411"/>
      <c r="O350" s="411"/>
      <c r="P350" s="411"/>
      <c r="Q350" s="376">
        <f>IF(D347&lt;=3,база!$L$4,
IF(D347=4,база!$L$5,
IF(D347=5,база!$L$6)))</f>
        <v>210.57480000000001</v>
      </c>
      <c r="R350" s="367">
        <v>1.2</v>
      </c>
      <c r="S350" s="468">
        <f>SUMIFS(Таблица1[Столбец1],Таблица1[коэф],"1,2",Таблица1[р/р],"3/16",Таблица1[Ф. И. О.],B352)</f>
        <v>0</v>
      </c>
      <c r="T350" s="469">
        <f t="shared" si="96"/>
        <v>0</v>
      </c>
      <c r="U350" s="449">
        <f>IF(D347&lt;=3,база!$M$4,
IF(D347=4,база!$M$5,
IF(D347=5,база!$M$6)))</f>
        <v>225.09719999999999</v>
      </c>
      <c r="V350" s="367">
        <v>1.2</v>
      </c>
      <c r="W350" s="471">
        <f>SUMIFS(Таблица1[Столбец1],Таблица1[коэф],"1,2",Таблица1[р/р],"3/24",Таблица1[Ф. И. О.],B352)</f>
        <v>0</v>
      </c>
      <c r="X350" s="469">
        <f t="shared" si="97"/>
        <v>0</v>
      </c>
      <c r="Y350" s="748"/>
      <c r="Z350" s="750"/>
      <c r="AA350" s="740"/>
    </row>
    <row r="351" spans="1:29" ht="18.75">
      <c r="A351" s="740"/>
      <c r="B351" s="201"/>
      <c r="C351" s="743"/>
      <c r="D351" s="746"/>
      <c r="E351" s="370"/>
      <c r="F351" s="367"/>
      <c r="G351" s="377"/>
      <c r="H351" s="369">
        <f t="shared" si="94"/>
        <v>0</v>
      </c>
      <c r="I351" s="366">
        <f>база!$J$6</f>
        <v>243.04319999999998</v>
      </c>
      <c r="J351" s="367">
        <v>1.5</v>
      </c>
      <c r="K351" s="411">
        <f>SUMIFS(Таблица1[Столбец1],Таблица1[коэф],"1,5",Таблица1[р/р],"5/8",Таблица1[Ф. И. О.],B352)</f>
        <v>0</v>
      </c>
      <c r="L351" s="461">
        <f t="shared" si="95"/>
        <v>0</v>
      </c>
      <c r="M351" s="409"/>
      <c r="N351" s="411"/>
      <c r="O351" s="411"/>
      <c r="P351" s="411"/>
      <c r="Q351" s="376">
        <f>база!$L$5</f>
        <v>231.45480000000001</v>
      </c>
      <c r="R351" s="367">
        <v>1.2</v>
      </c>
      <c r="S351" s="468">
        <f>SUMIFS(Таблица1[Столбец1],Таблица1[коэф],"1,2",Таблица1[р/р],"4/16",Таблица1[Ф. И. О.],B352)</f>
        <v>0</v>
      </c>
      <c r="T351" s="469">
        <f t="shared" si="96"/>
        <v>0</v>
      </c>
      <c r="U351" s="449">
        <f>база!$M$5</f>
        <v>247.41720000000001</v>
      </c>
      <c r="V351" s="367">
        <v>1.2</v>
      </c>
      <c r="W351" s="471">
        <f>SUMIFS(Таблица1[Столбец1],Таблица1[коэф],"1,2",Таблица1[р/р],"4/24",Таблица1[Ф. И. О.],B352)</f>
        <v>0</v>
      </c>
      <c r="X351" s="469">
        <f t="shared" si="97"/>
        <v>0</v>
      </c>
      <c r="Y351" s="748"/>
      <c r="Z351" s="750"/>
      <c r="AA351" s="740"/>
    </row>
    <row r="352" spans="1:29" ht="18" customHeight="1">
      <c r="A352" s="740"/>
      <c r="B352" s="201" t="str">
        <f>база!B33</f>
        <v>Кабанова Анастасия Евгеньевна</v>
      </c>
      <c r="C352" s="743"/>
      <c r="D352" s="746"/>
      <c r="E352" s="370"/>
      <c r="F352" s="367"/>
      <c r="G352" s="377"/>
      <c r="H352" s="369">
        <f t="shared" si="94"/>
        <v>0</v>
      </c>
      <c r="I352" s="366"/>
      <c r="J352" s="367"/>
      <c r="K352" s="411"/>
      <c r="L352" s="461">
        <f t="shared" si="95"/>
        <v>0</v>
      </c>
      <c r="M352" s="409"/>
      <c r="N352" s="411"/>
      <c r="O352" s="411"/>
      <c r="P352" s="411"/>
      <c r="Q352" s="376">
        <f>база!$L$6</f>
        <v>261.04640000000001</v>
      </c>
      <c r="R352" s="367">
        <v>1.2</v>
      </c>
      <c r="S352" s="468">
        <f>SUMIFS(Таблица1[Столбец1],Таблица1[коэф],"1,2",Таблица1[р/р],"5/16",Таблица1[Ф. И. О.],B352)</f>
        <v>0</v>
      </c>
      <c r="T352" s="469">
        <f t="shared" si="96"/>
        <v>0</v>
      </c>
      <c r="U352" s="449">
        <f>база!$M$6</f>
        <v>279.0496</v>
      </c>
      <c r="V352" s="367">
        <v>1.2</v>
      </c>
      <c r="W352" s="471">
        <f>SUMIFS(Таблица1[Столбец1],Таблица1[коэф],"1,2",Таблица1[р/р],"5/24",Таблица1[Ф. И. О.],B352)</f>
        <v>0</v>
      </c>
      <c r="X352" s="469">
        <f t="shared" si="97"/>
        <v>0</v>
      </c>
      <c r="Y352" s="748"/>
      <c r="Z352" s="750"/>
      <c r="AA352" s="740"/>
      <c r="AC352" s="693" t="str">
        <f>IF(SUMIFS(Таблица1[Столбец3],Таблица1[Ф. И. О.],B352)-Z347=0,"",SUMIFS(Таблица1[Столбец3],Таблица1[Ф. И. О.],B352)-Z347)</f>
        <v/>
      </c>
    </row>
    <row r="353" spans="1:29" ht="18.75">
      <c r="A353" s="740"/>
      <c r="B353" s="201"/>
      <c r="C353" s="743"/>
      <c r="D353" s="746"/>
      <c r="E353" s="370"/>
      <c r="F353" s="367"/>
      <c r="G353" s="377"/>
      <c r="H353" s="369">
        <f t="shared" si="94"/>
        <v>0</v>
      </c>
      <c r="I353" s="366"/>
      <c r="J353" s="367"/>
      <c r="K353" s="411"/>
      <c r="L353" s="461">
        <f t="shared" si="95"/>
        <v>0</v>
      </c>
      <c r="M353" s="409"/>
      <c r="N353" s="411"/>
      <c r="O353" s="411"/>
      <c r="P353" s="411"/>
      <c r="Q353" s="376">
        <f>IF(D347&lt;=3,база!$L$4,
IF(D347=4,база!$L$5,
IF(D347=5,база!$L$6)))</f>
        <v>210.57480000000001</v>
      </c>
      <c r="R353" s="367">
        <v>1.3</v>
      </c>
      <c r="S353" s="468">
        <f>SUMIFS(Таблица1[Столбец1],Таблица1[коэф],"1,3",Таблица1[р/р],"3/16",Таблица1[Ф. И. О.],B352)</f>
        <v>0</v>
      </c>
      <c r="T353" s="469">
        <f t="shared" si="96"/>
        <v>0</v>
      </c>
      <c r="U353" s="449">
        <f>IF(D347&lt;=3,база!$M$4,
IF(D347=4,база!$M$5,
IF(D347=5,база!$M$6)))</f>
        <v>225.09719999999999</v>
      </c>
      <c r="V353" s="367">
        <v>1.3</v>
      </c>
      <c r="W353" s="471">
        <f>SUMIFS(Таблица1[Столбец1],Таблица1[коэф],"1,3",Таблица1[р/р],"3/24",Таблица1[Ф. И. О.],B352)</f>
        <v>0</v>
      </c>
      <c r="X353" s="469">
        <f t="shared" si="97"/>
        <v>0</v>
      </c>
      <c r="Y353" s="748"/>
      <c r="Z353" s="750"/>
      <c r="AA353" s="740"/>
      <c r="AC353" s="693" t="str">
        <f>IF(SUMIFS(Таблица1[Столбец1],Таблица1[Ф. И. О.],B352)=Y347,"",B352&amp;"  часы не верны")</f>
        <v/>
      </c>
    </row>
    <row r="354" spans="1:29" ht="18.75">
      <c r="A354" s="740"/>
      <c r="B354" s="201"/>
      <c r="C354" s="743"/>
      <c r="D354" s="746"/>
      <c r="E354" s="370"/>
      <c r="F354" s="367"/>
      <c r="G354" s="377"/>
      <c r="H354" s="369">
        <f t="shared" si="94"/>
        <v>0</v>
      </c>
      <c r="I354" s="366"/>
      <c r="J354" s="367"/>
      <c r="K354" s="411"/>
      <c r="L354" s="461">
        <f t="shared" si="95"/>
        <v>0</v>
      </c>
      <c r="M354" s="409"/>
      <c r="N354" s="411"/>
      <c r="O354" s="411"/>
      <c r="P354" s="411"/>
      <c r="Q354" s="376">
        <f>база!$L$5</f>
        <v>231.45480000000001</v>
      </c>
      <c r="R354" s="367">
        <v>1.3</v>
      </c>
      <c r="S354" s="468">
        <f>SUMIFS(Таблица1[Столбец1],Таблица1[коэф],"1,3",Таблица1[р/р],"4/16",Таблица1[Ф. И. О.],B352)</f>
        <v>0</v>
      </c>
      <c r="T354" s="469">
        <f t="shared" si="96"/>
        <v>0</v>
      </c>
      <c r="U354" s="449">
        <f>база!$M$5</f>
        <v>247.41720000000001</v>
      </c>
      <c r="V354" s="367">
        <v>1.3</v>
      </c>
      <c r="W354" s="471">
        <f>SUMIFS(Таблица1[Столбец1],Таблица1[коэф],"1,3",Таблица1[р/р],"4/24",Таблица1[Ф. И. О.],B352)</f>
        <v>0</v>
      </c>
      <c r="X354" s="469">
        <f t="shared" si="97"/>
        <v>0</v>
      </c>
      <c r="Y354" s="748"/>
      <c r="Z354" s="750"/>
      <c r="AA354" s="740"/>
    </row>
    <row r="355" spans="1:29" ht="18.75">
      <c r="A355" s="740"/>
      <c r="B355" s="201"/>
      <c r="C355" s="743"/>
      <c r="D355" s="746"/>
      <c r="E355" s="370"/>
      <c r="F355" s="367"/>
      <c r="G355" s="377"/>
      <c r="H355" s="369">
        <f t="shared" si="94"/>
        <v>0</v>
      </c>
      <c r="I355" s="366"/>
      <c r="J355" s="367"/>
      <c r="K355" s="411"/>
      <c r="L355" s="461">
        <f t="shared" si="95"/>
        <v>0</v>
      </c>
      <c r="M355" s="409"/>
      <c r="N355" s="411"/>
      <c r="O355" s="411"/>
      <c r="P355" s="411"/>
      <c r="Q355" s="376">
        <f>IF(D347&lt;=3,база!$L$4,
IF(D347=4,база!$L$5,
IF(D347=5,база!$L$6)))</f>
        <v>210.57480000000001</v>
      </c>
      <c r="R355" s="367">
        <v>1.4</v>
      </c>
      <c r="S355" s="468">
        <f>SUMIFS(Таблица1[Столбец1],Таблица1[коэф],"1,4",Таблица1[р/р],"3/16",Таблица1[Ф. И. О.],B352)</f>
        <v>0</v>
      </c>
      <c r="T355" s="469">
        <f t="shared" si="96"/>
        <v>0</v>
      </c>
      <c r="U355" s="449">
        <f>IF(D347&lt;=3,база!$M$4,
IF(D347=4,база!$M$5,
IF(D347=5,база!$M$6)))</f>
        <v>225.09719999999999</v>
      </c>
      <c r="V355" s="367">
        <v>1.4</v>
      </c>
      <c r="W355" s="471">
        <f>SUMIFS(Таблица1[Столбец1],Таблица1[коэф],"1,4",Таблица1[р/р],"3/24",Таблица1[Ф. И. О.],B352)</f>
        <v>0</v>
      </c>
      <c r="X355" s="469">
        <f t="shared" si="97"/>
        <v>0</v>
      </c>
      <c r="Y355" s="748"/>
      <c r="Z355" s="750"/>
      <c r="AA355" s="740"/>
    </row>
    <row r="356" spans="1:29" ht="18.75">
      <c r="A356" s="740"/>
      <c r="B356" s="201"/>
      <c r="C356" s="743"/>
      <c r="D356" s="746"/>
      <c r="E356" s="370"/>
      <c r="F356" s="367"/>
      <c r="G356" s="377"/>
      <c r="H356" s="369">
        <f t="shared" si="94"/>
        <v>0</v>
      </c>
      <c r="I356" s="366"/>
      <c r="J356" s="367"/>
      <c r="K356" s="411"/>
      <c r="L356" s="372">
        <f t="shared" si="95"/>
        <v>0</v>
      </c>
      <c r="M356" s="409"/>
      <c r="N356" s="411"/>
      <c r="O356" s="411"/>
      <c r="P356" s="411"/>
      <c r="Q356" s="376">
        <f>база!$L$5</f>
        <v>231.45480000000001</v>
      </c>
      <c r="R356" s="367">
        <v>1.4</v>
      </c>
      <c r="S356" s="468">
        <f>SUMIFS(Таблица1[Столбец1],Таблица1[коэф],"1,4",Таблица1[р/р],"4/16",Таблица1[Ф. И. О.],B352)</f>
        <v>0</v>
      </c>
      <c r="T356" s="469">
        <f t="shared" si="96"/>
        <v>0</v>
      </c>
      <c r="U356" s="449">
        <f>база!$M$5</f>
        <v>247.41720000000001</v>
      </c>
      <c r="V356" s="367">
        <v>1.4</v>
      </c>
      <c r="W356" s="471">
        <f>SUMIFS(Таблица1[Столбец1],Таблица1[коэф],"1,4",Таблица1[р/р],"4/24",Таблица1[Ф. И. О.],B352)</f>
        <v>0</v>
      </c>
      <c r="X356" s="469">
        <f t="shared" si="97"/>
        <v>0</v>
      </c>
      <c r="Y356" s="748"/>
      <c r="Z356" s="750"/>
      <c r="AA356" s="740"/>
    </row>
    <row r="357" spans="1:29" ht="19.5" thickBot="1">
      <c r="A357" s="741"/>
      <c r="B357" s="188"/>
      <c r="C357" s="744"/>
      <c r="D357" s="747"/>
      <c r="E357" s="440"/>
      <c r="F357" s="441"/>
      <c r="G357" s="442"/>
      <c r="H357" s="445">
        <f t="shared" si="94"/>
        <v>0</v>
      </c>
      <c r="I357" s="450"/>
      <c r="J357" s="441"/>
      <c r="K357" s="434"/>
      <c r="L357" s="435">
        <f t="shared" si="95"/>
        <v>0</v>
      </c>
      <c r="M357" s="443"/>
      <c r="N357" s="434"/>
      <c r="O357" s="434"/>
      <c r="P357" s="434"/>
      <c r="Q357" s="444">
        <f>база!$L$6</f>
        <v>261.04640000000001</v>
      </c>
      <c r="R357" s="441">
        <v>1.4</v>
      </c>
      <c r="S357" s="489">
        <f>SUMIFS(Таблица1[Столбец1],Таблица1[коэф],"1,4",Таблица1[р/р],"5/16",Таблица1[Ф. И. О.],B352)</f>
        <v>0</v>
      </c>
      <c r="T357" s="490">
        <f t="shared" si="96"/>
        <v>0</v>
      </c>
      <c r="U357" s="451">
        <f>база!$M$6</f>
        <v>279.0496</v>
      </c>
      <c r="V357" s="441">
        <v>1.4</v>
      </c>
      <c r="W357" s="478">
        <f>SUMIFS(Таблица1[Столбец1],Таблица1[коэф],"1,4",Таблица1[р/р],"5/24",Таблица1[Ф. И. О.],B352)</f>
        <v>0</v>
      </c>
      <c r="X357" s="490">
        <f t="shared" si="97"/>
        <v>0</v>
      </c>
      <c r="Y357" s="749"/>
      <c r="Z357" s="751"/>
      <c r="AA357" s="741"/>
    </row>
    <row r="358" spans="1:29" ht="18.75" collapsed="1">
      <c r="A358" s="739">
        <v>33</v>
      </c>
      <c r="B358" s="219"/>
      <c r="C358" s="742">
        <f>INDEX(база!$E$2:$E$81, MATCH(B363,база!$B$2:$B$50,0))</f>
        <v>17282</v>
      </c>
      <c r="D358" s="745">
        <f>INDEX(база!$D$2:$D$89, MATCH(B363,база!$B$2:$B$50,0))</f>
        <v>3</v>
      </c>
      <c r="E358" s="428">
        <f>IF(D358&lt;=3,база!$I$4,
IF(D358=4,база!$I$5,
IF(D358=5,база!$I$6)))</f>
        <v>188.7912</v>
      </c>
      <c r="F358" s="394">
        <v>1</v>
      </c>
      <c r="G358" s="395">
        <f>SUMIFS(Таблица1[Столбец1],Таблица1[коэф],"1",Таблица1[р/р],"2/4",Таблица1[Ф. И. О.],B363)</f>
        <v>0</v>
      </c>
      <c r="H358" s="379">
        <f t="shared" si="94"/>
        <v>0</v>
      </c>
      <c r="I358" s="354">
        <f>IF(D358&lt;=3,база!$J$4,
IF(D358=4,база!$J$5,
IF(D358=5,база!$J$6)))</f>
        <v>196.05240000000001</v>
      </c>
      <c r="J358" s="355">
        <v>1</v>
      </c>
      <c r="K358" s="405">
        <f>SUMIFS(Таблица1[Столбец1],Таблица1[коэф],"1",Таблица1[р/р],"2/8",Таблица1[Ф. И. О.],B363)</f>
        <v>0</v>
      </c>
      <c r="L358" s="360">
        <f t="shared" si="95"/>
        <v>0</v>
      </c>
      <c r="M358" s="429"/>
      <c r="N358" s="430">
        <v>1</v>
      </c>
      <c r="O358" s="430">
        <f>SUMIFS(Data_Tech!$AM$3:$AM$67,Data_Tech!$E$3:$E$67,"1",Data_Tech!$G$3:$G$67,"3/12",Data_Tech!$F$3:$F$67,B363)</f>
        <v>0</v>
      </c>
      <c r="P358" s="430">
        <f>ROUND(M358*N358*O358,2)</f>
        <v>0</v>
      </c>
      <c r="Q358" s="393">
        <f>IF(D358&lt;=3,база!$L$4,
IF(D358=4,база!$L$5,
IF(D358=5,база!$L$6)))</f>
        <v>210.57480000000001</v>
      </c>
      <c r="R358" s="394">
        <v>1</v>
      </c>
      <c r="S358" s="472">
        <f>SUMIFS(Таблица1[Столбец1],Таблица1[коэф],"1",Таблица1[р/р],"3/16",Таблица1[Ф. И. О.],B363)</f>
        <v>0</v>
      </c>
      <c r="T358" s="467">
        <f t="shared" si="96"/>
        <v>0</v>
      </c>
      <c r="U358" s="448">
        <f>IF(D358&lt;=3,база!$M$4,
IF(D358=4,база!$M$5,
IF(D358=5,база!$M$6)))</f>
        <v>225.09719999999999</v>
      </c>
      <c r="V358" s="355">
        <v>1</v>
      </c>
      <c r="W358" s="474">
        <f>SUMIFS(Таблица1[Столбец1],Таблица1[коэф],"1",Таблица1[р/р],"3/24",Таблица1[Ф. И. О.],B363)</f>
        <v>0</v>
      </c>
      <c r="X358" s="467">
        <f t="shared" si="97"/>
        <v>0</v>
      </c>
      <c r="Y358" s="748">
        <f t="shared" ref="Y358" si="100">SUM(G358:G368,K358:K368,O358:O368,S358:S368,W358:W368)</f>
        <v>0</v>
      </c>
      <c r="Z358" s="750">
        <f t="shared" ref="Z358" si="101">IFERROR(SUM(H358:H368,L358:L368,T358:T368,X358:X368),"")</f>
        <v>0</v>
      </c>
      <c r="AA358" s="740"/>
    </row>
    <row r="359" spans="1:29" ht="18.75">
      <c r="A359" s="740"/>
      <c r="B359" s="201"/>
      <c r="C359" s="743"/>
      <c r="D359" s="746"/>
      <c r="E359" s="370">
        <f>IF(D358&lt;=3,база!$I$4,
IF(D358=4,база!$I$5,
IF(D358=5,база!$I$6)))</f>
        <v>188.7912</v>
      </c>
      <c r="F359" s="367">
        <v>1</v>
      </c>
      <c r="G359" s="377">
        <f>SUMIFS(Таблица1[Столбец1],Таблица1[коэф],"1",Таблица1[р/р],"3/4",Таблица1[Ф. И. О.],B363)</f>
        <v>0</v>
      </c>
      <c r="H359" s="369">
        <f t="shared" si="94"/>
        <v>0</v>
      </c>
      <c r="I359" s="366">
        <f>IF(D358&lt;=3,база!$J$4,
IF(D358=4,база!$J$5,
IF(D358=5,база!$J$6)))</f>
        <v>196.05240000000001</v>
      </c>
      <c r="J359" s="367">
        <v>1</v>
      </c>
      <c r="K359" s="411">
        <f>SUMIFS(Таблица1[Столбец1],Таблица1[коэф],"1",Таблица1[р/р],"3/8",Таблица1[Ф. И. О.],B363)</f>
        <v>0</v>
      </c>
      <c r="L359" s="461">
        <f t="shared" si="95"/>
        <v>0</v>
      </c>
      <c r="M359" s="409"/>
      <c r="N359" s="411">
        <v>1</v>
      </c>
      <c r="O359" s="411">
        <f>SUMIFS(Data_Tech!$AM$3:$AM$67,Data_Tech!$E$3:$E$67,"1",Data_Tech!$G$3:$G$67,"4/12",Data_Tech!$F$3:$F$67,B363)</f>
        <v>0</v>
      </c>
      <c r="P359" s="411">
        <f>ROUND(M359*O359,2)</f>
        <v>0</v>
      </c>
      <c r="Q359" s="376">
        <f>база!$L$5</f>
        <v>231.45480000000001</v>
      </c>
      <c r="R359" s="367">
        <v>1</v>
      </c>
      <c r="S359" s="468">
        <f>SUMIFS(Таблица1[Столбец1],Таблица1[коэф],"1",Таблица1[р/р],"4/16",Таблица1[Ф. И. О.],B363)</f>
        <v>0</v>
      </c>
      <c r="T359" s="469">
        <f t="shared" si="96"/>
        <v>0</v>
      </c>
      <c r="U359" s="449">
        <f>база!$M$5</f>
        <v>247.41720000000001</v>
      </c>
      <c r="V359" s="367">
        <v>1</v>
      </c>
      <c r="W359" s="471">
        <f>SUMIFS(Таблица1[Столбец1],Таблица1[коэф],"1",Таблица1[р/р],"4/24",Таблица1[Ф. И. О.],B363)</f>
        <v>0</v>
      </c>
      <c r="X359" s="469">
        <f t="shared" si="97"/>
        <v>0</v>
      </c>
      <c r="Y359" s="748"/>
      <c r="Z359" s="750"/>
      <c r="AA359" s="740"/>
    </row>
    <row r="360" spans="1:29" ht="18.75">
      <c r="A360" s="740"/>
      <c r="B360" s="201"/>
      <c r="C360" s="743"/>
      <c r="D360" s="746"/>
      <c r="E360" s="370"/>
      <c r="F360" s="367"/>
      <c r="G360" s="377"/>
      <c r="H360" s="369">
        <f t="shared" si="94"/>
        <v>0</v>
      </c>
      <c r="I360" s="366"/>
      <c r="J360" s="367"/>
      <c r="K360" s="411"/>
      <c r="L360" s="461">
        <f t="shared" si="95"/>
        <v>0</v>
      </c>
      <c r="M360" s="409"/>
      <c r="N360" s="411"/>
      <c r="O360" s="411"/>
      <c r="P360" s="411"/>
      <c r="Q360" s="376">
        <f>база!$L$6</f>
        <v>261.04640000000001</v>
      </c>
      <c r="R360" s="367">
        <v>1</v>
      </c>
      <c r="S360" s="468">
        <f>SUMIFS(Таблица1[Столбец1],Таблица1[коэф],"1",Таблица1[р/р],"5/16",Таблица1[Ф. И. О.],B363)</f>
        <v>0</v>
      </c>
      <c r="T360" s="469">
        <f t="shared" si="96"/>
        <v>0</v>
      </c>
      <c r="U360" s="449">
        <f>база!$M$6</f>
        <v>279.0496</v>
      </c>
      <c r="V360" s="367">
        <v>1</v>
      </c>
      <c r="W360" s="471">
        <f>SUMIFS(Таблица1[Столбец1],Таблица1[коэф],"1",Таблица1[р/р],"5/24",Таблица1[Ф. И. О.],B363)</f>
        <v>0</v>
      </c>
      <c r="X360" s="469">
        <f t="shared" si="97"/>
        <v>0</v>
      </c>
      <c r="Y360" s="748"/>
      <c r="Z360" s="750"/>
      <c r="AA360" s="740"/>
    </row>
    <row r="361" spans="1:29" ht="18.75">
      <c r="A361" s="740"/>
      <c r="B361" s="201"/>
      <c r="C361" s="743"/>
      <c r="D361" s="746"/>
      <c r="E361" s="370"/>
      <c r="F361" s="367"/>
      <c r="G361" s="377"/>
      <c r="H361" s="369">
        <f t="shared" si="94"/>
        <v>0</v>
      </c>
      <c r="I361" s="366">
        <f>база!$J$5</f>
        <v>215.4924</v>
      </c>
      <c r="J361" s="367">
        <v>1.5</v>
      </c>
      <c r="K361" s="411">
        <f>SUMIFS(Таблица1[Столбец1],Таблица1[коэф],"1,5",Таблица1[р/р],"4/8",Таблица1[Ф. И. О.],B363)</f>
        <v>0</v>
      </c>
      <c r="L361" s="461">
        <f t="shared" si="95"/>
        <v>0</v>
      </c>
      <c r="M361" s="409"/>
      <c r="N361" s="411"/>
      <c r="O361" s="411"/>
      <c r="P361" s="411"/>
      <c r="Q361" s="376">
        <f>IF(D358&lt;=3,база!$L$4,
IF(D358=4,база!$L$5,
IF(D358=5,база!$L$6)))</f>
        <v>210.57480000000001</v>
      </c>
      <c r="R361" s="367">
        <v>1.2</v>
      </c>
      <c r="S361" s="468">
        <f>SUMIFS(Таблица1[Столбец1],Таблица1[коэф],"1,2",Таблица1[р/р],"3/16",Таблица1[Ф. И. О.],B363)</f>
        <v>0</v>
      </c>
      <c r="T361" s="469">
        <f t="shared" si="96"/>
        <v>0</v>
      </c>
      <c r="U361" s="449">
        <f>IF(D358&lt;=3,база!$M$4,
IF(D358=4,база!$M$5,
IF(D358=5,база!$M$6)))</f>
        <v>225.09719999999999</v>
      </c>
      <c r="V361" s="367">
        <v>1.2</v>
      </c>
      <c r="W361" s="471">
        <f>SUMIFS(Таблица1[Столбец1],Таблица1[коэф],"1,2",Таблица1[р/р],"3/24",Таблица1[Ф. И. О.],B363)</f>
        <v>0</v>
      </c>
      <c r="X361" s="469">
        <f t="shared" si="97"/>
        <v>0</v>
      </c>
      <c r="Y361" s="748"/>
      <c r="Z361" s="750"/>
      <c r="AA361" s="740"/>
    </row>
    <row r="362" spans="1:29" ht="18.75">
      <c r="A362" s="740"/>
      <c r="B362" s="201"/>
      <c r="C362" s="743"/>
      <c r="D362" s="746"/>
      <c r="E362" s="370"/>
      <c r="F362" s="367"/>
      <c r="G362" s="377"/>
      <c r="H362" s="369">
        <f t="shared" si="94"/>
        <v>0</v>
      </c>
      <c r="I362" s="366">
        <f>база!$J$6</f>
        <v>243.04319999999998</v>
      </c>
      <c r="J362" s="367">
        <v>1.5</v>
      </c>
      <c r="K362" s="411">
        <f>SUMIFS(Таблица1[Столбец1],Таблица1[коэф],"1,5",Таблица1[р/р],"5/8",Таблица1[Ф. И. О.],B363)</f>
        <v>0</v>
      </c>
      <c r="L362" s="461">
        <f t="shared" si="95"/>
        <v>0</v>
      </c>
      <c r="M362" s="409"/>
      <c r="N362" s="411"/>
      <c r="O362" s="411"/>
      <c r="P362" s="411"/>
      <c r="Q362" s="376">
        <f>база!$L$5</f>
        <v>231.45480000000001</v>
      </c>
      <c r="R362" s="367">
        <v>1.2</v>
      </c>
      <c r="S362" s="468">
        <f>SUMIFS(Таблица1[Столбец1],Таблица1[коэф],"1,2",Таблица1[р/р],"4/16",Таблица1[Ф. И. О.],B363)</f>
        <v>0</v>
      </c>
      <c r="T362" s="469">
        <f t="shared" si="96"/>
        <v>0</v>
      </c>
      <c r="U362" s="449">
        <f>база!$M$5</f>
        <v>247.41720000000001</v>
      </c>
      <c r="V362" s="367">
        <v>1.2</v>
      </c>
      <c r="W362" s="471">
        <f>SUMIFS(Таблица1[Столбец1],Таблица1[коэф],"1,2",Таблица1[р/р],"4/24",Таблица1[Ф. И. О.],B363)</f>
        <v>0</v>
      </c>
      <c r="X362" s="469">
        <f t="shared" si="97"/>
        <v>0</v>
      </c>
      <c r="Y362" s="748"/>
      <c r="Z362" s="750"/>
      <c r="AA362" s="740"/>
    </row>
    <row r="363" spans="1:29" ht="18" customHeight="1">
      <c r="A363" s="740"/>
      <c r="B363" s="201" t="str">
        <f>база!B34</f>
        <v>Кириллова Надежда Вячеславовна</v>
      </c>
      <c r="C363" s="743"/>
      <c r="D363" s="746"/>
      <c r="E363" s="370"/>
      <c r="F363" s="367"/>
      <c r="G363" s="377"/>
      <c r="H363" s="369">
        <f t="shared" si="94"/>
        <v>0</v>
      </c>
      <c r="I363" s="366"/>
      <c r="J363" s="367"/>
      <c r="K363" s="411"/>
      <c r="L363" s="461">
        <f t="shared" si="95"/>
        <v>0</v>
      </c>
      <c r="M363" s="409"/>
      <c r="N363" s="411"/>
      <c r="O363" s="411"/>
      <c r="P363" s="411"/>
      <c r="Q363" s="376">
        <f>база!$L$6</f>
        <v>261.04640000000001</v>
      </c>
      <c r="R363" s="367">
        <v>1.2</v>
      </c>
      <c r="S363" s="468">
        <f>SUMIFS(Таблица1[Столбец1],Таблица1[коэф],"1,2",Таблица1[р/р],"5/16",Таблица1[Ф. И. О.],B363)</f>
        <v>0</v>
      </c>
      <c r="T363" s="469">
        <f t="shared" si="96"/>
        <v>0</v>
      </c>
      <c r="U363" s="449">
        <f>база!$M$6</f>
        <v>279.0496</v>
      </c>
      <c r="V363" s="367">
        <v>1.2</v>
      </c>
      <c r="W363" s="471">
        <f>SUMIFS(Таблица1[Столбец1],Таблица1[коэф],"1,2",Таблица1[р/р],"5/24",Таблица1[Ф. И. О.],B363)</f>
        <v>0</v>
      </c>
      <c r="X363" s="469">
        <f t="shared" si="97"/>
        <v>0</v>
      </c>
      <c r="Y363" s="748"/>
      <c r="Z363" s="750"/>
      <c r="AA363" s="740"/>
      <c r="AC363" s="693" t="str">
        <f>IF(SUMIFS(Таблица1[Столбец3],Таблица1[Ф. И. О.],B363)-Z358=0,"",SUMIFS(Таблица1[Столбец3],Таблица1[Ф. И. О.],B363)-Z358)</f>
        <v/>
      </c>
    </row>
    <row r="364" spans="1:29" ht="18.75">
      <c r="A364" s="740"/>
      <c r="B364" s="201"/>
      <c r="C364" s="743"/>
      <c r="D364" s="746"/>
      <c r="E364" s="370"/>
      <c r="F364" s="367"/>
      <c r="G364" s="377"/>
      <c r="H364" s="369">
        <f t="shared" si="94"/>
        <v>0</v>
      </c>
      <c r="I364" s="366"/>
      <c r="J364" s="367"/>
      <c r="K364" s="411"/>
      <c r="L364" s="461">
        <f t="shared" si="95"/>
        <v>0</v>
      </c>
      <c r="M364" s="409"/>
      <c r="N364" s="411"/>
      <c r="O364" s="411"/>
      <c r="P364" s="411"/>
      <c r="Q364" s="376">
        <f>IF(D358&lt;=3,база!$L$4,
IF(D358=4,база!$L$5,
IF(D358=5,база!$L$6)))</f>
        <v>210.57480000000001</v>
      </c>
      <c r="R364" s="367">
        <v>1.3</v>
      </c>
      <c r="S364" s="468">
        <f>SUMIFS(Таблица1[Столбец1],Таблица1[коэф],"1,3",Таблица1[р/р],"3/16",Таблица1[Ф. И. О.],B363)</f>
        <v>0</v>
      </c>
      <c r="T364" s="469">
        <f t="shared" si="96"/>
        <v>0</v>
      </c>
      <c r="U364" s="449">
        <f>IF(D358&lt;=3,база!$M$4,
IF(D358=4,база!$M$5,
IF(D358=5,база!$M$6)))</f>
        <v>225.09719999999999</v>
      </c>
      <c r="V364" s="367">
        <v>1.3</v>
      </c>
      <c r="W364" s="471">
        <f>SUMIFS(Таблица1[Столбец1],Таблица1[коэф],"1,3",Таблица1[р/р],"3/24",Таблица1[Ф. И. О.],B363)</f>
        <v>0</v>
      </c>
      <c r="X364" s="469">
        <f t="shared" si="97"/>
        <v>0</v>
      </c>
      <c r="Y364" s="748"/>
      <c r="Z364" s="750"/>
      <c r="AA364" s="740"/>
      <c r="AC364" s="693" t="str">
        <f>IF(SUMIFS(Таблица1[Столбец1],Таблица1[Ф. И. О.],B363)=Y358,"",B363&amp;"  часы не верны")</f>
        <v/>
      </c>
    </row>
    <row r="365" spans="1:29" ht="18.75">
      <c r="A365" s="740"/>
      <c r="B365" s="201"/>
      <c r="C365" s="743"/>
      <c r="D365" s="746"/>
      <c r="E365" s="370"/>
      <c r="F365" s="367"/>
      <c r="G365" s="377"/>
      <c r="H365" s="369">
        <f t="shared" si="94"/>
        <v>0</v>
      </c>
      <c r="I365" s="366"/>
      <c r="J365" s="367"/>
      <c r="K365" s="411"/>
      <c r="L365" s="461">
        <f t="shared" si="95"/>
        <v>0</v>
      </c>
      <c r="M365" s="409"/>
      <c r="N365" s="411"/>
      <c r="O365" s="411"/>
      <c r="P365" s="411"/>
      <c r="Q365" s="376">
        <f>база!$L$5</f>
        <v>231.45480000000001</v>
      </c>
      <c r="R365" s="367">
        <v>1.3</v>
      </c>
      <c r="S365" s="468">
        <f>SUMIFS(Таблица1[Столбец1],Таблица1[коэф],"1,3",Таблица1[р/р],"4/16",Таблица1[Ф. И. О.],B363)</f>
        <v>0</v>
      </c>
      <c r="T365" s="469">
        <f t="shared" si="96"/>
        <v>0</v>
      </c>
      <c r="U365" s="449">
        <f>база!$M$5</f>
        <v>247.41720000000001</v>
      </c>
      <c r="V365" s="367">
        <v>1.3</v>
      </c>
      <c r="W365" s="471">
        <f>SUMIFS(Таблица1[Столбец1],Таблица1[коэф],"1,3",Таблица1[р/р],"4/24",Таблица1[Ф. И. О.],B363)</f>
        <v>0</v>
      </c>
      <c r="X365" s="469">
        <f t="shared" si="97"/>
        <v>0</v>
      </c>
      <c r="Y365" s="748"/>
      <c r="Z365" s="750"/>
      <c r="AA365" s="740"/>
    </row>
    <row r="366" spans="1:29" ht="18.75">
      <c r="A366" s="740"/>
      <c r="B366" s="201"/>
      <c r="C366" s="743"/>
      <c r="D366" s="746"/>
      <c r="E366" s="370"/>
      <c r="F366" s="367"/>
      <c r="G366" s="377"/>
      <c r="H366" s="369">
        <f t="shared" si="94"/>
        <v>0</v>
      </c>
      <c r="I366" s="366"/>
      <c r="J366" s="367"/>
      <c r="K366" s="411"/>
      <c r="L366" s="461">
        <f t="shared" si="95"/>
        <v>0</v>
      </c>
      <c r="M366" s="409"/>
      <c r="N366" s="411"/>
      <c r="O366" s="411"/>
      <c r="P366" s="411"/>
      <c r="Q366" s="376">
        <f>IF(D358&lt;=3,база!$L$4,
IF(D358=4,база!$L$5,
IF(D358=5,база!$L$6)))</f>
        <v>210.57480000000001</v>
      </c>
      <c r="R366" s="367">
        <v>1.4</v>
      </c>
      <c r="S366" s="468">
        <f>SUMIFS(Таблица1[Столбец1],Таблица1[коэф],"1,4",Таблица1[р/р],"3/16",Таблица1[Ф. И. О.],B363)</f>
        <v>0</v>
      </c>
      <c r="T366" s="469">
        <f t="shared" si="96"/>
        <v>0</v>
      </c>
      <c r="U366" s="449">
        <f>IF(D358&lt;=3,база!$M$4,
IF(D358=4,база!$M$5,
IF(D358=5,база!$M$6)))</f>
        <v>225.09719999999999</v>
      </c>
      <c r="V366" s="367">
        <v>1.4</v>
      </c>
      <c r="W366" s="471">
        <f>SUMIFS(Таблица1[Столбец1],Таблица1[коэф],"1,4",Таблица1[р/р],"3/24",Таблица1[Ф. И. О.],B363)</f>
        <v>0</v>
      </c>
      <c r="X366" s="469">
        <f t="shared" si="97"/>
        <v>0</v>
      </c>
      <c r="Y366" s="748"/>
      <c r="Z366" s="750"/>
      <c r="AA366" s="740"/>
    </row>
    <row r="367" spans="1:29" ht="18.75">
      <c r="A367" s="740"/>
      <c r="B367" s="201"/>
      <c r="C367" s="743"/>
      <c r="D367" s="746"/>
      <c r="E367" s="370"/>
      <c r="F367" s="367"/>
      <c r="G367" s="377"/>
      <c r="H367" s="369">
        <f t="shared" si="94"/>
        <v>0</v>
      </c>
      <c r="I367" s="366"/>
      <c r="J367" s="367"/>
      <c r="K367" s="411"/>
      <c r="L367" s="372">
        <f t="shared" si="95"/>
        <v>0</v>
      </c>
      <c r="M367" s="409"/>
      <c r="N367" s="411"/>
      <c r="O367" s="411"/>
      <c r="P367" s="411"/>
      <c r="Q367" s="376">
        <f>база!$L$5</f>
        <v>231.45480000000001</v>
      </c>
      <c r="R367" s="367">
        <v>1.4</v>
      </c>
      <c r="S367" s="468">
        <f>SUMIFS(Таблица1[Столбец1],Таблица1[коэф],"1,4",Таблица1[р/р],"4/16",Таблица1[Ф. И. О.],B363)</f>
        <v>0</v>
      </c>
      <c r="T367" s="469">
        <f t="shared" si="96"/>
        <v>0</v>
      </c>
      <c r="U367" s="449">
        <f>база!$M$5</f>
        <v>247.41720000000001</v>
      </c>
      <c r="V367" s="367">
        <v>1.4</v>
      </c>
      <c r="W367" s="471">
        <f>SUMIFS(Таблица1[Столбец1],Таблица1[коэф],"1,4",Таблица1[р/р],"4/24",Таблица1[Ф. И. О.],B363)</f>
        <v>0</v>
      </c>
      <c r="X367" s="469">
        <f t="shared" si="97"/>
        <v>0</v>
      </c>
      <c r="Y367" s="748"/>
      <c r="Z367" s="750"/>
      <c r="AA367" s="740"/>
    </row>
    <row r="368" spans="1:29" ht="19.5" thickBot="1">
      <c r="A368" s="741"/>
      <c r="B368" s="188"/>
      <c r="C368" s="744"/>
      <c r="D368" s="747"/>
      <c r="E368" s="440"/>
      <c r="F368" s="441"/>
      <c r="G368" s="442"/>
      <c r="H368" s="445">
        <f t="shared" si="94"/>
        <v>0</v>
      </c>
      <c r="I368" s="450"/>
      <c r="J368" s="441"/>
      <c r="K368" s="434"/>
      <c r="L368" s="435">
        <f t="shared" si="95"/>
        <v>0</v>
      </c>
      <c r="M368" s="443"/>
      <c r="N368" s="434"/>
      <c r="O368" s="434"/>
      <c r="P368" s="434"/>
      <c r="Q368" s="444">
        <f>база!$L$6</f>
        <v>261.04640000000001</v>
      </c>
      <c r="R368" s="441">
        <v>1.4</v>
      </c>
      <c r="S368" s="489">
        <f>SUMIFS(Таблица1[Столбец1],Таблица1[коэф],"1,4",Таблица1[р/р],"5/16",Таблица1[Ф. И. О.],B363)</f>
        <v>0</v>
      </c>
      <c r="T368" s="490">
        <f t="shared" si="96"/>
        <v>0</v>
      </c>
      <c r="U368" s="451">
        <f>база!$M$6</f>
        <v>279.0496</v>
      </c>
      <c r="V368" s="441">
        <v>1.4</v>
      </c>
      <c r="W368" s="478">
        <f>SUMIFS(Таблица1[Столбец1],Таблица1[коэф],"1,4",Таблица1[р/р],"5/24",Таблица1[Ф. И. О.],B363)</f>
        <v>0</v>
      </c>
      <c r="X368" s="490">
        <f t="shared" si="97"/>
        <v>0</v>
      </c>
      <c r="Y368" s="749"/>
      <c r="Z368" s="751"/>
      <c r="AA368" s="741"/>
    </row>
    <row r="369" spans="1:29" ht="18.75" collapsed="1">
      <c r="A369" s="739">
        <v>34</v>
      </c>
      <c r="B369" s="219"/>
      <c r="C369" s="742">
        <f>INDEX(база!$E$2:$E$81, MATCH(B374,база!$B$2:$B$50,0))</f>
        <v>15575</v>
      </c>
      <c r="D369" s="745">
        <f>INDEX(база!$D$2:$D$89, MATCH(B374,база!$B$2:$B$50,0))</f>
        <v>3</v>
      </c>
      <c r="E369" s="428">
        <f>IF(D369&lt;=3,база!$I$4,
IF(D369=4,база!$I$5,
IF(D369=5,база!$I$6)))</f>
        <v>188.7912</v>
      </c>
      <c r="F369" s="394">
        <v>1</v>
      </c>
      <c r="G369" s="395">
        <f>SUMIFS(Таблица1[Столбец1],Таблица1[коэф],"1",Таблица1[р/р],"2/4",Таблица1[Ф. И. О.],B374)</f>
        <v>0</v>
      </c>
      <c r="H369" s="379">
        <f t="shared" ref="H369:H401" si="102">ROUND(E369*F369*G369*2,2)</f>
        <v>0</v>
      </c>
      <c r="I369" s="354">
        <f>IF(D369&lt;=3,база!$J$4,
IF(D369=4,база!$J$5,
IF(D369=5,база!$J$6)))</f>
        <v>196.05240000000001</v>
      </c>
      <c r="J369" s="355">
        <v>1</v>
      </c>
      <c r="K369" s="405">
        <f>SUMIFS(Таблица1[Столбец1],Таблица1[коэф],"1",Таблица1[р/р],"2/8",Таблица1[Ф. И. О.],B374)</f>
        <v>0</v>
      </c>
      <c r="L369" s="360">
        <f t="shared" ref="L369:L401" si="103">ROUND(I369*J369*K369*2,2)</f>
        <v>0</v>
      </c>
      <c r="M369" s="429"/>
      <c r="N369" s="430">
        <v>1</v>
      </c>
      <c r="O369" s="430">
        <f>SUMIFS(Data_Tech!$AM$3:$AM$67,Data_Tech!$E$3:$E$67,"1",Data_Tech!$G$3:$G$67,"3/12",Data_Tech!$F$3:$F$67,B374)</f>
        <v>0</v>
      </c>
      <c r="P369" s="430">
        <f>ROUND(M369*N369*O369,2)</f>
        <v>0</v>
      </c>
      <c r="Q369" s="393">
        <f>IF(D369&lt;=3,база!$L$4,
IF(D369=4,база!$L$5,
IF(D369=5,база!$L$6)))</f>
        <v>210.57480000000001</v>
      </c>
      <c r="R369" s="394">
        <v>1</v>
      </c>
      <c r="S369" s="472">
        <f>SUMIFS(Таблица1[Столбец1],Таблица1[коэф],"1",Таблица1[р/р],"3/16",Таблица1[Ф. И. О.],B374)</f>
        <v>0</v>
      </c>
      <c r="T369" s="467">
        <f t="shared" ref="T369:T401" si="104">ROUND(Q369*R369*S369*2,2)</f>
        <v>0</v>
      </c>
      <c r="U369" s="448">
        <f>IF(D369&lt;=3,база!$M$4,
IF(D369=4,база!$M$5,
IF(D369=5,база!$M$6)))</f>
        <v>225.09719999999999</v>
      </c>
      <c r="V369" s="355">
        <v>1</v>
      </c>
      <c r="W369" s="474">
        <f>SUMIFS(Таблица1[Столбец1],Таблица1[коэф],"1",Таблица1[р/р],"3/24",Таблица1[Ф. И. О.],B374)</f>
        <v>0</v>
      </c>
      <c r="X369" s="467">
        <f t="shared" ref="X369:X401" si="105">ROUND(U369*V369*W369*2,2)</f>
        <v>0</v>
      </c>
      <c r="Y369" s="748">
        <f t="shared" ref="Y369" si="106">SUM(G369:G379,K369:K379,O369:O379,S369:S379,W369:W379)</f>
        <v>0</v>
      </c>
      <c r="Z369" s="750">
        <f t="shared" ref="Z369" si="107">IFERROR(SUM(H369:H379,L369:L379,T369:T379,X369:X379),"")</f>
        <v>0</v>
      </c>
      <c r="AA369" s="740"/>
    </row>
    <row r="370" spans="1:29" ht="18.75">
      <c r="A370" s="740"/>
      <c r="B370" s="201"/>
      <c r="C370" s="743"/>
      <c r="D370" s="746"/>
      <c r="E370" s="370">
        <f>IF(D369&lt;=3,база!$I$4,
IF(D369=4,база!$I$5,
IF(D369=5,база!$I$6)))</f>
        <v>188.7912</v>
      </c>
      <c r="F370" s="367">
        <v>1</v>
      </c>
      <c r="G370" s="377">
        <f>SUMIFS(Таблица1[Столбец1],Таблица1[коэф],"1",Таблица1[р/р],"3/4",Таблица1[Ф. И. О.],B374)</f>
        <v>0</v>
      </c>
      <c r="H370" s="369">
        <f t="shared" si="102"/>
        <v>0</v>
      </c>
      <c r="I370" s="366">
        <f>IF(D369&lt;=3,база!$J$4,
IF(D369=4,база!$J$5,
IF(D369=5,база!$J$6)))</f>
        <v>196.05240000000001</v>
      </c>
      <c r="J370" s="367">
        <v>1</v>
      </c>
      <c r="K370" s="411">
        <f>SUMIFS(Таблица1[Столбец1],Таблица1[коэф],"1",Таблица1[р/р],"3/8",Таблица1[Ф. И. О.],B374)</f>
        <v>0</v>
      </c>
      <c r="L370" s="461">
        <f t="shared" si="103"/>
        <v>0</v>
      </c>
      <c r="M370" s="409"/>
      <c r="N370" s="411">
        <v>1</v>
      </c>
      <c r="O370" s="411">
        <f>SUMIFS(Data_Tech!$AM$3:$AM$67,Data_Tech!$E$3:$E$67,"1",Data_Tech!$G$3:$G$67,"4/12",Data_Tech!$F$3:$F$67,B374)</f>
        <v>0</v>
      </c>
      <c r="P370" s="411">
        <f>ROUND(M370*O370,2)</f>
        <v>0</v>
      </c>
      <c r="Q370" s="376">
        <f>база!$L$5</f>
        <v>231.45480000000001</v>
      </c>
      <c r="R370" s="367">
        <v>1</v>
      </c>
      <c r="S370" s="468">
        <f>SUMIFS(Таблица1[Столбец1],Таблица1[коэф],"1",Таблица1[р/р],"4/16",Таблица1[Ф. И. О.],B374)</f>
        <v>0</v>
      </c>
      <c r="T370" s="469">
        <f t="shared" si="104"/>
        <v>0</v>
      </c>
      <c r="U370" s="449">
        <f>база!$M$5</f>
        <v>247.41720000000001</v>
      </c>
      <c r="V370" s="367">
        <v>1</v>
      </c>
      <c r="W370" s="471">
        <f>SUMIFS(Таблица1[Столбец1],Таблица1[коэф],"1",Таблица1[р/р],"4/24",Таблица1[Ф. И. О.],B374)</f>
        <v>0</v>
      </c>
      <c r="X370" s="469">
        <f t="shared" si="105"/>
        <v>0</v>
      </c>
      <c r="Y370" s="748"/>
      <c r="Z370" s="750"/>
      <c r="AA370" s="740"/>
    </row>
    <row r="371" spans="1:29" ht="18.75">
      <c r="A371" s="740"/>
      <c r="B371" s="201"/>
      <c r="C371" s="743"/>
      <c r="D371" s="746"/>
      <c r="E371" s="370"/>
      <c r="F371" s="367"/>
      <c r="G371" s="377"/>
      <c r="H371" s="369">
        <f t="shared" si="102"/>
        <v>0</v>
      </c>
      <c r="I371" s="366"/>
      <c r="J371" s="367"/>
      <c r="K371" s="411"/>
      <c r="L371" s="461">
        <f t="shared" si="103"/>
        <v>0</v>
      </c>
      <c r="M371" s="409"/>
      <c r="N371" s="411"/>
      <c r="O371" s="411"/>
      <c r="P371" s="411"/>
      <c r="Q371" s="376">
        <f>база!$L$6</f>
        <v>261.04640000000001</v>
      </c>
      <c r="R371" s="367">
        <v>1</v>
      </c>
      <c r="S371" s="468">
        <f>SUMIFS(Таблица1[Столбец1],Таблица1[коэф],"1",Таблица1[р/р],"5/16",Таблица1[Ф. И. О.],B374)</f>
        <v>0</v>
      </c>
      <c r="T371" s="469">
        <f t="shared" si="104"/>
        <v>0</v>
      </c>
      <c r="U371" s="449">
        <f>база!$M$6</f>
        <v>279.0496</v>
      </c>
      <c r="V371" s="367">
        <v>1</v>
      </c>
      <c r="W371" s="471">
        <f>SUMIFS(Таблица1[Столбец1],Таблица1[коэф],"1",Таблица1[р/р],"5/24",Таблица1[Ф. И. О.],B374)</f>
        <v>0</v>
      </c>
      <c r="X371" s="469">
        <f t="shared" si="105"/>
        <v>0</v>
      </c>
      <c r="Y371" s="748"/>
      <c r="Z371" s="750"/>
      <c r="AA371" s="740"/>
    </row>
    <row r="372" spans="1:29" ht="18.75">
      <c r="A372" s="740"/>
      <c r="B372" s="201"/>
      <c r="C372" s="743"/>
      <c r="D372" s="746"/>
      <c r="E372" s="370"/>
      <c r="F372" s="367"/>
      <c r="G372" s="377"/>
      <c r="H372" s="369">
        <f t="shared" si="102"/>
        <v>0</v>
      </c>
      <c r="I372" s="366">
        <f>база!$J$5</f>
        <v>215.4924</v>
      </c>
      <c r="J372" s="367">
        <v>1.5</v>
      </c>
      <c r="K372" s="411">
        <f>SUMIFS(Таблица1[Столбец1],Таблица1[коэф],"1,5",Таблица1[р/р],"4/8",Таблица1[Ф. И. О.],B374)</f>
        <v>0</v>
      </c>
      <c r="L372" s="461">
        <f t="shared" si="103"/>
        <v>0</v>
      </c>
      <c r="M372" s="409"/>
      <c r="N372" s="411"/>
      <c r="O372" s="411"/>
      <c r="P372" s="411"/>
      <c r="Q372" s="376">
        <f>IF(D369&lt;=3,база!$L$4,
IF(D369=4,база!$L$5,
IF(D369=5,база!$L$6)))</f>
        <v>210.57480000000001</v>
      </c>
      <c r="R372" s="367">
        <v>1.2</v>
      </c>
      <c r="S372" s="468">
        <f>SUMIFS(Таблица1[Столбец1],Таблица1[коэф],"1,2",Таблица1[р/р],"3/16",Таблица1[Ф. И. О.],B374)</f>
        <v>0</v>
      </c>
      <c r="T372" s="469">
        <f t="shared" si="104"/>
        <v>0</v>
      </c>
      <c r="U372" s="449">
        <f>IF(D369&lt;=3,база!$M$4,
IF(D369=4,база!$M$5,
IF(D369=5,база!$M$6)))</f>
        <v>225.09719999999999</v>
      </c>
      <c r="V372" s="367">
        <v>1.2</v>
      </c>
      <c r="W372" s="471">
        <f>SUMIFS(Таблица1[Столбец1],Таблица1[коэф],"1,2",Таблица1[р/р],"3/24",Таблица1[Ф. И. О.],B374)</f>
        <v>0</v>
      </c>
      <c r="X372" s="469">
        <f t="shared" si="105"/>
        <v>0</v>
      </c>
      <c r="Y372" s="748"/>
      <c r="Z372" s="750"/>
      <c r="AA372" s="740"/>
    </row>
    <row r="373" spans="1:29" ht="18.75">
      <c r="A373" s="740"/>
      <c r="B373" s="201"/>
      <c r="C373" s="743"/>
      <c r="D373" s="746"/>
      <c r="E373" s="370"/>
      <c r="F373" s="367"/>
      <c r="G373" s="377"/>
      <c r="H373" s="369">
        <f t="shared" si="102"/>
        <v>0</v>
      </c>
      <c r="I373" s="366">
        <f>база!$J$6</f>
        <v>243.04319999999998</v>
      </c>
      <c r="J373" s="367">
        <v>1.5</v>
      </c>
      <c r="K373" s="411">
        <f>SUMIFS(Таблица1[Столбец1],Таблица1[коэф],"1,5",Таблица1[р/р],"5/8",Таблица1[Ф. И. О.],B374)</f>
        <v>0</v>
      </c>
      <c r="L373" s="461">
        <f t="shared" si="103"/>
        <v>0</v>
      </c>
      <c r="M373" s="409"/>
      <c r="N373" s="411"/>
      <c r="O373" s="411"/>
      <c r="P373" s="411"/>
      <c r="Q373" s="376">
        <f>база!$L$5</f>
        <v>231.45480000000001</v>
      </c>
      <c r="R373" s="367">
        <v>1.2</v>
      </c>
      <c r="S373" s="468">
        <f>SUMIFS(Таблица1[Столбец1],Таблица1[коэф],"1,2",Таблица1[р/р],"4/16",Таблица1[Ф. И. О.],B374)</f>
        <v>0</v>
      </c>
      <c r="T373" s="469">
        <f t="shared" si="104"/>
        <v>0</v>
      </c>
      <c r="U373" s="449">
        <f>база!$M$5</f>
        <v>247.41720000000001</v>
      </c>
      <c r="V373" s="367">
        <v>1.2</v>
      </c>
      <c r="W373" s="471">
        <f>SUMIFS(Таблица1[Столбец1],Таблица1[коэф],"1,2",Таблица1[р/р],"4/24",Таблица1[Ф. И. О.],B374)</f>
        <v>0</v>
      </c>
      <c r="X373" s="469">
        <f t="shared" si="105"/>
        <v>0</v>
      </c>
      <c r="Y373" s="748"/>
      <c r="Z373" s="750"/>
      <c r="AA373" s="740"/>
    </row>
    <row r="374" spans="1:29" ht="18" customHeight="1">
      <c r="A374" s="740"/>
      <c r="B374" s="201" t="str">
        <f>база!B35</f>
        <v>Киселёва Надежда Игоревна</v>
      </c>
      <c r="C374" s="743"/>
      <c r="D374" s="746"/>
      <c r="E374" s="370"/>
      <c r="F374" s="367"/>
      <c r="G374" s="377"/>
      <c r="H374" s="369">
        <f t="shared" si="102"/>
        <v>0</v>
      </c>
      <c r="I374" s="366"/>
      <c r="J374" s="367"/>
      <c r="K374" s="411"/>
      <c r="L374" s="461">
        <f t="shared" si="103"/>
        <v>0</v>
      </c>
      <c r="M374" s="409"/>
      <c r="N374" s="411"/>
      <c r="O374" s="411"/>
      <c r="P374" s="411"/>
      <c r="Q374" s="376">
        <f>база!$L$6</f>
        <v>261.04640000000001</v>
      </c>
      <c r="R374" s="367">
        <v>1.2</v>
      </c>
      <c r="S374" s="468">
        <f>SUMIFS(Таблица1[Столбец1],Таблица1[коэф],"1,2",Таблица1[р/р],"5/16",Таблица1[Ф. И. О.],B374)</f>
        <v>0</v>
      </c>
      <c r="T374" s="469">
        <f t="shared" si="104"/>
        <v>0</v>
      </c>
      <c r="U374" s="449">
        <f>база!$M$6</f>
        <v>279.0496</v>
      </c>
      <c r="V374" s="367">
        <v>1.2</v>
      </c>
      <c r="W374" s="471">
        <f>SUMIFS(Таблица1[Столбец1],Таблица1[коэф],"1,2",Таблица1[р/р],"5/24",Таблица1[Ф. И. О.],B374)</f>
        <v>0</v>
      </c>
      <c r="X374" s="469">
        <f t="shared" si="105"/>
        <v>0</v>
      </c>
      <c r="Y374" s="748"/>
      <c r="Z374" s="750"/>
      <c r="AA374" s="740"/>
      <c r="AC374" s="693" t="str">
        <f>IF(SUMIFS(Таблица1[Столбец3],Таблица1[Ф. И. О.],B374)-Z369=0,"",SUMIFS(Таблица1[Столбец3],Таблица1[Ф. И. О.],B374)-Z369)</f>
        <v/>
      </c>
    </row>
    <row r="375" spans="1:29" ht="18.75">
      <c r="A375" s="740"/>
      <c r="B375" s="201"/>
      <c r="C375" s="743"/>
      <c r="D375" s="746"/>
      <c r="E375" s="370"/>
      <c r="F375" s="367"/>
      <c r="G375" s="377"/>
      <c r="H375" s="369">
        <f t="shared" si="102"/>
        <v>0</v>
      </c>
      <c r="I375" s="366"/>
      <c r="J375" s="367"/>
      <c r="K375" s="411"/>
      <c r="L375" s="461">
        <f t="shared" si="103"/>
        <v>0</v>
      </c>
      <c r="M375" s="409"/>
      <c r="N375" s="411"/>
      <c r="O375" s="411"/>
      <c r="P375" s="411"/>
      <c r="Q375" s="376">
        <f>IF(D369&lt;=3,база!$L$4,
IF(D369=4,база!$L$5,
IF(D369=5,база!$L$6)))</f>
        <v>210.57480000000001</v>
      </c>
      <c r="R375" s="367">
        <v>1.3</v>
      </c>
      <c r="S375" s="468">
        <f>SUMIFS(Таблица1[Столбец1],Таблица1[коэф],"1,3",Таблица1[р/р],"3/16",Таблица1[Ф. И. О.],B374)</f>
        <v>0</v>
      </c>
      <c r="T375" s="469">
        <f t="shared" si="104"/>
        <v>0</v>
      </c>
      <c r="U375" s="449">
        <f>IF(D369&lt;=3,база!$M$4,
IF(D369=4,база!$M$5,
IF(D369=5,база!$M$6)))</f>
        <v>225.09719999999999</v>
      </c>
      <c r="V375" s="367">
        <v>1.3</v>
      </c>
      <c r="W375" s="471">
        <f>SUMIFS(Таблица1[Столбец1],Таблица1[коэф],"1,3",Таблица1[р/р],"3/24",Таблица1[Ф. И. О.],B374)</f>
        <v>0</v>
      </c>
      <c r="X375" s="469">
        <f t="shared" si="105"/>
        <v>0</v>
      </c>
      <c r="Y375" s="748"/>
      <c r="Z375" s="750"/>
      <c r="AA375" s="740"/>
      <c r="AC375" s="693" t="str">
        <f>IF(SUMIFS(Таблица1[Столбец1],Таблица1[Ф. И. О.],B374)=Y369,"",B374&amp;"  часы не верны")</f>
        <v/>
      </c>
    </row>
    <row r="376" spans="1:29" ht="18.75">
      <c r="A376" s="740"/>
      <c r="B376" s="201"/>
      <c r="C376" s="743"/>
      <c r="D376" s="746"/>
      <c r="E376" s="370"/>
      <c r="F376" s="367"/>
      <c r="G376" s="377"/>
      <c r="H376" s="369">
        <f t="shared" si="102"/>
        <v>0</v>
      </c>
      <c r="I376" s="366"/>
      <c r="J376" s="367"/>
      <c r="K376" s="411"/>
      <c r="L376" s="461">
        <f t="shared" si="103"/>
        <v>0</v>
      </c>
      <c r="M376" s="409"/>
      <c r="N376" s="411"/>
      <c r="O376" s="411"/>
      <c r="P376" s="411"/>
      <c r="Q376" s="376">
        <f>база!$L$5</f>
        <v>231.45480000000001</v>
      </c>
      <c r="R376" s="367">
        <v>1.3</v>
      </c>
      <c r="S376" s="468">
        <f>SUMIFS(Таблица1[Столбец1],Таблица1[коэф],"1,3",Таблица1[р/р],"4/16",Таблица1[Ф. И. О.],B374)</f>
        <v>0</v>
      </c>
      <c r="T376" s="469">
        <f t="shared" si="104"/>
        <v>0</v>
      </c>
      <c r="U376" s="449">
        <f>база!$M$5</f>
        <v>247.41720000000001</v>
      </c>
      <c r="V376" s="367">
        <v>1.3</v>
      </c>
      <c r="W376" s="471">
        <f>SUMIFS(Таблица1[Столбец1],Таблица1[коэф],"1,3",Таблица1[р/р],"4/24",Таблица1[Ф. И. О.],B374)</f>
        <v>0</v>
      </c>
      <c r="X376" s="469">
        <f t="shared" si="105"/>
        <v>0</v>
      </c>
      <c r="Y376" s="748"/>
      <c r="Z376" s="750"/>
      <c r="AA376" s="740"/>
    </row>
    <row r="377" spans="1:29" ht="18.75">
      <c r="A377" s="740"/>
      <c r="B377" s="201"/>
      <c r="C377" s="743"/>
      <c r="D377" s="746"/>
      <c r="E377" s="370"/>
      <c r="F377" s="367"/>
      <c r="G377" s="377"/>
      <c r="H377" s="369">
        <f t="shared" si="102"/>
        <v>0</v>
      </c>
      <c r="I377" s="366"/>
      <c r="J377" s="367"/>
      <c r="K377" s="411"/>
      <c r="L377" s="461">
        <f t="shared" si="103"/>
        <v>0</v>
      </c>
      <c r="M377" s="409"/>
      <c r="N377" s="411"/>
      <c r="O377" s="411"/>
      <c r="P377" s="411"/>
      <c r="Q377" s="376">
        <f>IF(D369&lt;=3,база!$L$4,
IF(D369=4,база!$L$5,
IF(D369=5,база!$L$6)))</f>
        <v>210.57480000000001</v>
      </c>
      <c r="R377" s="367">
        <v>1.4</v>
      </c>
      <c r="S377" s="468">
        <f>SUMIFS(Таблица1[Столбец1],Таблица1[коэф],"1,4",Таблица1[р/р],"3/16",Таблица1[Ф. И. О.],B374)</f>
        <v>0</v>
      </c>
      <c r="T377" s="469">
        <f t="shared" si="104"/>
        <v>0</v>
      </c>
      <c r="U377" s="449">
        <f>IF(D369&lt;=3,база!$M$4,
IF(D369=4,база!$M$5,
IF(D369=5,база!$M$6)))</f>
        <v>225.09719999999999</v>
      </c>
      <c r="V377" s="367">
        <v>1.4</v>
      </c>
      <c r="W377" s="471">
        <f>SUMIFS(Таблица1[Столбец1],Таблица1[коэф],"1,4",Таблица1[р/р],"3/24",Таблица1[Ф. И. О.],B374)</f>
        <v>0</v>
      </c>
      <c r="X377" s="469">
        <f t="shared" si="105"/>
        <v>0</v>
      </c>
      <c r="Y377" s="748"/>
      <c r="Z377" s="750"/>
      <c r="AA377" s="740"/>
    </row>
    <row r="378" spans="1:29" ht="18.75">
      <c r="A378" s="740"/>
      <c r="B378" s="201"/>
      <c r="C378" s="743"/>
      <c r="D378" s="746"/>
      <c r="E378" s="370"/>
      <c r="F378" s="367"/>
      <c r="G378" s="377"/>
      <c r="H378" s="369">
        <f t="shared" si="102"/>
        <v>0</v>
      </c>
      <c r="I378" s="366"/>
      <c r="J378" s="367"/>
      <c r="K378" s="411"/>
      <c r="L378" s="372">
        <f t="shared" si="103"/>
        <v>0</v>
      </c>
      <c r="M378" s="409"/>
      <c r="N378" s="411"/>
      <c r="O378" s="411"/>
      <c r="P378" s="411"/>
      <c r="Q378" s="376">
        <f>база!$L$5</f>
        <v>231.45480000000001</v>
      </c>
      <c r="R378" s="367">
        <v>1.4</v>
      </c>
      <c r="S378" s="468">
        <f>SUMIFS(Таблица1[Столбец1],Таблица1[коэф],"1,4",Таблица1[р/р],"4/16",Таблица1[Ф. И. О.],B374)</f>
        <v>0</v>
      </c>
      <c r="T378" s="469">
        <f t="shared" si="104"/>
        <v>0</v>
      </c>
      <c r="U378" s="449">
        <f>база!$M$5</f>
        <v>247.41720000000001</v>
      </c>
      <c r="V378" s="367">
        <v>1.4</v>
      </c>
      <c r="W378" s="471">
        <f>SUMIFS(Таблица1[Столбец1],Таблица1[коэф],"1,4",Таблица1[р/р],"4/24",Таблица1[Ф. И. О.],B374)</f>
        <v>0</v>
      </c>
      <c r="X378" s="469">
        <f t="shared" si="105"/>
        <v>0</v>
      </c>
      <c r="Y378" s="748"/>
      <c r="Z378" s="750"/>
      <c r="AA378" s="740"/>
    </row>
    <row r="379" spans="1:29" ht="19.5" thickBot="1">
      <c r="A379" s="741"/>
      <c r="B379" s="188"/>
      <c r="C379" s="744"/>
      <c r="D379" s="747"/>
      <c r="E379" s="440"/>
      <c r="F379" s="441"/>
      <c r="G379" s="442"/>
      <c r="H379" s="445">
        <f t="shared" si="102"/>
        <v>0</v>
      </c>
      <c r="I379" s="450"/>
      <c r="J379" s="441"/>
      <c r="K379" s="434"/>
      <c r="L379" s="435">
        <f t="shared" si="103"/>
        <v>0</v>
      </c>
      <c r="M379" s="443"/>
      <c r="N379" s="434"/>
      <c r="O379" s="434"/>
      <c r="P379" s="434"/>
      <c r="Q379" s="444">
        <f>база!$L$6</f>
        <v>261.04640000000001</v>
      </c>
      <c r="R379" s="441">
        <v>1.4</v>
      </c>
      <c r="S379" s="489">
        <f>SUMIFS(Таблица1[Столбец1],Таблица1[коэф],"1,4",Таблица1[р/р],"5/16",Таблица1[Ф. И. О.],B374)</f>
        <v>0</v>
      </c>
      <c r="T379" s="490">
        <f t="shared" si="104"/>
        <v>0</v>
      </c>
      <c r="U379" s="451">
        <f>база!$M$6</f>
        <v>279.0496</v>
      </c>
      <c r="V379" s="441">
        <v>1.4</v>
      </c>
      <c r="W379" s="478">
        <f>SUMIFS(Таблица1[Столбец1],Таблица1[коэф],"1,4",Таблица1[р/р],"5/24",Таблица1[Ф. И. О.],B374)</f>
        <v>0</v>
      </c>
      <c r="X379" s="490">
        <f t="shared" si="105"/>
        <v>0</v>
      </c>
      <c r="Y379" s="749"/>
      <c r="Z379" s="751"/>
      <c r="AA379" s="741"/>
    </row>
    <row r="380" spans="1:29" ht="18.75" collapsed="1">
      <c r="A380" s="739">
        <v>35</v>
      </c>
      <c r="B380" s="219"/>
      <c r="C380" s="742">
        <f>INDEX(база!$E$2:$E$81, MATCH(B385,база!$B$2:$B$50,0))</f>
        <v>17188</v>
      </c>
      <c r="D380" s="745">
        <f>INDEX(база!$D$2:$D$89, MATCH(B385,база!$B$2:$B$50,0))</f>
        <v>3</v>
      </c>
      <c r="E380" s="428">
        <f>IF(D380&lt;=3,база!$I$4,
IF(D380=4,база!$I$5,
IF(D380=5,база!$I$6)))</f>
        <v>188.7912</v>
      </c>
      <c r="F380" s="394">
        <v>1</v>
      </c>
      <c r="G380" s="395">
        <f>SUMIFS(Таблица1[Столбец1],Таблица1[коэф],"1",Таблица1[р/р],"2/4",Таблица1[Ф. И. О.],B385)</f>
        <v>0</v>
      </c>
      <c r="H380" s="379">
        <f t="shared" si="102"/>
        <v>0</v>
      </c>
      <c r="I380" s="354">
        <f>IF(D380&lt;=3,база!$J$4,
IF(D380=4,база!$J$5,
IF(D380=5,база!$J$6)))</f>
        <v>196.05240000000001</v>
      </c>
      <c r="J380" s="355">
        <v>1</v>
      </c>
      <c r="K380" s="405">
        <f>SUMIFS(Таблица1[Столбец1],Таблица1[коэф],"1",Таблица1[р/р],"2/8",Таблица1[Ф. И. О.],B385)</f>
        <v>0</v>
      </c>
      <c r="L380" s="360">
        <f t="shared" si="103"/>
        <v>0</v>
      </c>
      <c r="M380" s="429"/>
      <c r="N380" s="430">
        <v>1</v>
      </c>
      <c r="O380" s="430">
        <f>SUMIFS(Data_Tech!$AM$3:$AM$67,Data_Tech!$E$3:$E$67,"1",Data_Tech!$G$3:$G$67,"3/12",Data_Tech!$F$3:$F$67,B385)</f>
        <v>0</v>
      </c>
      <c r="P380" s="430">
        <f>ROUND(M380*N380*O380,2)</f>
        <v>0</v>
      </c>
      <c r="Q380" s="393">
        <f>IF(D380&lt;=3,база!$L$4,
IF(D380=4,база!$L$5,
IF(D380=5,база!$L$6)))</f>
        <v>210.57480000000001</v>
      </c>
      <c r="R380" s="394">
        <v>1</v>
      </c>
      <c r="S380" s="472">
        <f>SUMIFS(Таблица1[Столбец1],Таблица1[коэф],"1",Таблица1[р/р],"3/16",Таблица1[Ф. И. О.],B385)</f>
        <v>0</v>
      </c>
      <c r="T380" s="467">
        <f t="shared" si="104"/>
        <v>0</v>
      </c>
      <c r="U380" s="448">
        <f>IF(D380&lt;=3,база!$M$4,
IF(D380=4,база!$M$5,
IF(D380=5,база!$M$6)))</f>
        <v>225.09719999999999</v>
      </c>
      <c r="V380" s="355">
        <v>1</v>
      </c>
      <c r="W380" s="474">
        <f>SUMIFS(Таблица1[Столбец1],Таблица1[коэф],"1",Таблица1[р/р],"3/24",Таблица1[Ф. И. О.],B385)</f>
        <v>0</v>
      </c>
      <c r="X380" s="467">
        <f t="shared" si="105"/>
        <v>0</v>
      </c>
      <c r="Y380" s="748">
        <f t="shared" ref="Y380" si="108">SUM(G380:G390,K380:K390,O380:O390,S380:S390,W380:W390)</f>
        <v>0</v>
      </c>
      <c r="Z380" s="750">
        <f t="shared" ref="Z380" si="109">IFERROR(SUM(H380:H390,L380:L390,T380:T390,X380:X390),"")</f>
        <v>0</v>
      </c>
      <c r="AA380" s="740"/>
    </row>
    <row r="381" spans="1:29" ht="18.75">
      <c r="A381" s="740"/>
      <c r="B381" s="201"/>
      <c r="C381" s="743"/>
      <c r="D381" s="746"/>
      <c r="E381" s="370">
        <f>IF(D380&lt;=3,база!$I$4,
IF(D380=4,база!$I$5,
IF(D380=5,база!$I$6)))</f>
        <v>188.7912</v>
      </c>
      <c r="F381" s="367">
        <v>1</v>
      </c>
      <c r="G381" s="377">
        <f>SUMIFS(Таблица1[Столбец1],Таблица1[коэф],"1",Таблица1[р/р],"3/4",Таблица1[Ф. И. О.],B385)</f>
        <v>0</v>
      </c>
      <c r="H381" s="369">
        <f t="shared" si="102"/>
        <v>0</v>
      </c>
      <c r="I381" s="366">
        <f>IF(D380&lt;=3,база!$J$4,
IF(D380=4,база!$J$5,
IF(D380=5,база!$J$6)))</f>
        <v>196.05240000000001</v>
      </c>
      <c r="J381" s="367">
        <v>1</v>
      </c>
      <c r="K381" s="411">
        <f>SUMIFS(Таблица1[Столбец1],Таблица1[коэф],"1",Таблица1[р/р],"3/8",Таблица1[Ф. И. О.],B385)</f>
        <v>0</v>
      </c>
      <c r="L381" s="461">
        <f t="shared" si="103"/>
        <v>0</v>
      </c>
      <c r="M381" s="409"/>
      <c r="N381" s="411">
        <v>1</v>
      </c>
      <c r="O381" s="411">
        <f>SUMIFS(Data_Tech!$AM$3:$AM$67,Data_Tech!$E$3:$E$67,"1",Data_Tech!$G$3:$G$67,"4/12",Data_Tech!$F$3:$F$67,B385)</f>
        <v>0</v>
      </c>
      <c r="P381" s="411">
        <f>ROUND(M381*O381,2)</f>
        <v>0</v>
      </c>
      <c r="Q381" s="376">
        <f>база!$L$5</f>
        <v>231.45480000000001</v>
      </c>
      <c r="R381" s="367">
        <v>1</v>
      </c>
      <c r="S381" s="468">
        <f>SUMIFS(Таблица1[Столбец1],Таблица1[коэф],"1",Таблица1[р/р],"4/16",Таблица1[Ф. И. О.],B385)</f>
        <v>0</v>
      </c>
      <c r="T381" s="469">
        <f t="shared" si="104"/>
        <v>0</v>
      </c>
      <c r="U381" s="449">
        <f>база!$M$5</f>
        <v>247.41720000000001</v>
      </c>
      <c r="V381" s="367">
        <v>1</v>
      </c>
      <c r="W381" s="471">
        <f>SUMIFS(Таблица1[Столбец1],Таблица1[коэф],"1",Таблица1[р/р],"4/24",Таблица1[Ф. И. О.],B385)</f>
        <v>0</v>
      </c>
      <c r="X381" s="469">
        <f t="shared" si="105"/>
        <v>0</v>
      </c>
      <c r="Y381" s="748"/>
      <c r="Z381" s="750"/>
      <c r="AA381" s="740"/>
    </row>
    <row r="382" spans="1:29" ht="18.75">
      <c r="A382" s="740"/>
      <c r="B382" s="201"/>
      <c r="C382" s="743"/>
      <c r="D382" s="746"/>
      <c r="E382" s="370"/>
      <c r="F382" s="367"/>
      <c r="G382" s="377"/>
      <c r="H382" s="369">
        <f t="shared" si="102"/>
        <v>0</v>
      </c>
      <c r="I382" s="366"/>
      <c r="J382" s="367"/>
      <c r="K382" s="411"/>
      <c r="L382" s="461">
        <f t="shared" si="103"/>
        <v>0</v>
      </c>
      <c r="M382" s="409"/>
      <c r="N382" s="411"/>
      <c r="O382" s="411"/>
      <c r="P382" s="411"/>
      <c r="Q382" s="376">
        <f>база!$L$6</f>
        <v>261.04640000000001</v>
      </c>
      <c r="R382" s="367">
        <v>1</v>
      </c>
      <c r="S382" s="468">
        <f>SUMIFS(Таблица1[Столбец1],Таблица1[коэф],"1",Таблица1[р/р],"5/16",Таблица1[Ф. И. О.],B385)</f>
        <v>0</v>
      </c>
      <c r="T382" s="469">
        <f t="shared" si="104"/>
        <v>0</v>
      </c>
      <c r="U382" s="449">
        <f>база!$M$6</f>
        <v>279.0496</v>
      </c>
      <c r="V382" s="367">
        <v>1</v>
      </c>
      <c r="W382" s="471">
        <f>SUMIFS(Таблица1[Столбец1],Таблица1[коэф],"1",Таблица1[р/р],"5/24",Таблица1[Ф. И. О.],B385)</f>
        <v>0</v>
      </c>
      <c r="X382" s="469">
        <f t="shared" si="105"/>
        <v>0</v>
      </c>
      <c r="Y382" s="748"/>
      <c r="Z382" s="750"/>
      <c r="AA382" s="740"/>
    </row>
    <row r="383" spans="1:29" ht="18.75">
      <c r="A383" s="740"/>
      <c r="B383" s="201"/>
      <c r="C383" s="743"/>
      <c r="D383" s="746"/>
      <c r="E383" s="370"/>
      <c r="F383" s="367"/>
      <c r="G383" s="377"/>
      <c r="H383" s="369">
        <f t="shared" si="102"/>
        <v>0</v>
      </c>
      <c r="I383" s="366">
        <f>база!$J$5</f>
        <v>215.4924</v>
      </c>
      <c r="J383" s="367">
        <v>1.5</v>
      </c>
      <c r="K383" s="411">
        <f>SUMIFS(Таблица1[Столбец1],Таблица1[коэф],"1,5",Таблица1[р/р],"4/8",Таблица1[Ф. И. О.],B385)</f>
        <v>0</v>
      </c>
      <c r="L383" s="461">
        <f t="shared" si="103"/>
        <v>0</v>
      </c>
      <c r="M383" s="409"/>
      <c r="N383" s="411"/>
      <c r="O383" s="411"/>
      <c r="P383" s="411"/>
      <c r="Q383" s="376">
        <f>IF(D380&lt;=3,база!$L$4,
IF(D380=4,база!$L$5,
IF(D380=5,база!$L$6)))</f>
        <v>210.57480000000001</v>
      </c>
      <c r="R383" s="367">
        <v>1.2</v>
      </c>
      <c r="S383" s="468">
        <f>SUMIFS(Таблица1[Столбец1],Таблица1[коэф],"1,2",Таблица1[р/р],"3/16",Таблица1[Ф. И. О.],B385)</f>
        <v>0</v>
      </c>
      <c r="T383" s="469">
        <f t="shared" si="104"/>
        <v>0</v>
      </c>
      <c r="U383" s="449">
        <f>IF(D380&lt;=3,база!$M$4,
IF(D380=4,база!$M$5,
IF(D380=5,база!$M$6)))</f>
        <v>225.09719999999999</v>
      </c>
      <c r="V383" s="367">
        <v>1.2</v>
      </c>
      <c r="W383" s="471">
        <f>SUMIFS(Таблица1[Столбец1],Таблица1[коэф],"1,2",Таблица1[р/р],"3/24",Таблица1[Ф. И. О.],B385)</f>
        <v>0</v>
      </c>
      <c r="X383" s="469">
        <f t="shared" si="105"/>
        <v>0</v>
      </c>
      <c r="Y383" s="748"/>
      <c r="Z383" s="750"/>
      <c r="AA383" s="740"/>
    </row>
    <row r="384" spans="1:29" ht="18.75">
      <c r="A384" s="740"/>
      <c r="B384" s="201"/>
      <c r="C384" s="743"/>
      <c r="D384" s="746"/>
      <c r="E384" s="370"/>
      <c r="F384" s="367"/>
      <c r="G384" s="377"/>
      <c r="H384" s="369">
        <f t="shared" si="102"/>
        <v>0</v>
      </c>
      <c r="I384" s="366">
        <f>база!$J$6</f>
        <v>243.04319999999998</v>
      </c>
      <c r="J384" s="367">
        <v>1.5</v>
      </c>
      <c r="K384" s="411">
        <f>SUMIFS(Таблица1[Столбец1],Таблица1[коэф],"1,5",Таблица1[р/р],"5/8",Таблица1[Ф. И. О.],B385)</f>
        <v>0</v>
      </c>
      <c r="L384" s="461">
        <f t="shared" si="103"/>
        <v>0</v>
      </c>
      <c r="M384" s="409"/>
      <c r="N384" s="411"/>
      <c r="O384" s="411"/>
      <c r="P384" s="411"/>
      <c r="Q384" s="376">
        <f>база!$L$5</f>
        <v>231.45480000000001</v>
      </c>
      <c r="R384" s="367">
        <v>1.2</v>
      </c>
      <c r="S384" s="468">
        <f>SUMIFS(Таблица1[Столбец1],Таблица1[коэф],"1,2",Таблица1[р/р],"4/16",Таблица1[Ф. И. О.],B385)</f>
        <v>0</v>
      </c>
      <c r="T384" s="469">
        <f t="shared" si="104"/>
        <v>0</v>
      </c>
      <c r="U384" s="449">
        <f>база!$M$5</f>
        <v>247.41720000000001</v>
      </c>
      <c r="V384" s="367">
        <v>1.2</v>
      </c>
      <c r="W384" s="471">
        <f>SUMIFS(Таблица1[Столбец1],Таблица1[коэф],"1,2",Таблица1[р/р],"4/24",Таблица1[Ф. И. О.],B385)</f>
        <v>0</v>
      </c>
      <c r="X384" s="469">
        <f t="shared" si="105"/>
        <v>0</v>
      </c>
      <c r="Y384" s="748"/>
      <c r="Z384" s="750"/>
      <c r="AA384" s="740"/>
    </row>
    <row r="385" spans="1:29" ht="18" customHeight="1">
      <c r="A385" s="740"/>
      <c r="B385" s="201" t="str">
        <f>база!B36</f>
        <v>Климонтович Янина Анатольевна</v>
      </c>
      <c r="C385" s="743"/>
      <c r="D385" s="746"/>
      <c r="E385" s="370"/>
      <c r="F385" s="367"/>
      <c r="G385" s="377"/>
      <c r="H385" s="369">
        <f t="shared" si="102"/>
        <v>0</v>
      </c>
      <c r="I385" s="366"/>
      <c r="J385" s="367"/>
      <c r="K385" s="411"/>
      <c r="L385" s="461">
        <f t="shared" si="103"/>
        <v>0</v>
      </c>
      <c r="M385" s="409"/>
      <c r="N385" s="411"/>
      <c r="O385" s="411"/>
      <c r="P385" s="411"/>
      <c r="Q385" s="376">
        <f>база!$L$6</f>
        <v>261.04640000000001</v>
      </c>
      <c r="R385" s="367">
        <v>1.2</v>
      </c>
      <c r="S385" s="468">
        <f>SUMIFS(Таблица1[Столбец1],Таблица1[коэф],"1,2",Таблица1[р/р],"5/16",Таблица1[Ф. И. О.],B385)</f>
        <v>0</v>
      </c>
      <c r="T385" s="469">
        <f t="shared" si="104"/>
        <v>0</v>
      </c>
      <c r="U385" s="449">
        <f>база!$M$6</f>
        <v>279.0496</v>
      </c>
      <c r="V385" s="367">
        <v>1.2</v>
      </c>
      <c r="W385" s="471">
        <f>SUMIFS(Таблица1[Столбец1],Таблица1[коэф],"1,2",Таблица1[р/р],"5/24",Таблица1[Ф. И. О.],B385)</f>
        <v>0</v>
      </c>
      <c r="X385" s="469">
        <f t="shared" si="105"/>
        <v>0</v>
      </c>
      <c r="Y385" s="748"/>
      <c r="Z385" s="750"/>
      <c r="AA385" s="740"/>
      <c r="AC385" s="693" t="str">
        <f>IF(SUMIFS(Таблица1[Столбец3],Таблица1[Ф. И. О.],B385)-Z380=0,"",SUMIFS(Таблица1[Столбец3],Таблица1[Ф. И. О.],B385)-Z380)</f>
        <v/>
      </c>
    </row>
    <row r="386" spans="1:29" ht="18.75">
      <c r="A386" s="740"/>
      <c r="B386" s="201"/>
      <c r="C386" s="743"/>
      <c r="D386" s="746"/>
      <c r="E386" s="370"/>
      <c r="F386" s="367"/>
      <c r="G386" s="377"/>
      <c r="H386" s="369">
        <f t="shared" si="102"/>
        <v>0</v>
      </c>
      <c r="I386" s="366"/>
      <c r="J386" s="367"/>
      <c r="K386" s="411"/>
      <c r="L386" s="461">
        <f t="shared" si="103"/>
        <v>0</v>
      </c>
      <c r="M386" s="409"/>
      <c r="N386" s="411"/>
      <c r="O386" s="411"/>
      <c r="P386" s="411"/>
      <c r="Q386" s="376">
        <f>IF(D380&lt;=3,база!$L$4,
IF(D380=4,база!$L$5,
IF(D380=5,база!$L$6)))</f>
        <v>210.57480000000001</v>
      </c>
      <c r="R386" s="367">
        <v>1.3</v>
      </c>
      <c r="S386" s="468">
        <f>SUMIFS(Таблица1[Столбец1],Таблица1[коэф],"1,3",Таблица1[р/р],"3/16",Таблица1[Ф. И. О.],B385)</f>
        <v>0</v>
      </c>
      <c r="T386" s="469">
        <f t="shared" si="104"/>
        <v>0</v>
      </c>
      <c r="U386" s="449">
        <f>IF(D380&lt;=3,база!$M$4,
IF(D380=4,база!$M$5,
IF(D380=5,база!$M$6)))</f>
        <v>225.09719999999999</v>
      </c>
      <c r="V386" s="367">
        <v>1.3</v>
      </c>
      <c r="W386" s="471">
        <f>SUMIFS(Таблица1[Столбец1],Таблица1[коэф],"1,3",Таблица1[р/р],"3/24",Таблица1[Ф. И. О.],B385)</f>
        <v>0</v>
      </c>
      <c r="X386" s="469">
        <f t="shared" si="105"/>
        <v>0</v>
      </c>
      <c r="Y386" s="748"/>
      <c r="Z386" s="750"/>
      <c r="AA386" s="740"/>
      <c r="AC386" s="693" t="str">
        <f>IF(SUMIFS(Таблица1[Столбец1],Таблица1[Ф. И. О.],B385)=Y380,"",B385&amp;"  часы не верны")</f>
        <v/>
      </c>
    </row>
    <row r="387" spans="1:29" ht="18.75">
      <c r="A387" s="740"/>
      <c r="B387" s="201"/>
      <c r="C387" s="743"/>
      <c r="D387" s="746"/>
      <c r="E387" s="370"/>
      <c r="F387" s="367"/>
      <c r="G387" s="377"/>
      <c r="H387" s="369">
        <f t="shared" si="102"/>
        <v>0</v>
      </c>
      <c r="I387" s="366"/>
      <c r="J387" s="367"/>
      <c r="K387" s="411"/>
      <c r="L387" s="461">
        <f t="shared" si="103"/>
        <v>0</v>
      </c>
      <c r="M387" s="409"/>
      <c r="N387" s="411"/>
      <c r="O387" s="411"/>
      <c r="P387" s="411"/>
      <c r="Q387" s="376">
        <f>база!$L$5</f>
        <v>231.45480000000001</v>
      </c>
      <c r="R387" s="367">
        <v>1.3</v>
      </c>
      <c r="S387" s="468">
        <f>SUMIFS(Таблица1[Столбец1],Таблица1[коэф],"1,3",Таблица1[р/р],"4/16",Таблица1[Ф. И. О.],B385)</f>
        <v>0</v>
      </c>
      <c r="T387" s="469">
        <f t="shared" si="104"/>
        <v>0</v>
      </c>
      <c r="U387" s="449">
        <f>база!$M$5</f>
        <v>247.41720000000001</v>
      </c>
      <c r="V387" s="367">
        <v>1.3</v>
      </c>
      <c r="W387" s="471">
        <f>SUMIFS(Таблица1[Столбец1],Таблица1[коэф],"1,3",Таблица1[р/р],"4/24",Таблица1[Ф. И. О.],B385)</f>
        <v>0</v>
      </c>
      <c r="X387" s="469">
        <f t="shared" si="105"/>
        <v>0</v>
      </c>
      <c r="Y387" s="748"/>
      <c r="Z387" s="750"/>
      <c r="AA387" s="740"/>
    </row>
    <row r="388" spans="1:29" ht="18.75">
      <c r="A388" s="740"/>
      <c r="B388" s="201"/>
      <c r="C388" s="743"/>
      <c r="D388" s="746"/>
      <c r="E388" s="370"/>
      <c r="F388" s="367"/>
      <c r="G388" s="377"/>
      <c r="H388" s="369">
        <f t="shared" si="102"/>
        <v>0</v>
      </c>
      <c r="I388" s="366"/>
      <c r="J388" s="367"/>
      <c r="K388" s="411"/>
      <c r="L388" s="461">
        <f t="shared" si="103"/>
        <v>0</v>
      </c>
      <c r="M388" s="409"/>
      <c r="N388" s="411"/>
      <c r="O388" s="411"/>
      <c r="P388" s="411"/>
      <c r="Q388" s="376">
        <f>IF(D380&lt;=3,база!$L$4,
IF(D380=4,база!$L$5,
IF(D380=5,база!$L$6)))</f>
        <v>210.57480000000001</v>
      </c>
      <c r="R388" s="367">
        <v>1.4</v>
      </c>
      <c r="S388" s="468">
        <f>SUMIFS(Таблица1[Столбец1],Таблица1[коэф],"1,4",Таблица1[р/р],"3/16",Таблица1[Ф. И. О.],B385)</f>
        <v>0</v>
      </c>
      <c r="T388" s="469">
        <f t="shared" si="104"/>
        <v>0</v>
      </c>
      <c r="U388" s="449">
        <f>IF(D380&lt;=3,база!$M$4,
IF(D380=4,база!$M$5,
IF(D380=5,база!$M$6)))</f>
        <v>225.09719999999999</v>
      </c>
      <c r="V388" s="367">
        <v>1.4</v>
      </c>
      <c r="W388" s="471">
        <f>SUMIFS(Таблица1[Столбец1],Таблица1[коэф],"1,4",Таблица1[р/р],"3/24",Таблица1[Ф. И. О.],B385)</f>
        <v>0</v>
      </c>
      <c r="X388" s="469">
        <f t="shared" si="105"/>
        <v>0</v>
      </c>
      <c r="Y388" s="748"/>
      <c r="Z388" s="750"/>
      <c r="AA388" s="740"/>
    </row>
    <row r="389" spans="1:29" ht="18.75">
      <c r="A389" s="740"/>
      <c r="B389" s="201"/>
      <c r="C389" s="743"/>
      <c r="D389" s="746"/>
      <c r="E389" s="370"/>
      <c r="F389" s="367"/>
      <c r="G389" s="377"/>
      <c r="H389" s="369">
        <f t="shared" si="102"/>
        <v>0</v>
      </c>
      <c r="I389" s="366"/>
      <c r="J389" s="367"/>
      <c r="K389" s="411"/>
      <c r="L389" s="372">
        <f t="shared" si="103"/>
        <v>0</v>
      </c>
      <c r="M389" s="409"/>
      <c r="N389" s="411"/>
      <c r="O389" s="411"/>
      <c r="P389" s="411"/>
      <c r="Q389" s="376">
        <f>база!$L$5</f>
        <v>231.45480000000001</v>
      </c>
      <c r="R389" s="367">
        <v>1.4</v>
      </c>
      <c r="S389" s="468">
        <f>SUMIFS(Таблица1[Столбец1],Таблица1[коэф],"1,4",Таблица1[р/р],"4/16",Таблица1[Ф. И. О.],B385)</f>
        <v>0</v>
      </c>
      <c r="T389" s="469">
        <f t="shared" si="104"/>
        <v>0</v>
      </c>
      <c r="U389" s="449">
        <f>база!$M$5</f>
        <v>247.41720000000001</v>
      </c>
      <c r="V389" s="367">
        <v>1.4</v>
      </c>
      <c r="W389" s="471">
        <f>SUMIFS(Таблица1[Столбец1],Таблица1[коэф],"1,4",Таблица1[р/р],"4/24",Таблица1[Ф. И. О.],B385)</f>
        <v>0</v>
      </c>
      <c r="X389" s="469">
        <f t="shared" si="105"/>
        <v>0</v>
      </c>
      <c r="Y389" s="748"/>
      <c r="Z389" s="750"/>
      <c r="AA389" s="740"/>
    </row>
    <row r="390" spans="1:29" ht="19.5" thickBot="1">
      <c r="A390" s="741"/>
      <c r="B390" s="188"/>
      <c r="C390" s="744"/>
      <c r="D390" s="747"/>
      <c r="E390" s="440"/>
      <c r="F390" s="441"/>
      <c r="G390" s="442"/>
      <c r="H390" s="445">
        <f t="shared" si="102"/>
        <v>0</v>
      </c>
      <c r="I390" s="450"/>
      <c r="J390" s="441"/>
      <c r="K390" s="434"/>
      <c r="L390" s="435">
        <f t="shared" si="103"/>
        <v>0</v>
      </c>
      <c r="M390" s="443"/>
      <c r="N390" s="434"/>
      <c r="O390" s="434"/>
      <c r="P390" s="434"/>
      <c r="Q390" s="444">
        <f>база!$L$6</f>
        <v>261.04640000000001</v>
      </c>
      <c r="R390" s="441">
        <v>1.4</v>
      </c>
      <c r="S390" s="489">
        <f>SUMIFS(Таблица1[Столбец1],Таблица1[коэф],"1,4",Таблица1[р/р],"5/16",Таблица1[Ф. И. О.],B385)</f>
        <v>0</v>
      </c>
      <c r="T390" s="490">
        <f t="shared" si="104"/>
        <v>0</v>
      </c>
      <c r="U390" s="451">
        <f>база!$M$6</f>
        <v>279.0496</v>
      </c>
      <c r="V390" s="441">
        <v>1.4</v>
      </c>
      <c r="W390" s="478">
        <f>SUMIFS(Таблица1[Столбец1],Таблица1[коэф],"1,4",Таблица1[р/р],"5/24",Таблица1[Ф. И. О.],B385)</f>
        <v>0</v>
      </c>
      <c r="X390" s="490">
        <f t="shared" si="105"/>
        <v>0</v>
      </c>
      <c r="Y390" s="749"/>
      <c r="Z390" s="751"/>
      <c r="AA390" s="741"/>
    </row>
    <row r="391" spans="1:29" ht="17.25" customHeight="1" collapsed="1">
      <c r="A391" s="739">
        <v>36</v>
      </c>
      <c r="B391" s="219"/>
      <c r="C391" s="742">
        <f>INDEX(база!$E$2:$E$81, MATCH(B396,база!$B$2:$B$50,0))</f>
        <v>15888</v>
      </c>
      <c r="D391" s="745">
        <f>INDEX(база!$D$2:$D$89, MATCH(B396,база!$B$2:$B$50,0))</f>
        <v>3</v>
      </c>
      <c r="E391" s="428">
        <f>IF(D391&lt;=3,база!$I$4,
IF(D391=4,база!$I$5,
IF(D391=5,база!$I$6)))</f>
        <v>188.7912</v>
      </c>
      <c r="F391" s="394">
        <v>1</v>
      </c>
      <c r="G391" s="395">
        <f>SUMIFS(Таблица1[Столбец1],Таблица1[коэф],"1",Таблица1[р/р],"2/4",Таблица1[Ф. И. О.],B396)</f>
        <v>0</v>
      </c>
      <c r="H391" s="379">
        <f t="shared" si="102"/>
        <v>0</v>
      </c>
      <c r="I391" s="354">
        <f>IF(D391&lt;=3,база!$J$4,
IF(D391=4,база!$J$5,
IF(D391=5,база!$J$6)))</f>
        <v>196.05240000000001</v>
      </c>
      <c r="J391" s="355">
        <v>1</v>
      </c>
      <c r="K391" s="405">
        <f>SUMIFS(Таблица1[Столбец1],Таблица1[коэф],"1",Таблица1[р/р],"2/8",Таблица1[Ф. И. О.],B396)</f>
        <v>0</v>
      </c>
      <c r="L391" s="360">
        <f t="shared" si="103"/>
        <v>0</v>
      </c>
      <c r="M391" s="429"/>
      <c r="N391" s="430">
        <v>1</v>
      </c>
      <c r="O391" s="430">
        <f>SUMIFS(Data_Tech!$AM$3:$AM$67,Data_Tech!$E$3:$E$67,"1",Data_Tech!$G$3:$G$67,"3/12",Data_Tech!$F$3:$F$67,B396)</f>
        <v>0</v>
      </c>
      <c r="P391" s="430">
        <f>ROUND(M391*N391*O391,2)</f>
        <v>0</v>
      </c>
      <c r="Q391" s="393">
        <f>IF(D391&lt;=3,база!$L$4,
IF(D391=4,база!$L$5,
IF(D391=5,база!$L$6)))</f>
        <v>210.57480000000001</v>
      </c>
      <c r="R391" s="394">
        <v>1</v>
      </c>
      <c r="S391" s="472">
        <f>SUMIFS(Таблица1[Столбец1],Таблица1[коэф],"1",Таблица1[р/р],"3/16",Таблица1[Ф. И. О.],B396)</f>
        <v>0</v>
      </c>
      <c r="T391" s="467">
        <f t="shared" si="104"/>
        <v>0</v>
      </c>
      <c r="U391" s="448">
        <f>IF(D391&lt;=3,база!$M$4,
IF(D391=4,база!$M$5,
IF(D391=5,база!$M$6)))</f>
        <v>225.09719999999999</v>
      </c>
      <c r="V391" s="355">
        <v>1</v>
      </c>
      <c r="W391" s="474">
        <f>SUMIFS(Таблица1[Столбец1],Таблица1[коэф],"1",Таблица1[р/р],"3/24",Таблица1[Ф. И. О.],B396)</f>
        <v>0</v>
      </c>
      <c r="X391" s="467">
        <f t="shared" si="105"/>
        <v>0</v>
      </c>
      <c r="Y391" s="748">
        <f t="shared" ref="Y391" si="110">SUM(G391:G401,K391:K401,O391:O401,S391:S401,W391:W401)</f>
        <v>0</v>
      </c>
      <c r="Z391" s="750">
        <f t="shared" ref="Z391" si="111">IFERROR(SUM(H391:H401,L391:L401,T391:T401,X391:X401),"")</f>
        <v>0</v>
      </c>
      <c r="AA391" s="740"/>
    </row>
    <row r="392" spans="1:29" ht="17.25" customHeight="1">
      <c r="A392" s="740"/>
      <c r="B392" s="201"/>
      <c r="C392" s="743"/>
      <c r="D392" s="746"/>
      <c r="E392" s="370">
        <f>IF(D391&lt;=3,база!$I$4,
IF(D391=4,база!$I$5,
IF(D391=5,база!$I$6)))</f>
        <v>188.7912</v>
      </c>
      <c r="F392" s="367">
        <v>1</v>
      </c>
      <c r="G392" s="377">
        <f>SUMIFS(Таблица1[Столбец1],Таблица1[коэф],"1",Таблица1[р/р],"3/4",Таблица1[Ф. И. О.],B396)</f>
        <v>0</v>
      </c>
      <c r="H392" s="369">
        <f t="shared" si="102"/>
        <v>0</v>
      </c>
      <c r="I392" s="366">
        <f>IF(D391&lt;=3,база!$J$4,
IF(D391=4,база!$J$5,
IF(D391=5,база!$J$6)))</f>
        <v>196.05240000000001</v>
      </c>
      <c r="J392" s="367">
        <v>1</v>
      </c>
      <c r="K392" s="411">
        <f>SUMIFS(Таблица1[Столбец1],Таблица1[коэф],"1",Таблица1[р/р],"3/8",Таблица1[Ф. И. О.],B396)</f>
        <v>0</v>
      </c>
      <c r="L392" s="461">
        <f t="shared" si="103"/>
        <v>0</v>
      </c>
      <c r="M392" s="409"/>
      <c r="N392" s="411">
        <v>1</v>
      </c>
      <c r="O392" s="411">
        <f>SUMIFS(Data_Tech!$AM$3:$AM$67,Data_Tech!$E$3:$E$67,"1",Data_Tech!$G$3:$G$67,"4/12",Data_Tech!$F$3:$F$67,B396)</f>
        <v>0</v>
      </c>
      <c r="P392" s="411">
        <f>ROUND(M392*O392,2)</f>
        <v>0</v>
      </c>
      <c r="Q392" s="376">
        <f>база!$L$5</f>
        <v>231.45480000000001</v>
      </c>
      <c r="R392" s="367">
        <v>1</v>
      </c>
      <c r="S392" s="468">
        <f>SUMIFS(Таблица1[Столбец1],Таблица1[коэф],"1",Таблица1[р/р],"4/16",Таблица1[Ф. И. О.],B396)</f>
        <v>0</v>
      </c>
      <c r="T392" s="469">
        <f t="shared" si="104"/>
        <v>0</v>
      </c>
      <c r="U392" s="449">
        <f>база!$M$5</f>
        <v>247.41720000000001</v>
      </c>
      <c r="V392" s="367">
        <v>1</v>
      </c>
      <c r="W392" s="471">
        <f>SUMIFS(Таблица1[Столбец1],Таблица1[коэф],"1",Таблица1[р/р],"4/24",Таблица1[Ф. И. О.],B396)</f>
        <v>0</v>
      </c>
      <c r="X392" s="469">
        <f t="shared" si="105"/>
        <v>0</v>
      </c>
      <c r="Y392" s="748"/>
      <c r="Z392" s="750"/>
      <c r="AA392" s="740"/>
    </row>
    <row r="393" spans="1:29" ht="17.25" customHeight="1">
      <c r="A393" s="740"/>
      <c r="B393" s="201"/>
      <c r="C393" s="743"/>
      <c r="D393" s="746"/>
      <c r="E393" s="370"/>
      <c r="F393" s="367"/>
      <c r="G393" s="377"/>
      <c r="H393" s="369">
        <f t="shared" si="102"/>
        <v>0</v>
      </c>
      <c r="I393" s="366"/>
      <c r="J393" s="367"/>
      <c r="K393" s="411"/>
      <c r="L393" s="461">
        <f t="shared" si="103"/>
        <v>0</v>
      </c>
      <c r="M393" s="409"/>
      <c r="N393" s="411"/>
      <c r="O393" s="411"/>
      <c r="P393" s="411"/>
      <c r="Q393" s="376">
        <f>база!$L$6</f>
        <v>261.04640000000001</v>
      </c>
      <c r="R393" s="367">
        <v>1</v>
      </c>
      <c r="S393" s="468">
        <f>SUMIFS(Таблица1[Столбец1],Таблица1[коэф],"1",Таблица1[р/р],"5/16",Таблица1[Ф. И. О.],B396)</f>
        <v>0</v>
      </c>
      <c r="T393" s="469">
        <f t="shared" si="104"/>
        <v>0</v>
      </c>
      <c r="U393" s="449">
        <f>база!$M$6</f>
        <v>279.0496</v>
      </c>
      <c r="V393" s="367">
        <v>1</v>
      </c>
      <c r="W393" s="471">
        <f>SUMIFS(Таблица1[Столбец1],Таблица1[коэф],"1",Таблица1[р/р],"5/24",Таблица1[Ф. И. О.],B396)</f>
        <v>0</v>
      </c>
      <c r="X393" s="469">
        <f t="shared" si="105"/>
        <v>0</v>
      </c>
      <c r="Y393" s="748"/>
      <c r="Z393" s="750"/>
      <c r="AA393" s="740"/>
    </row>
    <row r="394" spans="1:29" ht="17.25" customHeight="1">
      <c r="A394" s="740"/>
      <c r="B394" s="201"/>
      <c r="C394" s="743"/>
      <c r="D394" s="746"/>
      <c r="E394" s="370"/>
      <c r="F394" s="367"/>
      <c r="G394" s="377"/>
      <c r="H394" s="369">
        <f t="shared" si="102"/>
        <v>0</v>
      </c>
      <c r="I394" s="366">
        <f>база!$J$5</f>
        <v>215.4924</v>
      </c>
      <c r="J394" s="367">
        <v>1.5</v>
      </c>
      <c r="K394" s="411">
        <f>SUMIFS(Таблица1[Столбец1],Таблица1[коэф],"1,5",Таблица1[р/р],"4/8",Таблица1[Ф. И. О.],B396)</f>
        <v>0</v>
      </c>
      <c r="L394" s="461">
        <f t="shared" si="103"/>
        <v>0</v>
      </c>
      <c r="M394" s="409"/>
      <c r="N394" s="411"/>
      <c r="O394" s="411"/>
      <c r="P394" s="411"/>
      <c r="Q394" s="376">
        <f>IF(D391&lt;=3,база!$L$4,
IF(D391=4,база!$L$5,
IF(D391=5,база!$L$6)))</f>
        <v>210.57480000000001</v>
      </c>
      <c r="R394" s="367">
        <v>1.2</v>
      </c>
      <c r="S394" s="468">
        <f>SUMIFS(Таблица1[Столбец1],Таблица1[коэф],"1,2",Таблица1[р/р],"3/16",Таблица1[Ф. И. О.],B396)</f>
        <v>0</v>
      </c>
      <c r="T394" s="469">
        <f t="shared" si="104"/>
        <v>0</v>
      </c>
      <c r="U394" s="449">
        <f>IF(D391&lt;=3,база!$M$4,
IF(D391=4,база!$M$5,
IF(D391=5,база!$M$6)))</f>
        <v>225.09719999999999</v>
      </c>
      <c r="V394" s="367">
        <v>1.2</v>
      </c>
      <c r="W394" s="471">
        <f>SUMIFS(Таблица1[Столбец1],Таблица1[коэф],"1,2",Таблица1[р/р],"3/24",Таблица1[Ф. И. О.],B396)</f>
        <v>0</v>
      </c>
      <c r="X394" s="469">
        <f t="shared" si="105"/>
        <v>0</v>
      </c>
      <c r="Y394" s="748"/>
      <c r="Z394" s="750"/>
      <c r="AA394" s="740"/>
    </row>
    <row r="395" spans="1:29" ht="17.25" customHeight="1">
      <c r="A395" s="740"/>
      <c r="B395" s="201"/>
      <c r="C395" s="743"/>
      <c r="D395" s="746"/>
      <c r="E395" s="370"/>
      <c r="F395" s="367"/>
      <c r="G395" s="377"/>
      <c r="H395" s="369">
        <f t="shared" si="102"/>
        <v>0</v>
      </c>
      <c r="I395" s="366">
        <f>база!$J$6</f>
        <v>243.04319999999998</v>
      </c>
      <c r="J395" s="367">
        <v>1.5</v>
      </c>
      <c r="K395" s="411">
        <f>SUMIFS(Таблица1[Столбец1],Таблица1[коэф],"1,5",Таблица1[р/р],"5/8",Таблица1[Ф. И. О.],B396)</f>
        <v>0</v>
      </c>
      <c r="L395" s="461">
        <f t="shared" si="103"/>
        <v>0</v>
      </c>
      <c r="M395" s="409"/>
      <c r="N395" s="411"/>
      <c r="O395" s="411"/>
      <c r="P395" s="411"/>
      <c r="Q395" s="376">
        <f>база!$L$5</f>
        <v>231.45480000000001</v>
      </c>
      <c r="R395" s="367">
        <v>1.2</v>
      </c>
      <c r="S395" s="468">
        <f>SUMIFS(Таблица1[Столбец1],Таблица1[коэф],"1,2",Таблица1[р/р],"4/16",Таблица1[Ф. И. О.],B396)</f>
        <v>0</v>
      </c>
      <c r="T395" s="469">
        <f t="shared" si="104"/>
        <v>0</v>
      </c>
      <c r="U395" s="449">
        <f>база!$M$5</f>
        <v>247.41720000000001</v>
      </c>
      <c r="V395" s="367">
        <v>1.2</v>
      </c>
      <c r="W395" s="471">
        <f>SUMIFS(Таблица1[Столбец1],Таблица1[коэф],"1,2",Таблица1[р/р],"4/24",Таблица1[Ф. И. О.],B396)</f>
        <v>0</v>
      </c>
      <c r="X395" s="469">
        <f t="shared" si="105"/>
        <v>0</v>
      </c>
      <c r="Y395" s="748"/>
      <c r="Z395" s="750"/>
      <c r="AA395" s="740"/>
    </row>
    <row r="396" spans="1:29" ht="17.25" customHeight="1">
      <c r="A396" s="740"/>
      <c r="B396" s="201" t="str">
        <f>база!B37</f>
        <v>Коричева Юлия Владимировна</v>
      </c>
      <c r="C396" s="743"/>
      <c r="D396" s="746"/>
      <c r="E396" s="370"/>
      <c r="F396" s="367"/>
      <c r="G396" s="377"/>
      <c r="H396" s="369">
        <f t="shared" si="102"/>
        <v>0</v>
      </c>
      <c r="I396" s="366"/>
      <c r="J396" s="367"/>
      <c r="K396" s="411"/>
      <c r="L396" s="461">
        <f t="shared" si="103"/>
        <v>0</v>
      </c>
      <c r="M396" s="409"/>
      <c r="N396" s="411"/>
      <c r="O396" s="411"/>
      <c r="P396" s="411"/>
      <c r="Q396" s="376">
        <f>база!$L$6</f>
        <v>261.04640000000001</v>
      </c>
      <c r="R396" s="367">
        <v>1.2</v>
      </c>
      <c r="S396" s="468">
        <f>SUMIFS(Таблица1[Столбец1],Таблица1[коэф],"1,2",Таблица1[р/р],"5/16",Таблица1[Ф. И. О.],B396)</f>
        <v>0</v>
      </c>
      <c r="T396" s="469">
        <f t="shared" si="104"/>
        <v>0</v>
      </c>
      <c r="U396" s="449">
        <f>база!$M$6</f>
        <v>279.0496</v>
      </c>
      <c r="V396" s="367">
        <v>1.2</v>
      </c>
      <c r="W396" s="471">
        <f>SUMIFS(Таблица1[Столбец1],Таблица1[коэф],"1,2",Таблица1[р/р],"5/24",Таблица1[Ф. И. О.],B396)</f>
        <v>0</v>
      </c>
      <c r="X396" s="469">
        <f t="shared" si="105"/>
        <v>0</v>
      </c>
      <c r="Y396" s="748"/>
      <c r="Z396" s="750"/>
      <c r="AA396" s="740"/>
      <c r="AC396" s="693" t="str">
        <f>IF(SUMIFS(Таблица1[Столбец3],Таблица1[Ф. И. О.],B396)-Z391=0,"",SUMIFS(Таблица1[Столбец3],Таблица1[Ф. И. О.],B396)-Z391)</f>
        <v/>
      </c>
    </row>
    <row r="397" spans="1:29" ht="17.25" customHeight="1">
      <c r="A397" s="740"/>
      <c r="B397" s="201"/>
      <c r="C397" s="743"/>
      <c r="D397" s="746"/>
      <c r="E397" s="370"/>
      <c r="F397" s="367"/>
      <c r="G397" s="377"/>
      <c r="H397" s="369">
        <f t="shared" si="102"/>
        <v>0</v>
      </c>
      <c r="I397" s="366"/>
      <c r="J397" s="367"/>
      <c r="K397" s="411"/>
      <c r="L397" s="461">
        <f t="shared" si="103"/>
        <v>0</v>
      </c>
      <c r="M397" s="409"/>
      <c r="N397" s="411"/>
      <c r="O397" s="411"/>
      <c r="P397" s="411"/>
      <c r="Q397" s="376">
        <f>IF(D391&lt;=3,база!$L$4,
IF(D391=4,база!$L$5,
IF(D391=5,база!$L$6)))</f>
        <v>210.57480000000001</v>
      </c>
      <c r="R397" s="367">
        <v>1.3</v>
      </c>
      <c r="S397" s="468">
        <f>SUMIFS(Таблица1[Столбец1],Таблица1[коэф],"1,3",Таблица1[р/р],"3/16",Таблица1[Ф. И. О.],B396)</f>
        <v>0</v>
      </c>
      <c r="T397" s="469">
        <f t="shared" si="104"/>
        <v>0</v>
      </c>
      <c r="U397" s="449">
        <f>IF(D391&lt;=3,база!$M$4,
IF(D391=4,база!$M$5,
IF(D391=5,база!$M$6)))</f>
        <v>225.09719999999999</v>
      </c>
      <c r="V397" s="367">
        <v>1.3</v>
      </c>
      <c r="W397" s="471">
        <f>SUMIFS(Таблица1[Столбец1],Таблица1[коэф],"1,3",Таблица1[р/р],"3/24",Таблица1[Ф. И. О.],B396)</f>
        <v>0</v>
      </c>
      <c r="X397" s="469">
        <f t="shared" si="105"/>
        <v>0</v>
      </c>
      <c r="Y397" s="748"/>
      <c r="Z397" s="750"/>
      <c r="AA397" s="740"/>
      <c r="AC397" s="693" t="str">
        <f>IF(SUMIFS(Таблица1[Столбец1],Таблица1[Ф. И. О.],B396)=Y391,"",B396&amp;"  часы не верны")</f>
        <v/>
      </c>
    </row>
    <row r="398" spans="1:29" ht="17.25" customHeight="1">
      <c r="A398" s="740"/>
      <c r="B398" s="201"/>
      <c r="C398" s="743"/>
      <c r="D398" s="746"/>
      <c r="E398" s="370"/>
      <c r="F398" s="367"/>
      <c r="G398" s="377"/>
      <c r="H398" s="369">
        <f t="shared" si="102"/>
        <v>0</v>
      </c>
      <c r="I398" s="366"/>
      <c r="J398" s="367"/>
      <c r="K398" s="411"/>
      <c r="L398" s="461">
        <f t="shared" si="103"/>
        <v>0</v>
      </c>
      <c r="M398" s="409"/>
      <c r="N398" s="411"/>
      <c r="O398" s="411"/>
      <c r="P398" s="411"/>
      <c r="Q398" s="376">
        <f>база!$L$5</f>
        <v>231.45480000000001</v>
      </c>
      <c r="R398" s="367">
        <v>1.3</v>
      </c>
      <c r="S398" s="468">
        <f>SUMIFS(Таблица1[Столбец1],Таблица1[коэф],"1,3",Таблица1[р/р],"4/16",Таблица1[Ф. И. О.],B396)</f>
        <v>0</v>
      </c>
      <c r="T398" s="469">
        <f t="shared" si="104"/>
        <v>0</v>
      </c>
      <c r="U398" s="449">
        <f>база!$M$5</f>
        <v>247.41720000000001</v>
      </c>
      <c r="V398" s="367">
        <v>1.3</v>
      </c>
      <c r="W398" s="471">
        <f>SUMIFS(Таблица1[Столбец1],Таблица1[коэф],"1,3",Таблица1[р/р],"4/24",Таблица1[Ф. И. О.],B396)</f>
        <v>0</v>
      </c>
      <c r="X398" s="469">
        <f t="shared" si="105"/>
        <v>0</v>
      </c>
      <c r="Y398" s="748"/>
      <c r="Z398" s="750"/>
      <c r="AA398" s="740"/>
    </row>
    <row r="399" spans="1:29" ht="17.25" customHeight="1">
      <c r="A399" s="740"/>
      <c r="B399" s="201"/>
      <c r="C399" s="743"/>
      <c r="D399" s="746"/>
      <c r="E399" s="370"/>
      <c r="F399" s="367"/>
      <c r="G399" s="377"/>
      <c r="H399" s="369">
        <f t="shared" si="102"/>
        <v>0</v>
      </c>
      <c r="I399" s="366"/>
      <c r="J399" s="367"/>
      <c r="K399" s="411"/>
      <c r="L399" s="461">
        <f t="shared" si="103"/>
        <v>0</v>
      </c>
      <c r="M399" s="409"/>
      <c r="N399" s="411"/>
      <c r="O399" s="411"/>
      <c r="P399" s="411"/>
      <c r="Q399" s="376">
        <f>IF(D391&lt;=3,база!$L$4,
IF(D391=4,база!$L$5,
IF(D391=5,база!$L$6)))</f>
        <v>210.57480000000001</v>
      </c>
      <c r="R399" s="367">
        <v>1.4</v>
      </c>
      <c r="S399" s="468">
        <f>SUMIFS(Таблица1[Столбец1],Таблица1[коэф],"1,4",Таблица1[р/р],"3/16",Таблица1[Ф. И. О.],B396)</f>
        <v>0</v>
      </c>
      <c r="T399" s="469">
        <f t="shared" si="104"/>
        <v>0</v>
      </c>
      <c r="U399" s="449">
        <f>IF(D391&lt;=3,база!$M$4,
IF(D391=4,база!$M$5,
IF(D391=5,база!$M$6)))</f>
        <v>225.09719999999999</v>
      </c>
      <c r="V399" s="367">
        <v>1.4</v>
      </c>
      <c r="W399" s="471">
        <f>SUMIFS(Таблица1[Столбец1],Таблица1[коэф],"1,4",Таблица1[р/р],"3/24",Таблица1[Ф. И. О.],B396)</f>
        <v>0</v>
      </c>
      <c r="X399" s="469">
        <f t="shared" si="105"/>
        <v>0</v>
      </c>
      <c r="Y399" s="748"/>
      <c r="Z399" s="750"/>
      <c r="AA399" s="740"/>
    </row>
    <row r="400" spans="1:29" ht="17.25" customHeight="1">
      <c r="A400" s="740"/>
      <c r="B400" s="201"/>
      <c r="C400" s="743"/>
      <c r="D400" s="746"/>
      <c r="E400" s="370"/>
      <c r="F400" s="367"/>
      <c r="G400" s="377"/>
      <c r="H400" s="369">
        <f t="shared" si="102"/>
        <v>0</v>
      </c>
      <c r="I400" s="366"/>
      <c r="J400" s="367"/>
      <c r="K400" s="411"/>
      <c r="L400" s="372">
        <f t="shared" si="103"/>
        <v>0</v>
      </c>
      <c r="M400" s="409"/>
      <c r="N400" s="411"/>
      <c r="O400" s="411"/>
      <c r="P400" s="411"/>
      <c r="Q400" s="376">
        <f>база!$L$5</f>
        <v>231.45480000000001</v>
      </c>
      <c r="R400" s="367">
        <v>1.4</v>
      </c>
      <c r="S400" s="468">
        <f>SUMIFS(Таблица1[Столбец1],Таблица1[коэф],"1,4",Таблица1[р/р],"4/16",Таблица1[Ф. И. О.],B396)</f>
        <v>0</v>
      </c>
      <c r="T400" s="469">
        <f t="shared" si="104"/>
        <v>0</v>
      </c>
      <c r="U400" s="449">
        <f>база!$M$5</f>
        <v>247.41720000000001</v>
      </c>
      <c r="V400" s="367">
        <v>1.4</v>
      </c>
      <c r="W400" s="471">
        <f>SUMIFS(Таблица1[Столбец1],Таблица1[коэф],"1,4",Таблица1[р/р],"4/24",Таблица1[Ф. И. О.],B396)</f>
        <v>0</v>
      </c>
      <c r="X400" s="469">
        <f t="shared" si="105"/>
        <v>0</v>
      </c>
      <c r="Y400" s="748"/>
      <c r="Z400" s="750"/>
      <c r="AA400" s="740"/>
    </row>
    <row r="401" spans="1:29" ht="17.25" customHeight="1" thickBot="1">
      <c r="A401" s="741"/>
      <c r="B401" s="188"/>
      <c r="C401" s="744"/>
      <c r="D401" s="747"/>
      <c r="E401" s="440"/>
      <c r="F401" s="441"/>
      <c r="G401" s="442"/>
      <c r="H401" s="445">
        <f t="shared" si="102"/>
        <v>0</v>
      </c>
      <c r="I401" s="450"/>
      <c r="J401" s="441"/>
      <c r="K401" s="434"/>
      <c r="L401" s="435">
        <f t="shared" si="103"/>
        <v>0</v>
      </c>
      <c r="M401" s="443"/>
      <c r="N401" s="434"/>
      <c r="O401" s="434"/>
      <c r="P401" s="434"/>
      <c r="Q401" s="444">
        <f>база!$L$6</f>
        <v>261.04640000000001</v>
      </c>
      <c r="R401" s="441">
        <v>1.4</v>
      </c>
      <c r="S401" s="489">
        <f>SUMIFS(Таблица1[Столбец1],Таблица1[коэф],"1,4",Таблица1[р/р],"5/16",Таблица1[Ф. И. О.],B396)</f>
        <v>0</v>
      </c>
      <c r="T401" s="490">
        <f t="shared" si="104"/>
        <v>0</v>
      </c>
      <c r="U401" s="451">
        <f>база!$M$6</f>
        <v>279.0496</v>
      </c>
      <c r="V401" s="441">
        <v>1.4</v>
      </c>
      <c r="W401" s="478">
        <f>SUMIFS(Таблица1[Столбец1],Таблица1[коэф],"1,4",Таблица1[р/р],"5/24",Таблица1[Ф. И. О.],B396)</f>
        <v>0</v>
      </c>
      <c r="X401" s="490">
        <f t="shared" si="105"/>
        <v>0</v>
      </c>
      <c r="Y401" s="749"/>
      <c r="Z401" s="751"/>
      <c r="AA401" s="741"/>
    </row>
    <row r="402" spans="1:29" ht="18.75" collapsed="1">
      <c r="A402" s="739">
        <v>37</v>
      </c>
      <c r="B402" s="219"/>
      <c r="C402" s="742">
        <f>INDEX(база!$E$2:$E$81, MATCH(B407,база!$B$2:$B$50,0))</f>
        <v>16664</v>
      </c>
      <c r="D402" s="745">
        <f>INDEX(база!$D$2:$D$89, MATCH(B407,база!$B$2:$B$50,0))</f>
        <v>4</v>
      </c>
      <c r="E402" s="428">
        <f>IF(D402&lt;=3,база!$I$4,
IF(D402=4,база!$I$5,
IF(D402=5,база!$I$6)))</f>
        <v>207.5112</v>
      </c>
      <c r="F402" s="394">
        <v>1</v>
      </c>
      <c r="G402" s="395">
        <f>SUMIFS(Таблица1[Столбец1],Таблица1[коэф],"1",Таблица1[р/р],"2/4",Таблица1[Ф. И. О.],B407)</f>
        <v>0</v>
      </c>
      <c r="H402" s="379">
        <f t="shared" ref="H402:H423" si="112">ROUND(E402*F402*G402*2,2)</f>
        <v>0</v>
      </c>
      <c r="I402" s="354">
        <f>IF(D402&lt;=3,база!$J$4,
IF(D402=4,база!$J$5,
IF(D402=5,база!$J$6)))</f>
        <v>215.4924</v>
      </c>
      <c r="J402" s="355">
        <v>1</v>
      </c>
      <c r="K402" s="405">
        <f>SUMIFS(Таблица1[Столбец1],Таблица1[коэф],"1",Таблица1[р/р],"2/8",Таблица1[Ф. И. О.],B407)</f>
        <v>0</v>
      </c>
      <c r="L402" s="360">
        <f t="shared" ref="L402:L423" si="113">ROUND(I402*J402*K402*2,2)</f>
        <v>0</v>
      </c>
      <c r="M402" s="429"/>
      <c r="N402" s="430">
        <v>1</v>
      </c>
      <c r="O402" s="430">
        <f>SUMIFS(Data_Tech!$AM$3:$AM$67,Data_Tech!$E$3:$E$67,"1",Data_Tech!$G$3:$G$67,"3/12",Data_Tech!$F$3:$F$67,B407)</f>
        <v>0</v>
      </c>
      <c r="P402" s="430">
        <f>ROUND(M402*N402*O402,2)</f>
        <v>0</v>
      </c>
      <c r="Q402" s="393">
        <f>IF(D402&lt;=3,база!$L$4,
IF(D402=4,база!$L$5,
IF(D402=5,база!$L$6)))</f>
        <v>231.45480000000001</v>
      </c>
      <c r="R402" s="394">
        <v>1</v>
      </c>
      <c r="S402" s="472">
        <f>SUMIFS(Таблица1[Столбец1],Таблица1[коэф],"1",Таблица1[р/р],"3/16",Таблица1[Ф. И. О.],B407)</f>
        <v>0</v>
      </c>
      <c r="T402" s="467">
        <f t="shared" ref="T402:T423" si="114">ROUND(Q402*R402*S402*2,2)</f>
        <v>0</v>
      </c>
      <c r="U402" s="448">
        <f>IF(D402&lt;=3,база!$M$4,
IF(D402=4,база!$M$5,
IF(D402=5,база!$M$6)))</f>
        <v>247.41720000000001</v>
      </c>
      <c r="V402" s="355">
        <v>1</v>
      </c>
      <c r="W402" s="474">
        <f>SUMIFS(Таблица1[Столбец1],Таблица1[коэф],"1",Таблица1[р/р],"3/24",Таблица1[Ф. И. О.],B407)</f>
        <v>0</v>
      </c>
      <c r="X402" s="467">
        <f t="shared" ref="X402:X423" si="115">ROUND(U402*V402*W402*2,2)</f>
        <v>0</v>
      </c>
      <c r="Y402" s="748">
        <f t="shared" ref="Y402" si="116">SUM(G402:G412,K402:K412,O402:O412,S402:S412,W402:W412)</f>
        <v>0</v>
      </c>
      <c r="Z402" s="750">
        <f t="shared" ref="Z402" si="117">IFERROR(SUM(H402:H412,L402:L412,T402:T412,X402:X412),"")</f>
        <v>0</v>
      </c>
      <c r="AA402" s="740"/>
    </row>
    <row r="403" spans="1:29" ht="18.75">
      <c r="A403" s="740"/>
      <c r="B403" s="201"/>
      <c r="C403" s="743"/>
      <c r="D403" s="746"/>
      <c r="E403" s="370">
        <f>IF(D402&lt;=3,база!$I$4,
IF(D402=4,база!$I$5,
IF(D402=5,база!$I$6)))</f>
        <v>207.5112</v>
      </c>
      <c r="F403" s="367">
        <v>1</v>
      </c>
      <c r="G403" s="377">
        <f>SUMIFS(Таблица1[Столбец1],Таблица1[коэф],"1",Таблица1[р/р],"3/4",Таблица1[Ф. И. О.],B407)</f>
        <v>0</v>
      </c>
      <c r="H403" s="369">
        <f t="shared" si="112"/>
        <v>0</v>
      </c>
      <c r="I403" s="366">
        <f>IF(D402&lt;=3,база!$J$4,
IF(D402=4,база!$J$5,
IF(D402=5,база!$J$6)))</f>
        <v>215.4924</v>
      </c>
      <c r="J403" s="367">
        <v>1</v>
      </c>
      <c r="K403" s="411">
        <f>SUMIFS(Таблица1[Столбец1],Таблица1[коэф],"1",Таблица1[р/р],"3/8",Таблица1[Ф. И. О.],B407)</f>
        <v>0</v>
      </c>
      <c r="L403" s="461">
        <f t="shared" si="113"/>
        <v>0</v>
      </c>
      <c r="M403" s="409"/>
      <c r="N403" s="411">
        <v>1</v>
      </c>
      <c r="O403" s="411">
        <f>SUMIFS(Data_Tech!$AM$3:$AM$67,Data_Tech!$E$3:$E$67,"1",Data_Tech!$G$3:$G$67,"4/12",Data_Tech!$F$3:$F$67,B407)</f>
        <v>0</v>
      </c>
      <c r="P403" s="411">
        <f>ROUND(M403*O403,2)</f>
        <v>0</v>
      </c>
      <c r="Q403" s="376">
        <f>база!$L$5</f>
        <v>231.45480000000001</v>
      </c>
      <c r="R403" s="367">
        <v>1</v>
      </c>
      <c r="S403" s="468">
        <f>SUMIFS(Таблица1[Столбец1],Таблица1[коэф],"1",Таблица1[р/р],"4/16",Таблица1[Ф. И. О.],B407)</f>
        <v>0</v>
      </c>
      <c r="T403" s="469">
        <f t="shared" si="114"/>
        <v>0</v>
      </c>
      <c r="U403" s="449">
        <f>база!$M$5</f>
        <v>247.41720000000001</v>
      </c>
      <c r="V403" s="367">
        <v>1</v>
      </c>
      <c r="W403" s="471">
        <f>SUMIFS(Таблица1[Столбец1],Таблица1[коэф],"1",Таблица1[р/р],"4/24",Таблица1[Ф. И. О.],B407)</f>
        <v>0</v>
      </c>
      <c r="X403" s="469">
        <f t="shared" si="115"/>
        <v>0</v>
      </c>
      <c r="Y403" s="748"/>
      <c r="Z403" s="750"/>
      <c r="AA403" s="740"/>
    </row>
    <row r="404" spans="1:29" ht="18.75">
      <c r="A404" s="740"/>
      <c r="B404" s="201"/>
      <c r="C404" s="743"/>
      <c r="D404" s="746"/>
      <c r="E404" s="370"/>
      <c r="F404" s="367"/>
      <c r="G404" s="377"/>
      <c r="H404" s="369">
        <f t="shared" si="112"/>
        <v>0</v>
      </c>
      <c r="I404" s="366"/>
      <c r="J404" s="367"/>
      <c r="K404" s="411"/>
      <c r="L404" s="461">
        <f t="shared" si="113"/>
        <v>0</v>
      </c>
      <c r="M404" s="409"/>
      <c r="N404" s="411"/>
      <c r="O404" s="411"/>
      <c r="P404" s="411"/>
      <c r="Q404" s="376">
        <f>база!$L$6</f>
        <v>261.04640000000001</v>
      </c>
      <c r="R404" s="367">
        <v>1</v>
      </c>
      <c r="S404" s="468">
        <f>SUMIFS(Таблица1[Столбец1],Таблица1[коэф],"1",Таблица1[р/р],"5/16",Таблица1[Ф. И. О.],B407)</f>
        <v>0</v>
      </c>
      <c r="T404" s="469">
        <f t="shared" si="114"/>
        <v>0</v>
      </c>
      <c r="U404" s="449">
        <f>база!$M$6</f>
        <v>279.0496</v>
      </c>
      <c r="V404" s="367">
        <v>1</v>
      </c>
      <c r="W404" s="471">
        <f>SUMIFS(Таблица1[Столбец1],Таблица1[коэф],"1",Таблица1[р/р],"5/24",Таблица1[Ф. И. О.],B407)</f>
        <v>0</v>
      </c>
      <c r="X404" s="469">
        <f t="shared" si="115"/>
        <v>0</v>
      </c>
      <c r="Y404" s="748"/>
      <c r="Z404" s="750"/>
      <c r="AA404" s="740"/>
    </row>
    <row r="405" spans="1:29" ht="18.75">
      <c r="A405" s="740"/>
      <c r="B405" s="201"/>
      <c r="C405" s="743"/>
      <c r="D405" s="746"/>
      <c r="E405" s="370"/>
      <c r="F405" s="367"/>
      <c r="G405" s="377"/>
      <c r="H405" s="369">
        <f t="shared" si="112"/>
        <v>0</v>
      </c>
      <c r="I405" s="366">
        <f>база!$J$5</f>
        <v>215.4924</v>
      </c>
      <c r="J405" s="367">
        <v>1.5</v>
      </c>
      <c r="K405" s="411">
        <f>SUMIFS(Таблица1[Столбец1],Таблица1[коэф],"1,5",Таблица1[р/р],"4/8",Таблица1[Ф. И. О.],B407)</f>
        <v>0</v>
      </c>
      <c r="L405" s="461">
        <f t="shared" si="113"/>
        <v>0</v>
      </c>
      <c r="M405" s="409"/>
      <c r="N405" s="411"/>
      <c r="O405" s="411"/>
      <c r="P405" s="411"/>
      <c r="Q405" s="376">
        <f>IF(D402&lt;=3,база!$L$4,
IF(D402=4,база!$L$5,
IF(D402=5,база!$L$6)))</f>
        <v>231.45480000000001</v>
      </c>
      <c r="R405" s="367">
        <v>1.2</v>
      </c>
      <c r="S405" s="468">
        <f>SUMIFS(Таблица1[Столбец1],Таблица1[коэф],"1,2",Таблица1[р/р],"3/16",Таблица1[Ф. И. О.],B407)</f>
        <v>0</v>
      </c>
      <c r="T405" s="469">
        <f t="shared" si="114"/>
        <v>0</v>
      </c>
      <c r="U405" s="449">
        <f>IF(D402&lt;=3,база!$M$4,
IF(D402=4,база!$M$5,
IF(D402=5,база!$M$6)))</f>
        <v>247.41720000000001</v>
      </c>
      <c r="V405" s="367">
        <v>1.2</v>
      </c>
      <c r="W405" s="471">
        <f>SUMIFS(Таблица1[Столбец1],Таблица1[коэф],"1,2",Таблица1[р/р],"3/24",Таблица1[Ф. И. О.],B407)</f>
        <v>0</v>
      </c>
      <c r="X405" s="469">
        <f t="shared" si="115"/>
        <v>0</v>
      </c>
      <c r="Y405" s="748"/>
      <c r="Z405" s="750"/>
      <c r="AA405" s="740"/>
    </row>
    <row r="406" spans="1:29" ht="18.75">
      <c r="A406" s="740"/>
      <c r="B406" s="201"/>
      <c r="C406" s="743"/>
      <c r="D406" s="746"/>
      <c r="E406" s="370"/>
      <c r="F406" s="367"/>
      <c r="G406" s="377"/>
      <c r="H406" s="369">
        <f t="shared" si="112"/>
        <v>0</v>
      </c>
      <c r="I406" s="366">
        <f>база!$J$6</f>
        <v>243.04319999999998</v>
      </c>
      <c r="J406" s="367">
        <v>1.5</v>
      </c>
      <c r="K406" s="411">
        <f>SUMIFS(Таблица1[Столбец1],Таблица1[коэф],"1,5",Таблица1[р/р],"5/8",Таблица1[Ф. И. О.],B407)</f>
        <v>0</v>
      </c>
      <c r="L406" s="461">
        <f t="shared" si="113"/>
        <v>0</v>
      </c>
      <c r="M406" s="409"/>
      <c r="N406" s="411"/>
      <c r="O406" s="411"/>
      <c r="P406" s="411"/>
      <c r="Q406" s="376">
        <f>база!$L$5</f>
        <v>231.45480000000001</v>
      </c>
      <c r="R406" s="367">
        <v>1.2</v>
      </c>
      <c r="S406" s="468">
        <f>SUMIFS(Таблица1[Столбец1],Таблица1[коэф],"1,2",Таблица1[р/р],"4/16",Таблица1[Ф. И. О.],B407)</f>
        <v>0</v>
      </c>
      <c r="T406" s="469">
        <f t="shared" si="114"/>
        <v>0</v>
      </c>
      <c r="U406" s="449">
        <f>база!$M$5</f>
        <v>247.41720000000001</v>
      </c>
      <c r="V406" s="367">
        <v>1.2</v>
      </c>
      <c r="W406" s="471">
        <f>SUMIFS(Таблица1[Столбец1],Таблица1[коэф],"1,2",Таблица1[р/р],"4/24",Таблица1[Ф. И. О.],B407)</f>
        <v>0</v>
      </c>
      <c r="X406" s="469">
        <f t="shared" si="115"/>
        <v>0</v>
      </c>
      <c r="Y406" s="748"/>
      <c r="Z406" s="750"/>
      <c r="AA406" s="740"/>
    </row>
    <row r="407" spans="1:29" ht="18" customHeight="1">
      <c r="A407" s="740"/>
      <c r="B407" s="201" t="str">
        <f>база!B38</f>
        <v>Костюченко Александр Валентинович</v>
      </c>
      <c r="C407" s="743"/>
      <c r="D407" s="746"/>
      <c r="E407" s="370"/>
      <c r="F407" s="367"/>
      <c r="G407" s="377"/>
      <c r="H407" s="369">
        <f t="shared" si="112"/>
        <v>0</v>
      </c>
      <c r="I407" s="366"/>
      <c r="J407" s="367"/>
      <c r="K407" s="411"/>
      <c r="L407" s="461">
        <f t="shared" si="113"/>
        <v>0</v>
      </c>
      <c r="M407" s="409"/>
      <c r="N407" s="411"/>
      <c r="O407" s="411"/>
      <c r="P407" s="411"/>
      <c r="Q407" s="376">
        <f>база!$L$6</f>
        <v>261.04640000000001</v>
      </c>
      <c r="R407" s="367">
        <v>1.2</v>
      </c>
      <c r="S407" s="468">
        <f>SUMIFS(Таблица1[Столбец1],Таблица1[коэф],"1,2",Таблица1[р/р],"5/16",Таблица1[Ф. И. О.],B407)</f>
        <v>0</v>
      </c>
      <c r="T407" s="469">
        <f t="shared" si="114"/>
        <v>0</v>
      </c>
      <c r="U407" s="449">
        <f>база!$M$6</f>
        <v>279.0496</v>
      </c>
      <c r="V407" s="367">
        <v>1.2</v>
      </c>
      <c r="W407" s="471">
        <f>SUMIFS(Таблица1[Столбец1],Таблица1[коэф],"1,2",Таблица1[р/р],"5/24",Таблица1[Ф. И. О.],B407)</f>
        <v>0</v>
      </c>
      <c r="X407" s="469">
        <f t="shared" si="115"/>
        <v>0</v>
      </c>
      <c r="Y407" s="748"/>
      <c r="Z407" s="750"/>
      <c r="AA407" s="740"/>
      <c r="AC407" s="693" t="str">
        <f>IF(SUMIFS(Таблица1[Столбец3],Таблица1[Ф. И. О.],B407)-Z402=0,"",SUMIFS(Таблица1[Столбец3],Таблица1[Ф. И. О.],B407)-Z402)</f>
        <v/>
      </c>
    </row>
    <row r="408" spans="1:29" ht="18.75">
      <c r="A408" s="740"/>
      <c r="B408" s="201"/>
      <c r="C408" s="743"/>
      <c r="D408" s="746"/>
      <c r="E408" s="370"/>
      <c r="F408" s="367"/>
      <c r="G408" s="377"/>
      <c r="H408" s="369">
        <f t="shared" si="112"/>
        <v>0</v>
      </c>
      <c r="I408" s="366"/>
      <c r="J408" s="367"/>
      <c r="K408" s="411"/>
      <c r="L408" s="461">
        <f t="shared" si="113"/>
        <v>0</v>
      </c>
      <c r="M408" s="409"/>
      <c r="N408" s="411"/>
      <c r="O408" s="411"/>
      <c r="P408" s="411"/>
      <c r="Q408" s="376">
        <f>IF(D402&lt;=3,база!$L$4,
IF(D402=4,база!$L$5,
IF(D402=5,база!$L$6)))</f>
        <v>231.45480000000001</v>
      </c>
      <c r="R408" s="367">
        <v>1.3</v>
      </c>
      <c r="S408" s="468">
        <f>SUMIFS(Таблица1[Столбец1],Таблица1[коэф],"1,3",Таблица1[р/р],"3/16",Таблица1[Ф. И. О.],B407)</f>
        <v>0</v>
      </c>
      <c r="T408" s="469">
        <f t="shared" si="114"/>
        <v>0</v>
      </c>
      <c r="U408" s="449">
        <f>IF(D402&lt;=3,база!$M$4,
IF(D402=4,база!$M$5,
IF(D402=5,база!$M$6)))</f>
        <v>247.41720000000001</v>
      </c>
      <c r="V408" s="367">
        <v>1.3</v>
      </c>
      <c r="W408" s="471">
        <f>SUMIFS(Таблица1[Столбец1],Таблица1[коэф],"1,3",Таблица1[р/р],"3/24",Таблица1[Ф. И. О.],B407)</f>
        <v>0</v>
      </c>
      <c r="X408" s="469">
        <f t="shared" si="115"/>
        <v>0</v>
      </c>
      <c r="Y408" s="748"/>
      <c r="Z408" s="750"/>
      <c r="AA408" s="740"/>
      <c r="AC408" s="693" t="str">
        <f>IF(SUMIFS(Таблица1[Столбец1],Таблица1[Ф. И. О.],B407)=Y402,"",B407&amp;"  часы не верны")</f>
        <v/>
      </c>
    </row>
    <row r="409" spans="1:29" ht="18.75">
      <c r="A409" s="740"/>
      <c r="B409" s="201"/>
      <c r="C409" s="743"/>
      <c r="D409" s="746"/>
      <c r="E409" s="370"/>
      <c r="F409" s="367"/>
      <c r="G409" s="377"/>
      <c r="H409" s="369">
        <f t="shared" si="112"/>
        <v>0</v>
      </c>
      <c r="I409" s="366"/>
      <c r="J409" s="367"/>
      <c r="K409" s="411"/>
      <c r="L409" s="461">
        <f t="shared" si="113"/>
        <v>0</v>
      </c>
      <c r="M409" s="409"/>
      <c r="N409" s="411"/>
      <c r="O409" s="411"/>
      <c r="P409" s="411"/>
      <c r="Q409" s="376">
        <f>база!$L$5</f>
        <v>231.45480000000001</v>
      </c>
      <c r="R409" s="367">
        <v>1.3</v>
      </c>
      <c r="S409" s="468">
        <f>SUMIFS(Таблица1[Столбец1],Таблица1[коэф],"1,3",Таблица1[р/р],"4/16",Таблица1[Ф. И. О.],B407)</f>
        <v>0</v>
      </c>
      <c r="T409" s="469">
        <f t="shared" si="114"/>
        <v>0</v>
      </c>
      <c r="U409" s="449">
        <f>база!$M$5</f>
        <v>247.41720000000001</v>
      </c>
      <c r="V409" s="367">
        <v>1.3</v>
      </c>
      <c r="W409" s="471">
        <f>SUMIFS(Таблица1[Столбец1],Таблица1[коэф],"1,3",Таблица1[р/р],"4/24",Таблица1[Ф. И. О.],B407)</f>
        <v>0</v>
      </c>
      <c r="X409" s="469">
        <f t="shared" si="115"/>
        <v>0</v>
      </c>
      <c r="Y409" s="748"/>
      <c r="Z409" s="750"/>
      <c r="AA409" s="740"/>
    </row>
    <row r="410" spans="1:29" ht="18.75">
      <c r="A410" s="740"/>
      <c r="B410" s="201"/>
      <c r="C410" s="743"/>
      <c r="D410" s="746"/>
      <c r="E410" s="370"/>
      <c r="F410" s="367"/>
      <c r="G410" s="377"/>
      <c r="H410" s="369">
        <f t="shared" si="112"/>
        <v>0</v>
      </c>
      <c r="I410" s="366"/>
      <c r="J410" s="367"/>
      <c r="K410" s="411"/>
      <c r="L410" s="461">
        <f t="shared" si="113"/>
        <v>0</v>
      </c>
      <c r="M410" s="409"/>
      <c r="N410" s="411"/>
      <c r="O410" s="411"/>
      <c r="P410" s="411"/>
      <c r="Q410" s="376">
        <f>IF(D402&lt;=3,база!$L$4,
IF(D402=4,база!$L$5,
IF(D402=5,база!$L$6)))</f>
        <v>231.45480000000001</v>
      </c>
      <c r="R410" s="367">
        <v>1.4</v>
      </c>
      <c r="S410" s="468">
        <f>SUMIFS(Таблица1[Столбец1],Таблица1[коэф],"1,4",Таблица1[р/р],"3/16",Таблица1[Ф. И. О.],B407)</f>
        <v>0</v>
      </c>
      <c r="T410" s="469">
        <f t="shared" si="114"/>
        <v>0</v>
      </c>
      <c r="U410" s="449">
        <f>IF(D402&lt;=3,база!$M$4,
IF(D402=4,база!$M$5,
IF(D402=5,база!$M$6)))</f>
        <v>247.41720000000001</v>
      </c>
      <c r="V410" s="367">
        <v>1.4</v>
      </c>
      <c r="W410" s="471">
        <f>SUMIFS(Таблица1[Столбец1],Таблица1[коэф],"1,4",Таблица1[р/р],"3/24",Таблица1[Ф. И. О.],B407)</f>
        <v>0</v>
      </c>
      <c r="X410" s="469">
        <f t="shared" si="115"/>
        <v>0</v>
      </c>
      <c r="Y410" s="748"/>
      <c r="Z410" s="750"/>
      <c r="AA410" s="740"/>
    </row>
    <row r="411" spans="1:29" ht="18.75">
      <c r="A411" s="740"/>
      <c r="B411" s="201"/>
      <c r="C411" s="743"/>
      <c r="D411" s="746"/>
      <c r="E411" s="370"/>
      <c r="F411" s="367"/>
      <c r="G411" s="377"/>
      <c r="H411" s="369">
        <f t="shared" si="112"/>
        <v>0</v>
      </c>
      <c r="I411" s="366"/>
      <c r="J411" s="367"/>
      <c r="K411" s="411"/>
      <c r="L411" s="372">
        <f t="shared" si="113"/>
        <v>0</v>
      </c>
      <c r="M411" s="409"/>
      <c r="N411" s="411"/>
      <c r="O411" s="411"/>
      <c r="P411" s="411"/>
      <c r="Q411" s="376">
        <f>база!$L$5</f>
        <v>231.45480000000001</v>
      </c>
      <c r="R411" s="367">
        <v>1.4</v>
      </c>
      <c r="S411" s="468">
        <f>SUMIFS(Таблица1[Столбец1],Таблица1[коэф],"1,4",Таблица1[р/р],"4/16",Таблица1[Ф. И. О.],B407)</f>
        <v>0</v>
      </c>
      <c r="T411" s="469">
        <f t="shared" si="114"/>
        <v>0</v>
      </c>
      <c r="U411" s="449">
        <f>база!$M$5</f>
        <v>247.41720000000001</v>
      </c>
      <c r="V411" s="367">
        <v>1.4</v>
      </c>
      <c r="W411" s="471">
        <f>SUMIFS(Таблица1[Столбец1],Таблица1[коэф],"1,4",Таблица1[р/р],"4/24",Таблица1[Ф. И. О.],B407)</f>
        <v>0</v>
      </c>
      <c r="X411" s="469">
        <f t="shared" si="115"/>
        <v>0</v>
      </c>
      <c r="Y411" s="748"/>
      <c r="Z411" s="750"/>
      <c r="AA411" s="740"/>
    </row>
    <row r="412" spans="1:29" ht="19.5" thickBot="1">
      <c r="A412" s="741"/>
      <c r="B412" s="188"/>
      <c r="C412" s="744"/>
      <c r="D412" s="747"/>
      <c r="E412" s="440"/>
      <c r="F412" s="441"/>
      <c r="G412" s="442"/>
      <c r="H412" s="445">
        <f t="shared" si="112"/>
        <v>0</v>
      </c>
      <c r="I412" s="450"/>
      <c r="J412" s="441"/>
      <c r="K412" s="434"/>
      <c r="L412" s="435">
        <f t="shared" si="113"/>
        <v>0</v>
      </c>
      <c r="M412" s="443"/>
      <c r="N412" s="434"/>
      <c r="O412" s="434"/>
      <c r="P412" s="434"/>
      <c r="Q412" s="444">
        <f>база!$L$6</f>
        <v>261.04640000000001</v>
      </c>
      <c r="R412" s="441">
        <v>1.4</v>
      </c>
      <c r="S412" s="489">
        <f>SUMIFS(Таблица1[Столбец1],Таблица1[коэф],"1,4",Таблица1[р/р],"5/16",Таблица1[Ф. И. О.],B407)</f>
        <v>0</v>
      </c>
      <c r="T412" s="490">
        <f t="shared" si="114"/>
        <v>0</v>
      </c>
      <c r="U412" s="451">
        <f>база!$M$6</f>
        <v>279.0496</v>
      </c>
      <c r="V412" s="441">
        <v>1.4</v>
      </c>
      <c r="W412" s="478">
        <f>SUMIFS(Таблица1[Столбец1],Таблица1[коэф],"1,4",Таблица1[р/р],"5/24",Таблица1[Ф. И. О.],B407)</f>
        <v>0</v>
      </c>
      <c r="X412" s="490">
        <f t="shared" si="115"/>
        <v>0</v>
      </c>
      <c r="Y412" s="749"/>
      <c r="Z412" s="751"/>
      <c r="AA412" s="741"/>
    </row>
    <row r="413" spans="1:29" ht="18.75" collapsed="1">
      <c r="A413" s="739">
        <v>38</v>
      </c>
      <c r="B413" s="219"/>
      <c r="C413" s="742">
        <f>INDEX(база!$E$2:$E$81, MATCH(B418,база!$B$2:$B$50,0))</f>
        <v>17271</v>
      </c>
      <c r="D413" s="745">
        <f>INDEX(база!$D$2:$D$89, MATCH(B418,база!$B$2:$B$50,0))</f>
        <v>3</v>
      </c>
      <c r="E413" s="428">
        <f>IF(D413&lt;=3,база!$I$4,
IF(D413=4,база!$I$5,
IF(D413=5,база!$I$6)))</f>
        <v>188.7912</v>
      </c>
      <c r="F413" s="394">
        <v>1</v>
      </c>
      <c r="G413" s="395">
        <f>SUMIFS(Таблица1[Столбец1],Таблица1[коэф],"1",Таблица1[р/р],"2/4",Таблица1[Ф. И. О.],B418)</f>
        <v>0</v>
      </c>
      <c r="H413" s="379">
        <f t="shared" si="112"/>
        <v>0</v>
      </c>
      <c r="I413" s="354">
        <f>IF(D413&lt;=3,база!$J$4,
IF(D413=4,база!$J$5,
IF(D413=5,база!$J$6)))</f>
        <v>196.05240000000001</v>
      </c>
      <c r="J413" s="355">
        <v>1</v>
      </c>
      <c r="K413" s="405">
        <f>SUMIFS(Таблица1[Столбец1],Таблица1[коэф],"1",Таблица1[р/р],"2/8",Таблица1[Ф. И. О.],B418)</f>
        <v>0</v>
      </c>
      <c r="L413" s="360">
        <f t="shared" si="113"/>
        <v>0</v>
      </c>
      <c r="M413" s="429"/>
      <c r="N413" s="430">
        <v>1</v>
      </c>
      <c r="O413" s="430">
        <f>SUMIFS(Data_Tech!$AM$3:$AM$67,Data_Tech!$E$3:$E$67,"1",Data_Tech!$G$3:$G$67,"3/12",Data_Tech!$F$3:$F$67,B418)</f>
        <v>0</v>
      </c>
      <c r="P413" s="430">
        <f>ROUND(M413*N413*O413,2)</f>
        <v>0</v>
      </c>
      <c r="Q413" s="393">
        <f>IF(D413&lt;=3,база!$L$4,
IF(D413=4,база!$L$5,
IF(D413=5,база!$L$6)))</f>
        <v>210.57480000000001</v>
      </c>
      <c r="R413" s="394">
        <v>1</v>
      </c>
      <c r="S413" s="472">
        <f>SUMIFS(Таблица1[Столбец1],Таблица1[коэф],"1",Таблица1[р/р],"3/16",Таблица1[Ф. И. О.],B418)</f>
        <v>0</v>
      </c>
      <c r="T413" s="467">
        <f t="shared" si="114"/>
        <v>0</v>
      </c>
      <c r="U413" s="448">
        <f>IF(D413&lt;=3,база!$M$4,
IF(D413=4,база!$M$5,
IF(D413=5,база!$M$6)))</f>
        <v>225.09719999999999</v>
      </c>
      <c r="V413" s="355">
        <v>1</v>
      </c>
      <c r="W413" s="474">
        <f>SUMIFS(Таблица1[Столбец1],Таблица1[коэф],"1",Таблица1[р/р],"3/24",Таблица1[Ф. И. О.],B418)</f>
        <v>0</v>
      </c>
      <c r="X413" s="467">
        <f t="shared" si="115"/>
        <v>0</v>
      </c>
      <c r="Y413" s="748">
        <f t="shared" ref="Y413" si="118">SUM(G413:G423,K413:K423,O413:O423,S413:S423,W413:W423)</f>
        <v>0</v>
      </c>
      <c r="Z413" s="750">
        <f t="shared" ref="Z413" si="119">IFERROR(SUM(H413:H423,L413:L423,T413:T423,X413:X423),"")</f>
        <v>0</v>
      </c>
      <c r="AA413" s="740"/>
    </row>
    <row r="414" spans="1:29" ht="18.75">
      <c r="A414" s="740"/>
      <c r="B414" s="201"/>
      <c r="C414" s="743"/>
      <c r="D414" s="746"/>
      <c r="E414" s="370">
        <f>IF(D413&lt;=3,база!$I$4,
IF(D413=4,база!$I$5,
IF(D413=5,база!$I$6)))</f>
        <v>188.7912</v>
      </c>
      <c r="F414" s="367">
        <v>1</v>
      </c>
      <c r="G414" s="377">
        <f>SUMIFS(Таблица1[Столбец1],Таблица1[коэф],"1",Таблица1[р/р],"3/4",Таблица1[Ф. И. О.],B418)</f>
        <v>0</v>
      </c>
      <c r="H414" s="369">
        <f t="shared" si="112"/>
        <v>0</v>
      </c>
      <c r="I414" s="366">
        <f>IF(D413&lt;=3,база!$J$4,
IF(D413=4,база!$J$5,
IF(D413=5,база!$J$6)))</f>
        <v>196.05240000000001</v>
      </c>
      <c r="J414" s="367">
        <v>1</v>
      </c>
      <c r="K414" s="411">
        <f>SUMIFS(Таблица1[Столбец1],Таблица1[коэф],"1",Таблица1[р/р],"3/8",Таблица1[Ф. И. О.],B418)</f>
        <v>0</v>
      </c>
      <c r="L414" s="461">
        <f t="shared" si="113"/>
        <v>0</v>
      </c>
      <c r="M414" s="409"/>
      <c r="N414" s="411">
        <v>1</v>
      </c>
      <c r="O414" s="411">
        <f>SUMIFS(Data_Tech!$AM$3:$AM$67,Data_Tech!$E$3:$E$67,"1",Data_Tech!$G$3:$G$67,"4/12",Data_Tech!$F$3:$F$67,B418)</f>
        <v>0</v>
      </c>
      <c r="P414" s="411">
        <f>ROUND(M414*O414,2)</f>
        <v>0</v>
      </c>
      <c r="Q414" s="376">
        <f>база!$L$5</f>
        <v>231.45480000000001</v>
      </c>
      <c r="R414" s="367">
        <v>1</v>
      </c>
      <c r="S414" s="468">
        <f>SUMIFS(Таблица1[Столбец1],Таблица1[коэф],"1",Таблица1[р/р],"4/16",Таблица1[Ф. И. О.],B418)</f>
        <v>0</v>
      </c>
      <c r="T414" s="469">
        <f t="shared" si="114"/>
        <v>0</v>
      </c>
      <c r="U414" s="449">
        <f>база!$M$5</f>
        <v>247.41720000000001</v>
      </c>
      <c r="V414" s="367">
        <v>1</v>
      </c>
      <c r="W414" s="471">
        <f>SUMIFS(Таблица1[Столбец1],Таблица1[коэф],"1",Таблица1[р/р],"4/24",Таблица1[Ф. И. О.],B418)</f>
        <v>0</v>
      </c>
      <c r="X414" s="469">
        <f t="shared" si="115"/>
        <v>0</v>
      </c>
      <c r="Y414" s="748"/>
      <c r="Z414" s="750"/>
      <c r="AA414" s="740"/>
    </row>
    <row r="415" spans="1:29" ht="18.75">
      <c r="A415" s="740"/>
      <c r="B415" s="201"/>
      <c r="C415" s="743"/>
      <c r="D415" s="746"/>
      <c r="E415" s="370"/>
      <c r="F415" s="367"/>
      <c r="G415" s="377"/>
      <c r="H415" s="369">
        <f t="shared" si="112"/>
        <v>0</v>
      </c>
      <c r="I415" s="366"/>
      <c r="J415" s="367"/>
      <c r="K415" s="411"/>
      <c r="L415" s="461">
        <f t="shared" si="113"/>
        <v>0</v>
      </c>
      <c r="M415" s="409"/>
      <c r="N415" s="411"/>
      <c r="O415" s="411"/>
      <c r="P415" s="411"/>
      <c r="Q415" s="376">
        <f>база!$L$6</f>
        <v>261.04640000000001</v>
      </c>
      <c r="R415" s="367">
        <v>1</v>
      </c>
      <c r="S415" s="468">
        <f>SUMIFS(Таблица1[Столбец1],Таблица1[коэф],"1",Таблица1[р/р],"5/16",Таблица1[Ф. И. О.],B418)</f>
        <v>0</v>
      </c>
      <c r="T415" s="469">
        <f t="shared" si="114"/>
        <v>0</v>
      </c>
      <c r="U415" s="449">
        <f>база!$M$6</f>
        <v>279.0496</v>
      </c>
      <c r="V415" s="367">
        <v>1</v>
      </c>
      <c r="W415" s="471">
        <f>SUMIFS(Таблица1[Столбец1],Таблица1[коэф],"1",Таблица1[р/р],"5/24",Таблица1[Ф. И. О.],B418)</f>
        <v>0</v>
      </c>
      <c r="X415" s="469">
        <f t="shared" si="115"/>
        <v>0</v>
      </c>
      <c r="Y415" s="748"/>
      <c r="Z415" s="750"/>
      <c r="AA415" s="740"/>
    </row>
    <row r="416" spans="1:29" ht="18.75">
      <c r="A416" s="740"/>
      <c r="B416" s="201"/>
      <c r="C416" s="743"/>
      <c r="D416" s="746"/>
      <c r="E416" s="370"/>
      <c r="F416" s="367"/>
      <c r="G416" s="377"/>
      <c r="H416" s="369">
        <f t="shared" si="112"/>
        <v>0</v>
      </c>
      <c r="I416" s="366">
        <f>база!$J$5</f>
        <v>215.4924</v>
      </c>
      <c r="J416" s="367">
        <v>1.5</v>
      </c>
      <c r="K416" s="411">
        <f>SUMIFS(Таблица1[Столбец1],Таблица1[коэф],"1,5",Таблица1[р/р],"4/8",Таблица1[Ф. И. О.],B418)</f>
        <v>0</v>
      </c>
      <c r="L416" s="461">
        <f t="shared" si="113"/>
        <v>0</v>
      </c>
      <c r="M416" s="409"/>
      <c r="N416" s="411"/>
      <c r="O416" s="411"/>
      <c r="P416" s="411"/>
      <c r="Q416" s="376">
        <f>IF(D413&lt;=3,база!$L$4,
IF(D413=4,база!$L$5,
IF(D413=5,база!$L$6)))</f>
        <v>210.57480000000001</v>
      </c>
      <c r="R416" s="367">
        <v>1.2</v>
      </c>
      <c r="S416" s="468">
        <f>SUMIFS(Таблица1[Столбец1],Таблица1[коэф],"1,2",Таблица1[р/р],"3/16",Таблица1[Ф. И. О.],B418)</f>
        <v>0</v>
      </c>
      <c r="T416" s="469">
        <f t="shared" si="114"/>
        <v>0</v>
      </c>
      <c r="U416" s="449">
        <f>IF(D413&lt;=3,база!$M$4,
IF(D413=4,база!$M$5,
IF(D413=5,база!$M$6)))</f>
        <v>225.09719999999999</v>
      </c>
      <c r="V416" s="367">
        <v>1.2</v>
      </c>
      <c r="W416" s="471">
        <f>SUMIFS(Таблица1[Столбец1],Таблица1[коэф],"1,2",Таблица1[р/р],"3/24",Таблица1[Ф. И. О.],B418)</f>
        <v>0</v>
      </c>
      <c r="X416" s="469">
        <f t="shared" si="115"/>
        <v>0</v>
      </c>
      <c r="Y416" s="748"/>
      <c r="Z416" s="750"/>
      <c r="AA416" s="740"/>
    </row>
    <row r="417" spans="1:29" ht="18.75">
      <c r="A417" s="740"/>
      <c r="B417" s="201"/>
      <c r="C417" s="743"/>
      <c r="D417" s="746"/>
      <c r="E417" s="370"/>
      <c r="F417" s="367"/>
      <c r="G417" s="377"/>
      <c r="H417" s="369">
        <f t="shared" si="112"/>
        <v>0</v>
      </c>
      <c r="I417" s="366">
        <f>база!$J$6</f>
        <v>243.04319999999998</v>
      </c>
      <c r="J417" s="367">
        <v>1.5</v>
      </c>
      <c r="K417" s="411">
        <f>SUMIFS(Таблица1[Столбец1],Таблица1[коэф],"1,5",Таблица1[р/р],"5/8",Таблица1[Ф. И. О.],B418)</f>
        <v>0</v>
      </c>
      <c r="L417" s="461">
        <f t="shared" si="113"/>
        <v>0</v>
      </c>
      <c r="M417" s="409"/>
      <c r="N417" s="411"/>
      <c r="O417" s="411"/>
      <c r="P417" s="411"/>
      <c r="Q417" s="376">
        <f>база!$L$5</f>
        <v>231.45480000000001</v>
      </c>
      <c r="R417" s="367">
        <v>1.2</v>
      </c>
      <c r="S417" s="468">
        <f>SUMIFS(Таблица1[Столбец1],Таблица1[коэф],"1,2",Таблица1[р/р],"4/16",Таблица1[Ф. И. О.],B418)</f>
        <v>0</v>
      </c>
      <c r="T417" s="469">
        <f t="shared" si="114"/>
        <v>0</v>
      </c>
      <c r="U417" s="449">
        <f>база!$M$5</f>
        <v>247.41720000000001</v>
      </c>
      <c r="V417" s="367">
        <v>1.2</v>
      </c>
      <c r="W417" s="471">
        <f>SUMIFS(Таблица1[Столбец1],Таблица1[коэф],"1,2",Таблица1[р/р],"4/24",Таблица1[Ф. И. О.],B418)</f>
        <v>0</v>
      </c>
      <c r="X417" s="469">
        <f t="shared" si="115"/>
        <v>0</v>
      </c>
      <c r="Y417" s="748"/>
      <c r="Z417" s="750"/>
      <c r="AA417" s="740"/>
    </row>
    <row r="418" spans="1:29" ht="18" customHeight="1">
      <c r="A418" s="740"/>
      <c r="B418" s="201" t="str">
        <f>база!B39</f>
        <v>Кочеткова Мария Андреевна</v>
      </c>
      <c r="C418" s="743"/>
      <c r="D418" s="746"/>
      <c r="E418" s="370"/>
      <c r="F418" s="367"/>
      <c r="G418" s="377"/>
      <c r="H418" s="369">
        <f t="shared" si="112"/>
        <v>0</v>
      </c>
      <c r="I418" s="366"/>
      <c r="J418" s="367"/>
      <c r="K418" s="411"/>
      <c r="L418" s="461">
        <f t="shared" si="113"/>
        <v>0</v>
      </c>
      <c r="M418" s="409"/>
      <c r="N418" s="411"/>
      <c r="O418" s="411"/>
      <c r="P418" s="411"/>
      <c r="Q418" s="376">
        <f>база!$L$6</f>
        <v>261.04640000000001</v>
      </c>
      <c r="R418" s="367">
        <v>1.2</v>
      </c>
      <c r="S418" s="468">
        <f>SUMIFS(Таблица1[Столбец1],Таблица1[коэф],"1,2",Таблица1[р/р],"5/16",Таблица1[Ф. И. О.],B418)</f>
        <v>0</v>
      </c>
      <c r="T418" s="469">
        <f t="shared" si="114"/>
        <v>0</v>
      </c>
      <c r="U418" s="449">
        <f>база!$M$6</f>
        <v>279.0496</v>
      </c>
      <c r="V418" s="367">
        <v>1.2</v>
      </c>
      <c r="W418" s="471">
        <f>SUMIFS(Таблица1[Столбец1],Таблица1[коэф],"1,2",Таблица1[р/р],"5/24",Таблица1[Ф. И. О.],B418)</f>
        <v>0</v>
      </c>
      <c r="X418" s="469">
        <f t="shared" si="115"/>
        <v>0</v>
      </c>
      <c r="Y418" s="748"/>
      <c r="Z418" s="750"/>
      <c r="AA418" s="740"/>
      <c r="AC418" s="693" t="str">
        <f>IF(SUMIFS(Таблица1[Столбец3],Таблица1[Ф. И. О.],B418)-Z413=0,"",SUMIFS(Таблица1[Столбец3],Таблица1[Ф. И. О.],B418)-Z413)</f>
        <v/>
      </c>
    </row>
    <row r="419" spans="1:29" ht="18.75">
      <c r="A419" s="740"/>
      <c r="B419" s="201"/>
      <c r="C419" s="743"/>
      <c r="D419" s="746"/>
      <c r="E419" s="370"/>
      <c r="F419" s="367"/>
      <c r="G419" s="377"/>
      <c r="H419" s="369">
        <f t="shared" si="112"/>
        <v>0</v>
      </c>
      <c r="I419" s="366"/>
      <c r="J419" s="367"/>
      <c r="K419" s="411"/>
      <c r="L419" s="461">
        <f t="shared" si="113"/>
        <v>0</v>
      </c>
      <c r="M419" s="409"/>
      <c r="N419" s="411"/>
      <c r="O419" s="411"/>
      <c r="P419" s="411"/>
      <c r="Q419" s="376">
        <f>IF(D413&lt;=3,база!$L$4,
IF(D413=4,база!$L$5,
IF(D413=5,база!$L$6)))</f>
        <v>210.57480000000001</v>
      </c>
      <c r="R419" s="367">
        <v>1.3</v>
      </c>
      <c r="S419" s="468">
        <f>SUMIFS(Таблица1[Столбец1],Таблица1[коэф],"1,3",Таблица1[р/р],"3/16",Таблица1[Ф. И. О.],B418)</f>
        <v>0</v>
      </c>
      <c r="T419" s="469">
        <f t="shared" si="114"/>
        <v>0</v>
      </c>
      <c r="U419" s="449">
        <f>IF(D413&lt;=3,база!$M$4,
IF(D413=4,база!$M$5,
IF(D413=5,база!$M$6)))</f>
        <v>225.09719999999999</v>
      </c>
      <c r="V419" s="367">
        <v>1.3</v>
      </c>
      <c r="W419" s="471">
        <f>SUMIFS(Таблица1[Столбец1],Таблица1[коэф],"1,3",Таблица1[р/р],"3/24",Таблица1[Ф. И. О.],B418)</f>
        <v>0</v>
      </c>
      <c r="X419" s="469">
        <f t="shared" si="115"/>
        <v>0</v>
      </c>
      <c r="Y419" s="748"/>
      <c r="Z419" s="750"/>
      <c r="AA419" s="740"/>
      <c r="AC419" s="693" t="str">
        <f>IF(SUMIFS(Таблица1[Столбец1],Таблица1[Ф. И. О.],B418)=Y413,"",B418&amp;"  часы не верны")</f>
        <v/>
      </c>
    </row>
    <row r="420" spans="1:29" ht="18.75">
      <c r="A420" s="740"/>
      <c r="B420" s="201"/>
      <c r="C420" s="743"/>
      <c r="D420" s="746"/>
      <c r="E420" s="370"/>
      <c r="F420" s="367"/>
      <c r="G420" s="377"/>
      <c r="H420" s="369">
        <f t="shared" si="112"/>
        <v>0</v>
      </c>
      <c r="I420" s="366"/>
      <c r="J420" s="367"/>
      <c r="K420" s="411"/>
      <c r="L420" s="461">
        <f t="shared" si="113"/>
        <v>0</v>
      </c>
      <c r="M420" s="409"/>
      <c r="N420" s="411"/>
      <c r="O420" s="411"/>
      <c r="P420" s="411"/>
      <c r="Q420" s="376">
        <f>база!$L$5</f>
        <v>231.45480000000001</v>
      </c>
      <c r="R420" s="367">
        <v>1.3</v>
      </c>
      <c r="S420" s="468">
        <f>SUMIFS(Таблица1[Столбец1],Таблица1[коэф],"1,3",Таблица1[р/р],"4/16",Таблица1[Ф. И. О.],B418)</f>
        <v>0</v>
      </c>
      <c r="T420" s="469">
        <f t="shared" si="114"/>
        <v>0</v>
      </c>
      <c r="U420" s="449">
        <f>база!$M$5</f>
        <v>247.41720000000001</v>
      </c>
      <c r="V420" s="367">
        <v>1.3</v>
      </c>
      <c r="W420" s="471">
        <f>SUMIFS(Таблица1[Столбец1],Таблица1[коэф],"1,3",Таблица1[р/р],"4/24",Таблица1[Ф. И. О.],B418)</f>
        <v>0</v>
      </c>
      <c r="X420" s="469">
        <f t="shared" si="115"/>
        <v>0</v>
      </c>
      <c r="Y420" s="748"/>
      <c r="Z420" s="750"/>
      <c r="AA420" s="740"/>
    </row>
    <row r="421" spans="1:29" ht="18.75">
      <c r="A421" s="740"/>
      <c r="B421" s="201"/>
      <c r="C421" s="743"/>
      <c r="D421" s="746"/>
      <c r="E421" s="370"/>
      <c r="F421" s="367"/>
      <c r="G421" s="377"/>
      <c r="H421" s="369">
        <f t="shared" si="112"/>
        <v>0</v>
      </c>
      <c r="I421" s="366"/>
      <c r="J421" s="367"/>
      <c r="K421" s="411"/>
      <c r="L421" s="461">
        <f t="shared" si="113"/>
        <v>0</v>
      </c>
      <c r="M421" s="409"/>
      <c r="N421" s="411"/>
      <c r="O421" s="411"/>
      <c r="P421" s="411"/>
      <c r="Q421" s="376">
        <f>IF(D413&lt;=3,база!$L$4,
IF(D413=4,база!$L$5,
IF(D413=5,база!$L$6)))</f>
        <v>210.57480000000001</v>
      </c>
      <c r="R421" s="367">
        <v>1.4</v>
      </c>
      <c r="S421" s="468">
        <f>SUMIFS(Таблица1[Столбец1],Таблица1[коэф],"1,4",Таблица1[р/р],"3/16",Таблица1[Ф. И. О.],B418)</f>
        <v>0</v>
      </c>
      <c r="T421" s="469">
        <f t="shared" si="114"/>
        <v>0</v>
      </c>
      <c r="U421" s="449">
        <f>IF(D413&lt;=3,база!$M$4,
IF(D413=4,база!$M$5,
IF(D413=5,база!$M$6)))</f>
        <v>225.09719999999999</v>
      </c>
      <c r="V421" s="367">
        <v>1.4</v>
      </c>
      <c r="W421" s="471">
        <f>SUMIFS(Таблица1[Столбец1],Таблица1[коэф],"1,4",Таблица1[р/р],"3/24",Таблица1[Ф. И. О.],B418)</f>
        <v>0</v>
      </c>
      <c r="X421" s="469">
        <f t="shared" si="115"/>
        <v>0</v>
      </c>
      <c r="Y421" s="748"/>
      <c r="Z421" s="750"/>
      <c r="AA421" s="740"/>
    </row>
    <row r="422" spans="1:29" ht="18.75">
      <c r="A422" s="740"/>
      <c r="B422" s="201"/>
      <c r="C422" s="743"/>
      <c r="D422" s="746"/>
      <c r="E422" s="370"/>
      <c r="F422" s="367"/>
      <c r="G422" s="377"/>
      <c r="H422" s="369">
        <f t="shared" si="112"/>
        <v>0</v>
      </c>
      <c r="I422" s="366"/>
      <c r="J422" s="367"/>
      <c r="K422" s="411"/>
      <c r="L422" s="372">
        <f t="shared" si="113"/>
        <v>0</v>
      </c>
      <c r="M422" s="409"/>
      <c r="N422" s="411"/>
      <c r="O422" s="411"/>
      <c r="P422" s="411"/>
      <c r="Q422" s="376">
        <f>база!$L$5</f>
        <v>231.45480000000001</v>
      </c>
      <c r="R422" s="367">
        <v>1.4</v>
      </c>
      <c r="S422" s="468">
        <f>SUMIFS(Таблица1[Столбец1],Таблица1[коэф],"1,4",Таблица1[р/р],"4/16",Таблица1[Ф. И. О.],B418)</f>
        <v>0</v>
      </c>
      <c r="T422" s="469">
        <f t="shared" si="114"/>
        <v>0</v>
      </c>
      <c r="U422" s="449">
        <f>база!$M$5</f>
        <v>247.41720000000001</v>
      </c>
      <c r="V422" s="367">
        <v>1.4</v>
      </c>
      <c r="W422" s="471">
        <f>SUMIFS(Таблица1[Столбец1],Таблица1[коэф],"1,4",Таблица1[р/р],"4/24",Таблица1[Ф. И. О.],B418)</f>
        <v>0</v>
      </c>
      <c r="X422" s="469">
        <f t="shared" si="115"/>
        <v>0</v>
      </c>
      <c r="Y422" s="748"/>
      <c r="Z422" s="750"/>
      <c r="AA422" s="740"/>
    </row>
    <row r="423" spans="1:29" ht="19.5" thickBot="1">
      <c r="A423" s="741"/>
      <c r="B423" s="188"/>
      <c r="C423" s="744"/>
      <c r="D423" s="747"/>
      <c r="E423" s="440"/>
      <c r="F423" s="441"/>
      <c r="G423" s="442"/>
      <c r="H423" s="445">
        <f t="shared" si="112"/>
        <v>0</v>
      </c>
      <c r="I423" s="450"/>
      <c r="J423" s="441"/>
      <c r="K423" s="434"/>
      <c r="L423" s="435">
        <f t="shared" si="113"/>
        <v>0</v>
      </c>
      <c r="M423" s="443"/>
      <c r="N423" s="434"/>
      <c r="O423" s="434"/>
      <c r="P423" s="434"/>
      <c r="Q423" s="444">
        <f>база!$L$6</f>
        <v>261.04640000000001</v>
      </c>
      <c r="R423" s="441">
        <v>1.4</v>
      </c>
      <c r="S423" s="489">
        <f>SUMIFS(Таблица1[Столбец1],Таблица1[коэф],"1,4",Таблица1[р/р],"5/16",Таблица1[Ф. И. О.],B418)</f>
        <v>0</v>
      </c>
      <c r="T423" s="490">
        <f t="shared" si="114"/>
        <v>0</v>
      </c>
      <c r="U423" s="451">
        <f>база!$M$6</f>
        <v>279.0496</v>
      </c>
      <c r="V423" s="441">
        <v>1.4</v>
      </c>
      <c r="W423" s="478">
        <f>SUMIFS(Таблица1[Столбец1],Таблица1[коэф],"1,4",Таблица1[р/р],"5/24",Таблица1[Ф. И. О.],B418)</f>
        <v>0</v>
      </c>
      <c r="X423" s="490">
        <f t="shared" si="115"/>
        <v>0</v>
      </c>
      <c r="Y423" s="749"/>
      <c r="Z423" s="751"/>
      <c r="AA423" s="741"/>
    </row>
    <row r="424" spans="1:29" ht="18.75" collapsed="1">
      <c r="A424" s="739">
        <v>39</v>
      </c>
      <c r="B424" s="219"/>
      <c r="C424" s="742">
        <f>INDEX(база!$E$2:$E$81, MATCH(B429,база!$B$2:$B$50,0))</f>
        <v>16944</v>
      </c>
      <c r="D424" s="745">
        <f>INDEX(база!$D$2:$D$89, MATCH(B429,база!$B$2:$B$50,0))</f>
        <v>3</v>
      </c>
      <c r="E424" s="428">
        <f>IF(D424&lt;=3,база!$I$4,
IF(D424=4,база!$I$5,
IF(D424=5,база!$I$6)))</f>
        <v>188.7912</v>
      </c>
      <c r="F424" s="394">
        <v>1</v>
      </c>
      <c r="G424" s="395">
        <f>SUMIFS(Таблица1[Столбец1],Таблица1[коэф],"1",Таблица1[р/р],"2/4",Таблица1[Ф. И. О.],B429)</f>
        <v>0</v>
      </c>
      <c r="H424" s="379">
        <f t="shared" ref="H424:H434" si="120">ROUND(E424*F424*G424*2,2)</f>
        <v>0</v>
      </c>
      <c r="I424" s="354">
        <f>IF(D424&lt;=3,база!$J$4,
IF(D424=4,база!$J$5,
IF(D424=5,база!$J$6)))</f>
        <v>196.05240000000001</v>
      </c>
      <c r="J424" s="355">
        <v>1</v>
      </c>
      <c r="K424" s="405">
        <f>SUMIFS(Таблица1[Столбец1],Таблица1[коэф],"1",Таблица1[р/р],"2/8",Таблица1[Ф. И. О.],B429)</f>
        <v>0</v>
      </c>
      <c r="L424" s="360">
        <f t="shared" ref="L424:L434" si="121">ROUND(I424*J424*K424*2,2)</f>
        <v>0</v>
      </c>
      <c r="M424" s="429"/>
      <c r="N424" s="430">
        <v>1</v>
      </c>
      <c r="O424" s="430">
        <f>SUMIFS(Data_Tech!$AM$3:$AM$67,Data_Tech!$E$3:$E$67,"1",Data_Tech!$G$3:$G$67,"3/12",Data_Tech!$F$3:$F$67,B429)</f>
        <v>0</v>
      </c>
      <c r="P424" s="430">
        <f>ROUND(M424*N424*O424,2)</f>
        <v>0</v>
      </c>
      <c r="Q424" s="393">
        <f>IF(D424&lt;=3,база!$L$4,
IF(D424=4,база!$L$5,
IF(D424=5,база!$L$6)))</f>
        <v>210.57480000000001</v>
      </c>
      <c r="R424" s="394">
        <v>1</v>
      </c>
      <c r="S424" s="472">
        <f>SUMIFS(Таблица1[Столбец1],Таблица1[коэф],"1",Таблица1[р/р],"3/16",Таблица1[Ф. И. О.],B429)</f>
        <v>0</v>
      </c>
      <c r="T424" s="467">
        <f t="shared" ref="T424:T434" si="122">ROUND(Q424*R424*S424*2,2)</f>
        <v>0</v>
      </c>
      <c r="U424" s="448">
        <f>IF(D424&lt;=3,база!$M$4,
IF(D424=4,база!$M$5,
IF(D424=5,база!$M$6)))</f>
        <v>225.09719999999999</v>
      </c>
      <c r="V424" s="355">
        <v>1</v>
      </c>
      <c r="W424" s="474">
        <f>SUMIFS(Таблица1[Столбец1],Таблица1[коэф],"1",Таблица1[р/р],"3/24",Таблица1[Ф. И. О.],B429)</f>
        <v>0</v>
      </c>
      <c r="X424" s="467">
        <f t="shared" ref="X424:X434" si="123">ROUND(U424*V424*W424*2,2)</f>
        <v>0</v>
      </c>
      <c r="Y424" s="748">
        <f t="shared" ref="Y424" si="124">SUM(G424:G434,K424:K434,O424:O434,S424:S434,W424:W434)</f>
        <v>0</v>
      </c>
      <c r="Z424" s="750">
        <f t="shared" ref="Z424" si="125">IFERROR(SUM(H424:H434,L424:L434,T424:T434,X424:X434),"")</f>
        <v>0</v>
      </c>
      <c r="AA424" s="740"/>
    </row>
    <row r="425" spans="1:29" ht="18.75">
      <c r="A425" s="740"/>
      <c r="B425" s="201"/>
      <c r="C425" s="743"/>
      <c r="D425" s="746"/>
      <c r="E425" s="370">
        <f>IF(D424&lt;=3,база!$I$4,
IF(D424=4,база!$I$5,
IF(D424=5,база!$I$6)))</f>
        <v>188.7912</v>
      </c>
      <c r="F425" s="367">
        <v>1</v>
      </c>
      <c r="G425" s="377">
        <f>SUMIFS(Таблица1[Столбец1],Таблица1[коэф],"1",Таблица1[р/р],"3/4",Таблица1[Ф. И. О.],B429)</f>
        <v>0</v>
      </c>
      <c r="H425" s="369">
        <f t="shared" si="120"/>
        <v>0</v>
      </c>
      <c r="I425" s="366">
        <f>IF(D424&lt;=3,база!$J$4,
IF(D424=4,база!$J$5,
IF(D424=5,база!$J$6)))</f>
        <v>196.05240000000001</v>
      </c>
      <c r="J425" s="367">
        <v>1</v>
      </c>
      <c r="K425" s="411">
        <f>SUMIFS(Таблица1[Столбец1],Таблица1[коэф],"1",Таблица1[р/р],"3/8",Таблица1[Ф. И. О.],B429)</f>
        <v>0</v>
      </c>
      <c r="L425" s="461">
        <f t="shared" si="121"/>
        <v>0</v>
      </c>
      <c r="M425" s="409"/>
      <c r="N425" s="411">
        <v>1</v>
      </c>
      <c r="O425" s="411">
        <f>SUMIFS(Data_Tech!$AM$3:$AM$67,Data_Tech!$E$3:$E$67,"1",Data_Tech!$G$3:$G$67,"4/12",Data_Tech!$F$3:$F$67,B429)</f>
        <v>0</v>
      </c>
      <c r="P425" s="411">
        <f>ROUND(M425*O425,2)</f>
        <v>0</v>
      </c>
      <c r="Q425" s="376">
        <f>база!$L$5</f>
        <v>231.45480000000001</v>
      </c>
      <c r="R425" s="367">
        <v>1</v>
      </c>
      <c r="S425" s="468">
        <f>SUMIFS(Таблица1[Столбец1],Таблица1[коэф],"1",Таблица1[р/р],"4/16",Таблица1[Ф. И. О.],B429)</f>
        <v>0</v>
      </c>
      <c r="T425" s="469">
        <f t="shared" si="122"/>
        <v>0</v>
      </c>
      <c r="U425" s="449">
        <f>база!$M$5</f>
        <v>247.41720000000001</v>
      </c>
      <c r="V425" s="367">
        <v>1</v>
      </c>
      <c r="W425" s="471">
        <f>SUMIFS(Таблица1[Столбец1],Таблица1[коэф],"1",Таблица1[р/р],"4/24",Таблица1[Ф. И. О.],B429)</f>
        <v>0</v>
      </c>
      <c r="X425" s="469">
        <f t="shared" si="123"/>
        <v>0</v>
      </c>
      <c r="Y425" s="748"/>
      <c r="Z425" s="750"/>
      <c r="AA425" s="740"/>
    </row>
    <row r="426" spans="1:29" ht="18.75">
      <c r="A426" s="740"/>
      <c r="B426" s="201"/>
      <c r="C426" s="743"/>
      <c r="D426" s="746"/>
      <c r="E426" s="370"/>
      <c r="F426" s="367"/>
      <c r="G426" s="377"/>
      <c r="H426" s="369">
        <f t="shared" si="120"/>
        <v>0</v>
      </c>
      <c r="I426" s="366"/>
      <c r="J426" s="367"/>
      <c r="K426" s="411"/>
      <c r="L426" s="461">
        <f t="shared" si="121"/>
        <v>0</v>
      </c>
      <c r="M426" s="409"/>
      <c r="N426" s="411"/>
      <c r="O426" s="411"/>
      <c r="P426" s="411"/>
      <c r="Q426" s="376">
        <f>база!$L$6</f>
        <v>261.04640000000001</v>
      </c>
      <c r="R426" s="367">
        <v>1</v>
      </c>
      <c r="S426" s="468">
        <f>SUMIFS(Таблица1[Столбец1],Таблица1[коэф],"1",Таблица1[р/р],"5/16",Таблица1[Ф. И. О.],B429)</f>
        <v>0</v>
      </c>
      <c r="T426" s="469">
        <f t="shared" si="122"/>
        <v>0</v>
      </c>
      <c r="U426" s="449">
        <f>база!$M$6</f>
        <v>279.0496</v>
      </c>
      <c r="V426" s="367">
        <v>1</v>
      </c>
      <c r="W426" s="471">
        <f>SUMIFS(Таблица1[Столбец1],Таблица1[коэф],"1",Таблица1[р/р],"5/24",Таблица1[Ф. И. О.],B429)</f>
        <v>0</v>
      </c>
      <c r="X426" s="469">
        <f t="shared" si="123"/>
        <v>0</v>
      </c>
      <c r="Y426" s="748"/>
      <c r="Z426" s="750"/>
      <c r="AA426" s="740"/>
    </row>
    <row r="427" spans="1:29" ht="18.75">
      <c r="A427" s="740"/>
      <c r="B427" s="201"/>
      <c r="C427" s="743"/>
      <c r="D427" s="746"/>
      <c r="E427" s="370"/>
      <c r="F427" s="367"/>
      <c r="G427" s="377"/>
      <c r="H427" s="369">
        <f t="shared" si="120"/>
        <v>0</v>
      </c>
      <c r="I427" s="366">
        <f>база!$J$5</f>
        <v>215.4924</v>
      </c>
      <c r="J427" s="367">
        <v>1.5</v>
      </c>
      <c r="K427" s="411">
        <f>SUMIFS(Таблица1[Столбец1],Таблица1[коэф],"1,5",Таблица1[р/р],"4/8",Таблица1[Ф. И. О.],B429)</f>
        <v>0</v>
      </c>
      <c r="L427" s="461">
        <f t="shared" si="121"/>
        <v>0</v>
      </c>
      <c r="M427" s="409"/>
      <c r="N427" s="411"/>
      <c r="O427" s="411"/>
      <c r="P427" s="411"/>
      <c r="Q427" s="376">
        <f>IF(D424&lt;=3,база!$L$4,
IF(D424=4,база!$L$5,
IF(D424=5,база!$L$6)))</f>
        <v>210.57480000000001</v>
      </c>
      <c r="R427" s="367">
        <v>1.2</v>
      </c>
      <c r="S427" s="468">
        <f>SUMIFS(Таблица1[Столбец1],Таблица1[коэф],"1,2",Таблица1[р/р],"3/16",Таблица1[Ф. И. О.],B429)</f>
        <v>0</v>
      </c>
      <c r="T427" s="469">
        <f t="shared" si="122"/>
        <v>0</v>
      </c>
      <c r="U427" s="449">
        <f>IF(D424&lt;=3,база!$M$4,
IF(D424=4,база!$M$5,
IF(D424=5,база!$M$6)))</f>
        <v>225.09719999999999</v>
      </c>
      <c r="V427" s="367">
        <v>1.2</v>
      </c>
      <c r="W427" s="471">
        <f>SUMIFS(Таблица1[Столбец1],Таблица1[коэф],"1,2",Таблица1[р/р],"3/24",Таблица1[Ф. И. О.],B429)</f>
        <v>0</v>
      </c>
      <c r="X427" s="469">
        <f t="shared" si="123"/>
        <v>0</v>
      </c>
      <c r="Y427" s="748"/>
      <c r="Z427" s="750"/>
      <c r="AA427" s="740"/>
    </row>
    <row r="428" spans="1:29" ht="18.75">
      <c r="A428" s="740"/>
      <c r="B428" s="201"/>
      <c r="C428" s="743"/>
      <c r="D428" s="746"/>
      <c r="E428" s="370"/>
      <c r="F428" s="367"/>
      <c r="G428" s="377"/>
      <c r="H428" s="369">
        <f t="shared" si="120"/>
        <v>0</v>
      </c>
      <c r="I428" s="366">
        <f>база!$J$6</f>
        <v>243.04319999999998</v>
      </c>
      <c r="J428" s="367">
        <v>1.5</v>
      </c>
      <c r="K428" s="411">
        <f>SUMIFS(Таблица1[Столбец1],Таблица1[коэф],"1,5",Таблица1[р/р],"5/8",Таблица1[Ф. И. О.],B429)</f>
        <v>0</v>
      </c>
      <c r="L428" s="461">
        <f t="shared" si="121"/>
        <v>0</v>
      </c>
      <c r="M428" s="409"/>
      <c r="N428" s="411"/>
      <c r="O428" s="411"/>
      <c r="P428" s="411"/>
      <c r="Q428" s="376">
        <f>база!$L$5</f>
        <v>231.45480000000001</v>
      </c>
      <c r="R428" s="367">
        <v>1.2</v>
      </c>
      <c r="S428" s="468">
        <f>SUMIFS(Таблица1[Столбец1],Таблица1[коэф],"1,2",Таблица1[р/р],"4/16",Таблица1[Ф. И. О.],B429)</f>
        <v>0</v>
      </c>
      <c r="T428" s="469">
        <f t="shared" si="122"/>
        <v>0</v>
      </c>
      <c r="U428" s="449">
        <f>база!$M$5</f>
        <v>247.41720000000001</v>
      </c>
      <c r="V428" s="367">
        <v>1.2</v>
      </c>
      <c r="W428" s="471">
        <f>SUMIFS(Таблица1[Столбец1],Таблица1[коэф],"1,2",Таблица1[р/р],"4/24",Таблица1[Ф. И. О.],B429)</f>
        <v>0</v>
      </c>
      <c r="X428" s="469">
        <f t="shared" si="123"/>
        <v>0</v>
      </c>
      <c r="Y428" s="748"/>
      <c r="Z428" s="750"/>
      <c r="AA428" s="740"/>
    </row>
    <row r="429" spans="1:29" ht="18" customHeight="1">
      <c r="A429" s="740"/>
      <c r="B429" s="201" t="str">
        <f>база!B40</f>
        <v>Кравченко Светлана Александровна</v>
      </c>
      <c r="C429" s="743"/>
      <c r="D429" s="746"/>
      <c r="E429" s="370"/>
      <c r="F429" s="367"/>
      <c r="G429" s="377"/>
      <c r="H429" s="369">
        <f t="shared" si="120"/>
        <v>0</v>
      </c>
      <c r="I429" s="366"/>
      <c r="J429" s="367"/>
      <c r="K429" s="411"/>
      <c r="L429" s="461">
        <f t="shared" si="121"/>
        <v>0</v>
      </c>
      <c r="M429" s="409"/>
      <c r="N429" s="411"/>
      <c r="O429" s="411"/>
      <c r="P429" s="411"/>
      <c r="Q429" s="376">
        <f>база!$L$6</f>
        <v>261.04640000000001</v>
      </c>
      <c r="R429" s="367">
        <v>1.2</v>
      </c>
      <c r="S429" s="468">
        <f>SUMIFS(Таблица1[Столбец1],Таблица1[коэф],"1,2",Таблица1[р/р],"5/16",Таблица1[Ф. И. О.],B429)</f>
        <v>0</v>
      </c>
      <c r="T429" s="469">
        <f t="shared" si="122"/>
        <v>0</v>
      </c>
      <c r="U429" s="449">
        <f>база!$M$6</f>
        <v>279.0496</v>
      </c>
      <c r="V429" s="367">
        <v>1.2</v>
      </c>
      <c r="W429" s="471">
        <f>SUMIFS(Таблица1[Столбец1],Таблица1[коэф],"1,2",Таблица1[р/р],"5/24",Таблица1[Ф. И. О.],B429)</f>
        <v>0</v>
      </c>
      <c r="X429" s="469">
        <f t="shared" si="123"/>
        <v>0</v>
      </c>
      <c r="Y429" s="748"/>
      <c r="Z429" s="750"/>
      <c r="AA429" s="740"/>
      <c r="AC429" s="693" t="str">
        <f>IF(SUMIFS(Таблица1[Столбец3],Таблица1[Ф. И. О.],B429)-Z424=0,"",SUMIFS(Таблица1[Столбец3],Таблица1[Ф. И. О.],B429)-Z424)</f>
        <v/>
      </c>
    </row>
    <row r="430" spans="1:29" ht="18.75">
      <c r="A430" s="740"/>
      <c r="B430" s="201"/>
      <c r="C430" s="743"/>
      <c r="D430" s="746"/>
      <c r="E430" s="370"/>
      <c r="F430" s="367"/>
      <c r="G430" s="377"/>
      <c r="H430" s="369">
        <f t="shared" si="120"/>
        <v>0</v>
      </c>
      <c r="I430" s="366"/>
      <c r="J430" s="367"/>
      <c r="K430" s="411"/>
      <c r="L430" s="461">
        <f t="shared" si="121"/>
        <v>0</v>
      </c>
      <c r="M430" s="409"/>
      <c r="N430" s="411"/>
      <c r="O430" s="411"/>
      <c r="P430" s="411"/>
      <c r="Q430" s="376">
        <f>IF(D424&lt;=3,база!$L$4,
IF(D424=4,база!$L$5,
IF(D424=5,база!$L$6)))</f>
        <v>210.57480000000001</v>
      </c>
      <c r="R430" s="367">
        <v>1.3</v>
      </c>
      <c r="S430" s="468">
        <f>SUMIFS(Таблица1[Столбец1],Таблица1[коэф],"1,3",Таблица1[р/р],"3/16",Таблица1[Ф. И. О.],B429)</f>
        <v>0</v>
      </c>
      <c r="T430" s="469">
        <f t="shared" si="122"/>
        <v>0</v>
      </c>
      <c r="U430" s="449">
        <f>IF(D424&lt;=3,база!$M$4,
IF(D424=4,база!$M$5,
IF(D424=5,база!$M$6)))</f>
        <v>225.09719999999999</v>
      </c>
      <c r="V430" s="367">
        <v>1.3</v>
      </c>
      <c r="W430" s="471">
        <f>SUMIFS(Таблица1[Столбец1],Таблица1[коэф],"1,3",Таблица1[р/р],"3/24",Таблица1[Ф. И. О.],B429)</f>
        <v>0</v>
      </c>
      <c r="X430" s="469">
        <f t="shared" si="123"/>
        <v>0</v>
      </c>
      <c r="Y430" s="748"/>
      <c r="Z430" s="750"/>
      <c r="AA430" s="740"/>
      <c r="AC430" s="693" t="str">
        <f>IF(SUMIFS(Таблица1[Столбец1],Таблица1[Ф. И. О.],B429)=Y424,"",B429&amp;"  часы не верны")</f>
        <v/>
      </c>
    </row>
    <row r="431" spans="1:29" ht="18.75">
      <c r="A431" s="740"/>
      <c r="B431" s="201"/>
      <c r="C431" s="743"/>
      <c r="D431" s="746"/>
      <c r="E431" s="370"/>
      <c r="F431" s="367"/>
      <c r="G431" s="377"/>
      <c r="H431" s="369">
        <f t="shared" si="120"/>
        <v>0</v>
      </c>
      <c r="I431" s="366"/>
      <c r="J431" s="367"/>
      <c r="K431" s="411"/>
      <c r="L431" s="461">
        <f t="shared" si="121"/>
        <v>0</v>
      </c>
      <c r="M431" s="409"/>
      <c r="N431" s="411"/>
      <c r="O431" s="411"/>
      <c r="P431" s="411"/>
      <c r="Q431" s="376">
        <f>база!$L$5</f>
        <v>231.45480000000001</v>
      </c>
      <c r="R431" s="367">
        <v>1.3</v>
      </c>
      <c r="S431" s="468">
        <f>SUMIFS(Таблица1[Столбец1],Таблица1[коэф],"1,3",Таблица1[р/р],"4/16",Таблица1[Ф. И. О.],B429)</f>
        <v>0</v>
      </c>
      <c r="T431" s="469">
        <f t="shared" si="122"/>
        <v>0</v>
      </c>
      <c r="U431" s="449">
        <f>база!$M$5</f>
        <v>247.41720000000001</v>
      </c>
      <c r="V431" s="367">
        <v>1.3</v>
      </c>
      <c r="W431" s="471">
        <f>SUMIFS(Таблица1[Столбец1],Таблица1[коэф],"1,3",Таблица1[р/р],"4/24",Таблица1[Ф. И. О.],B429)</f>
        <v>0</v>
      </c>
      <c r="X431" s="469">
        <f t="shared" si="123"/>
        <v>0</v>
      </c>
      <c r="Y431" s="748"/>
      <c r="Z431" s="750"/>
      <c r="AA431" s="740"/>
    </row>
    <row r="432" spans="1:29" ht="18.75">
      <c r="A432" s="740"/>
      <c r="B432" s="201"/>
      <c r="C432" s="743"/>
      <c r="D432" s="746"/>
      <c r="E432" s="370"/>
      <c r="F432" s="367"/>
      <c r="G432" s="377"/>
      <c r="H432" s="369">
        <f t="shared" si="120"/>
        <v>0</v>
      </c>
      <c r="I432" s="366"/>
      <c r="J432" s="367"/>
      <c r="K432" s="411"/>
      <c r="L432" s="461">
        <f t="shared" si="121"/>
        <v>0</v>
      </c>
      <c r="M432" s="409"/>
      <c r="N432" s="411"/>
      <c r="O432" s="411"/>
      <c r="P432" s="411"/>
      <c r="Q432" s="376">
        <f>IF(D424&lt;=3,база!$L$4,
IF(D424=4,база!$L$5,
IF(D424=5,база!$L$6)))</f>
        <v>210.57480000000001</v>
      </c>
      <c r="R432" s="367">
        <v>1.4</v>
      </c>
      <c r="S432" s="468">
        <f>SUMIFS(Таблица1[Столбец1],Таблица1[коэф],"1,4",Таблица1[р/р],"3/16",Таблица1[Ф. И. О.],B429)</f>
        <v>0</v>
      </c>
      <c r="T432" s="469">
        <f t="shared" si="122"/>
        <v>0</v>
      </c>
      <c r="U432" s="449">
        <f>IF(D424&lt;=3,база!$M$4,
IF(D424=4,база!$M$5,
IF(D424=5,база!$M$6)))</f>
        <v>225.09719999999999</v>
      </c>
      <c r="V432" s="367">
        <v>1.4</v>
      </c>
      <c r="W432" s="471">
        <f>SUMIFS(Таблица1[Столбец1],Таблица1[коэф],"1,4",Таблица1[р/р],"3/24",Таблица1[Ф. И. О.],B429)</f>
        <v>0</v>
      </c>
      <c r="X432" s="469">
        <f t="shared" si="123"/>
        <v>0</v>
      </c>
      <c r="Y432" s="748"/>
      <c r="Z432" s="750"/>
      <c r="AA432" s="740"/>
    </row>
    <row r="433" spans="1:29" ht="18.75">
      <c r="A433" s="740"/>
      <c r="B433" s="201"/>
      <c r="C433" s="743"/>
      <c r="D433" s="746"/>
      <c r="E433" s="370"/>
      <c r="F433" s="367"/>
      <c r="G433" s="377"/>
      <c r="H433" s="369">
        <f t="shared" si="120"/>
        <v>0</v>
      </c>
      <c r="I433" s="366"/>
      <c r="J433" s="367"/>
      <c r="K433" s="411"/>
      <c r="L433" s="372">
        <f t="shared" si="121"/>
        <v>0</v>
      </c>
      <c r="M433" s="409"/>
      <c r="N433" s="411"/>
      <c r="O433" s="411"/>
      <c r="P433" s="411"/>
      <c r="Q433" s="376">
        <f>база!$L$5</f>
        <v>231.45480000000001</v>
      </c>
      <c r="R433" s="367">
        <v>1.4</v>
      </c>
      <c r="S433" s="468">
        <f>SUMIFS(Таблица1[Столбец1],Таблица1[коэф],"1,4",Таблица1[р/р],"4/16",Таблица1[Ф. И. О.],B429)</f>
        <v>0</v>
      </c>
      <c r="T433" s="469">
        <f t="shared" si="122"/>
        <v>0</v>
      </c>
      <c r="U433" s="449">
        <f>база!$M$5</f>
        <v>247.41720000000001</v>
      </c>
      <c r="V433" s="367">
        <v>1.4</v>
      </c>
      <c r="W433" s="471">
        <f>SUMIFS(Таблица1[Столбец1],Таблица1[коэф],"1,4",Таблица1[р/р],"4/24",Таблица1[Ф. И. О.],B429)</f>
        <v>0</v>
      </c>
      <c r="X433" s="469">
        <f t="shared" si="123"/>
        <v>0</v>
      </c>
      <c r="Y433" s="748"/>
      <c r="Z433" s="750"/>
      <c r="AA433" s="740"/>
    </row>
    <row r="434" spans="1:29" ht="19.5" thickBot="1">
      <c r="A434" s="741"/>
      <c r="B434" s="188"/>
      <c r="C434" s="744"/>
      <c r="D434" s="747"/>
      <c r="E434" s="440"/>
      <c r="F434" s="441"/>
      <c r="G434" s="442"/>
      <c r="H434" s="445">
        <f t="shared" si="120"/>
        <v>0</v>
      </c>
      <c r="I434" s="450"/>
      <c r="J434" s="441"/>
      <c r="K434" s="434"/>
      <c r="L434" s="435">
        <f t="shared" si="121"/>
        <v>0</v>
      </c>
      <c r="M434" s="443"/>
      <c r="N434" s="434"/>
      <c r="O434" s="434"/>
      <c r="P434" s="434"/>
      <c r="Q434" s="444">
        <f>база!$L$6</f>
        <v>261.04640000000001</v>
      </c>
      <c r="R434" s="441">
        <v>1.4</v>
      </c>
      <c r="S434" s="489">
        <f>SUMIFS(Таблица1[Столбец1],Таблица1[коэф],"1,4",Таблица1[р/р],"5/16",Таблица1[Ф. И. О.],B429)</f>
        <v>0</v>
      </c>
      <c r="T434" s="490">
        <f t="shared" si="122"/>
        <v>0</v>
      </c>
      <c r="U434" s="451">
        <f>база!$M$6</f>
        <v>279.0496</v>
      </c>
      <c r="V434" s="441">
        <v>1.4</v>
      </c>
      <c r="W434" s="478">
        <f>SUMIFS(Таблица1[Столбец1],Таблица1[коэф],"1,4",Таблица1[р/р],"5/24",Таблица1[Ф. И. О.],B429)</f>
        <v>0</v>
      </c>
      <c r="X434" s="490">
        <f t="shared" si="123"/>
        <v>0</v>
      </c>
      <c r="Y434" s="749"/>
      <c r="Z434" s="751"/>
      <c r="AA434" s="741"/>
    </row>
    <row r="435" spans="1:29" ht="18.75" collapsed="1">
      <c r="A435" s="739">
        <v>40</v>
      </c>
      <c r="B435" s="219"/>
      <c r="C435" s="742">
        <f>INDEX(база!$E$2:$E$81, MATCH(B440,база!$B$2:$B$50,0))</f>
        <v>17281</v>
      </c>
      <c r="D435" s="745">
        <f>INDEX(база!$D$2:$D$89, MATCH(B440,база!$B$2:$B$50,0))</f>
        <v>3</v>
      </c>
      <c r="E435" s="428">
        <f>IF(D435&lt;=3,база!$I$4,
IF(D435=4,база!$I$5,
IF(D435=5,база!$I$6)))</f>
        <v>188.7912</v>
      </c>
      <c r="F435" s="394">
        <v>1</v>
      </c>
      <c r="G435" s="395">
        <f>SUMIFS(Таблица1[Столбец1],Таблица1[коэф],"1",Таблица1[р/р],"2/4",Таблица1[Ф. И. О.],B440)</f>
        <v>0</v>
      </c>
      <c r="H435" s="379">
        <f t="shared" ref="H435:H445" si="126">ROUND(E435*F435*G435*2,2)</f>
        <v>0</v>
      </c>
      <c r="I435" s="354">
        <f>IF(D435&lt;=3,база!$J$4,
IF(D435=4,база!$J$5,
IF(D435=5,база!$J$6)))</f>
        <v>196.05240000000001</v>
      </c>
      <c r="J435" s="355">
        <v>1</v>
      </c>
      <c r="K435" s="405">
        <f>SUMIFS(Таблица1[Столбец1],Таблица1[коэф],"1",Таблица1[р/р],"2/8",Таблица1[Ф. И. О.],B440)</f>
        <v>0</v>
      </c>
      <c r="L435" s="360">
        <f t="shared" ref="L435:L445" si="127">ROUND(I435*J435*K435*2,2)</f>
        <v>0</v>
      </c>
      <c r="M435" s="429"/>
      <c r="N435" s="430">
        <v>1</v>
      </c>
      <c r="O435" s="430">
        <f>SUMIFS(Data_Tech!$AM$3:$AM$67,Data_Tech!$E$3:$E$67,"1",Data_Tech!$G$3:$G$67,"3/12",Data_Tech!$F$3:$F$67,B440)</f>
        <v>0</v>
      </c>
      <c r="P435" s="430">
        <f>ROUND(M435*N435*O435,2)</f>
        <v>0</v>
      </c>
      <c r="Q435" s="393">
        <f>IF(D435&lt;=3,база!$L$4,
IF(D435=4,база!$L$5,
IF(D435=5,база!$L$6)))</f>
        <v>210.57480000000001</v>
      </c>
      <c r="R435" s="394">
        <v>1</v>
      </c>
      <c r="S435" s="472">
        <f>SUMIFS(Таблица1[Столбец1],Таблица1[коэф],"1",Таблица1[р/р],"3/16",Таблица1[Ф. И. О.],B440)</f>
        <v>0</v>
      </c>
      <c r="T435" s="467">
        <f t="shared" ref="T435:T445" si="128">ROUND(Q435*R435*S435*2,2)</f>
        <v>0</v>
      </c>
      <c r="U435" s="448">
        <f>IF(D435&lt;=3,база!$M$4,
IF(D435=4,база!$M$5,
IF(D435=5,база!$M$6)))</f>
        <v>225.09719999999999</v>
      </c>
      <c r="V435" s="355">
        <v>1</v>
      </c>
      <c r="W435" s="474">
        <f>SUMIFS(Таблица1[Столбец1],Таблица1[коэф],"1",Таблица1[р/р],"3/24",Таблица1[Ф. И. О.],B440)</f>
        <v>0</v>
      </c>
      <c r="X435" s="467">
        <f t="shared" ref="X435:X445" si="129">ROUND(U435*V435*W435*2,2)</f>
        <v>0</v>
      </c>
      <c r="Y435" s="748">
        <f t="shared" ref="Y435" si="130">SUM(G435:G445,K435:K445,O435:O445,S435:S445,W435:W445)</f>
        <v>0</v>
      </c>
      <c r="Z435" s="750">
        <f t="shared" ref="Z435" si="131">IFERROR(SUM(H435:H445,L435:L445,T435:T445,X435:X445),"")</f>
        <v>0</v>
      </c>
      <c r="AA435" s="740"/>
    </row>
    <row r="436" spans="1:29" ht="18.75">
      <c r="A436" s="740"/>
      <c r="B436" s="201"/>
      <c r="C436" s="743"/>
      <c r="D436" s="746"/>
      <c r="E436" s="370">
        <f>IF(D435&lt;=3,база!$I$4,
IF(D435=4,база!$I$5,
IF(D435=5,база!$I$6)))</f>
        <v>188.7912</v>
      </c>
      <c r="F436" s="367">
        <v>1</v>
      </c>
      <c r="G436" s="377">
        <f>SUMIFS(Таблица1[Столбец1],Таблица1[коэф],"1",Таблица1[р/р],"3/4",Таблица1[Ф. И. О.],B440)</f>
        <v>0</v>
      </c>
      <c r="H436" s="369">
        <f t="shared" si="126"/>
        <v>0</v>
      </c>
      <c r="I436" s="366">
        <f>IF(D435&lt;=3,база!$J$4,
IF(D435=4,база!$J$5,
IF(D435=5,база!$J$6)))</f>
        <v>196.05240000000001</v>
      </c>
      <c r="J436" s="367">
        <v>1</v>
      </c>
      <c r="K436" s="411">
        <f>SUMIFS(Таблица1[Столбец1],Таблица1[коэф],"1",Таблица1[р/р],"3/8",Таблица1[Ф. И. О.],B440)</f>
        <v>0</v>
      </c>
      <c r="L436" s="461">
        <f t="shared" si="127"/>
        <v>0</v>
      </c>
      <c r="M436" s="409"/>
      <c r="N436" s="411">
        <v>1</v>
      </c>
      <c r="O436" s="411">
        <f>SUMIFS(Data_Tech!$AM$3:$AM$67,Data_Tech!$E$3:$E$67,"1",Data_Tech!$G$3:$G$67,"4/12",Data_Tech!$F$3:$F$67,B440)</f>
        <v>0</v>
      </c>
      <c r="P436" s="411">
        <f>ROUND(M436*O436,2)</f>
        <v>0</v>
      </c>
      <c r="Q436" s="376">
        <f>база!$L$5</f>
        <v>231.45480000000001</v>
      </c>
      <c r="R436" s="367">
        <v>1</v>
      </c>
      <c r="S436" s="468">
        <f>SUMIFS(Таблица1[Столбец1],Таблица1[коэф],"1",Таблица1[р/р],"4/16",Таблица1[Ф. И. О.],B440)</f>
        <v>0</v>
      </c>
      <c r="T436" s="469">
        <f t="shared" si="128"/>
        <v>0</v>
      </c>
      <c r="U436" s="449">
        <f>база!$M$5</f>
        <v>247.41720000000001</v>
      </c>
      <c r="V436" s="367">
        <v>1</v>
      </c>
      <c r="W436" s="471">
        <f>SUMIFS(Таблица1[Столбец1],Таблица1[коэф],"1",Таблица1[р/р],"4/24",Таблица1[Ф. И. О.],B440)</f>
        <v>0</v>
      </c>
      <c r="X436" s="469">
        <f t="shared" si="129"/>
        <v>0</v>
      </c>
      <c r="Y436" s="748"/>
      <c r="Z436" s="750"/>
      <c r="AA436" s="740"/>
    </row>
    <row r="437" spans="1:29" ht="18.75">
      <c r="A437" s="740"/>
      <c r="B437" s="201"/>
      <c r="C437" s="743"/>
      <c r="D437" s="746"/>
      <c r="E437" s="370"/>
      <c r="F437" s="367"/>
      <c r="G437" s="377"/>
      <c r="H437" s="369">
        <f t="shared" si="126"/>
        <v>0</v>
      </c>
      <c r="I437" s="366"/>
      <c r="J437" s="367"/>
      <c r="K437" s="411"/>
      <c r="L437" s="461">
        <f t="shared" si="127"/>
        <v>0</v>
      </c>
      <c r="M437" s="409"/>
      <c r="N437" s="411"/>
      <c r="O437" s="411"/>
      <c r="P437" s="411"/>
      <c r="Q437" s="376">
        <f>база!$L$6</f>
        <v>261.04640000000001</v>
      </c>
      <c r="R437" s="367">
        <v>1</v>
      </c>
      <c r="S437" s="468">
        <f>SUMIFS(Таблица1[Столбец1],Таблица1[коэф],"1",Таблица1[р/р],"5/16",Таблица1[Ф. И. О.],B440)</f>
        <v>0</v>
      </c>
      <c r="T437" s="469">
        <f t="shared" si="128"/>
        <v>0</v>
      </c>
      <c r="U437" s="449">
        <f>база!$M$6</f>
        <v>279.0496</v>
      </c>
      <c r="V437" s="367">
        <v>1</v>
      </c>
      <c r="W437" s="471">
        <f>SUMIFS(Таблица1[Столбец1],Таблица1[коэф],"1",Таблица1[р/р],"5/24",Таблица1[Ф. И. О.],B440)</f>
        <v>0</v>
      </c>
      <c r="X437" s="469">
        <f t="shared" si="129"/>
        <v>0</v>
      </c>
      <c r="Y437" s="748"/>
      <c r="Z437" s="750"/>
      <c r="AA437" s="740"/>
    </row>
    <row r="438" spans="1:29" ht="18.75">
      <c r="A438" s="740"/>
      <c r="B438" s="201"/>
      <c r="C438" s="743"/>
      <c r="D438" s="746"/>
      <c r="E438" s="370"/>
      <c r="F438" s="367"/>
      <c r="G438" s="377"/>
      <c r="H438" s="369">
        <f t="shared" si="126"/>
        <v>0</v>
      </c>
      <c r="I438" s="366">
        <f>база!$J$5</f>
        <v>215.4924</v>
      </c>
      <c r="J438" s="367">
        <v>1.5</v>
      </c>
      <c r="K438" s="411">
        <f>SUMIFS(Таблица1[Столбец1],Таблица1[коэф],"1,5",Таблица1[р/р],"4/8",Таблица1[Ф. И. О.],B440)</f>
        <v>0</v>
      </c>
      <c r="L438" s="461">
        <f t="shared" si="127"/>
        <v>0</v>
      </c>
      <c r="M438" s="409"/>
      <c r="N438" s="411"/>
      <c r="O438" s="411"/>
      <c r="P438" s="411"/>
      <c r="Q438" s="376">
        <f>IF(D435&lt;=3,база!$L$4,
IF(D435=4,база!$L$5,
IF(D435=5,база!$L$6)))</f>
        <v>210.57480000000001</v>
      </c>
      <c r="R438" s="367">
        <v>1.2</v>
      </c>
      <c r="S438" s="468">
        <f>SUMIFS(Таблица1[Столбец1],Таблица1[коэф],"1,2",Таблица1[р/р],"3/16",Таблица1[Ф. И. О.],B440)</f>
        <v>0</v>
      </c>
      <c r="T438" s="469">
        <f t="shared" si="128"/>
        <v>0</v>
      </c>
      <c r="U438" s="449">
        <f>IF(D435&lt;=3,база!$M$4,
IF(D435=4,база!$M$5,
IF(D435=5,база!$M$6)))</f>
        <v>225.09719999999999</v>
      </c>
      <c r="V438" s="367">
        <v>1.2</v>
      </c>
      <c r="W438" s="471">
        <f>SUMIFS(Таблица1[Столбец1],Таблица1[коэф],"1,2",Таблица1[р/р],"3/24",Таблица1[Ф. И. О.],B440)</f>
        <v>0</v>
      </c>
      <c r="X438" s="469">
        <f t="shared" si="129"/>
        <v>0</v>
      </c>
      <c r="Y438" s="748"/>
      <c r="Z438" s="750"/>
      <c r="AA438" s="740"/>
    </row>
    <row r="439" spans="1:29" ht="18.75">
      <c r="A439" s="740"/>
      <c r="B439" s="201"/>
      <c r="C439" s="743"/>
      <c r="D439" s="746"/>
      <c r="E439" s="370"/>
      <c r="F439" s="367"/>
      <c r="G439" s="377"/>
      <c r="H439" s="369">
        <f t="shared" si="126"/>
        <v>0</v>
      </c>
      <c r="I439" s="366">
        <f>база!$J$6</f>
        <v>243.04319999999998</v>
      </c>
      <c r="J439" s="367">
        <v>1.5</v>
      </c>
      <c r="K439" s="411">
        <f>SUMIFS(Таблица1[Столбец1],Таблица1[коэф],"1,5",Таблица1[р/р],"5/8",Таблица1[Ф. И. О.],B440)</f>
        <v>0</v>
      </c>
      <c r="L439" s="461">
        <f t="shared" si="127"/>
        <v>0</v>
      </c>
      <c r="M439" s="409"/>
      <c r="N439" s="411"/>
      <c r="O439" s="411"/>
      <c r="P439" s="411"/>
      <c r="Q439" s="376">
        <f>база!$L$5</f>
        <v>231.45480000000001</v>
      </c>
      <c r="R439" s="367">
        <v>1.2</v>
      </c>
      <c r="S439" s="468">
        <f>SUMIFS(Таблица1[Столбец1],Таблица1[коэф],"1,2",Таблица1[р/р],"4/16",Таблица1[Ф. И. О.],B440)</f>
        <v>0</v>
      </c>
      <c r="T439" s="469">
        <f t="shared" si="128"/>
        <v>0</v>
      </c>
      <c r="U439" s="449">
        <f>база!$M$5</f>
        <v>247.41720000000001</v>
      </c>
      <c r="V439" s="367">
        <v>1.2</v>
      </c>
      <c r="W439" s="471">
        <f>SUMIFS(Таблица1[Столбец1],Таблица1[коэф],"1,2",Таблица1[р/р],"4/24",Таблица1[Ф. И. О.],B440)</f>
        <v>0</v>
      </c>
      <c r="X439" s="469">
        <f t="shared" si="129"/>
        <v>0</v>
      </c>
      <c r="Y439" s="748"/>
      <c r="Z439" s="750"/>
      <c r="AA439" s="740"/>
    </row>
    <row r="440" spans="1:29" ht="18" customHeight="1">
      <c r="A440" s="740"/>
      <c r="B440" s="201" t="str">
        <f>база!B41</f>
        <v>Лапина Елена Сергеевна</v>
      </c>
      <c r="C440" s="743"/>
      <c r="D440" s="746"/>
      <c r="E440" s="370"/>
      <c r="F440" s="367"/>
      <c r="G440" s="377"/>
      <c r="H440" s="369">
        <f t="shared" si="126"/>
        <v>0</v>
      </c>
      <c r="I440" s="366"/>
      <c r="J440" s="367"/>
      <c r="K440" s="411"/>
      <c r="L440" s="461">
        <f t="shared" si="127"/>
        <v>0</v>
      </c>
      <c r="M440" s="409"/>
      <c r="N440" s="411"/>
      <c r="O440" s="411"/>
      <c r="P440" s="411"/>
      <c r="Q440" s="376">
        <f>база!$L$6</f>
        <v>261.04640000000001</v>
      </c>
      <c r="R440" s="367">
        <v>1.2</v>
      </c>
      <c r="S440" s="468">
        <f>SUMIFS(Таблица1[Столбец1],Таблица1[коэф],"1,2",Таблица1[р/р],"5/16",Таблица1[Ф. И. О.],B440)</f>
        <v>0</v>
      </c>
      <c r="T440" s="469">
        <f t="shared" si="128"/>
        <v>0</v>
      </c>
      <c r="U440" s="449">
        <f>база!$M$6</f>
        <v>279.0496</v>
      </c>
      <c r="V440" s="367">
        <v>1.2</v>
      </c>
      <c r="W440" s="471">
        <f>SUMIFS(Таблица1[Столбец1],Таблица1[коэф],"1,2",Таблица1[р/р],"5/24",Таблица1[Ф. И. О.],B440)</f>
        <v>0</v>
      </c>
      <c r="X440" s="469">
        <f t="shared" si="129"/>
        <v>0</v>
      </c>
      <c r="Y440" s="748"/>
      <c r="Z440" s="750"/>
      <c r="AA440" s="740"/>
      <c r="AC440" s="693" t="str">
        <f>IF(SUMIFS(Таблица1[Столбец3],Таблица1[Ф. И. О.],B440)-Z435=0,"",SUMIFS(Таблица1[Столбец3],Таблица1[Ф. И. О.],B440)-Z435)</f>
        <v/>
      </c>
    </row>
    <row r="441" spans="1:29" ht="18.75">
      <c r="A441" s="740"/>
      <c r="B441" s="201"/>
      <c r="C441" s="743"/>
      <c r="D441" s="746"/>
      <c r="E441" s="370"/>
      <c r="F441" s="367"/>
      <c r="G441" s="377"/>
      <c r="H441" s="369">
        <f t="shared" si="126"/>
        <v>0</v>
      </c>
      <c r="I441" s="366"/>
      <c r="J441" s="367"/>
      <c r="K441" s="411"/>
      <c r="L441" s="461">
        <f t="shared" si="127"/>
        <v>0</v>
      </c>
      <c r="M441" s="409"/>
      <c r="N441" s="411"/>
      <c r="O441" s="411"/>
      <c r="P441" s="411"/>
      <c r="Q441" s="376">
        <f>IF(D435&lt;=3,база!$L$4,
IF(D435=4,база!$L$5,
IF(D435=5,база!$L$6)))</f>
        <v>210.57480000000001</v>
      </c>
      <c r="R441" s="367">
        <v>1.3</v>
      </c>
      <c r="S441" s="468">
        <f>SUMIFS(Таблица1[Столбец1],Таблица1[коэф],"1,3",Таблица1[р/р],"3/16",Таблица1[Ф. И. О.],B440)</f>
        <v>0</v>
      </c>
      <c r="T441" s="469">
        <f t="shared" si="128"/>
        <v>0</v>
      </c>
      <c r="U441" s="449">
        <f>IF(D435&lt;=3,база!$M$4,
IF(D435=4,база!$M$5,
IF(D435=5,база!$M$6)))</f>
        <v>225.09719999999999</v>
      </c>
      <c r="V441" s="367">
        <v>1.3</v>
      </c>
      <c r="W441" s="471">
        <f>SUMIFS(Таблица1[Столбец1],Таблица1[коэф],"1,3",Таблица1[р/р],"3/24",Таблица1[Ф. И. О.],B440)</f>
        <v>0</v>
      </c>
      <c r="X441" s="469">
        <f t="shared" si="129"/>
        <v>0</v>
      </c>
      <c r="Y441" s="748"/>
      <c r="Z441" s="750"/>
      <c r="AA441" s="740"/>
      <c r="AC441" s="693" t="str">
        <f>IF(SUMIFS(Таблица1[Столбец1],Таблица1[Ф. И. О.],B440)=Y435,"",B440&amp;"  часы не верны")</f>
        <v/>
      </c>
    </row>
    <row r="442" spans="1:29" ht="18.75">
      <c r="A442" s="740"/>
      <c r="B442" s="201"/>
      <c r="C442" s="743"/>
      <c r="D442" s="746"/>
      <c r="E442" s="370"/>
      <c r="F442" s="367"/>
      <c r="G442" s="377"/>
      <c r="H442" s="369">
        <f t="shared" si="126"/>
        <v>0</v>
      </c>
      <c r="I442" s="366"/>
      <c r="J442" s="367"/>
      <c r="K442" s="411"/>
      <c r="L442" s="461">
        <f t="shared" si="127"/>
        <v>0</v>
      </c>
      <c r="M442" s="409"/>
      <c r="N442" s="411"/>
      <c r="O442" s="411"/>
      <c r="P442" s="411"/>
      <c r="Q442" s="376">
        <f>база!$L$5</f>
        <v>231.45480000000001</v>
      </c>
      <c r="R442" s="367">
        <v>1.3</v>
      </c>
      <c r="S442" s="468">
        <f>SUMIFS(Таблица1[Столбец1],Таблица1[коэф],"1,3",Таблица1[р/р],"4/16",Таблица1[Ф. И. О.],B440)</f>
        <v>0</v>
      </c>
      <c r="T442" s="469">
        <f t="shared" si="128"/>
        <v>0</v>
      </c>
      <c r="U442" s="449">
        <f>база!$M$5</f>
        <v>247.41720000000001</v>
      </c>
      <c r="V442" s="367">
        <v>1.3</v>
      </c>
      <c r="W442" s="471">
        <f>SUMIFS(Таблица1[Столбец1],Таблица1[коэф],"1,3",Таблица1[р/р],"4/24",Таблица1[Ф. И. О.],B440)</f>
        <v>0</v>
      </c>
      <c r="X442" s="469">
        <f t="shared" si="129"/>
        <v>0</v>
      </c>
      <c r="Y442" s="748"/>
      <c r="Z442" s="750"/>
      <c r="AA442" s="740"/>
    </row>
    <row r="443" spans="1:29" ht="18.75">
      <c r="A443" s="740"/>
      <c r="B443" s="201"/>
      <c r="C443" s="743"/>
      <c r="D443" s="746"/>
      <c r="E443" s="370"/>
      <c r="F443" s="367"/>
      <c r="G443" s="377"/>
      <c r="H443" s="369">
        <f t="shared" si="126"/>
        <v>0</v>
      </c>
      <c r="I443" s="366"/>
      <c r="J443" s="367"/>
      <c r="K443" s="411"/>
      <c r="L443" s="461">
        <f t="shared" si="127"/>
        <v>0</v>
      </c>
      <c r="M443" s="409"/>
      <c r="N443" s="411"/>
      <c r="O443" s="411"/>
      <c r="P443" s="411"/>
      <c r="Q443" s="376">
        <f>IF(D435&lt;=3,база!$L$4,
IF(D435=4,база!$L$5,
IF(D435=5,база!$L$6)))</f>
        <v>210.57480000000001</v>
      </c>
      <c r="R443" s="367">
        <v>1.4</v>
      </c>
      <c r="S443" s="468">
        <f>SUMIFS(Таблица1[Столбец1],Таблица1[коэф],"1,4",Таблица1[р/р],"3/16",Таблица1[Ф. И. О.],B440)</f>
        <v>0</v>
      </c>
      <c r="T443" s="469">
        <f t="shared" si="128"/>
        <v>0</v>
      </c>
      <c r="U443" s="449">
        <f>IF(D435&lt;=3,база!$M$4,
IF(D435=4,база!$M$5,
IF(D435=5,база!$M$6)))</f>
        <v>225.09719999999999</v>
      </c>
      <c r="V443" s="367">
        <v>1.4</v>
      </c>
      <c r="W443" s="471">
        <f>SUMIFS(Таблица1[Столбец1],Таблица1[коэф],"1,4",Таблица1[р/р],"3/24",Таблица1[Ф. И. О.],B440)</f>
        <v>0</v>
      </c>
      <c r="X443" s="469">
        <f t="shared" si="129"/>
        <v>0</v>
      </c>
      <c r="Y443" s="748"/>
      <c r="Z443" s="750"/>
      <c r="AA443" s="740"/>
    </row>
    <row r="444" spans="1:29" ht="18.75">
      <c r="A444" s="740"/>
      <c r="B444" s="201"/>
      <c r="C444" s="743"/>
      <c r="D444" s="746"/>
      <c r="E444" s="370"/>
      <c r="F444" s="367"/>
      <c r="G444" s="377"/>
      <c r="H444" s="369">
        <f t="shared" si="126"/>
        <v>0</v>
      </c>
      <c r="I444" s="366"/>
      <c r="J444" s="367"/>
      <c r="K444" s="411"/>
      <c r="L444" s="372">
        <f t="shared" si="127"/>
        <v>0</v>
      </c>
      <c r="M444" s="409"/>
      <c r="N444" s="411"/>
      <c r="O444" s="411"/>
      <c r="P444" s="411"/>
      <c r="Q444" s="376">
        <f>база!$L$5</f>
        <v>231.45480000000001</v>
      </c>
      <c r="R444" s="367">
        <v>1.4</v>
      </c>
      <c r="S444" s="468">
        <f>SUMIFS(Таблица1[Столбец1],Таблица1[коэф],"1,4",Таблица1[р/р],"4/16",Таблица1[Ф. И. О.],B440)</f>
        <v>0</v>
      </c>
      <c r="T444" s="469">
        <f t="shared" si="128"/>
        <v>0</v>
      </c>
      <c r="U444" s="449">
        <f>база!$M$5</f>
        <v>247.41720000000001</v>
      </c>
      <c r="V444" s="367">
        <v>1.4</v>
      </c>
      <c r="W444" s="471">
        <f>SUMIFS(Таблица1[Столбец1],Таблица1[коэф],"1,4",Таблица1[р/р],"4/24",Таблица1[Ф. И. О.],B440)</f>
        <v>0</v>
      </c>
      <c r="X444" s="469">
        <f t="shared" si="129"/>
        <v>0</v>
      </c>
      <c r="Y444" s="748"/>
      <c r="Z444" s="750"/>
      <c r="AA444" s="740"/>
    </row>
    <row r="445" spans="1:29" ht="19.5" thickBot="1">
      <c r="A445" s="741"/>
      <c r="B445" s="188"/>
      <c r="C445" s="744"/>
      <c r="D445" s="747"/>
      <c r="E445" s="440"/>
      <c r="F445" s="441"/>
      <c r="G445" s="442"/>
      <c r="H445" s="445">
        <f t="shared" si="126"/>
        <v>0</v>
      </c>
      <c r="I445" s="450"/>
      <c r="J445" s="441"/>
      <c r="K445" s="434"/>
      <c r="L445" s="435">
        <f t="shared" si="127"/>
        <v>0</v>
      </c>
      <c r="M445" s="443"/>
      <c r="N445" s="434"/>
      <c r="O445" s="434"/>
      <c r="P445" s="434"/>
      <c r="Q445" s="444">
        <f>база!$L$6</f>
        <v>261.04640000000001</v>
      </c>
      <c r="R445" s="441">
        <v>1.4</v>
      </c>
      <c r="S445" s="489">
        <f>SUMIFS(Таблица1[Столбец1],Таблица1[коэф],"1,4",Таблица1[р/р],"5/16",Таблица1[Ф. И. О.],B440)</f>
        <v>0</v>
      </c>
      <c r="T445" s="490">
        <f t="shared" si="128"/>
        <v>0</v>
      </c>
      <c r="U445" s="451">
        <f>база!$M$6</f>
        <v>279.0496</v>
      </c>
      <c r="V445" s="441">
        <v>1.4</v>
      </c>
      <c r="W445" s="478">
        <f>SUMIFS(Таблица1[Столбец1],Таблица1[коэф],"1,4",Таблица1[р/р],"5/24",Таблица1[Ф. И. О.],B440)</f>
        <v>0</v>
      </c>
      <c r="X445" s="490">
        <f t="shared" si="129"/>
        <v>0</v>
      </c>
      <c r="Y445" s="749"/>
      <c r="Z445" s="751"/>
      <c r="AA445" s="741"/>
    </row>
    <row r="446" spans="1:29" ht="16.5" customHeight="1" collapsed="1">
      <c r="A446" s="739">
        <v>41</v>
      </c>
      <c r="B446" s="219"/>
      <c r="C446" s="742">
        <f>INDEX(база!$E$2:$E$81, MATCH(B451,база!$B$2:$B$50,0))</f>
        <v>13859</v>
      </c>
      <c r="D446" s="745">
        <f>INDEX(база!$D$2:$D$89, MATCH(B451,база!$B$2:$B$50,0))</f>
        <v>4</v>
      </c>
      <c r="E446" s="428">
        <f>IF(D446&lt;=3,база!$I$4,
IF(D446=4,база!$I$5,
IF(D446=5,база!$I$6)))</f>
        <v>207.5112</v>
      </c>
      <c r="F446" s="394">
        <v>1</v>
      </c>
      <c r="G446" s="395">
        <f>SUMIFS(Таблица1[Столбец1],Таблица1[коэф],"1",Таблица1[р/р],"2/4",Таблица1[Ф. И. О.],B451)</f>
        <v>0</v>
      </c>
      <c r="H446" s="379">
        <f t="shared" ref="H446:H456" si="132">ROUND(E446*F446*G446*2,2)</f>
        <v>0</v>
      </c>
      <c r="I446" s="354">
        <f>IF(D446&lt;=3,база!$J$4,
IF(D446=4,база!$J$5,
IF(D446=5,база!$J$6)))</f>
        <v>215.4924</v>
      </c>
      <c r="J446" s="355">
        <v>1</v>
      </c>
      <c r="K446" s="405">
        <f>SUMIFS(Таблица1[Столбец1],Таблица1[коэф],"1",Таблица1[р/р],"2/8",Таблица1[Ф. И. О.],B451)</f>
        <v>0</v>
      </c>
      <c r="L446" s="360">
        <f t="shared" ref="L446:L456" si="133">ROUND(I446*J446*K446*2,2)</f>
        <v>0</v>
      </c>
      <c r="M446" s="429"/>
      <c r="N446" s="430">
        <v>1</v>
      </c>
      <c r="O446" s="430">
        <f>SUMIFS(Data_Tech!$AM$3:$AM$67,Data_Tech!$E$3:$E$67,"1",Data_Tech!$G$3:$G$67,"3/12",Data_Tech!$F$3:$F$67,B451)</f>
        <v>0</v>
      </c>
      <c r="P446" s="430">
        <f>ROUND(M446*N446*O446,2)</f>
        <v>0</v>
      </c>
      <c r="Q446" s="393">
        <f>IF(D446&lt;=3,база!$L$4,
IF(D446=4,база!$L$5,
IF(D446=5,база!$L$6)))</f>
        <v>231.45480000000001</v>
      </c>
      <c r="R446" s="394">
        <v>1</v>
      </c>
      <c r="S446" s="472">
        <f>SUMIFS(Таблица1[Столбец1],Таблица1[коэф],"1",Таблица1[р/р],"3/16",Таблица1[Ф. И. О.],B451)</f>
        <v>0</v>
      </c>
      <c r="T446" s="467">
        <f t="shared" ref="T446:T456" si="134">ROUND(Q446*R446*S446*2,2)</f>
        <v>0</v>
      </c>
      <c r="U446" s="448">
        <f>IF(D446&lt;=3,база!$M$4,
IF(D446=4,база!$M$5,
IF(D446=5,база!$M$6)))</f>
        <v>247.41720000000001</v>
      </c>
      <c r="V446" s="355">
        <v>1</v>
      </c>
      <c r="W446" s="474">
        <f>SUMIFS(Таблица1[Столбец1],Таблица1[коэф],"1",Таблица1[р/р],"3/24",Таблица1[Ф. И. О.],B451)</f>
        <v>0</v>
      </c>
      <c r="X446" s="467">
        <f t="shared" ref="X446:X456" si="135">ROUND(U446*V446*W446*2,2)</f>
        <v>0</v>
      </c>
      <c r="Y446" s="748">
        <f t="shared" ref="Y446" si="136">SUM(G446:G456,K446:K456,O446:O456,S446:S456,W446:W456)</f>
        <v>0</v>
      </c>
      <c r="Z446" s="750">
        <f t="shared" ref="Z446" si="137">IFERROR(SUM(H446:H456,L446:L456,T446:T456,X446:X456),"")</f>
        <v>0</v>
      </c>
      <c r="AA446" s="740"/>
    </row>
    <row r="447" spans="1:29" ht="16.5" customHeight="1">
      <c r="A447" s="740"/>
      <c r="B447" s="201"/>
      <c r="C447" s="743"/>
      <c r="D447" s="746"/>
      <c r="E447" s="370">
        <f>IF(D446&lt;=3,база!$I$4,
IF(D446=4,база!$I$5,
IF(D446=5,база!$I$6)))</f>
        <v>207.5112</v>
      </c>
      <c r="F447" s="367">
        <v>1</v>
      </c>
      <c r="G447" s="377">
        <f>SUMIFS(Таблица1[Столбец1],Таблица1[коэф],"1",Таблица1[р/р],"3/4",Таблица1[Ф. И. О.],B451)</f>
        <v>0</v>
      </c>
      <c r="H447" s="369">
        <f t="shared" si="132"/>
        <v>0</v>
      </c>
      <c r="I447" s="366">
        <f>IF(D446&lt;=3,база!$J$4,
IF(D446=4,база!$J$5,
IF(D446=5,база!$J$6)))</f>
        <v>215.4924</v>
      </c>
      <c r="J447" s="367">
        <v>1</v>
      </c>
      <c r="K447" s="411">
        <f>SUMIFS(Таблица1[Столбец1],Таблица1[коэф],"1",Таблица1[р/р],"3/8",Таблица1[Ф. И. О.],B451)</f>
        <v>0</v>
      </c>
      <c r="L447" s="461">
        <f t="shared" si="133"/>
        <v>0</v>
      </c>
      <c r="M447" s="409"/>
      <c r="N447" s="411">
        <v>1</v>
      </c>
      <c r="O447" s="411">
        <f>SUMIFS(Data_Tech!$AM$3:$AM$67,Data_Tech!$E$3:$E$67,"1",Data_Tech!$G$3:$G$67,"4/12",Data_Tech!$F$3:$F$67,B451)</f>
        <v>0</v>
      </c>
      <c r="P447" s="411">
        <f>ROUND(M447*O447,2)</f>
        <v>0</v>
      </c>
      <c r="Q447" s="376">
        <f>база!$L$5</f>
        <v>231.45480000000001</v>
      </c>
      <c r="R447" s="367">
        <v>1</v>
      </c>
      <c r="S447" s="468">
        <f>SUMIFS(Таблица1[Столбец1],Таблица1[коэф],"1",Таблица1[р/р],"4/16",Таблица1[Ф. И. О.],B451)</f>
        <v>0</v>
      </c>
      <c r="T447" s="469">
        <f t="shared" si="134"/>
        <v>0</v>
      </c>
      <c r="U447" s="449">
        <f>база!$M$5</f>
        <v>247.41720000000001</v>
      </c>
      <c r="V447" s="367">
        <v>1</v>
      </c>
      <c r="W447" s="471">
        <f>SUMIFS(Таблица1[Столбец1],Таблица1[коэф],"1",Таблица1[р/р],"4/24",Таблица1[Ф. И. О.],B451)</f>
        <v>0</v>
      </c>
      <c r="X447" s="469">
        <f t="shared" si="135"/>
        <v>0</v>
      </c>
      <c r="Y447" s="748"/>
      <c r="Z447" s="750"/>
      <c r="AA447" s="740"/>
    </row>
    <row r="448" spans="1:29" ht="16.5" customHeight="1">
      <c r="A448" s="740"/>
      <c r="B448" s="201"/>
      <c r="C448" s="743"/>
      <c r="D448" s="746"/>
      <c r="E448" s="370"/>
      <c r="F448" s="367"/>
      <c r="G448" s="377"/>
      <c r="H448" s="369">
        <f t="shared" si="132"/>
        <v>0</v>
      </c>
      <c r="I448" s="366"/>
      <c r="J448" s="367"/>
      <c r="K448" s="411"/>
      <c r="L448" s="461">
        <f t="shared" si="133"/>
        <v>0</v>
      </c>
      <c r="M448" s="409"/>
      <c r="N448" s="411"/>
      <c r="O448" s="411"/>
      <c r="P448" s="411"/>
      <c r="Q448" s="376">
        <f>база!$L$6</f>
        <v>261.04640000000001</v>
      </c>
      <c r="R448" s="367">
        <v>1</v>
      </c>
      <c r="S448" s="468">
        <f>SUMIFS(Таблица1[Столбец1],Таблица1[коэф],"1",Таблица1[р/р],"5/16",Таблица1[Ф. И. О.],B451)</f>
        <v>0</v>
      </c>
      <c r="T448" s="469">
        <f t="shared" si="134"/>
        <v>0</v>
      </c>
      <c r="U448" s="449">
        <f>база!$M$6</f>
        <v>279.0496</v>
      </c>
      <c r="V448" s="367">
        <v>1</v>
      </c>
      <c r="W448" s="471">
        <f>SUMIFS(Таблица1[Столбец1],Таблица1[коэф],"1",Таблица1[р/р],"5/24",Таблица1[Ф. И. О.],B451)</f>
        <v>0</v>
      </c>
      <c r="X448" s="469">
        <f t="shared" si="135"/>
        <v>0</v>
      </c>
      <c r="Y448" s="748"/>
      <c r="Z448" s="750"/>
      <c r="AA448" s="740"/>
    </row>
    <row r="449" spans="1:29" ht="16.5" customHeight="1">
      <c r="A449" s="740"/>
      <c r="B449" s="201"/>
      <c r="C449" s="743"/>
      <c r="D449" s="746"/>
      <c r="E449" s="370"/>
      <c r="F449" s="367"/>
      <c r="G449" s="377"/>
      <c r="H449" s="369">
        <f t="shared" si="132"/>
        <v>0</v>
      </c>
      <c r="I449" s="366">
        <f>база!$J$5</f>
        <v>215.4924</v>
      </c>
      <c r="J449" s="367">
        <v>1.5</v>
      </c>
      <c r="K449" s="411">
        <f>SUMIFS(Таблица1[Столбец1],Таблица1[коэф],"1,5",Таблица1[р/р],"4/8",Таблица1[Ф. И. О.],B451)</f>
        <v>0</v>
      </c>
      <c r="L449" s="461">
        <f t="shared" si="133"/>
        <v>0</v>
      </c>
      <c r="M449" s="409"/>
      <c r="N449" s="411"/>
      <c r="O449" s="411"/>
      <c r="P449" s="411"/>
      <c r="Q449" s="376">
        <f>IF(D446&lt;=3,база!$L$4,
IF(D446=4,база!$L$5,
IF(D446=5,база!$L$6)))</f>
        <v>231.45480000000001</v>
      </c>
      <c r="R449" s="367">
        <v>1.2</v>
      </c>
      <c r="S449" s="468">
        <f>SUMIFS(Таблица1[Столбец1],Таблица1[коэф],"1,2",Таблица1[р/р],"3/16",Таблица1[Ф. И. О.],B451)</f>
        <v>0</v>
      </c>
      <c r="T449" s="469">
        <f t="shared" si="134"/>
        <v>0</v>
      </c>
      <c r="U449" s="449">
        <f>IF(D446&lt;=3,база!$M$4,
IF(D446=4,база!$M$5,
IF(D446=5,база!$M$6)))</f>
        <v>247.41720000000001</v>
      </c>
      <c r="V449" s="367">
        <v>1.2</v>
      </c>
      <c r="W449" s="471">
        <f>SUMIFS(Таблица1[Столбец1],Таблица1[коэф],"1,2",Таблица1[р/р],"3/24",Таблица1[Ф. И. О.],B451)</f>
        <v>0</v>
      </c>
      <c r="X449" s="469">
        <f t="shared" si="135"/>
        <v>0</v>
      </c>
      <c r="Y449" s="748"/>
      <c r="Z449" s="750"/>
      <c r="AA449" s="740"/>
    </row>
    <row r="450" spans="1:29" ht="16.5" customHeight="1">
      <c r="A450" s="740"/>
      <c r="B450" s="201"/>
      <c r="C450" s="743"/>
      <c r="D450" s="746"/>
      <c r="E450" s="370"/>
      <c r="F450" s="367"/>
      <c r="G450" s="377"/>
      <c r="H450" s="369">
        <f t="shared" si="132"/>
        <v>0</v>
      </c>
      <c r="I450" s="366">
        <f>база!$J$6</f>
        <v>243.04319999999998</v>
      </c>
      <c r="J450" s="367">
        <v>1.5</v>
      </c>
      <c r="K450" s="411">
        <f>SUMIFS(Таблица1[Столбец1],Таблица1[коэф],"1,5",Таблица1[р/р],"5/8",Таблица1[Ф. И. О.],B451)</f>
        <v>0</v>
      </c>
      <c r="L450" s="461">
        <f t="shared" si="133"/>
        <v>0</v>
      </c>
      <c r="M450" s="409"/>
      <c r="N450" s="411"/>
      <c r="O450" s="411"/>
      <c r="P450" s="411"/>
      <c r="Q450" s="376">
        <f>база!$L$5</f>
        <v>231.45480000000001</v>
      </c>
      <c r="R450" s="367">
        <v>1.2</v>
      </c>
      <c r="S450" s="468">
        <f>SUMIFS(Таблица1[Столбец1],Таблица1[коэф],"1,2",Таблица1[р/р],"4/16",Таблица1[Ф. И. О.],B451)</f>
        <v>0</v>
      </c>
      <c r="T450" s="469">
        <f t="shared" si="134"/>
        <v>0</v>
      </c>
      <c r="U450" s="449">
        <f>база!$M$5</f>
        <v>247.41720000000001</v>
      </c>
      <c r="V450" s="367">
        <v>1.2</v>
      </c>
      <c r="W450" s="471">
        <f>SUMIFS(Таблица1[Столбец1],Таблица1[коэф],"1,2",Таблица1[р/р],"4/24",Таблица1[Ф. И. О.],B451)</f>
        <v>0</v>
      </c>
      <c r="X450" s="469">
        <f t="shared" si="135"/>
        <v>0</v>
      </c>
      <c r="Y450" s="748"/>
      <c r="Z450" s="750"/>
      <c r="AA450" s="740"/>
    </row>
    <row r="451" spans="1:29" ht="16.5" customHeight="1">
      <c r="A451" s="740"/>
      <c r="B451" s="201" t="str">
        <f>база!B42</f>
        <v>Лебига Людмила Тихоновна</v>
      </c>
      <c r="C451" s="743"/>
      <c r="D451" s="746"/>
      <c r="E451" s="370"/>
      <c r="F451" s="367"/>
      <c r="G451" s="377"/>
      <c r="H451" s="369">
        <f t="shared" si="132"/>
        <v>0</v>
      </c>
      <c r="I451" s="366"/>
      <c r="J451" s="367"/>
      <c r="K451" s="411"/>
      <c r="L451" s="461">
        <f t="shared" si="133"/>
        <v>0</v>
      </c>
      <c r="M451" s="409"/>
      <c r="N451" s="411"/>
      <c r="O451" s="411"/>
      <c r="P451" s="411"/>
      <c r="Q451" s="376">
        <f>база!$L$6</f>
        <v>261.04640000000001</v>
      </c>
      <c r="R451" s="367">
        <v>1.2</v>
      </c>
      <c r="S451" s="468">
        <f>SUMIFS(Таблица1[Столбец1],Таблица1[коэф],"1,2",Таблица1[р/р],"5/16",Таблица1[Ф. И. О.],B451)</f>
        <v>0</v>
      </c>
      <c r="T451" s="469">
        <f t="shared" si="134"/>
        <v>0</v>
      </c>
      <c r="U451" s="449">
        <f>база!$M$6</f>
        <v>279.0496</v>
      </c>
      <c r="V451" s="367">
        <v>1.2</v>
      </c>
      <c r="W451" s="471">
        <f>SUMIFS(Таблица1[Столбец1],Таблица1[коэф],"1,2",Таблица1[р/р],"5/24",Таблица1[Ф. И. О.],B451)</f>
        <v>0</v>
      </c>
      <c r="X451" s="469">
        <f t="shared" si="135"/>
        <v>0</v>
      </c>
      <c r="Y451" s="748"/>
      <c r="Z451" s="750"/>
      <c r="AA451" s="740"/>
      <c r="AC451" s="693" t="str">
        <f>IF(SUMIFS(Таблица1[Столбец3],Таблица1[Ф. И. О.],B451)-Z446=0,"",SUMIFS(Таблица1[Столбец3],Таблица1[Ф. И. О.],B451)-Z446)</f>
        <v/>
      </c>
    </row>
    <row r="452" spans="1:29" ht="16.5" customHeight="1">
      <c r="A452" s="740"/>
      <c r="B452" s="201"/>
      <c r="C452" s="743"/>
      <c r="D452" s="746"/>
      <c r="E452" s="370"/>
      <c r="F452" s="367"/>
      <c r="G452" s="377"/>
      <c r="H452" s="369">
        <f t="shared" si="132"/>
        <v>0</v>
      </c>
      <c r="I452" s="366"/>
      <c r="J452" s="367"/>
      <c r="K452" s="411"/>
      <c r="L452" s="461">
        <f t="shared" si="133"/>
        <v>0</v>
      </c>
      <c r="M452" s="409"/>
      <c r="N452" s="411"/>
      <c r="O452" s="411"/>
      <c r="P452" s="411"/>
      <c r="Q452" s="376">
        <f>IF(D446&lt;=3,база!$L$4,
IF(D446=4,база!$L$5,
IF(D446=5,база!$L$6)))</f>
        <v>231.45480000000001</v>
      </c>
      <c r="R452" s="367">
        <v>1.3</v>
      </c>
      <c r="S452" s="468">
        <f>SUMIFS(Таблица1[Столбец1],Таблица1[коэф],"1,3",Таблица1[р/р],"3/16",Таблица1[Ф. И. О.],B451)</f>
        <v>0</v>
      </c>
      <c r="T452" s="469">
        <f t="shared" si="134"/>
        <v>0</v>
      </c>
      <c r="U452" s="449">
        <f>IF(D446&lt;=3,база!$M$4,
IF(D446=4,база!$M$5,
IF(D446=5,база!$M$6)))</f>
        <v>247.41720000000001</v>
      </c>
      <c r="V452" s="367">
        <v>1.3</v>
      </c>
      <c r="W452" s="471">
        <f>SUMIFS(Таблица1[Столбец1],Таблица1[коэф],"1,3",Таблица1[р/р],"3/24",Таблица1[Ф. И. О.],B451)</f>
        <v>0</v>
      </c>
      <c r="X452" s="469">
        <f t="shared" si="135"/>
        <v>0</v>
      </c>
      <c r="Y452" s="748"/>
      <c r="Z452" s="750"/>
      <c r="AA452" s="740"/>
      <c r="AC452" s="693" t="str">
        <f>IF(SUMIFS(Таблица1[Столбец1],Таблица1[Ф. И. О.],B451)=Y446,"",B451&amp;"  часы не верны")</f>
        <v/>
      </c>
    </row>
    <row r="453" spans="1:29" ht="16.5" customHeight="1">
      <c r="A453" s="740"/>
      <c r="B453" s="201"/>
      <c r="C453" s="743"/>
      <c r="D453" s="746"/>
      <c r="E453" s="370"/>
      <c r="F453" s="367"/>
      <c r="G453" s="377"/>
      <c r="H453" s="369">
        <f t="shared" si="132"/>
        <v>0</v>
      </c>
      <c r="I453" s="366"/>
      <c r="J453" s="367"/>
      <c r="K453" s="411"/>
      <c r="L453" s="461">
        <f t="shared" si="133"/>
        <v>0</v>
      </c>
      <c r="M453" s="409"/>
      <c r="N453" s="411"/>
      <c r="O453" s="411"/>
      <c r="P453" s="411"/>
      <c r="Q453" s="376">
        <f>база!$L$5</f>
        <v>231.45480000000001</v>
      </c>
      <c r="R453" s="367">
        <v>1.3</v>
      </c>
      <c r="S453" s="468">
        <f>SUMIFS(Таблица1[Столбец1],Таблица1[коэф],"1,3",Таблица1[р/р],"4/16",Таблица1[Ф. И. О.],B451)</f>
        <v>0</v>
      </c>
      <c r="T453" s="469">
        <f t="shared" si="134"/>
        <v>0</v>
      </c>
      <c r="U453" s="449">
        <f>база!$M$5</f>
        <v>247.41720000000001</v>
      </c>
      <c r="V453" s="367">
        <v>1.3</v>
      </c>
      <c r="W453" s="471">
        <f>SUMIFS(Таблица1[Столбец1],Таблица1[коэф],"1,3",Таблица1[р/р],"4/24",Таблица1[Ф. И. О.],B451)</f>
        <v>0</v>
      </c>
      <c r="X453" s="469">
        <f t="shared" si="135"/>
        <v>0</v>
      </c>
      <c r="Y453" s="748"/>
      <c r="Z453" s="750"/>
      <c r="AA453" s="740"/>
    </row>
    <row r="454" spans="1:29" ht="16.5" customHeight="1">
      <c r="A454" s="740"/>
      <c r="B454" s="201"/>
      <c r="C454" s="743"/>
      <c r="D454" s="746"/>
      <c r="E454" s="370"/>
      <c r="F454" s="367"/>
      <c r="G454" s="377"/>
      <c r="H454" s="369">
        <f t="shared" si="132"/>
        <v>0</v>
      </c>
      <c r="I454" s="366"/>
      <c r="J454" s="367"/>
      <c r="K454" s="411"/>
      <c r="L454" s="461">
        <f t="shared" si="133"/>
        <v>0</v>
      </c>
      <c r="M454" s="409"/>
      <c r="N454" s="411"/>
      <c r="O454" s="411"/>
      <c r="P454" s="411"/>
      <c r="Q454" s="376">
        <f>IF(D446&lt;=3,база!$L$4,
IF(D446=4,база!$L$5,
IF(D446=5,база!$L$6)))</f>
        <v>231.45480000000001</v>
      </c>
      <c r="R454" s="367">
        <v>1.4</v>
      </c>
      <c r="S454" s="468">
        <f>SUMIFS(Таблица1[Столбец1],Таблица1[коэф],"1,4",Таблица1[р/р],"3/16",Таблица1[Ф. И. О.],B451)</f>
        <v>0</v>
      </c>
      <c r="T454" s="469">
        <f t="shared" si="134"/>
        <v>0</v>
      </c>
      <c r="U454" s="449">
        <f>IF(D446&lt;=3,база!$M$4,
IF(D446=4,база!$M$5,
IF(D446=5,база!$M$6)))</f>
        <v>247.41720000000001</v>
      </c>
      <c r="V454" s="367">
        <v>1.4</v>
      </c>
      <c r="W454" s="471">
        <f>SUMIFS(Таблица1[Столбец1],Таблица1[коэф],"1,4",Таблица1[р/р],"3/24",Таблица1[Ф. И. О.],B451)</f>
        <v>0</v>
      </c>
      <c r="X454" s="469">
        <f t="shared" si="135"/>
        <v>0</v>
      </c>
      <c r="Y454" s="748"/>
      <c r="Z454" s="750"/>
      <c r="AA454" s="740"/>
    </row>
    <row r="455" spans="1:29" ht="16.5" customHeight="1">
      <c r="A455" s="740"/>
      <c r="B455" s="201"/>
      <c r="C455" s="743"/>
      <c r="D455" s="746"/>
      <c r="E455" s="370"/>
      <c r="F455" s="367"/>
      <c r="G455" s="377"/>
      <c r="H455" s="369">
        <f t="shared" si="132"/>
        <v>0</v>
      </c>
      <c r="I455" s="366"/>
      <c r="J455" s="367"/>
      <c r="K455" s="411"/>
      <c r="L455" s="372">
        <f t="shared" si="133"/>
        <v>0</v>
      </c>
      <c r="M455" s="409"/>
      <c r="N455" s="411"/>
      <c r="O455" s="411"/>
      <c r="P455" s="411"/>
      <c r="Q455" s="376">
        <f>база!$L$5</f>
        <v>231.45480000000001</v>
      </c>
      <c r="R455" s="367">
        <v>1.4</v>
      </c>
      <c r="S455" s="468">
        <f>SUMIFS(Таблица1[Столбец1],Таблица1[коэф],"1,4",Таблица1[р/р],"4/16",Таблица1[Ф. И. О.],B451)</f>
        <v>0</v>
      </c>
      <c r="T455" s="469">
        <f t="shared" si="134"/>
        <v>0</v>
      </c>
      <c r="U455" s="449">
        <f>база!$M$5</f>
        <v>247.41720000000001</v>
      </c>
      <c r="V455" s="367">
        <v>1.4</v>
      </c>
      <c r="W455" s="471">
        <f>SUMIFS(Таблица1[Столбец1],Таблица1[коэф],"1,4",Таблица1[р/р],"4/24",Таблица1[Ф. И. О.],B451)</f>
        <v>0</v>
      </c>
      <c r="X455" s="469">
        <f t="shared" si="135"/>
        <v>0</v>
      </c>
      <c r="Y455" s="748"/>
      <c r="Z455" s="750"/>
      <c r="AA455" s="740"/>
    </row>
    <row r="456" spans="1:29" ht="16.5" customHeight="1" thickBot="1">
      <c r="A456" s="741"/>
      <c r="B456" s="188"/>
      <c r="C456" s="744"/>
      <c r="D456" s="747"/>
      <c r="E456" s="440"/>
      <c r="F456" s="441"/>
      <c r="G456" s="442"/>
      <c r="H456" s="445">
        <f t="shared" si="132"/>
        <v>0</v>
      </c>
      <c r="I456" s="450"/>
      <c r="J456" s="441"/>
      <c r="K456" s="434"/>
      <c r="L456" s="435">
        <f t="shared" si="133"/>
        <v>0</v>
      </c>
      <c r="M456" s="443"/>
      <c r="N456" s="434"/>
      <c r="O456" s="434"/>
      <c r="P456" s="434"/>
      <c r="Q456" s="444">
        <f>база!$L$6</f>
        <v>261.04640000000001</v>
      </c>
      <c r="R456" s="441">
        <v>1.4</v>
      </c>
      <c r="S456" s="489">
        <f>SUMIFS(Таблица1[Столбец1],Таблица1[коэф],"1,4",Таблица1[р/р],"5/16",Таблица1[Ф. И. О.],B451)</f>
        <v>0</v>
      </c>
      <c r="T456" s="490">
        <f t="shared" si="134"/>
        <v>0</v>
      </c>
      <c r="U456" s="451">
        <f>база!$M$6</f>
        <v>279.0496</v>
      </c>
      <c r="V456" s="441">
        <v>1.4</v>
      </c>
      <c r="W456" s="478">
        <f>SUMIFS(Таблица1[Столбец1],Таблица1[коэф],"1,4",Таблица1[р/р],"5/24",Таблица1[Ф. И. О.],B451)</f>
        <v>0</v>
      </c>
      <c r="X456" s="490">
        <f t="shared" si="135"/>
        <v>0</v>
      </c>
      <c r="Y456" s="749"/>
      <c r="Z456" s="751"/>
      <c r="AA456" s="741"/>
    </row>
    <row r="457" spans="1:29" ht="16.5" customHeight="1" collapsed="1">
      <c r="A457" s="739">
        <v>42</v>
      </c>
      <c r="B457" s="219"/>
      <c r="C457" s="742">
        <f>INDEX(база!$E$2:$E$81, MATCH(B462,база!$B$2:$B$50,0))</f>
        <v>17303</v>
      </c>
      <c r="D457" s="745">
        <f>INDEX(база!$D$2:$D$89, MATCH(B462,база!$B$2:$B$50,0))</f>
        <v>3</v>
      </c>
      <c r="E457" s="428">
        <f>IF(D457&lt;=3,база!$I$4,
IF(D457=4,база!$I$5,
IF(D457=5,база!$I$6)))</f>
        <v>188.7912</v>
      </c>
      <c r="F457" s="394">
        <v>1</v>
      </c>
      <c r="G457" s="395">
        <f>SUMIFS(Таблица1[Столбец1],Таблица1[коэф],"1",Таблица1[р/р],"2/4",Таблица1[Ф. И. О.],B462)</f>
        <v>0</v>
      </c>
      <c r="H457" s="379">
        <f t="shared" ref="H457:H467" si="138">ROUND(E457*F457*G457*2,2)</f>
        <v>0</v>
      </c>
      <c r="I457" s="354">
        <f>IF(D457&lt;=3,база!$J$4,
IF(D457=4,база!$J$5,
IF(D457=5,база!$J$6)))</f>
        <v>196.05240000000001</v>
      </c>
      <c r="J457" s="355">
        <v>1</v>
      </c>
      <c r="K457" s="405">
        <f>SUMIFS(Таблица1[Столбец1],Таблица1[коэф],"1",Таблица1[р/р],"2/8",Таблица1[Ф. И. О.],B462)</f>
        <v>0</v>
      </c>
      <c r="L457" s="360">
        <f t="shared" ref="L457:L467" si="139">ROUND(I457*J457*K457*2,2)</f>
        <v>0</v>
      </c>
      <c r="M457" s="429"/>
      <c r="N457" s="430">
        <v>1</v>
      </c>
      <c r="O457" s="430">
        <f>SUMIFS(Data_Tech!$AM$3:$AM$67,Data_Tech!$E$3:$E$67,"1",Data_Tech!$G$3:$G$67,"3/12",Data_Tech!$F$3:$F$67,B462)</f>
        <v>0</v>
      </c>
      <c r="P457" s="430">
        <f>ROUND(M457*N457*O457,2)</f>
        <v>0</v>
      </c>
      <c r="Q457" s="393">
        <f>IF(D457&lt;=3,база!$L$4,
IF(D457=4,база!$L$5,
IF(D457=5,база!$L$6)))</f>
        <v>210.57480000000001</v>
      </c>
      <c r="R457" s="394">
        <v>1</v>
      </c>
      <c r="S457" s="472">
        <f>SUMIFS(Таблица1[Столбец1],Таблица1[коэф],"1",Таблица1[р/р],"3/16",Таблица1[Ф. И. О.],B462)</f>
        <v>0</v>
      </c>
      <c r="T457" s="467">
        <f t="shared" ref="T457:T467" si="140">ROUND(Q457*R457*S457*2,2)</f>
        <v>0</v>
      </c>
      <c r="U457" s="448">
        <f>IF(D457&lt;=3,база!$M$4,
IF(D457=4,база!$M$5,
IF(D457=5,база!$M$6)))</f>
        <v>225.09719999999999</v>
      </c>
      <c r="V457" s="355">
        <v>1</v>
      </c>
      <c r="W457" s="474">
        <f>SUMIFS(Таблица1[Столбец1],Таблица1[коэф],"1",Таблица1[р/р],"3/24",Таблица1[Ф. И. О.],B462)</f>
        <v>0</v>
      </c>
      <c r="X457" s="467">
        <f t="shared" ref="X457:X467" si="141">ROUND(U457*V457*W457*2,2)</f>
        <v>0</v>
      </c>
      <c r="Y457" s="748">
        <f t="shared" ref="Y457" si="142">SUM(G457:G467,K457:K467,O457:O467,S457:S467,W457:W467)</f>
        <v>0</v>
      </c>
      <c r="Z457" s="750">
        <f t="shared" ref="Z457" si="143">IFERROR(SUM(H457:H467,L457:L467,T457:T467,X457:X467),"")</f>
        <v>0</v>
      </c>
      <c r="AA457" s="740"/>
    </row>
    <row r="458" spans="1:29" ht="16.5" customHeight="1">
      <c r="A458" s="740"/>
      <c r="B458" s="201"/>
      <c r="C458" s="743"/>
      <c r="D458" s="746"/>
      <c r="E458" s="370">
        <f>IF(D457&lt;=3,база!$I$4,
IF(D457=4,база!$I$5,
IF(D457=5,база!$I$6)))</f>
        <v>188.7912</v>
      </c>
      <c r="F458" s="367">
        <v>1</v>
      </c>
      <c r="G458" s="377">
        <f>SUMIFS(Таблица1[Столбец1],Таблица1[коэф],"1",Таблица1[р/р],"3/4",Таблица1[Ф. И. О.],B462)</f>
        <v>0</v>
      </c>
      <c r="H458" s="369">
        <f t="shared" si="138"/>
        <v>0</v>
      </c>
      <c r="I458" s="366">
        <f>IF(D457&lt;=3,база!$J$4,
IF(D457=4,база!$J$5,
IF(D457=5,база!$J$6)))</f>
        <v>196.05240000000001</v>
      </c>
      <c r="J458" s="367">
        <v>1</v>
      </c>
      <c r="K458" s="411">
        <f>SUMIFS(Таблица1[Столбец1],Таблица1[коэф],"1",Таблица1[р/р],"3/8",Таблица1[Ф. И. О.],B462)</f>
        <v>0</v>
      </c>
      <c r="L458" s="461">
        <f t="shared" si="139"/>
        <v>0</v>
      </c>
      <c r="M458" s="409"/>
      <c r="N458" s="411">
        <v>1</v>
      </c>
      <c r="O458" s="411">
        <f>SUMIFS(Data_Tech!$AM$3:$AM$67,Data_Tech!$E$3:$E$67,"1",Data_Tech!$G$3:$G$67,"4/12",Data_Tech!$F$3:$F$67,B462)</f>
        <v>0</v>
      </c>
      <c r="P458" s="411">
        <f>ROUND(M458*O458,2)</f>
        <v>0</v>
      </c>
      <c r="Q458" s="376">
        <f>база!$L$5</f>
        <v>231.45480000000001</v>
      </c>
      <c r="R458" s="367">
        <v>1</v>
      </c>
      <c r="S458" s="468">
        <f>SUMIFS(Таблица1[Столбец1],Таблица1[коэф],"1",Таблица1[р/р],"4/16",Таблица1[Ф. И. О.],B462)</f>
        <v>0</v>
      </c>
      <c r="T458" s="469">
        <f t="shared" si="140"/>
        <v>0</v>
      </c>
      <c r="U458" s="449">
        <f>база!$M$5</f>
        <v>247.41720000000001</v>
      </c>
      <c r="V458" s="367">
        <v>1</v>
      </c>
      <c r="W458" s="471">
        <f>SUMIFS(Таблица1[Столбец1],Таблица1[коэф],"1",Таблица1[р/р],"4/24",Таблица1[Ф. И. О.],B462)</f>
        <v>0</v>
      </c>
      <c r="X458" s="469">
        <f t="shared" si="141"/>
        <v>0</v>
      </c>
      <c r="Y458" s="748"/>
      <c r="Z458" s="750"/>
      <c r="AA458" s="740"/>
    </row>
    <row r="459" spans="1:29" ht="16.5" customHeight="1">
      <c r="A459" s="740"/>
      <c r="B459" s="201"/>
      <c r="C459" s="743"/>
      <c r="D459" s="746"/>
      <c r="E459" s="370"/>
      <c r="F459" s="367"/>
      <c r="G459" s="377"/>
      <c r="H459" s="369">
        <f t="shared" si="138"/>
        <v>0</v>
      </c>
      <c r="I459" s="366"/>
      <c r="J459" s="367"/>
      <c r="K459" s="411"/>
      <c r="L459" s="461">
        <f t="shared" si="139"/>
        <v>0</v>
      </c>
      <c r="M459" s="409"/>
      <c r="N459" s="411"/>
      <c r="O459" s="411"/>
      <c r="P459" s="411"/>
      <c r="Q459" s="376">
        <f>база!$L$6</f>
        <v>261.04640000000001</v>
      </c>
      <c r="R459" s="367">
        <v>1</v>
      </c>
      <c r="S459" s="468">
        <f>SUMIFS(Таблица1[Столбец1],Таблица1[коэф],"1",Таблица1[р/р],"5/16",Таблица1[Ф. И. О.],B462)</f>
        <v>0</v>
      </c>
      <c r="T459" s="469">
        <f t="shared" si="140"/>
        <v>0</v>
      </c>
      <c r="U459" s="449">
        <f>база!$M$6</f>
        <v>279.0496</v>
      </c>
      <c r="V459" s="367">
        <v>1</v>
      </c>
      <c r="W459" s="471">
        <f>SUMIFS(Таблица1[Столбец1],Таблица1[коэф],"1",Таблица1[р/р],"5/24",Таблица1[Ф. И. О.],B462)</f>
        <v>0</v>
      </c>
      <c r="X459" s="469">
        <f t="shared" si="141"/>
        <v>0</v>
      </c>
      <c r="Y459" s="748"/>
      <c r="Z459" s="750"/>
      <c r="AA459" s="740"/>
    </row>
    <row r="460" spans="1:29" ht="16.5" customHeight="1">
      <c r="A460" s="740"/>
      <c r="B460" s="201"/>
      <c r="C460" s="743"/>
      <c r="D460" s="746"/>
      <c r="E460" s="370"/>
      <c r="F460" s="367"/>
      <c r="G460" s="377"/>
      <c r="H460" s="369">
        <f t="shared" si="138"/>
        <v>0</v>
      </c>
      <c r="I460" s="366">
        <f>база!$J$5</f>
        <v>215.4924</v>
      </c>
      <c r="J460" s="367">
        <v>1.5</v>
      </c>
      <c r="K460" s="411">
        <f>SUMIFS(Таблица1[Столбец1],Таблица1[коэф],"1,5",Таблица1[р/р],"4/8",Таблица1[Ф. И. О.],B462)</f>
        <v>0</v>
      </c>
      <c r="L460" s="461">
        <f t="shared" si="139"/>
        <v>0</v>
      </c>
      <c r="M460" s="409"/>
      <c r="N460" s="411"/>
      <c r="O460" s="411"/>
      <c r="P460" s="411"/>
      <c r="Q460" s="376">
        <f>IF(D457&lt;=3,база!$L$4,
IF(D457=4,база!$L$5,
IF(D457=5,база!$L$6)))</f>
        <v>210.57480000000001</v>
      </c>
      <c r="R460" s="367">
        <v>1.2</v>
      </c>
      <c r="S460" s="468">
        <f>SUMIFS(Таблица1[Столбец1],Таблица1[коэф],"1,2",Таблица1[р/р],"3/16",Таблица1[Ф. И. О.],B462)</f>
        <v>0</v>
      </c>
      <c r="T460" s="469">
        <f t="shared" si="140"/>
        <v>0</v>
      </c>
      <c r="U460" s="449">
        <f>IF(D457&lt;=3,база!$M$4,
IF(D457=4,база!$M$5,
IF(D457=5,база!$M$6)))</f>
        <v>225.09719999999999</v>
      </c>
      <c r="V460" s="367">
        <v>1.2</v>
      </c>
      <c r="W460" s="471">
        <f>SUMIFS(Таблица1[Столбец1],Таблица1[коэф],"1,2",Таблица1[р/р],"3/24",Таблица1[Ф. И. О.],B462)</f>
        <v>0</v>
      </c>
      <c r="X460" s="469">
        <f t="shared" si="141"/>
        <v>0</v>
      </c>
      <c r="Y460" s="748"/>
      <c r="Z460" s="750"/>
      <c r="AA460" s="740"/>
    </row>
    <row r="461" spans="1:29" ht="16.5" customHeight="1">
      <c r="A461" s="740"/>
      <c r="B461" s="201"/>
      <c r="C461" s="743"/>
      <c r="D461" s="746"/>
      <c r="E461" s="370"/>
      <c r="F461" s="367"/>
      <c r="G461" s="377"/>
      <c r="H461" s="369">
        <f t="shared" si="138"/>
        <v>0</v>
      </c>
      <c r="I461" s="366">
        <f>база!$J$6</f>
        <v>243.04319999999998</v>
      </c>
      <c r="J461" s="367">
        <v>1.5</v>
      </c>
      <c r="K461" s="411">
        <f>SUMIFS(Таблица1[Столбец1],Таблица1[коэф],"1,5",Таблица1[р/р],"5/8",Таблица1[Ф. И. О.],B462)</f>
        <v>0</v>
      </c>
      <c r="L461" s="461">
        <f t="shared" si="139"/>
        <v>0</v>
      </c>
      <c r="M461" s="409"/>
      <c r="N461" s="411"/>
      <c r="O461" s="411"/>
      <c r="P461" s="411"/>
      <c r="Q461" s="376">
        <f>база!$L$5</f>
        <v>231.45480000000001</v>
      </c>
      <c r="R461" s="367">
        <v>1.2</v>
      </c>
      <c r="S461" s="468">
        <f>SUMIFS(Таблица1[Столбец1],Таблица1[коэф],"1,2",Таблица1[р/р],"4/16",Таблица1[Ф. И. О.],B462)</f>
        <v>0</v>
      </c>
      <c r="T461" s="469">
        <f t="shared" si="140"/>
        <v>0</v>
      </c>
      <c r="U461" s="449">
        <f>база!$M$5</f>
        <v>247.41720000000001</v>
      </c>
      <c r="V461" s="367">
        <v>1.2</v>
      </c>
      <c r="W461" s="471">
        <f>SUMIFS(Таблица1[Столбец1],Таблица1[коэф],"1,2",Таблица1[р/р],"4/24",Таблица1[Ф. И. О.],B462)</f>
        <v>0</v>
      </c>
      <c r="X461" s="469">
        <f t="shared" si="141"/>
        <v>0</v>
      </c>
      <c r="Y461" s="748"/>
      <c r="Z461" s="750"/>
      <c r="AA461" s="740"/>
    </row>
    <row r="462" spans="1:29" ht="16.5" customHeight="1">
      <c r="A462" s="740"/>
      <c r="B462" s="201" t="str">
        <f>база!B43</f>
        <v>Лезина Анастасия Юрьевна</v>
      </c>
      <c r="C462" s="743"/>
      <c r="D462" s="746"/>
      <c r="E462" s="370"/>
      <c r="F462" s="367"/>
      <c r="G462" s="377"/>
      <c r="H462" s="369">
        <f t="shared" si="138"/>
        <v>0</v>
      </c>
      <c r="I462" s="366"/>
      <c r="J462" s="367"/>
      <c r="K462" s="411"/>
      <c r="L462" s="461">
        <f t="shared" si="139"/>
        <v>0</v>
      </c>
      <c r="M462" s="409"/>
      <c r="N462" s="411"/>
      <c r="O462" s="411"/>
      <c r="P462" s="411"/>
      <c r="Q462" s="376">
        <f>база!$L$6</f>
        <v>261.04640000000001</v>
      </c>
      <c r="R462" s="367">
        <v>1.2</v>
      </c>
      <c r="S462" s="468">
        <f>SUMIFS(Таблица1[Столбец1],Таблица1[коэф],"1,2",Таблица1[р/р],"5/16",Таблица1[Ф. И. О.],B462)</f>
        <v>0</v>
      </c>
      <c r="T462" s="469">
        <f t="shared" si="140"/>
        <v>0</v>
      </c>
      <c r="U462" s="449">
        <f>база!$M$6</f>
        <v>279.0496</v>
      </c>
      <c r="V462" s="367">
        <v>1.2</v>
      </c>
      <c r="W462" s="471">
        <f>SUMIFS(Таблица1[Столбец1],Таблица1[коэф],"1,2",Таблица1[р/р],"5/24",Таблица1[Ф. И. О.],B462)</f>
        <v>0</v>
      </c>
      <c r="X462" s="469">
        <f t="shared" si="141"/>
        <v>0</v>
      </c>
      <c r="Y462" s="748"/>
      <c r="Z462" s="750"/>
      <c r="AA462" s="740"/>
      <c r="AC462" s="693" t="str">
        <f>IF(SUMIFS(Таблица1[Столбец3],Таблица1[Ф. И. О.],B462)-Z457=0,"",SUMIFS(Таблица1[Столбец3],Таблица1[Ф. И. О.],B462)-Z457)</f>
        <v/>
      </c>
    </row>
    <row r="463" spans="1:29" ht="16.5" customHeight="1">
      <c r="A463" s="740"/>
      <c r="B463" s="201"/>
      <c r="C463" s="743"/>
      <c r="D463" s="746"/>
      <c r="E463" s="370"/>
      <c r="F463" s="367"/>
      <c r="G463" s="377"/>
      <c r="H463" s="369">
        <f t="shared" si="138"/>
        <v>0</v>
      </c>
      <c r="I463" s="366"/>
      <c r="J463" s="367"/>
      <c r="K463" s="411"/>
      <c r="L463" s="461">
        <f t="shared" si="139"/>
        <v>0</v>
      </c>
      <c r="M463" s="409"/>
      <c r="N463" s="411"/>
      <c r="O463" s="411"/>
      <c r="P463" s="411"/>
      <c r="Q463" s="376">
        <f>IF(D457&lt;=3,база!$L$4,
IF(D457=4,база!$L$5,
IF(D457=5,база!$L$6)))</f>
        <v>210.57480000000001</v>
      </c>
      <c r="R463" s="367">
        <v>1.3</v>
      </c>
      <c r="S463" s="468">
        <f>SUMIFS(Таблица1[Столбец1],Таблица1[коэф],"1,3",Таблица1[р/р],"3/16",Таблица1[Ф. И. О.],B462)</f>
        <v>0</v>
      </c>
      <c r="T463" s="469">
        <f t="shared" si="140"/>
        <v>0</v>
      </c>
      <c r="U463" s="449">
        <f>IF(D457&lt;=3,база!$M$4,
IF(D457=4,база!$M$5,
IF(D457=5,база!$M$6)))</f>
        <v>225.09719999999999</v>
      </c>
      <c r="V463" s="367">
        <v>1.3</v>
      </c>
      <c r="W463" s="471">
        <f>SUMIFS(Таблица1[Столбец1],Таблица1[коэф],"1,3",Таблица1[р/р],"3/24",Таблица1[Ф. И. О.],B462)</f>
        <v>0</v>
      </c>
      <c r="X463" s="469">
        <f t="shared" si="141"/>
        <v>0</v>
      </c>
      <c r="Y463" s="748"/>
      <c r="Z463" s="750"/>
      <c r="AA463" s="740"/>
      <c r="AC463" s="693" t="str">
        <f>IF(SUMIFS(Таблица1[Столбец1],Таблица1[Ф. И. О.],B462)=Y457,"",B462&amp;"  часы не верны")</f>
        <v/>
      </c>
    </row>
    <row r="464" spans="1:29" ht="16.5" customHeight="1">
      <c r="A464" s="740"/>
      <c r="B464" s="201"/>
      <c r="C464" s="743"/>
      <c r="D464" s="746"/>
      <c r="E464" s="370"/>
      <c r="F464" s="367"/>
      <c r="G464" s="377"/>
      <c r="H464" s="369">
        <f t="shared" si="138"/>
        <v>0</v>
      </c>
      <c r="I464" s="366"/>
      <c r="J464" s="367"/>
      <c r="K464" s="411"/>
      <c r="L464" s="461">
        <f t="shared" si="139"/>
        <v>0</v>
      </c>
      <c r="M464" s="409"/>
      <c r="N464" s="411"/>
      <c r="O464" s="411"/>
      <c r="P464" s="411"/>
      <c r="Q464" s="376">
        <f>база!$L$5</f>
        <v>231.45480000000001</v>
      </c>
      <c r="R464" s="367">
        <v>1.3</v>
      </c>
      <c r="S464" s="468">
        <f>SUMIFS(Таблица1[Столбец1],Таблица1[коэф],"1,3",Таблица1[р/р],"4/16",Таблица1[Ф. И. О.],B462)</f>
        <v>0</v>
      </c>
      <c r="T464" s="469">
        <f t="shared" si="140"/>
        <v>0</v>
      </c>
      <c r="U464" s="449">
        <f>база!$M$5</f>
        <v>247.41720000000001</v>
      </c>
      <c r="V464" s="367">
        <v>1.3</v>
      </c>
      <c r="W464" s="471">
        <f>SUMIFS(Таблица1[Столбец1],Таблица1[коэф],"1,3",Таблица1[р/р],"4/24",Таблица1[Ф. И. О.],B462)</f>
        <v>0</v>
      </c>
      <c r="X464" s="469">
        <f t="shared" si="141"/>
        <v>0</v>
      </c>
      <c r="Y464" s="748"/>
      <c r="Z464" s="750"/>
      <c r="AA464" s="740"/>
    </row>
    <row r="465" spans="1:29" ht="16.5" customHeight="1">
      <c r="A465" s="740"/>
      <c r="B465" s="201"/>
      <c r="C465" s="743"/>
      <c r="D465" s="746"/>
      <c r="E465" s="370"/>
      <c r="F465" s="367"/>
      <c r="G465" s="377"/>
      <c r="H465" s="369">
        <f t="shared" si="138"/>
        <v>0</v>
      </c>
      <c r="I465" s="366"/>
      <c r="J465" s="367"/>
      <c r="K465" s="411"/>
      <c r="L465" s="461">
        <f t="shared" si="139"/>
        <v>0</v>
      </c>
      <c r="M465" s="409"/>
      <c r="N465" s="411"/>
      <c r="O465" s="411"/>
      <c r="P465" s="411"/>
      <c r="Q465" s="376">
        <f>IF(D457&lt;=3,база!$L$4,
IF(D457=4,база!$L$5,
IF(D457=5,база!$L$6)))</f>
        <v>210.57480000000001</v>
      </c>
      <c r="R465" s="367">
        <v>1.4</v>
      </c>
      <c r="S465" s="468">
        <f>SUMIFS(Таблица1[Столбец1],Таблица1[коэф],"1,4",Таблица1[р/р],"3/16",Таблица1[Ф. И. О.],B462)</f>
        <v>0</v>
      </c>
      <c r="T465" s="469">
        <f t="shared" si="140"/>
        <v>0</v>
      </c>
      <c r="U465" s="449">
        <f>IF(D457&lt;=3,база!$M$4,
IF(D457=4,база!$M$5,
IF(D457=5,база!$M$6)))</f>
        <v>225.09719999999999</v>
      </c>
      <c r="V465" s="367">
        <v>1.4</v>
      </c>
      <c r="W465" s="471">
        <f>SUMIFS(Таблица1[Столбец1],Таблица1[коэф],"1,4",Таблица1[р/р],"3/24",Таблица1[Ф. И. О.],B462)</f>
        <v>0</v>
      </c>
      <c r="X465" s="469">
        <f t="shared" si="141"/>
        <v>0</v>
      </c>
      <c r="Y465" s="748"/>
      <c r="Z465" s="750"/>
      <c r="AA465" s="740"/>
    </row>
    <row r="466" spans="1:29" ht="16.5" customHeight="1">
      <c r="A466" s="740"/>
      <c r="B466" s="201"/>
      <c r="C466" s="743"/>
      <c r="D466" s="746"/>
      <c r="E466" s="370"/>
      <c r="F466" s="367"/>
      <c r="G466" s="377"/>
      <c r="H466" s="369">
        <f t="shared" si="138"/>
        <v>0</v>
      </c>
      <c r="I466" s="366"/>
      <c r="J466" s="367"/>
      <c r="K466" s="411"/>
      <c r="L466" s="372">
        <f t="shared" si="139"/>
        <v>0</v>
      </c>
      <c r="M466" s="409"/>
      <c r="N466" s="411"/>
      <c r="O466" s="411"/>
      <c r="P466" s="411"/>
      <c r="Q466" s="376">
        <f>база!$L$5</f>
        <v>231.45480000000001</v>
      </c>
      <c r="R466" s="367">
        <v>1.4</v>
      </c>
      <c r="S466" s="468">
        <f>SUMIFS(Таблица1[Столбец1],Таблица1[коэф],"1,4",Таблица1[р/р],"4/16",Таблица1[Ф. И. О.],B462)</f>
        <v>0</v>
      </c>
      <c r="T466" s="469">
        <f t="shared" si="140"/>
        <v>0</v>
      </c>
      <c r="U466" s="449">
        <f>база!$M$5</f>
        <v>247.41720000000001</v>
      </c>
      <c r="V466" s="367">
        <v>1.4</v>
      </c>
      <c r="W466" s="471">
        <f>SUMIFS(Таблица1[Столбец1],Таблица1[коэф],"1,4",Таблица1[р/р],"4/24",Таблица1[Ф. И. О.],B462)</f>
        <v>0</v>
      </c>
      <c r="X466" s="469">
        <f t="shared" si="141"/>
        <v>0</v>
      </c>
      <c r="Y466" s="748"/>
      <c r="Z466" s="750"/>
      <c r="AA466" s="740"/>
    </row>
    <row r="467" spans="1:29" ht="16.5" customHeight="1" thickBot="1">
      <c r="A467" s="741"/>
      <c r="B467" s="188"/>
      <c r="C467" s="744"/>
      <c r="D467" s="747"/>
      <c r="E467" s="440"/>
      <c r="F467" s="441"/>
      <c r="G467" s="442"/>
      <c r="H467" s="445">
        <f t="shared" si="138"/>
        <v>0</v>
      </c>
      <c r="I467" s="450"/>
      <c r="J467" s="441"/>
      <c r="K467" s="434"/>
      <c r="L467" s="435">
        <f t="shared" si="139"/>
        <v>0</v>
      </c>
      <c r="M467" s="443"/>
      <c r="N467" s="434"/>
      <c r="O467" s="434"/>
      <c r="P467" s="434"/>
      <c r="Q467" s="444">
        <f>база!$L$6</f>
        <v>261.04640000000001</v>
      </c>
      <c r="R467" s="441">
        <v>1.4</v>
      </c>
      <c r="S467" s="489">
        <f>SUMIFS(Таблица1[Столбец1],Таблица1[коэф],"1,4",Таблица1[р/р],"5/16",Таблица1[Ф. И. О.],B462)</f>
        <v>0</v>
      </c>
      <c r="T467" s="490">
        <f t="shared" si="140"/>
        <v>0</v>
      </c>
      <c r="U467" s="451">
        <f>база!$M$6</f>
        <v>279.0496</v>
      </c>
      <c r="V467" s="441">
        <v>1.4</v>
      </c>
      <c r="W467" s="478">
        <f>SUMIFS(Таблица1[Столбец1],Таблица1[коэф],"1,4",Таблица1[р/р],"5/24",Таблица1[Ф. И. О.],B462)</f>
        <v>0</v>
      </c>
      <c r="X467" s="490">
        <f t="shared" si="141"/>
        <v>0</v>
      </c>
      <c r="Y467" s="749"/>
      <c r="Z467" s="751"/>
      <c r="AA467" s="741"/>
    </row>
    <row r="468" spans="1:29" ht="16.5" customHeight="1" collapsed="1">
      <c r="A468" s="739">
        <v>43</v>
      </c>
      <c r="B468" s="219"/>
      <c r="C468" s="742">
        <f>INDEX(база!$E$2:$E$81, MATCH(B473,база!$B$2:$B$50,0))</f>
        <v>17321</v>
      </c>
      <c r="D468" s="745">
        <f>INDEX(база!$D$2:$D$89, MATCH(B473,база!$B$2:$B$50,0))</f>
        <v>3</v>
      </c>
      <c r="E468" s="428">
        <f>IF(D468&lt;=3,база!$I$4,
IF(D468=4,база!$I$5,
IF(D468=5,база!$I$6)))</f>
        <v>188.7912</v>
      </c>
      <c r="F468" s="394">
        <v>1</v>
      </c>
      <c r="G468" s="395">
        <f>SUMIFS(Таблица1[Столбец1],Таблица1[коэф],"1",Таблица1[р/р],"2/4",Таблица1[Ф. И. О.],B473)</f>
        <v>0</v>
      </c>
      <c r="H468" s="379">
        <f t="shared" ref="H468:H478" si="144">ROUND(E468*F468*G468*2,2)</f>
        <v>0</v>
      </c>
      <c r="I468" s="354">
        <f>IF(D468&lt;=3,база!$J$4,
IF(D468=4,база!$J$5,
IF(D468=5,база!$J$6)))</f>
        <v>196.05240000000001</v>
      </c>
      <c r="J468" s="355">
        <v>1</v>
      </c>
      <c r="K468" s="405">
        <f>SUMIFS(Таблица1[Столбец1],Таблица1[коэф],"1",Таблица1[р/р],"2/8",Таблица1[Ф. И. О.],B473)</f>
        <v>0</v>
      </c>
      <c r="L468" s="360">
        <f t="shared" ref="L468:L478" si="145">ROUND(I468*J468*K468*2,2)</f>
        <v>0</v>
      </c>
      <c r="M468" s="429"/>
      <c r="N468" s="430">
        <v>1</v>
      </c>
      <c r="O468" s="430">
        <f>SUMIFS(Data_Tech!$AM$3:$AM$67,Data_Tech!$E$3:$E$67,"1",Data_Tech!$G$3:$G$67,"3/12",Data_Tech!$F$3:$F$67,B473)</f>
        <v>0</v>
      </c>
      <c r="P468" s="430">
        <f>ROUND(M468*N468*O468,2)</f>
        <v>0</v>
      </c>
      <c r="Q468" s="393">
        <f>IF(D468&lt;=3,база!$L$4,
IF(D468=4,база!$L$5,
IF(D468=5,база!$L$6)))</f>
        <v>210.57480000000001</v>
      </c>
      <c r="R468" s="394">
        <v>1</v>
      </c>
      <c r="S468" s="472">
        <f>SUMIFS(Таблица1[Столбец1],Таблица1[коэф],"1",Таблица1[р/р],"3/16",Таблица1[Ф. И. О.],B473)</f>
        <v>0</v>
      </c>
      <c r="T468" s="467">
        <f t="shared" ref="T468:T478" si="146">ROUND(Q468*R468*S468*2,2)</f>
        <v>0</v>
      </c>
      <c r="U468" s="448">
        <f>IF(D468&lt;=3,база!$M$4,
IF(D468=4,база!$M$5,
IF(D468=5,база!$M$6)))</f>
        <v>225.09719999999999</v>
      </c>
      <c r="V468" s="355">
        <v>1</v>
      </c>
      <c r="W468" s="474">
        <f>SUMIFS(Таблица1[Столбец1],Таблица1[коэф],"1",Таблица1[р/р],"3/24",Таблица1[Ф. И. О.],B473)</f>
        <v>0</v>
      </c>
      <c r="X468" s="467">
        <f t="shared" ref="X468:X478" si="147">ROUND(U468*V468*W468*2,2)</f>
        <v>0</v>
      </c>
      <c r="Y468" s="748">
        <f t="shared" ref="Y468" si="148">SUM(G468:G478,K468:K478,O468:O478,S468:S478,W468:W478)</f>
        <v>0</v>
      </c>
      <c r="Z468" s="750">
        <f t="shared" ref="Z468" si="149">IFERROR(SUM(H468:H478,L468:L478,T468:T478,X468:X478),"")</f>
        <v>0</v>
      </c>
      <c r="AA468" s="740"/>
    </row>
    <row r="469" spans="1:29" ht="16.5" customHeight="1">
      <c r="A469" s="740"/>
      <c r="B469" s="201"/>
      <c r="C469" s="743"/>
      <c r="D469" s="746"/>
      <c r="E469" s="370">
        <f>IF(D468&lt;=3,база!$I$4,
IF(D468=4,база!$I$5,
IF(D468=5,база!$I$6)))</f>
        <v>188.7912</v>
      </c>
      <c r="F469" s="367">
        <v>1</v>
      </c>
      <c r="G469" s="377">
        <f>SUMIFS(Таблица1[Столбец1],Таблица1[коэф],"1",Таблица1[р/р],"3/4",Таблица1[Ф. И. О.],B473)</f>
        <v>0</v>
      </c>
      <c r="H469" s="369">
        <f t="shared" si="144"/>
        <v>0</v>
      </c>
      <c r="I469" s="366">
        <f>IF(D468&lt;=3,база!$J$4,
IF(D468=4,база!$J$5,
IF(D468=5,база!$J$6)))</f>
        <v>196.05240000000001</v>
      </c>
      <c r="J469" s="367">
        <v>1</v>
      </c>
      <c r="K469" s="411">
        <f>SUMIFS(Таблица1[Столбец1],Таблица1[коэф],"1",Таблица1[р/р],"3/8",Таблица1[Ф. И. О.],B473)</f>
        <v>0</v>
      </c>
      <c r="L469" s="461">
        <f t="shared" si="145"/>
        <v>0</v>
      </c>
      <c r="M469" s="409"/>
      <c r="N469" s="411">
        <v>1</v>
      </c>
      <c r="O469" s="411">
        <f>SUMIFS(Data_Tech!$AM$3:$AM$67,Data_Tech!$E$3:$E$67,"1",Data_Tech!$G$3:$G$67,"4/12",Data_Tech!$F$3:$F$67,B473)</f>
        <v>0</v>
      </c>
      <c r="P469" s="411">
        <f>ROUND(M469*O469,2)</f>
        <v>0</v>
      </c>
      <c r="Q469" s="376">
        <f>база!$L$5</f>
        <v>231.45480000000001</v>
      </c>
      <c r="R469" s="367">
        <v>1</v>
      </c>
      <c r="S469" s="468">
        <f>SUMIFS(Таблица1[Столбец1],Таблица1[коэф],"1",Таблица1[р/р],"4/16",Таблица1[Ф. И. О.],B473)</f>
        <v>0</v>
      </c>
      <c r="T469" s="469">
        <f t="shared" si="146"/>
        <v>0</v>
      </c>
      <c r="U469" s="449">
        <f>база!$M$5</f>
        <v>247.41720000000001</v>
      </c>
      <c r="V469" s="367">
        <v>1</v>
      </c>
      <c r="W469" s="471">
        <f>SUMIFS(Таблица1[Столбец1],Таблица1[коэф],"1",Таблица1[р/р],"4/24",Таблица1[Ф. И. О.],B473)</f>
        <v>0</v>
      </c>
      <c r="X469" s="469">
        <f t="shared" si="147"/>
        <v>0</v>
      </c>
      <c r="Y469" s="748"/>
      <c r="Z469" s="750"/>
      <c r="AA469" s="740"/>
    </row>
    <row r="470" spans="1:29" ht="16.5" customHeight="1">
      <c r="A470" s="740"/>
      <c r="B470" s="201"/>
      <c r="C470" s="743"/>
      <c r="D470" s="746"/>
      <c r="E470" s="370"/>
      <c r="F470" s="367"/>
      <c r="G470" s="377"/>
      <c r="H470" s="369">
        <f t="shared" si="144"/>
        <v>0</v>
      </c>
      <c r="I470" s="366"/>
      <c r="J470" s="367"/>
      <c r="K470" s="411"/>
      <c r="L470" s="461">
        <f t="shared" si="145"/>
        <v>0</v>
      </c>
      <c r="M470" s="409"/>
      <c r="N470" s="411"/>
      <c r="O470" s="411"/>
      <c r="P470" s="411"/>
      <c r="Q470" s="376">
        <f>база!$L$6</f>
        <v>261.04640000000001</v>
      </c>
      <c r="R470" s="367">
        <v>1</v>
      </c>
      <c r="S470" s="468">
        <f>SUMIFS(Таблица1[Столбец1],Таблица1[коэф],"1",Таблица1[р/р],"5/16",Таблица1[Ф. И. О.],B473)</f>
        <v>0</v>
      </c>
      <c r="T470" s="469">
        <f t="shared" si="146"/>
        <v>0</v>
      </c>
      <c r="U470" s="449">
        <f>база!$M$6</f>
        <v>279.0496</v>
      </c>
      <c r="V470" s="367">
        <v>1</v>
      </c>
      <c r="W470" s="471">
        <f>SUMIFS(Таблица1[Столбец1],Таблица1[коэф],"1",Таблица1[р/р],"5/24",Таблица1[Ф. И. О.],B473)</f>
        <v>0</v>
      </c>
      <c r="X470" s="469">
        <f t="shared" si="147"/>
        <v>0</v>
      </c>
      <c r="Y470" s="748"/>
      <c r="Z470" s="750"/>
      <c r="AA470" s="740"/>
    </row>
    <row r="471" spans="1:29" ht="16.5" customHeight="1">
      <c r="A471" s="740"/>
      <c r="B471" s="201"/>
      <c r="C471" s="743"/>
      <c r="D471" s="746"/>
      <c r="E471" s="370"/>
      <c r="F471" s="367"/>
      <c r="G471" s="377"/>
      <c r="H471" s="369">
        <f t="shared" si="144"/>
        <v>0</v>
      </c>
      <c r="I471" s="366">
        <f>база!$J$5</f>
        <v>215.4924</v>
      </c>
      <c r="J471" s="367">
        <v>1.5</v>
      </c>
      <c r="K471" s="411">
        <f>SUMIFS(Таблица1[Столбец1],Таблица1[коэф],"1,5",Таблица1[р/р],"4/8",Таблица1[Ф. И. О.],B473)</f>
        <v>0</v>
      </c>
      <c r="L471" s="461">
        <f t="shared" si="145"/>
        <v>0</v>
      </c>
      <c r="M471" s="409"/>
      <c r="N471" s="411"/>
      <c r="O471" s="411"/>
      <c r="P471" s="411"/>
      <c r="Q471" s="376">
        <f>IF(D468&lt;=3,база!$L$4,
IF(D468=4,база!$L$5,
IF(D468=5,база!$L$6)))</f>
        <v>210.57480000000001</v>
      </c>
      <c r="R471" s="367">
        <v>1.2</v>
      </c>
      <c r="S471" s="468">
        <f>SUMIFS(Таблица1[Столбец1],Таблица1[коэф],"1,2",Таблица1[р/р],"3/16",Таблица1[Ф. И. О.],B473)</f>
        <v>0</v>
      </c>
      <c r="T471" s="469">
        <f t="shared" si="146"/>
        <v>0</v>
      </c>
      <c r="U471" s="449">
        <f>IF(D468&lt;=3,база!$M$4,
IF(D468=4,база!$M$5,
IF(D468=5,база!$M$6)))</f>
        <v>225.09719999999999</v>
      </c>
      <c r="V471" s="367">
        <v>1.2</v>
      </c>
      <c r="W471" s="471">
        <f>SUMIFS(Таблица1[Столбец1],Таблица1[коэф],"1,2",Таблица1[р/р],"3/24",Таблица1[Ф. И. О.],B473)</f>
        <v>0</v>
      </c>
      <c r="X471" s="469">
        <f t="shared" si="147"/>
        <v>0</v>
      </c>
      <c r="Y471" s="748"/>
      <c r="Z471" s="750"/>
      <c r="AA471" s="740"/>
    </row>
    <row r="472" spans="1:29" ht="16.5" customHeight="1">
      <c r="A472" s="740"/>
      <c r="B472" s="201"/>
      <c r="C472" s="743"/>
      <c r="D472" s="746"/>
      <c r="E472" s="370"/>
      <c r="F472" s="367"/>
      <c r="G472" s="377"/>
      <c r="H472" s="369">
        <f t="shared" si="144"/>
        <v>0</v>
      </c>
      <c r="I472" s="366">
        <f>база!$J$6</f>
        <v>243.04319999999998</v>
      </c>
      <c r="J472" s="367">
        <v>1.5</v>
      </c>
      <c r="K472" s="411">
        <f>SUMIFS(Таблица1[Столбец1],Таблица1[коэф],"1,5",Таблица1[р/р],"5/8",Таблица1[Ф. И. О.],B473)</f>
        <v>0</v>
      </c>
      <c r="L472" s="461">
        <f t="shared" si="145"/>
        <v>0</v>
      </c>
      <c r="M472" s="409"/>
      <c r="N472" s="411"/>
      <c r="O472" s="411"/>
      <c r="P472" s="411"/>
      <c r="Q472" s="376">
        <f>база!$L$5</f>
        <v>231.45480000000001</v>
      </c>
      <c r="R472" s="367">
        <v>1.2</v>
      </c>
      <c r="S472" s="468">
        <f>SUMIFS(Таблица1[Столбец1],Таблица1[коэф],"1,2",Таблица1[р/р],"4/16",Таблица1[Ф. И. О.],B473)</f>
        <v>0</v>
      </c>
      <c r="T472" s="469">
        <f t="shared" si="146"/>
        <v>0</v>
      </c>
      <c r="U472" s="449">
        <f>база!$M$5</f>
        <v>247.41720000000001</v>
      </c>
      <c r="V472" s="367">
        <v>1.2</v>
      </c>
      <c r="W472" s="471">
        <f>SUMIFS(Таблица1[Столбец1],Таблица1[коэф],"1,2",Таблица1[р/р],"4/24",Таблица1[Ф. И. О.],B473)</f>
        <v>0</v>
      </c>
      <c r="X472" s="469">
        <f t="shared" si="147"/>
        <v>0</v>
      </c>
      <c r="Y472" s="748"/>
      <c r="Z472" s="750"/>
      <c r="AA472" s="740"/>
    </row>
    <row r="473" spans="1:29" ht="16.5" customHeight="1">
      <c r="A473" s="740"/>
      <c r="B473" s="201" t="str">
        <f>база!B44</f>
        <v>Малышева Анна Евгеньевна</v>
      </c>
      <c r="C473" s="743"/>
      <c r="D473" s="746"/>
      <c r="E473" s="370"/>
      <c r="F473" s="367"/>
      <c r="G473" s="377"/>
      <c r="H473" s="369">
        <f t="shared" si="144"/>
        <v>0</v>
      </c>
      <c r="I473" s="366"/>
      <c r="J473" s="367"/>
      <c r="K473" s="411"/>
      <c r="L473" s="461">
        <f t="shared" si="145"/>
        <v>0</v>
      </c>
      <c r="M473" s="409"/>
      <c r="N473" s="411"/>
      <c r="O473" s="411"/>
      <c r="P473" s="411"/>
      <c r="Q473" s="376">
        <f>база!$L$6</f>
        <v>261.04640000000001</v>
      </c>
      <c r="R473" s="367">
        <v>1.2</v>
      </c>
      <c r="S473" s="468">
        <f>SUMIFS(Таблица1[Столбец1],Таблица1[коэф],"1,2",Таблица1[р/р],"5/16",Таблица1[Ф. И. О.],B473)</f>
        <v>0</v>
      </c>
      <c r="T473" s="469">
        <f t="shared" si="146"/>
        <v>0</v>
      </c>
      <c r="U473" s="449">
        <f>база!$M$6</f>
        <v>279.0496</v>
      </c>
      <c r="V473" s="367">
        <v>1.2</v>
      </c>
      <c r="W473" s="471">
        <f>SUMIFS(Таблица1[Столбец1],Таблица1[коэф],"1,2",Таблица1[р/р],"5/24",Таблица1[Ф. И. О.],B473)</f>
        <v>0</v>
      </c>
      <c r="X473" s="469">
        <f t="shared" si="147"/>
        <v>0</v>
      </c>
      <c r="Y473" s="748"/>
      <c r="Z473" s="750"/>
      <c r="AA473" s="740"/>
      <c r="AC473" s="693" t="str">
        <f>IF(SUMIFS(Таблица1[Столбец3],Таблица1[Ф. И. О.],B473)-Z468=0,"",SUMIFS(Таблица1[Столбец3],Таблица1[Ф. И. О.],B473)-Z468)</f>
        <v/>
      </c>
    </row>
    <row r="474" spans="1:29" ht="16.5" customHeight="1">
      <c r="A474" s="740"/>
      <c r="B474" s="201"/>
      <c r="C474" s="743"/>
      <c r="D474" s="746"/>
      <c r="E474" s="370"/>
      <c r="F474" s="367"/>
      <c r="G474" s="377"/>
      <c r="H474" s="369">
        <f t="shared" si="144"/>
        <v>0</v>
      </c>
      <c r="I474" s="366"/>
      <c r="J474" s="367"/>
      <c r="K474" s="411"/>
      <c r="L474" s="461">
        <f t="shared" si="145"/>
        <v>0</v>
      </c>
      <c r="M474" s="409"/>
      <c r="N474" s="411"/>
      <c r="O474" s="411"/>
      <c r="P474" s="411"/>
      <c r="Q474" s="376">
        <f>IF(D468&lt;=3,база!$L$4,
IF(D468=4,база!$L$5,
IF(D468=5,база!$L$6)))</f>
        <v>210.57480000000001</v>
      </c>
      <c r="R474" s="367">
        <v>1.3</v>
      </c>
      <c r="S474" s="468">
        <f>SUMIFS(Таблица1[Столбец1],Таблица1[коэф],"1,3",Таблица1[р/р],"3/16",Таблица1[Ф. И. О.],B473)</f>
        <v>0</v>
      </c>
      <c r="T474" s="469">
        <f t="shared" si="146"/>
        <v>0</v>
      </c>
      <c r="U474" s="449">
        <f>IF(D468&lt;=3,база!$M$4,
IF(D468=4,база!$M$5,
IF(D468=5,база!$M$6)))</f>
        <v>225.09719999999999</v>
      </c>
      <c r="V474" s="367">
        <v>1.3</v>
      </c>
      <c r="W474" s="471">
        <f>SUMIFS(Таблица1[Столбец1],Таблица1[коэф],"1,3",Таблица1[р/р],"3/24",Таблица1[Ф. И. О.],B473)</f>
        <v>0</v>
      </c>
      <c r="X474" s="469">
        <f t="shared" si="147"/>
        <v>0</v>
      </c>
      <c r="Y474" s="748"/>
      <c r="Z474" s="750"/>
      <c r="AA474" s="740"/>
      <c r="AC474" s="693" t="str">
        <f>IF(SUMIFS(Таблица1[Столбец1],Таблица1[Ф. И. О.],B473)=Y468,"",B473&amp;"  часы не верны")</f>
        <v/>
      </c>
    </row>
    <row r="475" spans="1:29" ht="16.5" customHeight="1">
      <c r="A475" s="740"/>
      <c r="B475" s="201"/>
      <c r="C475" s="743"/>
      <c r="D475" s="746"/>
      <c r="E475" s="370"/>
      <c r="F475" s="367"/>
      <c r="G475" s="377"/>
      <c r="H475" s="369">
        <f t="shared" si="144"/>
        <v>0</v>
      </c>
      <c r="I475" s="366"/>
      <c r="J475" s="367"/>
      <c r="K475" s="411"/>
      <c r="L475" s="461">
        <f t="shared" si="145"/>
        <v>0</v>
      </c>
      <c r="M475" s="409"/>
      <c r="N475" s="411"/>
      <c r="O475" s="411"/>
      <c r="P475" s="411"/>
      <c r="Q475" s="376">
        <f>база!$L$5</f>
        <v>231.45480000000001</v>
      </c>
      <c r="R475" s="367">
        <v>1.3</v>
      </c>
      <c r="S475" s="468">
        <f>SUMIFS(Таблица1[Столбец1],Таблица1[коэф],"1,3",Таблица1[р/р],"4/16",Таблица1[Ф. И. О.],B473)</f>
        <v>0</v>
      </c>
      <c r="T475" s="469">
        <f t="shared" si="146"/>
        <v>0</v>
      </c>
      <c r="U475" s="449">
        <f>база!$M$5</f>
        <v>247.41720000000001</v>
      </c>
      <c r="V475" s="367">
        <v>1.3</v>
      </c>
      <c r="W475" s="471">
        <f>SUMIFS(Таблица1[Столбец1],Таблица1[коэф],"1,3",Таблица1[р/р],"4/24",Таблица1[Ф. И. О.],B473)</f>
        <v>0</v>
      </c>
      <c r="X475" s="469">
        <f t="shared" si="147"/>
        <v>0</v>
      </c>
      <c r="Y475" s="748"/>
      <c r="Z475" s="750"/>
      <c r="AA475" s="740"/>
    </row>
    <row r="476" spans="1:29" ht="16.5" customHeight="1">
      <c r="A476" s="740"/>
      <c r="B476" s="201"/>
      <c r="C476" s="743"/>
      <c r="D476" s="746"/>
      <c r="E476" s="370"/>
      <c r="F476" s="367"/>
      <c r="G476" s="377"/>
      <c r="H476" s="369">
        <f t="shared" si="144"/>
        <v>0</v>
      </c>
      <c r="I476" s="366"/>
      <c r="J476" s="367"/>
      <c r="K476" s="411"/>
      <c r="L476" s="461">
        <f t="shared" si="145"/>
        <v>0</v>
      </c>
      <c r="M476" s="409"/>
      <c r="N476" s="411"/>
      <c r="O476" s="411"/>
      <c r="P476" s="411"/>
      <c r="Q476" s="376">
        <f>IF(D468&lt;=3,база!$L$4,
IF(D468=4,база!$L$5,
IF(D468=5,база!$L$6)))</f>
        <v>210.57480000000001</v>
      </c>
      <c r="R476" s="367">
        <v>1.4</v>
      </c>
      <c r="S476" s="468">
        <f>SUMIFS(Таблица1[Столбец1],Таблица1[коэф],"1,4",Таблица1[р/р],"3/16",Таблица1[Ф. И. О.],B473)</f>
        <v>0</v>
      </c>
      <c r="T476" s="469">
        <f t="shared" si="146"/>
        <v>0</v>
      </c>
      <c r="U476" s="449">
        <f>IF(D468&lt;=3,база!$M$4,
IF(D468=4,база!$M$5,
IF(D468=5,база!$M$6)))</f>
        <v>225.09719999999999</v>
      </c>
      <c r="V476" s="367">
        <v>1.4</v>
      </c>
      <c r="W476" s="471">
        <f>SUMIFS(Таблица1[Столбец1],Таблица1[коэф],"1,4",Таблица1[р/р],"3/24",Таблица1[Ф. И. О.],B473)</f>
        <v>0</v>
      </c>
      <c r="X476" s="469">
        <f t="shared" si="147"/>
        <v>0</v>
      </c>
      <c r="Y476" s="748"/>
      <c r="Z476" s="750"/>
      <c r="AA476" s="740"/>
    </row>
    <row r="477" spans="1:29" ht="16.5" customHeight="1">
      <c r="A477" s="740"/>
      <c r="B477" s="201"/>
      <c r="C477" s="743"/>
      <c r="D477" s="746"/>
      <c r="E477" s="370"/>
      <c r="F477" s="367"/>
      <c r="G477" s="377"/>
      <c r="H477" s="369">
        <f t="shared" si="144"/>
        <v>0</v>
      </c>
      <c r="I477" s="366"/>
      <c r="J477" s="367"/>
      <c r="K477" s="411"/>
      <c r="L477" s="372">
        <f t="shared" si="145"/>
        <v>0</v>
      </c>
      <c r="M477" s="409"/>
      <c r="N477" s="411"/>
      <c r="O477" s="411"/>
      <c r="P477" s="411"/>
      <c r="Q477" s="376">
        <f>база!$L$5</f>
        <v>231.45480000000001</v>
      </c>
      <c r="R477" s="367">
        <v>1.4</v>
      </c>
      <c r="S477" s="468">
        <f>SUMIFS(Таблица1[Столбец1],Таблица1[коэф],"1,4",Таблица1[р/р],"4/16",Таблица1[Ф. И. О.],B473)</f>
        <v>0</v>
      </c>
      <c r="T477" s="469">
        <f t="shared" si="146"/>
        <v>0</v>
      </c>
      <c r="U477" s="449">
        <f>база!$M$5</f>
        <v>247.41720000000001</v>
      </c>
      <c r="V477" s="367">
        <v>1.4</v>
      </c>
      <c r="W477" s="471">
        <f>SUMIFS(Таблица1[Столбец1],Таблица1[коэф],"1,4",Таблица1[р/р],"4/24",Таблица1[Ф. И. О.],B473)</f>
        <v>0</v>
      </c>
      <c r="X477" s="469">
        <f t="shared" si="147"/>
        <v>0</v>
      </c>
      <c r="Y477" s="748"/>
      <c r="Z477" s="750"/>
      <c r="AA477" s="740"/>
    </row>
    <row r="478" spans="1:29" ht="16.5" customHeight="1" thickBot="1">
      <c r="A478" s="741"/>
      <c r="B478" s="188"/>
      <c r="C478" s="744"/>
      <c r="D478" s="747"/>
      <c r="E478" s="440"/>
      <c r="F478" s="441"/>
      <c r="G478" s="442"/>
      <c r="H478" s="445">
        <f t="shared" si="144"/>
        <v>0</v>
      </c>
      <c r="I478" s="450"/>
      <c r="J478" s="441"/>
      <c r="K478" s="434"/>
      <c r="L478" s="435">
        <f t="shared" si="145"/>
        <v>0</v>
      </c>
      <c r="M478" s="443"/>
      <c r="N478" s="434"/>
      <c r="O478" s="434"/>
      <c r="P478" s="434"/>
      <c r="Q478" s="444">
        <f>база!$L$6</f>
        <v>261.04640000000001</v>
      </c>
      <c r="R478" s="441">
        <v>1.4</v>
      </c>
      <c r="S478" s="489">
        <f>SUMIFS(Таблица1[Столбец1],Таблица1[коэф],"1,4",Таблица1[р/р],"5/16",Таблица1[Ф. И. О.],B473)</f>
        <v>0</v>
      </c>
      <c r="T478" s="490">
        <f t="shared" si="146"/>
        <v>0</v>
      </c>
      <c r="U478" s="451">
        <f>база!$M$6</f>
        <v>279.0496</v>
      </c>
      <c r="V478" s="441">
        <v>1.4</v>
      </c>
      <c r="W478" s="478">
        <f>SUMIFS(Таблица1[Столбец1],Таблица1[коэф],"1,4",Таблица1[р/р],"5/24",Таблица1[Ф. И. О.],B473)</f>
        <v>0</v>
      </c>
      <c r="X478" s="490">
        <f t="shared" si="147"/>
        <v>0</v>
      </c>
      <c r="Y478" s="749"/>
      <c r="Z478" s="751"/>
      <c r="AA478" s="741"/>
    </row>
    <row r="479" spans="1:29" ht="16.5" customHeight="1" collapsed="1">
      <c r="A479" s="739">
        <v>44</v>
      </c>
      <c r="B479" s="219"/>
      <c r="C479" s="742">
        <f>INDEX(база!$E$2:$E$81, MATCH(B484,база!$B$2:$B$50,0))</f>
        <v>17136</v>
      </c>
      <c r="D479" s="745">
        <f>INDEX(база!$D$2:$D$89, MATCH(B484,база!$B$2:$B$50,0))</f>
        <v>3</v>
      </c>
      <c r="E479" s="428">
        <f>IF(D479&lt;=3,база!$I$4,
IF(D479=4,база!$I$5,
IF(D479=5,база!$I$6)))</f>
        <v>188.7912</v>
      </c>
      <c r="F479" s="394">
        <v>1</v>
      </c>
      <c r="G479" s="395">
        <f>SUMIFS(Таблица1[Столбец1],Таблица1[коэф],"1",Таблица1[р/р],"2/4",Таблица1[Ф. И. О.],B484)</f>
        <v>0</v>
      </c>
      <c r="H479" s="379">
        <f t="shared" ref="H479:H489" si="150">ROUND(E479*F479*G479*2,2)</f>
        <v>0</v>
      </c>
      <c r="I479" s="354">
        <f>IF(D479&lt;=3,база!$J$4,
IF(D479=4,база!$J$5,
IF(D479=5,база!$J$6)))</f>
        <v>196.05240000000001</v>
      </c>
      <c r="J479" s="355">
        <v>1</v>
      </c>
      <c r="K479" s="405">
        <f>SUMIFS(Таблица1[Столбец1],Таблица1[коэф],"1",Таблица1[р/р],"2/8",Таблица1[Ф. И. О.],B484)</f>
        <v>0</v>
      </c>
      <c r="L479" s="360">
        <f t="shared" ref="L479:L489" si="151">ROUND(I479*J479*K479*2,2)</f>
        <v>0</v>
      </c>
      <c r="M479" s="429"/>
      <c r="N479" s="430">
        <v>1</v>
      </c>
      <c r="O479" s="430">
        <f>SUMIFS(Data_Tech!$AM$3:$AM$67,Data_Tech!$E$3:$E$67,"1",Data_Tech!$G$3:$G$67,"3/12",Data_Tech!$F$3:$F$67,B484)</f>
        <v>0</v>
      </c>
      <c r="P479" s="430">
        <f>ROUND(M479*N479*O479,2)</f>
        <v>0</v>
      </c>
      <c r="Q479" s="393">
        <f>IF(D479&lt;=3,база!$L$4,
IF(D479=4,база!$L$5,
IF(D479=5,база!$L$6)))</f>
        <v>210.57480000000001</v>
      </c>
      <c r="R479" s="394">
        <v>1</v>
      </c>
      <c r="S479" s="472">
        <f>SUMIFS(Таблица1[Столбец1],Таблица1[коэф],"1",Таблица1[р/р],"3/16",Таблица1[Ф. И. О.],B484)</f>
        <v>0</v>
      </c>
      <c r="T479" s="467">
        <f t="shared" ref="T479:T489" si="152">ROUND(Q479*R479*S479*2,2)</f>
        <v>0</v>
      </c>
      <c r="U479" s="448">
        <f>IF(D479&lt;=3,база!$M$4,
IF(D479=4,база!$M$5,
IF(D479=5,база!$M$6)))</f>
        <v>225.09719999999999</v>
      </c>
      <c r="V479" s="355">
        <v>1</v>
      </c>
      <c r="W479" s="474">
        <f>SUMIFS(Таблица1[Столбец1],Таблица1[коэф],"1",Таблица1[р/р],"3/24",Таблица1[Ф. И. О.],B484)</f>
        <v>0</v>
      </c>
      <c r="X479" s="467">
        <f t="shared" ref="X479:X489" si="153">ROUND(U479*V479*W479*2,2)</f>
        <v>0</v>
      </c>
      <c r="Y479" s="748">
        <f t="shared" ref="Y479" si="154">SUM(G479:G489,K479:K489,O479:O489,S479:S489,W479:W489)</f>
        <v>0</v>
      </c>
      <c r="Z479" s="750">
        <f t="shared" ref="Z479" si="155">IFERROR(SUM(H479:H489,L479:L489,T479:T489,X479:X489),"")</f>
        <v>0</v>
      </c>
      <c r="AA479" s="740"/>
    </row>
    <row r="480" spans="1:29" ht="16.5" customHeight="1">
      <c r="A480" s="740"/>
      <c r="B480" s="201"/>
      <c r="C480" s="743"/>
      <c r="D480" s="746"/>
      <c r="E480" s="370">
        <f>IF(D479&lt;=3,база!$I$4,
IF(D479=4,база!$I$5,
IF(D479=5,база!$I$6)))</f>
        <v>188.7912</v>
      </c>
      <c r="F480" s="367">
        <v>1</v>
      </c>
      <c r="G480" s="377">
        <f>SUMIFS(Таблица1[Столбец1],Таблица1[коэф],"1",Таблица1[р/р],"3/4",Таблица1[Ф. И. О.],B484)</f>
        <v>0</v>
      </c>
      <c r="H480" s="369">
        <f t="shared" si="150"/>
        <v>0</v>
      </c>
      <c r="I480" s="366">
        <f>IF(D479&lt;=3,база!$J$4,
IF(D479=4,база!$J$5,
IF(D479=5,база!$J$6)))</f>
        <v>196.05240000000001</v>
      </c>
      <c r="J480" s="367">
        <v>1</v>
      </c>
      <c r="K480" s="411">
        <f>SUMIFS(Таблица1[Столбец1],Таблица1[коэф],"1",Таблица1[р/р],"3/8",Таблица1[Ф. И. О.],B484)</f>
        <v>0</v>
      </c>
      <c r="L480" s="461">
        <f t="shared" si="151"/>
        <v>0</v>
      </c>
      <c r="M480" s="409"/>
      <c r="N480" s="411">
        <v>1</v>
      </c>
      <c r="O480" s="411">
        <f>SUMIFS(Data_Tech!$AM$3:$AM$67,Data_Tech!$E$3:$E$67,"1",Data_Tech!$G$3:$G$67,"4/12",Data_Tech!$F$3:$F$67,B484)</f>
        <v>0</v>
      </c>
      <c r="P480" s="411">
        <f>ROUND(M480*O480,2)</f>
        <v>0</v>
      </c>
      <c r="Q480" s="376">
        <f>база!$L$5</f>
        <v>231.45480000000001</v>
      </c>
      <c r="R480" s="367">
        <v>1</v>
      </c>
      <c r="S480" s="468">
        <f>SUMIFS(Таблица1[Столбец1],Таблица1[коэф],"1",Таблица1[р/р],"4/16",Таблица1[Ф. И. О.],B484)</f>
        <v>0</v>
      </c>
      <c r="T480" s="469">
        <f t="shared" si="152"/>
        <v>0</v>
      </c>
      <c r="U480" s="449">
        <f>база!$M$5</f>
        <v>247.41720000000001</v>
      </c>
      <c r="V480" s="367">
        <v>1</v>
      </c>
      <c r="W480" s="471">
        <f>SUMIFS(Таблица1[Столбец1],Таблица1[коэф],"1",Таблица1[р/р],"4/24",Таблица1[Ф. И. О.],B484)</f>
        <v>0</v>
      </c>
      <c r="X480" s="469">
        <f t="shared" si="153"/>
        <v>0</v>
      </c>
      <c r="Y480" s="748"/>
      <c r="Z480" s="750"/>
      <c r="AA480" s="740"/>
    </row>
    <row r="481" spans="1:29" ht="16.5" customHeight="1">
      <c r="A481" s="740"/>
      <c r="B481" s="201"/>
      <c r="C481" s="743"/>
      <c r="D481" s="746"/>
      <c r="E481" s="370"/>
      <c r="F481" s="367"/>
      <c r="G481" s="377"/>
      <c r="H481" s="369">
        <f t="shared" si="150"/>
        <v>0</v>
      </c>
      <c r="I481" s="366"/>
      <c r="J481" s="367"/>
      <c r="K481" s="411"/>
      <c r="L481" s="461">
        <f t="shared" si="151"/>
        <v>0</v>
      </c>
      <c r="M481" s="409"/>
      <c r="N481" s="411"/>
      <c r="O481" s="411"/>
      <c r="P481" s="411"/>
      <c r="Q481" s="376">
        <f>база!$L$6</f>
        <v>261.04640000000001</v>
      </c>
      <c r="R481" s="367">
        <v>1</v>
      </c>
      <c r="S481" s="468">
        <f>SUMIFS(Таблица1[Столбец1],Таблица1[коэф],"1",Таблица1[р/р],"5/16",Таблица1[Ф. И. О.],B484)</f>
        <v>0</v>
      </c>
      <c r="T481" s="469">
        <f t="shared" si="152"/>
        <v>0</v>
      </c>
      <c r="U481" s="449">
        <f>база!$M$6</f>
        <v>279.0496</v>
      </c>
      <c r="V481" s="367">
        <v>1</v>
      </c>
      <c r="W481" s="471">
        <f>SUMIFS(Таблица1[Столбец1],Таблица1[коэф],"1",Таблица1[р/р],"5/24",Таблица1[Ф. И. О.],B484)</f>
        <v>0</v>
      </c>
      <c r="X481" s="469">
        <f t="shared" si="153"/>
        <v>0</v>
      </c>
      <c r="Y481" s="748"/>
      <c r="Z481" s="750"/>
      <c r="AA481" s="740"/>
    </row>
    <row r="482" spans="1:29" ht="16.5" customHeight="1">
      <c r="A482" s="740"/>
      <c r="B482" s="201"/>
      <c r="C482" s="743"/>
      <c r="D482" s="746"/>
      <c r="E482" s="370"/>
      <c r="F482" s="367"/>
      <c r="G482" s="377"/>
      <c r="H482" s="369">
        <f t="shared" si="150"/>
        <v>0</v>
      </c>
      <c r="I482" s="366">
        <f>база!$J$5</f>
        <v>215.4924</v>
      </c>
      <c r="J482" s="367">
        <v>1.5</v>
      </c>
      <c r="K482" s="411">
        <f>SUMIFS(Таблица1[Столбец1],Таблица1[коэф],"1,5",Таблица1[р/р],"4/8",Таблица1[Ф. И. О.],B484)</f>
        <v>0</v>
      </c>
      <c r="L482" s="461">
        <f t="shared" si="151"/>
        <v>0</v>
      </c>
      <c r="M482" s="409"/>
      <c r="N482" s="411"/>
      <c r="O482" s="411"/>
      <c r="P482" s="411"/>
      <c r="Q482" s="376">
        <f>IF(D479&lt;=3,база!$L$4,
IF(D479=4,база!$L$5,
IF(D479=5,база!$L$6)))</f>
        <v>210.57480000000001</v>
      </c>
      <c r="R482" s="367">
        <v>1.2</v>
      </c>
      <c r="S482" s="468">
        <f>SUMIFS(Таблица1[Столбец1],Таблица1[коэф],"1,2",Таблица1[р/р],"3/16",Таблица1[Ф. И. О.],B484)</f>
        <v>0</v>
      </c>
      <c r="T482" s="469">
        <f t="shared" si="152"/>
        <v>0</v>
      </c>
      <c r="U482" s="449">
        <f>IF(D479&lt;=3,база!$M$4,
IF(D479=4,база!$M$5,
IF(D479=5,база!$M$6)))</f>
        <v>225.09719999999999</v>
      </c>
      <c r="V482" s="367">
        <v>1.2</v>
      </c>
      <c r="W482" s="471">
        <f>SUMIFS(Таблица1[Столбец1],Таблица1[коэф],"1,2",Таблица1[р/р],"3/24",Таблица1[Ф. И. О.],B484)</f>
        <v>0</v>
      </c>
      <c r="X482" s="469">
        <f t="shared" si="153"/>
        <v>0</v>
      </c>
      <c r="Y482" s="748"/>
      <c r="Z482" s="750"/>
      <c r="AA482" s="740"/>
    </row>
    <row r="483" spans="1:29" ht="16.5" customHeight="1">
      <c r="A483" s="740"/>
      <c r="B483" s="201"/>
      <c r="C483" s="743"/>
      <c r="D483" s="746"/>
      <c r="E483" s="370"/>
      <c r="F483" s="367"/>
      <c r="G483" s="377"/>
      <c r="H483" s="369">
        <f t="shared" si="150"/>
        <v>0</v>
      </c>
      <c r="I483" s="366">
        <f>база!$J$6</f>
        <v>243.04319999999998</v>
      </c>
      <c r="J483" s="367">
        <v>1.5</v>
      </c>
      <c r="K483" s="411">
        <f>SUMIFS(Таблица1[Столбец1],Таблица1[коэф],"1,5",Таблица1[р/р],"5/8",Таблица1[Ф. И. О.],B484)</f>
        <v>0</v>
      </c>
      <c r="L483" s="461">
        <f t="shared" si="151"/>
        <v>0</v>
      </c>
      <c r="M483" s="409"/>
      <c r="N483" s="411"/>
      <c r="O483" s="411"/>
      <c r="P483" s="411"/>
      <c r="Q483" s="376">
        <f>база!$L$5</f>
        <v>231.45480000000001</v>
      </c>
      <c r="R483" s="367">
        <v>1.2</v>
      </c>
      <c r="S483" s="468">
        <f>SUMIFS(Таблица1[Столбец1],Таблица1[коэф],"1,2",Таблица1[р/р],"4/16",Таблица1[Ф. И. О.],B484)</f>
        <v>0</v>
      </c>
      <c r="T483" s="469">
        <f t="shared" si="152"/>
        <v>0</v>
      </c>
      <c r="U483" s="449">
        <f>база!$M$5</f>
        <v>247.41720000000001</v>
      </c>
      <c r="V483" s="367">
        <v>1.2</v>
      </c>
      <c r="W483" s="471">
        <f>SUMIFS(Таблица1[Столбец1],Таблица1[коэф],"1,2",Таблица1[р/р],"4/24",Таблица1[Ф. И. О.],B484)</f>
        <v>0</v>
      </c>
      <c r="X483" s="469">
        <f t="shared" si="153"/>
        <v>0</v>
      </c>
      <c r="Y483" s="748"/>
      <c r="Z483" s="750"/>
      <c r="AA483" s="740"/>
    </row>
    <row r="484" spans="1:29" ht="16.5" customHeight="1">
      <c r="A484" s="740"/>
      <c r="B484" s="201" t="str">
        <f>база!B45</f>
        <v>Маргиева Фатима Александровна</v>
      </c>
      <c r="C484" s="743"/>
      <c r="D484" s="746"/>
      <c r="E484" s="370"/>
      <c r="F484" s="367"/>
      <c r="G484" s="377"/>
      <c r="H484" s="369">
        <f t="shared" si="150"/>
        <v>0</v>
      </c>
      <c r="I484" s="366"/>
      <c r="J484" s="367"/>
      <c r="K484" s="411"/>
      <c r="L484" s="461">
        <f t="shared" si="151"/>
        <v>0</v>
      </c>
      <c r="M484" s="409"/>
      <c r="N484" s="411"/>
      <c r="O484" s="411"/>
      <c r="P484" s="411"/>
      <c r="Q484" s="376">
        <f>база!$L$6</f>
        <v>261.04640000000001</v>
      </c>
      <c r="R484" s="367">
        <v>1.2</v>
      </c>
      <c r="S484" s="468">
        <f>SUMIFS(Таблица1[Столбец1],Таблица1[коэф],"1,2",Таблица1[р/р],"5/16",Таблица1[Ф. И. О.],B484)</f>
        <v>0</v>
      </c>
      <c r="T484" s="469">
        <f t="shared" si="152"/>
        <v>0</v>
      </c>
      <c r="U484" s="449">
        <f>база!$M$6</f>
        <v>279.0496</v>
      </c>
      <c r="V484" s="367">
        <v>1.2</v>
      </c>
      <c r="W484" s="471">
        <f>SUMIFS(Таблица1[Столбец1],Таблица1[коэф],"1,2",Таблица1[р/р],"5/24",Таблица1[Ф. И. О.],B484)</f>
        <v>0</v>
      </c>
      <c r="X484" s="469">
        <f t="shared" si="153"/>
        <v>0</v>
      </c>
      <c r="Y484" s="748"/>
      <c r="Z484" s="750"/>
      <c r="AA484" s="740"/>
      <c r="AC484" s="693" t="str">
        <f>IF(SUMIFS(Таблица1[Столбец3],Таблица1[Ф. И. О.],B484)-Z479=0,"",SUMIFS(Таблица1[Столбец3],Таблица1[Ф. И. О.],B484)-Z479)</f>
        <v/>
      </c>
    </row>
    <row r="485" spans="1:29" ht="16.5" customHeight="1">
      <c r="A485" s="740"/>
      <c r="B485" s="201"/>
      <c r="C485" s="743"/>
      <c r="D485" s="746"/>
      <c r="E485" s="370"/>
      <c r="F485" s="367"/>
      <c r="G485" s="377"/>
      <c r="H485" s="369">
        <f t="shared" si="150"/>
        <v>0</v>
      </c>
      <c r="I485" s="366"/>
      <c r="J485" s="367"/>
      <c r="K485" s="411"/>
      <c r="L485" s="461">
        <f t="shared" si="151"/>
        <v>0</v>
      </c>
      <c r="M485" s="409"/>
      <c r="N485" s="411"/>
      <c r="O485" s="411"/>
      <c r="P485" s="411"/>
      <c r="Q485" s="376">
        <f>IF(D479&lt;=3,база!$L$4,
IF(D479=4,база!$L$5,
IF(D479=5,база!$L$6)))</f>
        <v>210.57480000000001</v>
      </c>
      <c r="R485" s="367">
        <v>1.3</v>
      </c>
      <c r="S485" s="468">
        <f>SUMIFS(Таблица1[Столбец1],Таблица1[коэф],"1,3",Таблица1[р/р],"3/16",Таблица1[Ф. И. О.],B484)</f>
        <v>0</v>
      </c>
      <c r="T485" s="469">
        <f t="shared" si="152"/>
        <v>0</v>
      </c>
      <c r="U485" s="449">
        <f>IF(D479&lt;=3,база!$M$4,
IF(D479=4,база!$M$5,
IF(D479=5,база!$M$6)))</f>
        <v>225.09719999999999</v>
      </c>
      <c r="V485" s="367">
        <v>1.3</v>
      </c>
      <c r="W485" s="471">
        <f>SUMIFS(Таблица1[Столбец1],Таблица1[коэф],"1,3",Таблица1[р/р],"3/24",Таблица1[Ф. И. О.],B484)</f>
        <v>0</v>
      </c>
      <c r="X485" s="469">
        <f t="shared" si="153"/>
        <v>0</v>
      </c>
      <c r="Y485" s="748"/>
      <c r="Z485" s="750"/>
      <c r="AA485" s="740"/>
      <c r="AC485" s="693" t="str">
        <f>IF(SUMIFS(Таблица1[Столбец1],Таблица1[Ф. И. О.],B484)=Y479,"",B484&amp;"  часы не верны")</f>
        <v/>
      </c>
    </row>
    <row r="486" spans="1:29" ht="16.5" customHeight="1">
      <c r="A486" s="740"/>
      <c r="B486" s="201"/>
      <c r="C486" s="743"/>
      <c r="D486" s="746"/>
      <c r="E486" s="370"/>
      <c r="F486" s="367"/>
      <c r="G486" s="377"/>
      <c r="H486" s="369">
        <f t="shared" si="150"/>
        <v>0</v>
      </c>
      <c r="I486" s="366"/>
      <c r="J486" s="367"/>
      <c r="K486" s="411"/>
      <c r="L486" s="461">
        <f t="shared" si="151"/>
        <v>0</v>
      </c>
      <c r="M486" s="409"/>
      <c r="N486" s="411"/>
      <c r="O486" s="411"/>
      <c r="P486" s="411"/>
      <c r="Q486" s="376">
        <f>база!$L$5</f>
        <v>231.45480000000001</v>
      </c>
      <c r="R486" s="367">
        <v>1.3</v>
      </c>
      <c r="S486" s="468">
        <f>SUMIFS(Таблица1[Столбец1],Таблица1[коэф],"1,3",Таблица1[р/р],"4/16",Таблица1[Ф. И. О.],B484)</f>
        <v>0</v>
      </c>
      <c r="T486" s="469">
        <f t="shared" si="152"/>
        <v>0</v>
      </c>
      <c r="U486" s="449">
        <f>база!$M$5</f>
        <v>247.41720000000001</v>
      </c>
      <c r="V486" s="367">
        <v>1.3</v>
      </c>
      <c r="W486" s="471">
        <f>SUMIFS(Таблица1[Столбец1],Таблица1[коэф],"1,3",Таблица1[р/р],"4/24",Таблица1[Ф. И. О.],B484)</f>
        <v>0</v>
      </c>
      <c r="X486" s="469">
        <f t="shared" si="153"/>
        <v>0</v>
      </c>
      <c r="Y486" s="748"/>
      <c r="Z486" s="750"/>
      <c r="AA486" s="740"/>
    </row>
    <row r="487" spans="1:29" ht="16.5" customHeight="1">
      <c r="A487" s="740"/>
      <c r="B487" s="201"/>
      <c r="C487" s="743"/>
      <c r="D487" s="746"/>
      <c r="E487" s="370"/>
      <c r="F487" s="367"/>
      <c r="G487" s="377"/>
      <c r="H487" s="369">
        <f t="shared" si="150"/>
        <v>0</v>
      </c>
      <c r="I487" s="366"/>
      <c r="J487" s="367"/>
      <c r="K487" s="411"/>
      <c r="L487" s="461">
        <f t="shared" si="151"/>
        <v>0</v>
      </c>
      <c r="M487" s="409"/>
      <c r="N487" s="411"/>
      <c r="O487" s="411"/>
      <c r="P487" s="411"/>
      <c r="Q487" s="376">
        <f>IF(D479&lt;=3,база!$L$4,
IF(D479=4,база!$L$5,
IF(D479=5,база!$L$6)))</f>
        <v>210.57480000000001</v>
      </c>
      <c r="R487" s="367">
        <v>1.4</v>
      </c>
      <c r="S487" s="468">
        <f>SUMIFS(Таблица1[Столбец1],Таблица1[коэф],"1,4",Таблица1[р/р],"3/16",Таблица1[Ф. И. О.],B484)</f>
        <v>0</v>
      </c>
      <c r="T487" s="469">
        <f t="shared" si="152"/>
        <v>0</v>
      </c>
      <c r="U487" s="449">
        <f>IF(D479&lt;=3,база!$M$4,
IF(D479=4,база!$M$5,
IF(D479=5,база!$M$6)))</f>
        <v>225.09719999999999</v>
      </c>
      <c r="V487" s="367">
        <v>1.4</v>
      </c>
      <c r="W487" s="471">
        <f>SUMIFS(Таблица1[Столбец1],Таблица1[коэф],"1,4",Таблица1[р/р],"3/24",Таблица1[Ф. И. О.],B484)</f>
        <v>0</v>
      </c>
      <c r="X487" s="469">
        <f t="shared" si="153"/>
        <v>0</v>
      </c>
      <c r="Y487" s="748"/>
      <c r="Z487" s="750"/>
      <c r="AA487" s="740"/>
    </row>
    <row r="488" spans="1:29" ht="16.5" customHeight="1">
      <c r="A488" s="740"/>
      <c r="B488" s="201"/>
      <c r="C488" s="743"/>
      <c r="D488" s="746"/>
      <c r="E488" s="370"/>
      <c r="F488" s="367"/>
      <c r="G488" s="377"/>
      <c r="H488" s="369">
        <f t="shared" si="150"/>
        <v>0</v>
      </c>
      <c r="I488" s="366"/>
      <c r="J488" s="367"/>
      <c r="K488" s="411"/>
      <c r="L488" s="372">
        <f t="shared" si="151"/>
        <v>0</v>
      </c>
      <c r="M488" s="409"/>
      <c r="N488" s="411"/>
      <c r="O488" s="411"/>
      <c r="P488" s="411"/>
      <c r="Q488" s="376">
        <f>база!$L$5</f>
        <v>231.45480000000001</v>
      </c>
      <c r="R488" s="367">
        <v>1.4</v>
      </c>
      <c r="S488" s="468">
        <f>SUMIFS(Таблица1[Столбец1],Таблица1[коэф],"1,4",Таблица1[р/р],"4/16",Таблица1[Ф. И. О.],B484)</f>
        <v>0</v>
      </c>
      <c r="T488" s="469">
        <f t="shared" si="152"/>
        <v>0</v>
      </c>
      <c r="U488" s="449">
        <f>база!$M$5</f>
        <v>247.41720000000001</v>
      </c>
      <c r="V488" s="367">
        <v>1.4</v>
      </c>
      <c r="W488" s="471">
        <f>SUMIFS(Таблица1[Столбец1],Таблица1[коэф],"1,4",Таблица1[р/р],"4/24",Таблица1[Ф. И. О.],B484)</f>
        <v>0</v>
      </c>
      <c r="X488" s="469">
        <f t="shared" si="153"/>
        <v>0</v>
      </c>
      <c r="Y488" s="748"/>
      <c r="Z488" s="750"/>
      <c r="AA488" s="740"/>
    </row>
    <row r="489" spans="1:29" ht="16.5" customHeight="1" thickBot="1">
      <c r="A489" s="741"/>
      <c r="B489" s="188"/>
      <c r="C489" s="744"/>
      <c r="D489" s="747"/>
      <c r="E489" s="440"/>
      <c r="F489" s="441"/>
      <c r="G489" s="442"/>
      <c r="H489" s="445">
        <f t="shared" si="150"/>
        <v>0</v>
      </c>
      <c r="I489" s="450"/>
      <c r="J489" s="441"/>
      <c r="K489" s="434"/>
      <c r="L489" s="435">
        <f t="shared" si="151"/>
        <v>0</v>
      </c>
      <c r="M489" s="443"/>
      <c r="N489" s="434"/>
      <c r="O489" s="434"/>
      <c r="P489" s="434"/>
      <c r="Q489" s="444">
        <f>база!$L$6</f>
        <v>261.04640000000001</v>
      </c>
      <c r="R489" s="441">
        <v>1.4</v>
      </c>
      <c r="S489" s="489">
        <f>SUMIFS(Таблица1[Столбец1],Таблица1[коэф],"1,4",Таблица1[р/р],"5/16",Таблица1[Ф. И. О.],B484)</f>
        <v>0</v>
      </c>
      <c r="T489" s="490">
        <f t="shared" si="152"/>
        <v>0</v>
      </c>
      <c r="U489" s="451">
        <f>база!$M$6</f>
        <v>279.0496</v>
      </c>
      <c r="V489" s="441">
        <v>1.4</v>
      </c>
      <c r="W489" s="478">
        <f>SUMIFS(Таблица1[Столбец1],Таблица1[коэф],"1,4",Таблица1[р/р],"5/24",Таблица1[Ф. И. О.],B484)</f>
        <v>0</v>
      </c>
      <c r="X489" s="490">
        <f t="shared" si="153"/>
        <v>0</v>
      </c>
      <c r="Y489" s="749"/>
      <c r="Z489" s="751"/>
      <c r="AA489" s="741"/>
    </row>
    <row r="490" spans="1:29" ht="18.75" collapsed="1">
      <c r="A490" s="739">
        <v>45</v>
      </c>
      <c r="B490" s="201"/>
      <c r="C490" s="742">
        <f>INDEX(база!$E$2:$E$81, MATCH(B495,база!$B$2:$B$50,0))</f>
        <v>16779</v>
      </c>
      <c r="D490" s="745">
        <f>INDEX(база!$D$2:$D$89, MATCH(B495,база!$B$2:$B$50,0))</f>
        <v>3</v>
      </c>
      <c r="E490" s="428">
        <f>IF(D490&lt;=3,база!$I$4,
IF(D490=4,база!$I$5,
IF(D490=5,база!$I$6)))</f>
        <v>188.7912</v>
      </c>
      <c r="F490" s="394">
        <v>1</v>
      </c>
      <c r="G490" s="395">
        <f>SUMIFS(Таблица1[Столбец1],Таблица1[коэф],"1",Таблица1[р/р],"2/4",Таблица1[Ф. И. О.],B495)</f>
        <v>0</v>
      </c>
      <c r="H490" s="379">
        <f t="shared" ref="H490:H500" si="156">ROUND(E490*F490*G490*2,2)</f>
        <v>0</v>
      </c>
      <c r="I490" s="354">
        <f>IF(D490&lt;=3,база!$J$4,
IF(D490=4,база!$J$5,
IF(D490=5,база!$J$6)))</f>
        <v>196.05240000000001</v>
      </c>
      <c r="J490" s="355">
        <v>1</v>
      </c>
      <c r="K490" s="405">
        <f>SUMIFS(Таблица1[Столбец1],Таблица1[коэф],"1",Таблица1[р/р],"2/8",Таблица1[Ф. И. О.],B495)</f>
        <v>0</v>
      </c>
      <c r="L490" s="360">
        <f t="shared" ref="L490:L500" si="157">ROUND(I490*J490*K490*2,2)</f>
        <v>0</v>
      </c>
      <c r="M490" s="429"/>
      <c r="N490" s="430">
        <v>1</v>
      </c>
      <c r="O490" s="430">
        <f>SUMIFS(Data_Tech!$AM$3:$AM$67,Data_Tech!$E$3:$E$67,"1",Data_Tech!$G$3:$G$67,"3/12",Data_Tech!$F$3:$F$67,B495)</f>
        <v>0</v>
      </c>
      <c r="P490" s="430">
        <f>ROUND(M490*N490*O490,2)</f>
        <v>0</v>
      </c>
      <c r="Q490" s="393">
        <f>IF(D490&lt;=3,база!$L$4,
IF(D490=4,база!$L$5,
IF(D490=5,база!$L$6)))</f>
        <v>210.57480000000001</v>
      </c>
      <c r="R490" s="394">
        <v>1</v>
      </c>
      <c r="S490" s="472">
        <f>SUMIFS(Таблица1[Столбец1],Таблица1[коэф],"1",Таблица1[р/р],"3/16",Таблица1[Ф. И. О.],B495)</f>
        <v>0</v>
      </c>
      <c r="T490" s="467">
        <f t="shared" ref="T490:T500" si="158">ROUND(Q490*R490*S490*2,2)</f>
        <v>0</v>
      </c>
      <c r="U490" s="448">
        <f>IF(D490&lt;=3,база!$M$4,
IF(D490=4,база!$M$5,
IF(D490=5,база!$M$6)))</f>
        <v>225.09719999999999</v>
      </c>
      <c r="V490" s="355">
        <v>1</v>
      </c>
      <c r="W490" s="474">
        <f>SUMIFS(Таблица1[Столбец1],Таблица1[коэф],"1",Таблица1[р/р],"3/24",Таблица1[Ф. И. О.],B495)</f>
        <v>0</v>
      </c>
      <c r="X490" s="467">
        <f t="shared" ref="X490:X500" si="159">ROUND(U490*V490*W490*2,2)</f>
        <v>0</v>
      </c>
      <c r="Y490" s="748">
        <f t="shared" ref="Y490" si="160">SUM(G490:G500,K490:K500,O490:O500,S490:S500,W490:W500)</f>
        <v>0</v>
      </c>
      <c r="Z490" s="750">
        <f t="shared" ref="Z490" si="161">IFERROR(SUM(H490:H500,L490:L500,T490:T500,X490:X500),"")</f>
        <v>0</v>
      </c>
      <c r="AA490" s="740"/>
    </row>
    <row r="491" spans="1:29" ht="18.75">
      <c r="A491" s="740"/>
      <c r="B491" s="201"/>
      <c r="C491" s="743"/>
      <c r="D491" s="746"/>
      <c r="E491" s="370">
        <f>IF(D490&lt;=3,база!$I$4,
IF(D490=4,база!$I$5,
IF(D490=5,база!$I$6)))</f>
        <v>188.7912</v>
      </c>
      <c r="F491" s="367">
        <v>1</v>
      </c>
      <c r="G491" s="377">
        <f>SUMIFS(Таблица1[Столбец1],Таблица1[коэф],"1",Таблица1[р/р],"3/4",Таблица1[Ф. И. О.],B495)</f>
        <v>0</v>
      </c>
      <c r="H491" s="369">
        <f t="shared" si="156"/>
        <v>0</v>
      </c>
      <c r="I491" s="366">
        <f>IF(D490&lt;=3,база!$J$4,
IF(D490=4,база!$J$5,
IF(D490=5,база!$J$6)))</f>
        <v>196.05240000000001</v>
      </c>
      <c r="J491" s="367">
        <v>1</v>
      </c>
      <c r="K491" s="411">
        <f>SUMIFS(Таблица1[Столбец1],Таблица1[коэф],"1",Таблица1[р/р],"3/8",Таблица1[Ф. И. О.],B495)</f>
        <v>0</v>
      </c>
      <c r="L491" s="461">
        <f t="shared" si="157"/>
        <v>0</v>
      </c>
      <c r="M491" s="409"/>
      <c r="N491" s="411">
        <v>1</v>
      </c>
      <c r="O491" s="411">
        <f>SUMIFS(Data_Tech!$AM$3:$AM$67,Data_Tech!$E$3:$E$67,"1",Data_Tech!$G$3:$G$67,"4/12",Data_Tech!$F$3:$F$67,B495)</f>
        <v>0</v>
      </c>
      <c r="P491" s="411">
        <f>ROUND(M491*O491,2)</f>
        <v>0</v>
      </c>
      <c r="Q491" s="376">
        <f>база!$L$5</f>
        <v>231.45480000000001</v>
      </c>
      <c r="R491" s="367">
        <v>1</v>
      </c>
      <c r="S491" s="468">
        <f>SUMIFS(Таблица1[Столбец1],Таблица1[коэф],"1",Таблица1[р/р],"4/16",Таблица1[Ф. И. О.],B495)</f>
        <v>0</v>
      </c>
      <c r="T491" s="469">
        <f t="shared" si="158"/>
        <v>0</v>
      </c>
      <c r="U491" s="449">
        <f>база!$M$5</f>
        <v>247.41720000000001</v>
      </c>
      <c r="V491" s="367">
        <v>1</v>
      </c>
      <c r="W491" s="471">
        <f>SUMIFS(Таблица1[Столбец1],Таблица1[коэф],"1",Таблица1[р/р],"4/24",Таблица1[Ф. И. О.],B495)</f>
        <v>0</v>
      </c>
      <c r="X491" s="469">
        <f t="shared" si="159"/>
        <v>0</v>
      </c>
      <c r="Y491" s="748"/>
      <c r="Z491" s="750"/>
      <c r="AA491" s="740"/>
    </row>
    <row r="492" spans="1:29" ht="18.75">
      <c r="A492" s="740"/>
      <c r="B492" s="201"/>
      <c r="C492" s="743"/>
      <c r="D492" s="746"/>
      <c r="E492" s="370"/>
      <c r="F492" s="367"/>
      <c r="G492" s="377"/>
      <c r="H492" s="369">
        <f t="shared" si="156"/>
        <v>0</v>
      </c>
      <c r="I492" s="366"/>
      <c r="J492" s="367"/>
      <c r="K492" s="411"/>
      <c r="L492" s="461">
        <f t="shared" si="157"/>
        <v>0</v>
      </c>
      <c r="M492" s="409"/>
      <c r="N492" s="411"/>
      <c r="O492" s="411"/>
      <c r="P492" s="411"/>
      <c r="Q492" s="376">
        <f>база!$L$6</f>
        <v>261.04640000000001</v>
      </c>
      <c r="R492" s="367">
        <v>1</v>
      </c>
      <c r="S492" s="468">
        <f>SUMIFS(Таблица1[Столбец1],Таблица1[коэф],"1",Таблица1[р/р],"5/16",Таблица1[Ф. И. О.],B495)</f>
        <v>0</v>
      </c>
      <c r="T492" s="469">
        <f t="shared" si="158"/>
        <v>0</v>
      </c>
      <c r="U492" s="449">
        <f>база!$M$6</f>
        <v>279.0496</v>
      </c>
      <c r="V492" s="367">
        <v>1</v>
      </c>
      <c r="W492" s="471">
        <f>SUMIFS(Таблица1[Столбец1],Таблица1[коэф],"1",Таблица1[р/р],"5/24",Таблица1[Ф. И. О.],B495)</f>
        <v>0</v>
      </c>
      <c r="X492" s="469">
        <f t="shared" si="159"/>
        <v>0</v>
      </c>
      <c r="Y492" s="748"/>
      <c r="Z492" s="750"/>
      <c r="AA492" s="740"/>
    </row>
    <row r="493" spans="1:29" ht="18.75">
      <c r="A493" s="740"/>
      <c r="B493" s="201"/>
      <c r="C493" s="743"/>
      <c r="D493" s="746"/>
      <c r="E493" s="370"/>
      <c r="F493" s="367"/>
      <c r="G493" s="377"/>
      <c r="H493" s="369">
        <f t="shared" si="156"/>
        <v>0</v>
      </c>
      <c r="I493" s="366">
        <f>база!$J$5</f>
        <v>215.4924</v>
      </c>
      <c r="J493" s="367">
        <v>1.5</v>
      </c>
      <c r="K493" s="411">
        <f>SUMIFS(Таблица1[Столбец1],Таблица1[коэф],"1,5",Таблица1[р/р],"4/8",Таблица1[Ф. И. О.],B495)</f>
        <v>0</v>
      </c>
      <c r="L493" s="461">
        <f t="shared" si="157"/>
        <v>0</v>
      </c>
      <c r="M493" s="409"/>
      <c r="N493" s="411"/>
      <c r="O493" s="411"/>
      <c r="P493" s="411"/>
      <c r="Q493" s="376">
        <f>IF(D490&lt;=3,база!$L$4,
IF(D490=4,база!$L$5,
IF(D490=5,база!$L$6)))</f>
        <v>210.57480000000001</v>
      </c>
      <c r="R493" s="367">
        <v>1.2</v>
      </c>
      <c r="S493" s="468">
        <f>SUMIFS(Таблица1[Столбец1],Таблица1[коэф],"1,2",Таблица1[р/р],"3/16",Таблица1[Ф. И. О.],B495)</f>
        <v>0</v>
      </c>
      <c r="T493" s="469">
        <f t="shared" si="158"/>
        <v>0</v>
      </c>
      <c r="U493" s="449">
        <f>IF(D490&lt;=3,база!$M$4,
IF(D490=4,база!$M$5,
IF(D490=5,база!$M$6)))</f>
        <v>225.09719999999999</v>
      </c>
      <c r="V493" s="367">
        <v>1.2</v>
      </c>
      <c r="W493" s="471">
        <f>SUMIFS(Таблица1[Столбец1],Таблица1[коэф],"1,2",Таблица1[р/р],"3/24",Таблица1[Ф. И. О.],B495)</f>
        <v>0</v>
      </c>
      <c r="X493" s="469">
        <f t="shared" si="159"/>
        <v>0</v>
      </c>
      <c r="Y493" s="748"/>
      <c r="Z493" s="750"/>
      <c r="AA493" s="740"/>
    </row>
    <row r="494" spans="1:29" ht="18.75">
      <c r="A494" s="740"/>
      <c r="B494" s="201"/>
      <c r="C494" s="743"/>
      <c r="D494" s="746"/>
      <c r="E494" s="370"/>
      <c r="F494" s="367"/>
      <c r="G494" s="377"/>
      <c r="H494" s="369">
        <f t="shared" si="156"/>
        <v>0</v>
      </c>
      <c r="I494" s="366">
        <f>база!$J$6</f>
        <v>243.04319999999998</v>
      </c>
      <c r="J494" s="367">
        <v>1.5</v>
      </c>
      <c r="K494" s="411">
        <f>SUMIFS(Таблица1[Столбец1],Таблица1[коэф],"1,5",Таблица1[р/р],"5/8",Таблица1[Ф. И. О.],B495)</f>
        <v>0</v>
      </c>
      <c r="L494" s="461">
        <f t="shared" si="157"/>
        <v>0</v>
      </c>
      <c r="M494" s="409"/>
      <c r="N494" s="411"/>
      <c r="O494" s="411"/>
      <c r="P494" s="411"/>
      <c r="Q494" s="376">
        <f>база!$L$5</f>
        <v>231.45480000000001</v>
      </c>
      <c r="R494" s="367">
        <v>1.2</v>
      </c>
      <c r="S494" s="468">
        <f>SUMIFS(Таблица1[Столбец1],Таблица1[коэф],"1,2",Таблица1[р/р],"4/16",Таблица1[Ф. И. О.],B495)</f>
        <v>0</v>
      </c>
      <c r="T494" s="469">
        <f t="shared" si="158"/>
        <v>0</v>
      </c>
      <c r="U494" s="449">
        <f>база!$M$5</f>
        <v>247.41720000000001</v>
      </c>
      <c r="V494" s="367">
        <v>1.2</v>
      </c>
      <c r="W494" s="471">
        <f>SUMIFS(Таблица1[Столбец1],Таблица1[коэф],"1,2",Таблица1[р/р],"4/24",Таблица1[Ф. И. О.],B495)</f>
        <v>0</v>
      </c>
      <c r="X494" s="469">
        <f t="shared" si="159"/>
        <v>0</v>
      </c>
      <c r="Y494" s="748"/>
      <c r="Z494" s="750"/>
      <c r="AA494" s="740"/>
    </row>
    <row r="495" spans="1:29" ht="18" customHeight="1">
      <c r="A495" s="740"/>
      <c r="B495" s="201" t="str">
        <f>база!B46</f>
        <v>Маркова Ольга Евгеньевна</v>
      </c>
      <c r="C495" s="743"/>
      <c r="D495" s="746"/>
      <c r="E495" s="370"/>
      <c r="F495" s="367"/>
      <c r="G495" s="377"/>
      <c r="H495" s="369">
        <f t="shared" si="156"/>
        <v>0</v>
      </c>
      <c r="I495" s="366"/>
      <c r="J495" s="367"/>
      <c r="K495" s="411"/>
      <c r="L495" s="461">
        <f t="shared" si="157"/>
        <v>0</v>
      </c>
      <c r="M495" s="409"/>
      <c r="N495" s="411"/>
      <c r="O495" s="411"/>
      <c r="P495" s="411"/>
      <c r="Q495" s="376">
        <f>база!$L$6</f>
        <v>261.04640000000001</v>
      </c>
      <c r="R495" s="367">
        <v>1.2</v>
      </c>
      <c r="S495" s="468">
        <f>SUMIFS(Таблица1[Столбец1],Таблица1[коэф],"1,2",Таблица1[р/р],"5/16",Таблица1[Ф. И. О.],B495)</f>
        <v>0</v>
      </c>
      <c r="T495" s="469">
        <f t="shared" si="158"/>
        <v>0</v>
      </c>
      <c r="U495" s="449">
        <f>база!$M$6</f>
        <v>279.0496</v>
      </c>
      <c r="V495" s="367">
        <v>1.2</v>
      </c>
      <c r="W495" s="471">
        <f>SUMIFS(Таблица1[Столбец1],Таблица1[коэф],"1,2",Таблица1[р/р],"5/24",Таблица1[Ф. И. О.],B495)</f>
        <v>0</v>
      </c>
      <c r="X495" s="469">
        <f t="shared" si="159"/>
        <v>0</v>
      </c>
      <c r="Y495" s="748"/>
      <c r="Z495" s="750"/>
      <c r="AA495" s="740"/>
      <c r="AC495" s="693" t="str">
        <f>IF(SUMIFS(Таблица1[Столбец3],Таблица1[Ф. И. О.],B495)-Z490=0,"",SUMIFS(Таблица1[Столбец3],Таблица1[Ф. И. О.],B495)-Z490)</f>
        <v/>
      </c>
    </row>
    <row r="496" spans="1:29" ht="18.75">
      <c r="A496" s="740"/>
      <c r="B496" s="201"/>
      <c r="C496" s="743"/>
      <c r="D496" s="746"/>
      <c r="E496" s="370"/>
      <c r="F496" s="367"/>
      <c r="G496" s="377"/>
      <c r="H496" s="369">
        <f t="shared" si="156"/>
        <v>0</v>
      </c>
      <c r="I496" s="366"/>
      <c r="J496" s="367"/>
      <c r="K496" s="411"/>
      <c r="L496" s="461">
        <f t="shared" si="157"/>
        <v>0</v>
      </c>
      <c r="M496" s="409"/>
      <c r="N496" s="411"/>
      <c r="O496" s="411"/>
      <c r="P496" s="411"/>
      <c r="Q496" s="376">
        <f>IF(D490&lt;=3,база!$L$4,
IF(D490=4,база!$L$5,
IF(D490=5,база!$L$6)))</f>
        <v>210.57480000000001</v>
      </c>
      <c r="R496" s="367">
        <v>1.3</v>
      </c>
      <c r="S496" s="468">
        <f>SUMIFS(Таблица1[Столбец1],Таблица1[коэф],"1,3",Таблица1[р/р],"3/16",Таблица1[Ф. И. О.],B495)</f>
        <v>0</v>
      </c>
      <c r="T496" s="469">
        <f t="shared" si="158"/>
        <v>0</v>
      </c>
      <c r="U496" s="449">
        <f>IF(D490&lt;=3,база!$M$4,
IF(D490=4,база!$M$5,
IF(D490=5,база!$M$6)))</f>
        <v>225.09719999999999</v>
      </c>
      <c r="V496" s="367">
        <v>1.3</v>
      </c>
      <c r="W496" s="471">
        <f>SUMIFS(Таблица1[Столбец1],Таблица1[коэф],"1,3",Таблица1[р/р],"3/24",Таблица1[Ф. И. О.],B495)</f>
        <v>0</v>
      </c>
      <c r="X496" s="469">
        <f t="shared" si="159"/>
        <v>0</v>
      </c>
      <c r="Y496" s="748"/>
      <c r="Z496" s="750"/>
      <c r="AA496" s="740"/>
      <c r="AC496" s="693" t="str">
        <f>IF(SUMIFS(Таблица1[Столбец1],Таблица1[Ф. И. О.],B495)=Y490,"",B495&amp;"  часы не верны")</f>
        <v/>
      </c>
    </row>
    <row r="497" spans="1:29" ht="18.75">
      <c r="A497" s="740"/>
      <c r="B497" s="201"/>
      <c r="C497" s="743"/>
      <c r="D497" s="746"/>
      <c r="E497" s="370"/>
      <c r="F497" s="367"/>
      <c r="G497" s="377"/>
      <c r="H497" s="369">
        <f t="shared" si="156"/>
        <v>0</v>
      </c>
      <c r="I497" s="366"/>
      <c r="J497" s="367"/>
      <c r="K497" s="411"/>
      <c r="L497" s="461">
        <f t="shared" si="157"/>
        <v>0</v>
      </c>
      <c r="M497" s="409"/>
      <c r="N497" s="411"/>
      <c r="O497" s="411"/>
      <c r="P497" s="411"/>
      <c r="Q497" s="376">
        <f>база!$L$5</f>
        <v>231.45480000000001</v>
      </c>
      <c r="R497" s="367">
        <v>1.3</v>
      </c>
      <c r="S497" s="468">
        <f>SUMIFS(Таблица1[Столбец1],Таблица1[коэф],"1,3",Таблица1[р/р],"4/16",Таблица1[Ф. И. О.],B495)</f>
        <v>0</v>
      </c>
      <c r="T497" s="469">
        <f t="shared" si="158"/>
        <v>0</v>
      </c>
      <c r="U497" s="449">
        <f>база!$M$5</f>
        <v>247.41720000000001</v>
      </c>
      <c r="V497" s="367">
        <v>1.3</v>
      </c>
      <c r="W497" s="471">
        <f>SUMIFS(Таблица1[Столбец1],Таблица1[коэф],"1,3",Таблица1[р/р],"4/24",Таблица1[Ф. И. О.],B495)</f>
        <v>0</v>
      </c>
      <c r="X497" s="469">
        <f t="shared" si="159"/>
        <v>0</v>
      </c>
      <c r="Y497" s="748"/>
      <c r="Z497" s="750"/>
      <c r="AA497" s="740"/>
    </row>
    <row r="498" spans="1:29" ht="18.75">
      <c r="A498" s="740"/>
      <c r="B498" s="201"/>
      <c r="C498" s="743"/>
      <c r="D498" s="746"/>
      <c r="E498" s="370"/>
      <c r="F498" s="367"/>
      <c r="G498" s="377"/>
      <c r="H498" s="369">
        <f t="shared" si="156"/>
        <v>0</v>
      </c>
      <c r="I498" s="366"/>
      <c r="J498" s="367"/>
      <c r="K498" s="411"/>
      <c r="L498" s="461">
        <f t="shared" si="157"/>
        <v>0</v>
      </c>
      <c r="M498" s="409"/>
      <c r="N498" s="411"/>
      <c r="O498" s="411"/>
      <c r="P498" s="411"/>
      <c r="Q498" s="376">
        <f>IF(D490&lt;=3,база!$L$4,
IF(D490=4,база!$L$5,
IF(D490=5,база!$L$6)))</f>
        <v>210.57480000000001</v>
      </c>
      <c r="R498" s="367">
        <v>1.4</v>
      </c>
      <c r="S498" s="468">
        <f>SUMIFS(Таблица1[Столбец1],Таблица1[коэф],"1,4",Таблица1[р/р],"3/16",Таблица1[Ф. И. О.],B495)</f>
        <v>0</v>
      </c>
      <c r="T498" s="469">
        <f t="shared" si="158"/>
        <v>0</v>
      </c>
      <c r="U498" s="449">
        <f>IF(D490&lt;=3,база!$M$4,
IF(D490=4,база!$M$5,
IF(D490=5,база!$M$6)))</f>
        <v>225.09719999999999</v>
      </c>
      <c r="V498" s="367">
        <v>1.4</v>
      </c>
      <c r="W498" s="471">
        <f>SUMIFS(Таблица1[Столбец1],Таблица1[коэф],"1,4",Таблица1[р/р],"3/24",Таблица1[Ф. И. О.],B495)</f>
        <v>0</v>
      </c>
      <c r="X498" s="469">
        <f t="shared" si="159"/>
        <v>0</v>
      </c>
      <c r="Y498" s="748"/>
      <c r="Z498" s="750"/>
      <c r="AA498" s="740"/>
    </row>
    <row r="499" spans="1:29" ht="18.75">
      <c r="A499" s="740"/>
      <c r="B499" s="201"/>
      <c r="C499" s="743"/>
      <c r="D499" s="746"/>
      <c r="E499" s="370"/>
      <c r="F499" s="367"/>
      <c r="G499" s="377"/>
      <c r="H499" s="369">
        <f t="shared" si="156"/>
        <v>0</v>
      </c>
      <c r="I499" s="366"/>
      <c r="J499" s="367"/>
      <c r="K499" s="411"/>
      <c r="L499" s="372">
        <f t="shared" si="157"/>
        <v>0</v>
      </c>
      <c r="M499" s="409"/>
      <c r="N499" s="411"/>
      <c r="O499" s="411"/>
      <c r="P499" s="411"/>
      <c r="Q499" s="376">
        <f>база!$L$5</f>
        <v>231.45480000000001</v>
      </c>
      <c r="R499" s="367">
        <v>1.4</v>
      </c>
      <c r="S499" s="468">
        <f>SUMIFS(Таблица1[Столбец1],Таблица1[коэф],"1,4",Таблица1[р/р],"4/16",Таблица1[Ф. И. О.],B495)</f>
        <v>0</v>
      </c>
      <c r="T499" s="469">
        <f t="shared" si="158"/>
        <v>0</v>
      </c>
      <c r="U499" s="449">
        <f>база!$M$5</f>
        <v>247.41720000000001</v>
      </c>
      <c r="V499" s="367">
        <v>1.4</v>
      </c>
      <c r="W499" s="471">
        <f>SUMIFS(Таблица1[Столбец1],Таблица1[коэф],"1,4",Таблица1[р/р],"4/24",Таблица1[Ф. И. О.],B495)</f>
        <v>0</v>
      </c>
      <c r="X499" s="469">
        <f t="shared" si="159"/>
        <v>0</v>
      </c>
      <c r="Y499" s="748"/>
      <c r="Z499" s="750"/>
      <c r="AA499" s="740"/>
    </row>
    <row r="500" spans="1:29" ht="19.5" thickBot="1">
      <c r="A500" s="741"/>
      <c r="B500" s="329"/>
      <c r="C500" s="744"/>
      <c r="D500" s="747"/>
      <c r="E500" s="440"/>
      <c r="F500" s="441"/>
      <c r="G500" s="442"/>
      <c r="H500" s="445">
        <f t="shared" si="156"/>
        <v>0</v>
      </c>
      <c r="I500" s="450"/>
      <c r="J500" s="441"/>
      <c r="K500" s="434"/>
      <c r="L500" s="435">
        <f t="shared" si="157"/>
        <v>0</v>
      </c>
      <c r="M500" s="443"/>
      <c r="N500" s="434"/>
      <c r="O500" s="434"/>
      <c r="P500" s="434"/>
      <c r="Q500" s="444">
        <f>база!$L$6</f>
        <v>261.04640000000001</v>
      </c>
      <c r="R500" s="441">
        <v>1.4</v>
      </c>
      <c r="S500" s="489">
        <f>SUMIFS(Таблица1[Столбец1],Таблица1[коэф],"1,4",Таблица1[р/р],"5/16",Таблица1[Ф. И. О.],B495)</f>
        <v>0</v>
      </c>
      <c r="T500" s="490">
        <f t="shared" si="158"/>
        <v>0</v>
      </c>
      <c r="U500" s="451">
        <f>база!$M$6</f>
        <v>279.0496</v>
      </c>
      <c r="V500" s="441">
        <v>1.4</v>
      </c>
      <c r="W500" s="478">
        <f>SUMIFS(Таблица1[Столбец1],Таблица1[коэф],"1,4",Таблица1[р/р],"5/24",Таблица1[Ф. И. О.],B495)</f>
        <v>0</v>
      </c>
      <c r="X500" s="490">
        <f t="shared" si="159"/>
        <v>0</v>
      </c>
      <c r="Y500" s="749"/>
      <c r="Z500" s="751"/>
      <c r="AA500" s="741"/>
    </row>
    <row r="501" spans="1:29" ht="18.75">
      <c r="A501" s="739">
        <v>46</v>
      </c>
      <c r="B501" s="219"/>
      <c r="C501" s="742">
        <f>INDEX(база!$E$2:$E$81, MATCH(B506,база!$B$2:$B$60,0))</f>
        <v>16872</v>
      </c>
      <c r="D501" s="745">
        <f>INDEX(база!$D$2:$D$89, MATCH(B506,база!$B$2:$B$60,0))</f>
        <v>3</v>
      </c>
      <c r="E501" s="354">
        <f>IF(D501&lt;=3,база!$I$4,
IF(D501=4,база!$I$5,
IF(D501=5,база!$I$6)))</f>
        <v>188.7912</v>
      </c>
      <c r="F501" s="355">
        <v>1</v>
      </c>
      <c r="G501" s="364">
        <f>SUMIFS(Таблица1[Столбец1],Таблица1[коэф],"1",Таблица1[р/р],"2/4",Таблица1[Ф. И. О.],B506)</f>
        <v>0</v>
      </c>
      <c r="H501" s="379">
        <f t="shared" si="32"/>
        <v>0</v>
      </c>
      <c r="I501" s="403">
        <f>IF(D501&lt;=3,база!$J$4,
IF(D501=4,база!$J$5,
IF(D501=5,база!$J$6)))</f>
        <v>196.05240000000001</v>
      </c>
      <c r="J501" s="404">
        <v>1</v>
      </c>
      <c r="K501" s="405">
        <f>SUMIFS(Таблица1[Столбец1],Таблица1[коэф],"1",Таблица1[р/р],"2/8",Таблица1[Ф. И. О.],B506)</f>
        <v>0</v>
      </c>
      <c r="L501" s="360">
        <f t="shared" si="33"/>
        <v>0</v>
      </c>
      <c r="M501" s="405"/>
      <c r="N501" s="405">
        <v>1</v>
      </c>
      <c r="O501" s="405">
        <f>SUMIFS(Data_Tech!$AM$3:$AM$67,Data_Tech!$E$3:$E$67,"1",Data_Tech!$G$3:$G$67,"3/12",Data_Tech!$F$3:$F$67,B506)</f>
        <v>0</v>
      </c>
      <c r="P501" s="362">
        <f>ROUND(M501*N501*O501,2)</f>
        <v>0</v>
      </c>
      <c r="Q501" s="354">
        <f>IF(D501&lt;=3,база!$L$4,
IF(D501=4,база!$L$5,
IF(D501=5,база!$L$6)))</f>
        <v>210.57480000000001</v>
      </c>
      <c r="R501" s="355">
        <v>1</v>
      </c>
      <c r="S501" s="364">
        <f>SUMIFS(Таблица1[Столбец1],Таблица1[коэф],"1",Таблица1[р/р],"3/16",Таблица1[Ф. И. О.],B506)</f>
        <v>0</v>
      </c>
      <c r="T501" s="467">
        <f t="shared" si="34"/>
        <v>0</v>
      </c>
      <c r="U501" s="454">
        <f>IF(D501&lt;=3,база!$M$4,
IF(D501=4,база!$M$5,
IF(D501=5,база!$M$6)))</f>
        <v>225.09719999999999</v>
      </c>
      <c r="V501" s="355">
        <v>1</v>
      </c>
      <c r="W501" s="407">
        <f>SUMIFS(Таблица1[Столбец1],Таблица1[коэф],"1",Таблица1[р/р],"3/24",Таблица1[Ф. И. О.],B506)</f>
        <v>0</v>
      </c>
      <c r="X501" s="467">
        <f t="shared" si="35"/>
        <v>0</v>
      </c>
      <c r="Y501" s="748">
        <f t="shared" ref="Y501" si="162">SUM(G501:G511,K501:K511,O501:O511,S501:S511,W501:W511)</f>
        <v>0</v>
      </c>
      <c r="Z501" s="750">
        <f t="shared" ref="Z501" si="163">IFERROR(SUM(H501:H511,L501:L511,T501:T511,X501:X511),"")</f>
        <v>0</v>
      </c>
      <c r="AA501" s="740"/>
    </row>
    <row r="502" spans="1:29" ht="18.75">
      <c r="A502" s="740"/>
      <c r="B502" s="201"/>
      <c r="C502" s="743"/>
      <c r="D502" s="746"/>
      <c r="E502" s="366">
        <f>IF(D501&lt;=3,база!$I$4,
IF(D501=4,база!$I$5,
IF(D501=5,база!$I$6)))</f>
        <v>188.7912</v>
      </c>
      <c r="F502" s="367">
        <v>1</v>
      </c>
      <c r="G502" s="377">
        <f>SUMIFS(Таблица1[Столбец1],Таблица1[коэф],"1",Таблица1[р/р],"3/4",Таблица1[Ф. И. О.],B506)</f>
        <v>0</v>
      </c>
      <c r="H502" s="369">
        <f t="shared" si="32"/>
        <v>0</v>
      </c>
      <c r="I502" s="409">
        <f>IF(D501&lt;=3,база!$J$4,
IF(D501=4,база!$J$5,
IF(D501=5,база!$J$6)))</f>
        <v>196.05240000000001</v>
      </c>
      <c r="J502" s="410">
        <v>1</v>
      </c>
      <c r="K502" s="411">
        <f>SUMIFS(Таблица1[Столбец1],Таблица1[коэф],"1",Таблица1[р/р],"3/8",Таблица1[Ф. И. О.],B506)</f>
        <v>0</v>
      </c>
      <c r="L502" s="461">
        <f t="shared" si="33"/>
        <v>0</v>
      </c>
      <c r="M502" s="411"/>
      <c r="N502" s="411">
        <v>1</v>
      </c>
      <c r="O502" s="411">
        <f>SUMIFS(Data_Tech!$AM$3:$AM$67,Data_Tech!$E$3:$E$67,"1",Data_Tech!$G$3:$G$67,"4/12",Data_Tech!$F$3:$F$67,B506)</f>
        <v>0</v>
      </c>
      <c r="P502" s="383">
        <f>ROUND(M502*O502,2)</f>
        <v>0</v>
      </c>
      <c r="Q502" s="366">
        <f>база!$L$5</f>
        <v>231.45480000000001</v>
      </c>
      <c r="R502" s="367">
        <v>1</v>
      </c>
      <c r="S502" s="377">
        <f>SUMIFS(Таблица1[Столбец1],Таблица1[коэф],"1",Таблица1[р/р],"4/16",Таблица1[Ф. И. О.],B506)</f>
        <v>0</v>
      </c>
      <c r="T502" s="469">
        <f t="shared" si="34"/>
        <v>0</v>
      </c>
      <c r="U502" s="455">
        <f>база!$M$5</f>
        <v>247.41720000000001</v>
      </c>
      <c r="V502" s="367">
        <v>1</v>
      </c>
      <c r="W502" s="389">
        <f>SUMIFS(Таблица1[Столбец1],Таблица1[коэф],"1",Таблица1[р/р],"4/24",Таблица1[Ф. И. О.],B506)</f>
        <v>0</v>
      </c>
      <c r="X502" s="469">
        <f t="shared" si="35"/>
        <v>0</v>
      </c>
      <c r="Y502" s="748"/>
      <c r="Z502" s="750"/>
      <c r="AA502" s="740"/>
    </row>
    <row r="503" spans="1:29" ht="18.75">
      <c r="A503" s="740"/>
      <c r="B503" s="201"/>
      <c r="C503" s="743"/>
      <c r="D503" s="746"/>
      <c r="E503" s="366"/>
      <c r="F503" s="367"/>
      <c r="G503" s="377"/>
      <c r="H503" s="369">
        <f t="shared" si="32"/>
        <v>0</v>
      </c>
      <c r="I503" s="409"/>
      <c r="J503" s="410"/>
      <c r="K503" s="411"/>
      <c r="L503" s="461">
        <f t="shared" si="33"/>
        <v>0</v>
      </c>
      <c r="M503" s="411"/>
      <c r="N503" s="411"/>
      <c r="O503" s="411"/>
      <c r="P503" s="383"/>
      <c r="Q503" s="366">
        <f>база!$L$6</f>
        <v>261.04640000000001</v>
      </c>
      <c r="R503" s="367">
        <v>1</v>
      </c>
      <c r="S503" s="377">
        <f>SUMIFS(Таблица1[Столбец1],Таблица1[коэф],"1",Таблица1[р/р],"5/16",Таблица1[Ф. И. О.],B506)</f>
        <v>0</v>
      </c>
      <c r="T503" s="469">
        <f t="shared" si="34"/>
        <v>0</v>
      </c>
      <c r="U503" s="455">
        <f>база!$M$6</f>
        <v>279.0496</v>
      </c>
      <c r="V503" s="367">
        <v>1</v>
      </c>
      <c r="W503" s="389">
        <f>SUMIFS(Таблица1[Столбец1],Таблица1[коэф],"1",Таблица1[р/р],"5/24",Таблица1[Ф. И. О.],B506)</f>
        <v>0</v>
      </c>
      <c r="X503" s="469">
        <f t="shared" si="35"/>
        <v>0</v>
      </c>
      <c r="Y503" s="748"/>
      <c r="Z503" s="750"/>
      <c r="AA503" s="740"/>
    </row>
    <row r="504" spans="1:29" ht="18.75">
      <c r="A504" s="740"/>
      <c r="B504" s="201"/>
      <c r="C504" s="743"/>
      <c r="D504" s="746"/>
      <c r="E504" s="366"/>
      <c r="F504" s="367"/>
      <c r="G504" s="377"/>
      <c r="H504" s="369">
        <f t="shared" si="32"/>
        <v>0</v>
      </c>
      <c r="I504" s="409">
        <f>база!$J$5</f>
        <v>215.4924</v>
      </c>
      <c r="J504" s="410">
        <v>1.5</v>
      </c>
      <c r="K504" s="411">
        <f>SUMIFS(Таблица1[Столбец1],Таблица1[коэф],"1,5",Таблица1[р/р],"4/8",Таблица1[Ф. И. О.],B506)</f>
        <v>0</v>
      </c>
      <c r="L504" s="461">
        <f t="shared" si="33"/>
        <v>0</v>
      </c>
      <c r="M504" s="411"/>
      <c r="N504" s="411"/>
      <c r="O504" s="411"/>
      <c r="P504" s="383"/>
      <c r="Q504" s="366">
        <f>IF(D501&lt;=3,база!$L$4,
IF(D501=4,база!$L$5,
IF(D501=5,база!$L$6)))</f>
        <v>210.57480000000001</v>
      </c>
      <c r="R504" s="367">
        <v>1.2</v>
      </c>
      <c r="S504" s="377">
        <f>SUMIFS(Таблица1[Столбец1],Таблица1[коэф],"1,2",Таблица1[р/р],"3/16",Таблица1[Ф. И. О.],B506)</f>
        <v>0</v>
      </c>
      <c r="T504" s="469">
        <f t="shared" si="34"/>
        <v>0</v>
      </c>
      <c r="U504" s="455">
        <f>IF(D501&lt;=3,база!$M$4,
IF(D501=4,база!$M$5,
IF(D501=5,база!$M$6)))</f>
        <v>225.09719999999999</v>
      </c>
      <c r="V504" s="367">
        <v>1.2</v>
      </c>
      <c r="W504" s="389">
        <f>SUMIFS(Таблица1[Столбец1],Таблица1[коэф],"1,2",Таблица1[р/р],"3/24",Таблица1[Ф. И. О.],B506)</f>
        <v>0</v>
      </c>
      <c r="X504" s="469">
        <f t="shared" si="35"/>
        <v>0</v>
      </c>
      <c r="Y504" s="748"/>
      <c r="Z504" s="750"/>
      <c r="AA504" s="740"/>
    </row>
    <row r="505" spans="1:29" ht="18.75">
      <c r="A505" s="740"/>
      <c r="B505" s="201"/>
      <c r="C505" s="743"/>
      <c r="D505" s="746"/>
      <c r="E505" s="366"/>
      <c r="F505" s="367"/>
      <c r="G505" s="377"/>
      <c r="H505" s="369">
        <f t="shared" si="32"/>
        <v>0</v>
      </c>
      <c r="I505" s="409">
        <f>база!$J$6</f>
        <v>243.04319999999998</v>
      </c>
      <c r="J505" s="410">
        <v>1.5</v>
      </c>
      <c r="K505" s="411">
        <f>SUMIFS(Таблица1[Столбец1],Таблица1[коэф],"1,5",Таблица1[р/р],"5/8",Таблица1[Ф. И. О.],B506)</f>
        <v>0</v>
      </c>
      <c r="L505" s="461">
        <f t="shared" si="33"/>
        <v>0</v>
      </c>
      <c r="M505" s="411"/>
      <c r="N505" s="411"/>
      <c r="O505" s="411"/>
      <c r="P505" s="383"/>
      <c r="Q505" s="366">
        <f>база!$L$5</f>
        <v>231.45480000000001</v>
      </c>
      <c r="R505" s="367">
        <v>1.2</v>
      </c>
      <c r="S505" s="377">
        <f>SUMIFS(Таблица1[Столбец1],Таблица1[коэф],"1,2",Таблица1[р/р],"4/16",Таблица1[Ф. И. О.],B506)</f>
        <v>0</v>
      </c>
      <c r="T505" s="469">
        <f t="shared" si="34"/>
        <v>0</v>
      </c>
      <c r="U505" s="455">
        <f>база!$M$5</f>
        <v>247.41720000000001</v>
      </c>
      <c r="V505" s="367">
        <v>1.2</v>
      </c>
      <c r="W505" s="389">
        <f>SUMIFS(Таблица1[Столбец1],Таблица1[коэф],"1,2",Таблица1[р/р],"4/24",Таблица1[Ф. И. О.],B506)</f>
        <v>0</v>
      </c>
      <c r="X505" s="469">
        <f t="shared" si="35"/>
        <v>0</v>
      </c>
      <c r="Y505" s="748"/>
      <c r="Z505" s="750"/>
      <c r="AA505" s="740"/>
    </row>
    <row r="506" spans="1:29" ht="18.75">
      <c r="A506" s="740"/>
      <c r="B506" s="201" t="str">
        <f>база!B47</f>
        <v>Марченко Ирина Вячеславовна</v>
      </c>
      <c r="C506" s="743"/>
      <c r="D506" s="746"/>
      <c r="E506" s="366"/>
      <c r="F506" s="367"/>
      <c r="G506" s="377"/>
      <c r="H506" s="369">
        <f t="shared" si="32"/>
        <v>0</v>
      </c>
      <c r="I506" s="409"/>
      <c r="J506" s="410"/>
      <c r="K506" s="411"/>
      <c r="L506" s="461">
        <f t="shared" si="33"/>
        <v>0</v>
      </c>
      <c r="M506" s="411"/>
      <c r="N506" s="411"/>
      <c r="O506" s="411"/>
      <c r="P506" s="383"/>
      <c r="Q506" s="366">
        <f>база!$L$6</f>
        <v>261.04640000000001</v>
      </c>
      <c r="R506" s="367">
        <v>1.2</v>
      </c>
      <c r="S506" s="377">
        <f>SUMIFS(Таблица1[Столбец1],Таблица1[коэф],"1,2",Таблица1[р/р],"5/16",Таблица1[Ф. И. О.],B506)</f>
        <v>0</v>
      </c>
      <c r="T506" s="469">
        <f t="shared" si="34"/>
        <v>0</v>
      </c>
      <c r="U506" s="455">
        <f>база!$M$6</f>
        <v>279.0496</v>
      </c>
      <c r="V506" s="367">
        <v>1.2</v>
      </c>
      <c r="W506" s="389">
        <f>SUMIFS(Таблица1[Столбец1],Таблица1[коэф],"1,2",Таблица1[р/р],"5/24",Таблица1[Ф. И. О.],B506)</f>
        <v>0</v>
      </c>
      <c r="X506" s="469">
        <f t="shared" si="35"/>
        <v>0</v>
      </c>
      <c r="Y506" s="748"/>
      <c r="Z506" s="750"/>
      <c r="AA506" s="740"/>
      <c r="AC506" s="693" t="str">
        <f>IF(SUMIFS(Таблица1[Столбец3],Таблица1[Ф. И. О.],B506)-Z501=0,"",SUMIFS(Таблица1[Столбец3],Таблица1[Ф. И. О.],B506)-Z501)</f>
        <v/>
      </c>
    </row>
    <row r="507" spans="1:29" ht="18.75">
      <c r="A507" s="740"/>
      <c r="B507" s="201"/>
      <c r="C507" s="743"/>
      <c r="D507" s="746"/>
      <c r="E507" s="366"/>
      <c r="F507" s="367"/>
      <c r="G507" s="377"/>
      <c r="H507" s="369">
        <f t="shared" si="32"/>
        <v>0</v>
      </c>
      <c r="I507" s="409"/>
      <c r="J507" s="410"/>
      <c r="K507" s="411"/>
      <c r="L507" s="461">
        <f t="shared" si="33"/>
        <v>0</v>
      </c>
      <c r="M507" s="411"/>
      <c r="N507" s="411"/>
      <c r="O507" s="411"/>
      <c r="P507" s="383"/>
      <c r="Q507" s="366">
        <f>IF($D$6&lt;=3,база!$L$4,
IF($D$6=4,база!$L$5,
IF($D$6=5,база!$L$6)))</f>
        <v>231.45480000000001</v>
      </c>
      <c r="R507" s="367">
        <v>1.3</v>
      </c>
      <c r="S507" s="377">
        <f>SUMIFS(Таблица1[Столбец1],Таблица1[коэф],"1,3",Таблица1[р/р],"3/16",Таблица1[Ф. И. О.],B506)</f>
        <v>0</v>
      </c>
      <c r="T507" s="469">
        <f t="shared" si="34"/>
        <v>0</v>
      </c>
      <c r="U507" s="455">
        <f>IF(D501&lt;=3,база!$M$4,
IF(D501=4,база!$M$5,
IF(D501=5,база!$M$6)))</f>
        <v>225.09719999999999</v>
      </c>
      <c r="V507" s="367">
        <v>1.3</v>
      </c>
      <c r="W507" s="389">
        <f>SUMIFS(Таблица1[Столбец1],Таблица1[коэф],"1,3",Таблица1[р/р],"3/24",Таблица1[Ф. И. О.],B506)</f>
        <v>0</v>
      </c>
      <c r="X507" s="469">
        <f t="shared" si="35"/>
        <v>0</v>
      </c>
      <c r="Y507" s="748"/>
      <c r="Z507" s="750"/>
      <c r="AA507" s="740"/>
      <c r="AC507" s="693" t="str">
        <f>IF(SUMIFS(Таблица1[Столбец1],Таблица1[Ф. И. О.],B506)=Y501,"",B506&amp;"  часы не верны")</f>
        <v/>
      </c>
    </row>
    <row r="508" spans="1:29" ht="18.75">
      <c r="A508" s="740"/>
      <c r="B508" s="201"/>
      <c r="C508" s="743"/>
      <c r="D508" s="746"/>
      <c r="E508" s="366"/>
      <c r="F508" s="367"/>
      <c r="G508" s="377"/>
      <c r="H508" s="369">
        <f t="shared" si="32"/>
        <v>0</v>
      </c>
      <c r="I508" s="409"/>
      <c r="J508" s="410"/>
      <c r="K508" s="411"/>
      <c r="L508" s="461">
        <f t="shared" si="33"/>
        <v>0</v>
      </c>
      <c r="M508" s="411"/>
      <c r="N508" s="411"/>
      <c r="O508" s="411"/>
      <c r="P508" s="383"/>
      <c r="Q508" s="366">
        <f>база!$L$5</f>
        <v>231.45480000000001</v>
      </c>
      <c r="R508" s="367">
        <v>1.3</v>
      </c>
      <c r="S508" s="377">
        <f>SUMIFS(Таблица1[Столбец1],Таблица1[коэф],"1,3",Таблица1[р/р],"4/16",Таблица1[Ф. И. О.],B506)</f>
        <v>0</v>
      </c>
      <c r="T508" s="469">
        <f t="shared" si="34"/>
        <v>0</v>
      </c>
      <c r="U508" s="455">
        <f>база!$M$5</f>
        <v>247.41720000000001</v>
      </c>
      <c r="V508" s="367">
        <v>1.3</v>
      </c>
      <c r="W508" s="389">
        <f>SUMIFS(Таблица1[Столбец1],Таблица1[коэф],"1,3",Таблица1[р/р],"4/24",Таблица1[Ф. И. О.],B506)</f>
        <v>0</v>
      </c>
      <c r="X508" s="469">
        <f t="shared" si="35"/>
        <v>0</v>
      </c>
      <c r="Y508" s="748"/>
      <c r="Z508" s="750"/>
      <c r="AA508" s="740"/>
    </row>
    <row r="509" spans="1:29" ht="18.75">
      <c r="A509" s="740"/>
      <c r="B509" s="201"/>
      <c r="C509" s="743"/>
      <c r="D509" s="746"/>
      <c r="E509" s="366"/>
      <c r="F509" s="367"/>
      <c r="G509" s="377"/>
      <c r="H509" s="369">
        <f t="shared" si="32"/>
        <v>0</v>
      </c>
      <c r="I509" s="409"/>
      <c r="J509" s="410"/>
      <c r="K509" s="411"/>
      <c r="L509" s="461">
        <f t="shared" si="33"/>
        <v>0</v>
      </c>
      <c r="M509" s="411"/>
      <c r="N509" s="411"/>
      <c r="O509" s="411"/>
      <c r="P509" s="383"/>
      <c r="Q509" s="366">
        <f>IF(D501&lt;=3,база!$L$4,
IF(D501=4,база!$L$5,
IF(D501=5,база!$L$6)))</f>
        <v>210.57480000000001</v>
      </c>
      <c r="R509" s="367">
        <v>1.4</v>
      </c>
      <c r="S509" s="377">
        <f>SUMIFS(Таблица1[Столбец1],Таблица1[коэф],"1,4",Таблица1[р/р],"3/16",Таблица1[Ф. И. О.],B506)</f>
        <v>0</v>
      </c>
      <c r="T509" s="469">
        <f t="shared" si="34"/>
        <v>0</v>
      </c>
      <c r="U509" s="455">
        <f>IF(D501&lt;=3,база!$M$4,
IF(D501=4,база!$M$5,
IF(D501=5,база!$M$6)))</f>
        <v>225.09719999999999</v>
      </c>
      <c r="V509" s="367">
        <v>1.4</v>
      </c>
      <c r="W509" s="389">
        <f>SUMIFS(Таблица1[Столбец1],Таблица1[коэф],"1,4",Таблица1[р/р],"3/24",Таблица1[Ф. И. О.],B506)</f>
        <v>0</v>
      </c>
      <c r="X509" s="469">
        <f t="shared" si="35"/>
        <v>0</v>
      </c>
      <c r="Y509" s="748"/>
      <c r="Z509" s="750"/>
      <c r="AA509" s="740"/>
    </row>
    <row r="510" spans="1:29" ht="18.75">
      <c r="A510" s="740"/>
      <c r="B510" s="201"/>
      <c r="C510" s="743"/>
      <c r="D510" s="746"/>
      <c r="E510" s="366"/>
      <c r="F510" s="367"/>
      <c r="G510" s="377"/>
      <c r="H510" s="369">
        <f t="shared" si="32"/>
        <v>0</v>
      </c>
      <c r="I510" s="409"/>
      <c r="J510" s="410"/>
      <c r="K510" s="411"/>
      <c r="L510" s="461">
        <f t="shared" si="33"/>
        <v>0</v>
      </c>
      <c r="M510" s="411"/>
      <c r="N510" s="411"/>
      <c r="O510" s="411"/>
      <c r="P510" s="383"/>
      <c r="Q510" s="366">
        <f>база!$L$5</f>
        <v>231.45480000000001</v>
      </c>
      <c r="R510" s="367">
        <v>1.4</v>
      </c>
      <c r="S510" s="377">
        <f>SUMIFS(Таблица1[Столбец1],Таблица1[коэф],"1,4",Таблица1[р/р],"4/16",Таблица1[Ф. И. О.],B506)</f>
        <v>0</v>
      </c>
      <c r="T510" s="469">
        <f t="shared" si="34"/>
        <v>0</v>
      </c>
      <c r="U510" s="455">
        <f>база!$M$5</f>
        <v>247.41720000000001</v>
      </c>
      <c r="V510" s="367">
        <v>1.4</v>
      </c>
      <c r="W510" s="389">
        <f>SUMIFS(Таблица1[Столбец1],Таблица1[коэф],"1,4",Таблица1[р/р],"4/24",Таблица1[Ф. И. О.],B506)</f>
        <v>0</v>
      </c>
      <c r="X510" s="469">
        <f t="shared" si="35"/>
        <v>0</v>
      </c>
      <c r="Y510" s="748"/>
      <c r="Z510" s="750"/>
      <c r="AA510" s="740"/>
    </row>
    <row r="511" spans="1:29" ht="19.5" thickBot="1">
      <c r="A511" s="741"/>
      <c r="B511" s="188"/>
      <c r="C511" s="744"/>
      <c r="D511" s="747"/>
      <c r="E511" s="450"/>
      <c r="F511" s="441"/>
      <c r="G511" s="442"/>
      <c r="H511" s="417">
        <f t="shared" si="32"/>
        <v>0</v>
      </c>
      <c r="I511" s="443"/>
      <c r="J511" s="433"/>
      <c r="K511" s="434"/>
      <c r="L511" s="461">
        <f t="shared" si="33"/>
        <v>0</v>
      </c>
      <c r="M511" s="434"/>
      <c r="N511" s="434"/>
      <c r="O511" s="434"/>
      <c r="P511" s="453"/>
      <c r="Q511" s="450">
        <f>база!$L$6</f>
        <v>261.04640000000001</v>
      </c>
      <c r="R511" s="441">
        <v>1.4</v>
      </c>
      <c r="S511" s="442">
        <f>SUMIFS(Таблица1[Столбец1],Таблица1[коэф],"1,4",Таблица1[р/р],"5/16",Таблица1[Ф. И. О.],B506)</f>
        <v>0</v>
      </c>
      <c r="T511" s="469">
        <f t="shared" si="34"/>
        <v>0</v>
      </c>
      <c r="U511" s="457">
        <f>база!$M$6</f>
        <v>279.0496</v>
      </c>
      <c r="V511" s="441">
        <v>1.4</v>
      </c>
      <c r="W511" s="447">
        <f>SUMIFS(Таблица1[Столбец1],Таблица1[коэф],"1,4",Таблица1[р/р],"5/24",Таблица1[Ф. И. О.],B506)</f>
        <v>0</v>
      </c>
      <c r="X511" s="469">
        <f t="shared" si="35"/>
        <v>0</v>
      </c>
      <c r="Y511" s="749"/>
      <c r="Z511" s="751"/>
      <c r="AA511" s="741"/>
    </row>
    <row r="512" spans="1:29" ht="18.75">
      <c r="A512" s="739">
        <v>47</v>
      </c>
      <c r="B512" s="219"/>
      <c r="C512" s="742">
        <f>INDEX(база!$E$2:$E$81, MATCH(B517,база!$B$2:$B$60,0))</f>
        <v>15082</v>
      </c>
      <c r="D512" s="745">
        <f>INDEX(база!$D$2:$D$89, MATCH(B517,база!$B$2:$B$60,0))</f>
        <v>3</v>
      </c>
      <c r="E512" s="354">
        <f>IF(D512&lt;=3,база!$I$4,
IF(D512=4,база!$I$5,
IF(D512=5,база!$I$6)))</f>
        <v>188.7912</v>
      </c>
      <c r="F512" s="355">
        <v>1</v>
      </c>
      <c r="G512" s="364">
        <f>SUMIFS(Таблица1[Столбец1],Таблица1[коэф],"1",Таблица1[р/р],"2/4",Таблица1[Ф. И. О.],B517)</f>
        <v>0</v>
      </c>
      <c r="H512" s="357">
        <f t="shared" ref="H512:H522" si="164">ROUND(E512*F512*G512*2,2)</f>
        <v>0</v>
      </c>
      <c r="I512" s="403">
        <f>IF(D512&lt;=3,база!$J$4,
IF(D512=4,база!$J$5,
IF(D512=5,база!$J$6)))</f>
        <v>196.05240000000001</v>
      </c>
      <c r="J512" s="404">
        <v>1</v>
      </c>
      <c r="K512" s="405">
        <f>SUMIFS(Таблица1[Столбец1],Таблица1[коэф],"1",Таблица1[р/р],"2/8",Таблица1[Ф. И. О.],B517)</f>
        <v>0</v>
      </c>
      <c r="L512" s="360">
        <f t="shared" ref="L512:L522" si="165">ROUND(I512*J512*K512*2,2)</f>
        <v>0</v>
      </c>
      <c r="M512" s="405"/>
      <c r="N512" s="405">
        <v>1</v>
      </c>
      <c r="O512" s="405">
        <f>SUMIFS(Data_Tech!$AM$3:$AM$67,Data_Tech!$E$3:$E$67,"1",Data_Tech!$G$3:$G$67,"3/12",Data_Tech!$F$3:$F$67,B517)</f>
        <v>0</v>
      </c>
      <c r="P512" s="362">
        <f>ROUND(M512*N512*O512,2)</f>
        <v>0</v>
      </c>
      <c r="Q512" s="354">
        <f>IF(D512&lt;=3,база!$L$4,
IF(D512=4,база!$L$5,
IF(D512=5,база!$L$6)))</f>
        <v>210.57480000000001</v>
      </c>
      <c r="R512" s="355">
        <v>1</v>
      </c>
      <c r="S512" s="364">
        <f>SUMIFS(Таблица1[Столбец1],Таблица1[коэф],"1",Таблица1[р/р],"3/16",Таблица1[Ф. И. О.],B517)</f>
        <v>0</v>
      </c>
      <c r="T512" s="467">
        <f t="shared" ref="T512:T522" si="166">ROUND(Q512*R512*S512*2,2)</f>
        <v>0</v>
      </c>
      <c r="U512" s="454">
        <f>IF(D512&lt;=3,база!$M$4,
IF(D512=4,база!$M$5,
IF(D512=5,база!$M$6)))</f>
        <v>225.09719999999999</v>
      </c>
      <c r="V512" s="355">
        <v>1</v>
      </c>
      <c r="W512" s="407">
        <f>SUMIFS(Таблица1[Столбец1],Таблица1[коэф],"1",Таблица1[р/р],"3/24",Таблица1[Ф. И. О.],B517)</f>
        <v>0</v>
      </c>
      <c r="X512" s="467">
        <f t="shared" ref="X512:X522" si="167">ROUND(U512*V512*W512*2,2)</f>
        <v>0</v>
      </c>
      <c r="Y512" s="748">
        <f t="shared" ref="Y512" si="168">SUM(G512:G522,K512:K522,O512:O522,S512:S522,W512:W522)</f>
        <v>0</v>
      </c>
      <c r="Z512" s="750">
        <f t="shared" ref="Z512" si="169">IFERROR(SUM(H512:H522,L512:L522,T512:T522,X512:X522),"")</f>
        <v>0</v>
      </c>
      <c r="AA512" s="740"/>
    </row>
    <row r="513" spans="1:29" ht="18.75">
      <c r="A513" s="740"/>
      <c r="B513" s="201"/>
      <c r="C513" s="743"/>
      <c r="D513" s="746"/>
      <c r="E513" s="366">
        <f>IF(D512&lt;=3,база!$I$4,
IF(D512=4,база!$I$5,
IF(D512=5,база!$I$6)))</f>
        <v>188.7912</v>
      </c>
      <c r="F513" s="367">
        <v>1</v>
      </c>
      <c r="G513" s="377">
        <f>SUMIFS(Таблица1[Столбец1],Таблица1[коэф],"1",Таблица1[р/р],"3/4",Таблица1[Ф. И. О.],B517)</f>
        <v>0</v>
      </c>
      <c r="H513" s="369">
        <f t="shared" si="164"/>
        <v>0</v>
      </c>
      <c r="I513" s="409">
        <f>IF(D512&lt;=3,база!$J$4,
IF(D512=4,база!$J$5,
IF(D512=5,база!$J$6)))</f>
        <v>196.05240000000001</v>
      </c>
      <c r="J513" s="410">
        <v>1</v>
      </c>
      <c r="K513" s="411">
        <f>SUMIFS(Таблица1[Столбец1],Таблица1[коэф],"1",Таблица1[р/р],"3/8",Таблица1[Ф. И. О.],B517)</f>
        <v>0</v>
      </c>
      <c r="L513" s="461">
        <f t="shared" si="165"/>
        <v>0</v>
      </c>
      <c r="M513" s="411"/>
      <c r="N513" s="411">
        <v>1</v>
      </c>
      <c r="O513" s="411">
        <f>SUMIFS(Data_Tech!$AM$3:$AM$67,Data_Tech!$E$3:$E$67,"1",Data_Tech!$G$3:$G$67,"4/12",Data_Tech!$F$3:$F$67,B517)</f>
        <v>0</v>
      </c>
      <c r="P513" s="383">
        <f>ROUND(M513*O513,2)</f>
        <v>0</v>
      </c>
      <c r="Q513" s="366">
        <f>база!$L$5</f>
        <v>231.45480000000001</v>
      </c>
      <c r="R513" s="367">
        <v>1</v>
      </c>
      <c r="S513" s="377">
        <f>SUMIFS(Таблица1[Столбец1],Таблица1[коэф],"1",Таблица1[р/р],"4/16",Таблица1[Ф. И. О.],B517)</f>
        <v>0</v>
      </c>
      <c r="T513" s="469">
        <f t="shared" si="166"/>
        <v>0</v>
      </c>
      <c r="U513" s="455">
        <f>база!$M$5</f>
        <v>247.41720000000001</v>
      </c>
      <c r="V513" s="367">
        <v>1</v>
      </c>
      <c r="W513" s="389">
        <f>SUMIFS(Таблица1[Столбец1],Таблица1[коэф],"1",Таблица1[р/р],"4/24",Таблица1[Ф. И. О.],B517)</f>
        <v>0</v>
      </c>
      <c r="X513" s="469">
        <f t="shared" si="167"/>
        <v>0</v>
      </c>
      <c r="Y513" s="748"/>
      <c r="Z513" s="750"/>
      <c r="AA513" s="740"/>
    </row>
    <row r="514" spans="1:29" ht="18.75">
      <c r="A514" s="740"/>
      <c r="B514" s="201"/>
      <c r="C514" s="743"/>
      <c r="D514" s="746"/>
      <c r="E514" s="366"/>
      <c r="F514" s="367"/>
      <c r="G514" s="377"/>
      <c r="H514" s="369">
        <f t="shared" si="164"/>
        <v>0</v>
      </c>
      <c r="I514" s="409"/>
      <c r="J514" s="410"/>
      <c r="K514" s="411"/>
      <c r="L514" s="461">
        <f t="shared" si="165"/>
        <v>0</v>
      </c>
      <c r="M514" s="411"/>
      <c r="N514" s="411"/>
      <c r="O514" s="411"/>
      <c r="P514" s="383"/>
      <c r="Q514" s="366">
        <f>база!$L$6</f>
        <v>261.04640000000001</v>
      </c>
      <c r="R514" s="367">
        <v>1</v>
      </c>
      <c r="S514" s="377">
        <f>SUMIFS(Таблица1[Столбец1],Таблица1[коэф],"1",Таблица1[р/р],"5/16",Таблица1[Ф. И. О.],B517)</f>
        <v>0</v>
      </c>
      <c r="T514" s="469">
        <f t="shared" si="166"/>
        <v>0</v>
      </c>
      <c r="U514" s="455">
        <f>база!$M$6</f>
        <v>279.0496</v>
      </c>
      <c r="V514" s="367">
        <v>1</v>
      </c>
      <c r="W514" s="389">
        <f>SUMIFS(Таблица1[Столбец1],Таблица1[коэф],"1",Таблица1[р/р],"5/24",Таблица1[Ф. И. О.],B517)</f>
        <v>0</v>
      </c>
      <c r="X514" s="469">
        <f t="shared" si="167"/>
        <v>0</v>
      </c>
      <c r="Y514" s="748"/>
      <c r="Z514" s="750"/>
      <c r="AA514" s="740"/>
    </row>
    <row r="515" spans="1:29" ht="18.75">
      <c r="A515" s="740"/>
      <c r="B515" s="201"/>
      <c r="C515" s="743"/>
      <c r="D515" s="746"/>
      <c r="E515" s="366"/>
      <c r="F515" s="367"/>
      <c r="G515" s="377"/>
      <c r="H515" s="369">
        <f t="shared" si="164"/>
        <v>0</v>
      </c>
      <c r="I515" s="409">
        <f>база!$J$5</f>
        <v>215.4924</v>
      </c>
      <c r="J515" s="410">
        <v>1.5</v>
      </c>
      <c r="K515" s="411">
        <f>SUMIFS(Таблица1[Столбец1],Таблица1[коэф],"1,5",Таблица1[р/р],"4/8",Таблица1[Ф. И. О.],B517)</f>
        <v>0</v>
      </c>
      <c r="L515" s="461">
        <f t="shared" si="165"/>
        <v>0</v>
      </c>
      <c r="M515" s="411"/>
      <c r="N515" s="411"/>
      <c r="O515" s="411"/>
      <c r="P515" s="383"/>
      <c r="Q515" s="366">
        <f>IF(D512&lt;=3,база!$L$4,
IF(D512=4,база!$L$5,
IF(D512=5,база!$L$6)))</f>
        <v>210.57480000000001</v>
      </c>
      <c r="R515" s="367">
        <v>1.2</v>
      </c>
      <c r="S515" s="377">
        <f>SUMIFS(Таблица1[Столбец1],Таблица1[коэф],"1,2",Таблица1[р/р],"3/16",Таблица1[Ф. И. О.],B517)</f>
        <v>0</v>
      </c>
      <c r="T515" s="469">
        <f t="shared" si="166"/>
        <v>0</v>
      </c>
      <c r="U515" s="455">
        <f>IF(D512&lt;=3,база!$M$4,
IF(D512=4,база!$M$5,
IF(D512=5,база!$M$6)))</f>
        <v>225.09719999999999</v>
      </c>
      <c r="V515" s="367">
        <v>1.2</v>
      </c>
      <c r="W515" s="389">
        <f>SUMIFS(Таблица1[Столбец1],Таблица1[коэф],"1,2",Таблица1[р/р],"3/24",Таблица1[Ф. И. О.],B517)</f>
        <v>0</v>
      </c>
      <c r="X515" s="469">
        <f t="shared" si="167"/>
        <v>0</v>
      </c>
      <c r="Y515" s="748"/>
      <c r="Z515" s="750"/>
      <c r="AA515" s="740"/>
    </row>
    <row r="516" spans="1:29" ht="18.75">
      <c r="A516" s="740"/>
      <c r="B516" s="201"/>
      <c r="C516" s="743"/>
      <c r="D516" s="746"/>
      <c r="E516" s="366"/>
      <c r="F516" s="367"/>
      <c r="G516" s="377"/>
      <c r="H516" s="369">
        <f t="shared" si="164"/>
        <v>0</v>
      </c>
      <c r="I516" s="409">
        <f>база!$J$6</f>
        <v>243.04319999999998</v>
      </c>
      <c r="J516" s="410">
        <v>1.5</v>
      </c>
      <c r="K516" s="411">
        <f>SUMIFS(Таблица1[Столбец1],Таблица1[коэф],"1,5",Таблица1[р/р],"5/8",Таблица1[Ф. И. О.],B517)</f>
        <v>0</v>
      </c>
      <c r="L516" s="461">
        <f t="shared" si="165"/>
        <v>0</v>
      </c>
      <c r="M516" s="411"/>
      <c r="N516" s="411"/>
      <c r="O516" s="411"/>
      <c r="P516" s="383"/>
      <c r="Q516" s="366">
        <f>база!$L$5</f>
        <v>231.45480000000001</v>
      </c>
      <c r="R516" s="367">
        <v>1.2</v>
      </c>
      <c r="S516" s="377">
        <f>SUMIFS(Таблица1[Столбец1],Таблица1[коэф],"1,2",Таблица1[р/р],"4/16",Таблица1[Ф. И. О.],B517)</f>
        <v>0</v>
      </c>
      <c r="T516" s="469">
        <f t="shared" si="166"/>
        <v>0</v>
      </c>
      <c r="U516" s="455">
        <f>база!$M$5</f>
        <v>247.41720000000001</v>
      </c>
      <c r="V516" s="367">
        <v>1.2</v>
      </c>
      <c r="W516" s="389">
        <f>SUMIFS(Таблица1[Столбец1],Таблица1[коэф],"1,2",Таблица1[р/р],"4/24",Таблица1[Ф. И. О.],B517)</f>
        <v>0</v>
      </c>
      <c r="X516" s="469">
        <f t="shared" si="167"/>
        <v>0</v>
      </c>
      <c r="Y516" s="748"/>
      <c r="Z516" s="750"/>
      <c r="AA516" s="740"/>
    </row>
    <row r="517" spans="1:29" ht="18.75">
      <c r="A517" s="740"/>
      <c r="B517" s="201" t="str">
        <f>база!B48</f>
        <v>Матыгулина Наталья Энвировна</v>
      </c>
      <c r="C517" s="743"/>
      <c r="D517" s="746"/>
      <c r="E517" s="366"/>
      <c r="F517" s="367"/>
      <c r="G517" s="377"/>
      <c r="H517" s="369">
        <f t="shared" si="164"/>
        <v>0</v>
      </c>
      <c r="I517" s="409"/>
      <c r="J517" s="410"/>
      <c r="K517" s="411"/>
      <c r="L517" s="461">
        <f t="shared" si="165"/>
        <v>0</v>
      </c>
      <c r="M517" s="411"/>
      <c r="N517" s="411"/>
      <c r="O517" s="411"/>
      <c r="P517" s="383"/>
      <c r="Q517" s="366">
        <f>база!$L$6</f>
        <v>261.04640000000001</v>
      </c>
      <c r="R517" s="367">
        <v>1.2</v>
      </c>
      <c r="S517" s="377">
        <f>SUMIFS(Таблица1[Столбец1],Таблица1[коэф],"1,2",Таблица1[р/р],"5/16",Таблица1[Ф. И. О.],B517)</f>
        <v>0</v>
      </c>
      <c r="T517" s="469">
        <f t="shared" si="166"/>
        <v>0</v>
      </c>
      <c r="U517" s="455">
        <f>база!$M$6</f>
        <v>279.0496</v>
      </c>
      <c r="V517" s="367">
        <v>1.2</v>
      </c>
      <c r="W517" s="389">
        <f>SUMIFS(Таблица1[Столбец1],Таблица1[коэф],"1,2",Таблица1[р/р],"5/24",Таблица1[Ф. И. О.],B517)</f>
        <v>0</v>
      </c>
      <c r="X517" s="469">
        <f t="shared" si="167"/>
        <v>0</v>
      </c>
      <c r="Y517" s="748"/>
      <c r="Z517" s="750"/>
      <c r="AA517" s="740"/>
      <c r="AC517" s="693" t="str">
        <f>IF(SUMIFS(Таблица1[Столбец3],Таблица1[Ф. И. О.],B517)-Z512=0,"",SUMIFS(Таблица1[Столбец3],Таблица1[Ф. И. О.],B517)-Z512)</f>
        <v/>
      </c>
    </row>
    <row r="518" spans="1:29" ht="18.75">
      <c r="A518" s="740"/>
      <c r="B518" s="201"/>
      <c r="C518" s="743"/>
      <c r="D518" s="746"/>
      <c r="E518" s="366"/>
      <c r="F518" s="367"/>
      <c r="G518" s="377"/>
      <c r="H518" s="369">
        <f t="shared" si="164"/>
        <v>0</v>
      </c>
      <c r="I518" s="409"/>
      <c r="J518" s="410"/>
      <c r="K518" s="411"/>
      <c r="L518" s="461">
        <f t="shared" si="165"/>
        <v>0</v>
      </c>
      <c r="M518" s="411"/>
      <c r="N518" s="411"/>
      <c r="O518" s="411"/>
      <c r="P518" s="383"/>
      <c r="Q518" s="366">
        <f>IF($D$6&lt;=3,база!$L$4,
IF($D$6=4,база!$L$5,
IF($D$6=5,база!$L$6)))</f>
        <v>231.45480000000001</v>
      </c>
      <c r="R518" s="367">
        <v>1.3</v>
      </c>
      <c r="S518" s="377">
        <f>SUMIFS(Таблица1[Столбец1],Таблица1[коэф],"1,3",Таблица1[р/р],"3/16",Таблица1[Ф. И. О.],B517)</f>
        <v>0</v>
      </c>
      <c r="T518" s="469">
        <f t="shared" si="166"/>
        <v>0</v>
      </c>
      <c r="U518" s="455">
        <f>IF(D512&lt;=3,база!$M$4,
IF(D512=4,база!$M$5,
IF(D512=5,база!$M$6)))</f>
        <v>225.09719999999999</v>
      </c>
      <c r="V518" s="367">
        <v>1.3</v>
      </c>
      <c r="W518" s="389">
        <f>SUMIFS(Таблица1[Столбец1],Таблица1[коэф],"1,3",Таблица1[р/р],"3/24",Таблица1[Ф. И. О.],B517)</f>
        <v>0</v>
      </c>
      <c r="X518" s="469">
        <f t="shared" si="167"/>
        <v>0</v>
      </c>
      <c r="Y518" s="748"/>
      <c r="Z518" s="750"/>
      <c r="AA518" s="740"/>
      <c r="AC518" s="693" t="str">
        <f>IF(SUMIFS(Таблица1[Столбец1],Таблица1[Ф. И. О.],B517)=Y512,"",B517&amp;"  часы не верны")</f>
        <v/>
      </c>
    </row>
    <row r="519" spans="1:29" ht="18.75">
      <c r="A519" s="740"/>
      <c r="B519" s="201"/>
      <c r="C519" s="743"/>
      <c r="D519" s="746"/>
      <c r="E519" s="366"/>
      <c r="F519" s="367"/>
      <c r="G519" s="377"/>
      <c r="H519" s="369">
        <f t="shared" si="164"/>
        <v>0</v>
      </c>
      <c r="I519" s="409"/>
      <c r="J519" s="410"/>
      <c r="K519" s="411"/>
      <c r="L519" s="461">
        <f t="shared" si="165"/>
        <v>0</v>
      </c>
      <c r="M519" s="411"/>
      <c r="N519" s="411"/>
      <c r="O519" s="411"/>
      <c r="P519" s="383"/>
      <c r="Q519" s="366">
        <f>база!$L$5</f>
        <v>231.45480000000001</v>
      </c>
      <c r="R519" s="367">
        <v>1.3</v>
      </c>
      <c r="S519" s="377">
        <f>SUMIFS(Таблица1[Столбец1],Таблица1[коэф],"1,3",Таблица1[р/р],"4/16",Таблица1[Ф. И. О.],B517)</f>
        <v>0</v>
      </c>
      <c r="T519" s="469">
        <f t="shared" si="166"/>
        <v>0</v>
      </c>
      <c r="U519" s="455">
        <f>база!$M$5</f>
        <v>247.41720000000001</v>
      </c>
      <c r="V519" s="367">
        <v>1.3</v>
      </c>
      <c r="W519" s="389">
        <f>SUMIFS(Таблица1[Столбец1],Таблица1[коэф],"1,3",Таблица1[р/р],"4/24",Таблица1[Ф. И. О.],B517)</f>
        <v>0</v>
      </c>
      <c r="X519" s="469">
        <f t="shared" si="167"/>
        <v>0</v>
      </c>
      <c r="Y519" s="748"/>
      <c r="Z519" s="750"/>
      <c r="AA519" s="740"/>
    </row>
    <row r="520" spans="1:29" ht="18.75">
      <c r="A520" s="740"/>
      <c r="B520" s="201"/>
      <c r="C520" s="743"/>
      <c r="D520" s="746"/>
      <c r="E520" s="366"/>
      <c r="F520" s="367"/>
      <c r="G520" s="377"/>
      <c r="H520" s="369">
        <f t="shared" si="164"/>
        <v>0</v>
      </c>
      <c r="I520" s="409"/>
      <c r="J520" s="410"/>
      <c r="K520" s="411"/>
      <c r="L520" s="461">
        <f t="shared" si="165"/>
        <v>0</v>
      </c>
      <c r="M520" s="411"/>
      <c r="N520" s="411"/>
      <c r="O520" s="411"/>
      <c r="P520" s="383"/>
      <c r="Q520" s="366">
        <f>IF(D512&lt;=3,база!$L$4,
IF(D512=4,база!$L$5,
IF(D512=5,база!$L$6)))</f>
        <v>210.57480000000001</v>
      </c>
      <c r="R520" s="367">
        <v>1.4</v>
      </c>
      <c r="S520" s="377">
        <f>SUMIFS(Таблица1[Столбец1],Таблица1[коэф],"1,4",Таблица1[р/р],"3/16",Таблица1[Ф. И. О.],B517)</f>
        <v>0</v>
      </c>
      <c r="T520" s="469">
        <f t="shared" si="166"/>
        <v>0</v>
      </c>
      <c r="U520" s="455">
        <f>IF(D512&lt;=3,база!$M$4,
IF(D512=4,база!$M$5,
IF(D512=5,база!$M$6)))</f>
        <v>225.09719999999999</v>
      </c>
      <c r="V520" s="367">
        <v>1.4</v>
      </c>
      <c r="W520" s="389">
        <f>SUMIFS(Таблица1[Столбец1],Таблица1[коэф],"1,4",Таблица1[р/р],"3/24",Таблица1[Ф. И. О.],B517)</f>
        <v>0</v>
      </c>
      <c r="X520" s="469">
        <f t="shared" si="167"/>
        <v>0</v>
      </c>
      <c r="Y520" s="748"/>
      <c r="Z520" s="750"/>
      <c r="AA520" s="740"/>
    </row>
    <row r="521" spans="1:29" ht="18.75">
      <c r="A521" s="740"/>
      <c r="B521" s="201"/>
      <c r="C521" s="743"/>
      <c r="D521" s="746"/>
      <c r="E521" s="366"/>
      <c r="F521" s="367"/>
      <c r="G521" s="377"/>
      <c r="H521" s="369">
        <f t="shared" si="164"/>
        <v>0</v>
      </c>
      <c r="I521" s="409"/>
      <c r="J521" s="410"/>
      <c r="K521" s="411"/>
      <c r="L521" s="461">
        <f t="shared" si="165"/>
        <v>0</v>
      </c>
      <c r="M521" s="411"/>
      <c r="N521" s="411"/>
      <c r="O521" s="411"/>
      <c r="P521" s="383"/>
      <c r="Q521" s="366">
        <f>база!$L$5</f>
        <v>231.45480000000001</v>
      </c>
      <c r="R521" s="367">
        <v>1.4</v>
      </c>
      <c r="S521" s="377">
        <f>SUMIFS(Таблица1[Столбец1],Таблица1[коэф],"1,4",Таблица1[р/р],"4/16",Таблица1[Ф. И. О.],B517)</f>
        <v>0</v>
      </c>
      <c r="T521" s="469">
        <f t="shared" si="166"/>
        <v>0</v>
      </c>
      <c r="U521" s="455">
        <f>база!$M$5</f>
        <v>247.41720000000001</v>
      </c>
      <c r="V521" s="367">
        <v>1.4</v>
      </c>
      <c r="W521" s="389">
        <f>SUMIFS(Таблица1[Столбец1],Таблица1[коэф],"1,4",Таблица1[р/р],"4/24",Таблица1[Ф. И. О.],B517)</f>
        <v>0</v>
      </c>
      <c r="X521" s="469">
        <f t="shared" si="167"/>
        <v>0</v>
      </c>
      <c r="Y521" s="748"/>
      <c r="Z521" s="750"/>
      <c r="AA521" s="740"/>
    </row>
    <row r="522" spans="1:29" ht="19.5" thickBot="1">
      <c r="A522" s="741"/>
      <c r="B522" s="188"/>
      <c r="C522" s="744"/>
      <c r="D522" s="747"/>
      <c r="E522" s="450"/>
      <c r="F522" s="441"/>
      <c r="G522" s="442"/>
      <c r="H522" s="445">
        <f t="shared" si="164"/>
        <v>0</v>
      </c>
      <c r="I522" s="443"/>
      <c r="J522" s="433"/>
      <c r="K522" s="434"/>
      <c r="L522" s="461">
        <f t="shared" si="165"/>
        <v>0</v>
      </c>
      <c r="M522" s="434"/>
      <c r="N522" s="434"/>
      <c r="O522" s="434"/>
      <c r="P522" s="453"/>
      <c r="Q522" s="450">
        <f>база!$L$6</f>
        <v>261.04640000000001</v>
      </c>
      <c r="R522" s="441">
        <v>1.4</v>
      </c>
      <c r="S522" s="442">
        <f>SUMIFS(Таблица1[Столбец1],Таблица1[коэф],"1,4",Таблица1[р/р],"5/16",Таблица1[Ф. И. О.],B517)</f>
        <v>0</v>
      </c>
      <c r="T522" s="469">
        <f t="shared" si="166"/>
        <v>0</v>
      </c>
      <c r="U522" s="457">
        <f>база!$M$6</f>
        <v>279.0496</v>
      </c>
      <c r="V522" s="441">
        <v>1.4</v>
      </c>
      <c r="W522" s="447">
        <f>SUMIFS(Таблица1[Столбец1],Таблица1[коэф],"1,4",Таблица1[р/р],"5/24",Таблица1[Ф. И. О.],B517)</f>
        <v>0</v>
      </c>
      <c r="X522" s="469">
        <f t="shared" si="167"/>
        <v>0</v>
      </c>
      <c r="Y522" s="749"/>
      <c r="Z522" s="751"/>
      <c r="AA522" s="741"/>
    </row>
    <row r="523" spans="1:29" ht="18.75">
      <c r="A523" s="739">
        <v>48</v>
      </c>
      <c r="B523" s="219"/>
      <c r="C523" s="742">
        <f>INDEX(база!$E$2:$E$81, MATCH(B528,база!$B$2:$B$60,0))</f>
        <v>17121</v>
      </c>
      <c r="D523" s="745">
        <f>INDEX(база!$D$2:$D$89, MATCH(B528,база!$B$2:$B$60,0))</f>
        <v>3</v>
      </c>
      <c r="E523" s="354">
        <f>IF(D523&lt;=3,база!$I$4,
IF(D523=4,база!$I$5,
IF(D523=5,база!$I$6)))</f>
        <v>188.7912</v>
      </c>
      <c r="F523" s="355">
        <v>1</v>
      </c>
      <c r="G523" s="364">
        <f>SUMIFS(Таблица1[Столбец1],Таблица1[коэф],"1",Таблица1[р/р],"2/4",Таблица1[Ф. И. О.],B528)</f>
        <v>0</v>
      </c>
      <c r="H523" s="379">
        <f t="shared" ref="H523:H533" si="170">ROUND(E523*F523*G523*2,2)</f>
        <v>0</v>
      </c>
      <c r="I523" s="403">
        <f>IF(D523&lt;=3,база!$J$4,
IF(D523=4,база!$J$5,
IF(D523=5,база!$J$6)))</f>
        <v>196.05240000000001</v>
      </c>
      <c r="J523" s="404">
        <v>1</v>
      </c>
      <c r="K523" s="405">
        <f>SUMIFS(Таблица1[Столбец1],Таблица1[коэф],"1",Таблица1[р/р],"2/8",Таблица1[Ф. И. О.],B528)</f>
        <v>0</v>
      </c>
      <c r="L523" s="360">
        <f t="shared" ref="L523:L533" si="171">ROUND(I523*J523*K523*2,2)</f>
        <v>0</v>
      </c>
      <c r="M523" s="405"/>
      <c r="N523" s="405">
        <v>1</v>
      </c>
      <c r="O523" s="405">
        <f>SUMIFS(Data_Tech!$AM$3:$AM$67,Data_Tech!$E$3:$E$67,"1",Data_Tech!$G$3:$G$67,"3/12",Data_Tech!$F$3:$F$67,B528)</f>
        <v>0</v>
      </c>
      <c r="P523" s="362">
        <f>ROUND(M523*N523*O523,2)</f>
        <v>0</v>
      </c>
      <c r="Q523" s="354">
        <f>IF(D523&lt;=3,база!$L$4,
IF(D523=4,база!$L$5,
IF(D523=5,база!$L$6)))</f>
        <v>210.57480000000001</v>
      </c>
      <c r="R523" s="355">
        <v>1</v>
      </c>
      <c r="S523" s="364">
        <f>SUMIFS(Таблица1[Столбец1],Таблица1[коэф],"1",Таблица1[р/р],"3/16",Таблица1[Ф. И. О.],B528)</f>
        <v>0</v>
      </c>
      <c r="T523" s="467">
        <f t="shared" ref="T523:T533" si="172">ROUND(Q523*R523*S523*2,2)</f>
        <v>0</v>
      </c>
      <c r="U523" s="454">
        <f>IF(D523&lt;=3,база!$M$4,
IF(D523=4,база!$M$5,
IF(D523=5,база!$M$6)))</f>
        <v>225.09719999999999</v>
      </c>
      <c r="V523" s="355">
        <v>1</v>
      </c>
      <c r="W523" s="407">
        <f>SUMIFS(Таблица1[Столбец1],Таблица1[коэф],"1",Таблица1[р/р],"3/24",Таблица1[Ф. И. О.],B528)</f>
        <v>0</v>
      </c>
      <c r="X523" s="467">
        <f t="shared" ref="X523:X533" si="173">ROUND(U523*V523*W523*2,2)</f>
        <v>0</v>
      </c>
      <c r="Y523" s="748">
        <f t="shared" ref="Y523" si="174">SUM(G523:G533,K523:K533,O523:O533,S523:S533,W523:W533)</f>
        <v>0</v>
      </c>
      <c r="Z523" s="750">
        <f t="shared" ref="Z523" si="175">IFERROR(SUM(H523:H533,L523:L533,T523:T533,X523:X533),"")</f>
        <v>0</v>
      </c>
      <c r="AA523" s="740"/>
    </row>
    <row r="524" spans="1:29" ht="18.75">
      <c r="A524" s="740"/>
      <c r="B524" s="201"/>
      <c r="C524" s="743"/>
      <c r="D524" s="746"/>
      <c r="E524" s="366">
        <f>IF(D523&lt;=3,база!$I$4,
IF(D523=4,база!$I$5,
IF(D523=5,база!$I$6)))</f>
        <v>188.7912</v>
      </c>
      <c r="F524" s="367">
        <v>1</v>
      </c>
      <c r="G524" s="377">
        <f>SUMIFS(Таблица1[Столбец1],Таблица1[коэф],"1",Таблица1[р/р],"3/4",Таблица1[Ф. И. О.],B528)</f>
        <v>0</v>
      </c>
      <c r="H524" s="369">
        <f t="shared" si="170"/>
        <v>0</v>
      </c>
      <c r="I524" s="409">
        <f>IF(D523&lt;=3,база!$J$4,
IF(D523=4,база!$J$5,
IF(D523=5,база!$J$6)))</f>
        <v>196.05240000000001</v>
      </c>
      <c r="J524" s="410">
        <v>1</v>
      </c>
      <c r="K524" s="411">
        <f>SUMIFS(Таблица1[Столбец1],Таблица1[коэф],"1",Таблица1[р/р],"3/8",Таблица1[Ф. И. О.],B528)</f>
        <v>0</v>
      </c>
      <c r="L524" s="461">
        <f t="shared" si="171"/>
        <v>0</v>
      </c>
      <c r="M524" s="411"/>
      <c r="N524" s="411">
        <v>1</v>
      </c>
      <c r="O524" s="411">
        <f>SUMIFS(Data_Tech!$AM$3:$AM$67,Data_Tech!$E$3:$E$67,"1",Data_Tech!$G$3:$G$67,"4/12",Data_Tech!$F$3:$F$67,B528)</f>
        <v>0</v>
      </c>
      <c r="P524" s="383">
        <f>ROUND(M524*O524,2)</f>
        <v>0</v>
      </c>
      <c r="Q524" s="366">
        <f>база!$L$5</f>
        <v>231.45480000000001</v>
      </c>
      <c r="R524" s="367">
        <v>1</v>
      </c>
      <c r="S524" s="377">
        <f>SUMIFS(Таблица1[Столбец1],Таблица1[коэф],"1",Таблица1[р/р],"4/16",Таблица1[Ф. И. О.],B528)</f>
        <v>0</v>
      </c>
      <c r="T524" s="469">
        <f t="shared" si="172"/>
        <v>0</v>
      </c>
      <c r="U524" s="455">
        <f>база!$M$5</f>
        <v>247.41720000000001</v>
      </c>
      <c r="V524" s="367">
        <v>1</v>
      </c>
      <c r="W524" s="389">
        <f>SUMIFS(Таблица1[Столбец1],Таблица1[коэф],"1",Таблица1[р/р],"4/24",Таблица1[Ф. И. О.],B528)</f>
        <v>0</v>
      </c>
      <c r="X524" s="469">
        <f t="shared" si="173"/>
        <v>0</v>
      </c>
      <c r="Y524" s="748"/>
      <c r="Z524" s="750"/>
      <c r="AA524" s="740"/>
    </row>
    <row r="525" spans="1:29" ht="18.75">
      <c r="A525" s="740"/>
      <c r="B525" s="201"/>
      <c r="C525" s="743"/>
      <c r="D525" s="746"/>
      <c r="E525" s="366"/>
      <c r="F525" s="367"/>
      <c r="G525" s="377"/>
      <c r="H525" s="369">
        <f t="shared" si="170"/>
        <v>0</v>
      </c>
      <c r="I525" s="409"/>
      <c r="J525" s="410"/>
      <c r="K525" s="411"/>
      <c r="L525" s="461">
        <f t="shared" si="171"/>
        <v>0</v>
      </c>
      <c r="M525" s="411"/>
      <c r="N525" s="411"/>
      <c r="O525" s="411"/>
      <c r="P525" s="383"/>
      <c r="Q525" s="366">
        <f>база!$L$6</f>
        <v>261.04640000000001</v>
      </c>
      <c r="R525" s="367">
        <v>1</v>
      </c>
      <c r="S525" s="377">
        <f>SUMIFS(Таблица1[Столбец1],Таблица1[коэф],"1",Таблица1[р/р],"5/16",Таблица1[Ф. И. О.],B528)</f>
        <v>0</v>
      </c>
      <c r="T525" s="469">
        <f t="shared" si="172"/>
        <v>0</v>
      </c>
      <c r="U525" s="455">
        <f>база!$M$6</f>
        <v>279.0496</v>
      </c>
      <c r="V525" s="367">
        <v>1</v>
      </c>
      <c r="W525" s="389">
        <f>SUMIFS(Таблица1[Столбец1],Таблица1[коэф],"1",Таблица1[р/р],"5/24",Таблица1[Ф. И. О.],B528)</f>
        <v>0</v>
      </c>
      <c r="X525" s="469">
        <f t="shared" si="173"/>
        <v>0</v>
      </c>
      <c r="Y525" s="748"/>
      <c r="Z525" s="750"/>
      <c r="AA525" s="740"/>
    </row>
    <row r="526" spans="1:29" ht="18.75">
      <c r="A526" s="740"/>
      <c r="B526" s="201"/>
      <c r="C526" s="743"/>
      <c r="D526" s="746"/>
      <c r="E526" s="366"/>
      <c r="F526" s="367"/>
      <c r="G526" s="377"/>
      <c r="H526" s="369">
        <f t="shared" si="170"/>
        <v>0</v>
      </c>
      <c r="I526" s="409">
        <f>база!$J$5</f>
        <v>215.4924</v>
      </c>
      <c r="J526" s="410">
        <v>1.5</v>
      </c>
      <c r="K526" s="411">
        <f>SUMIFS(Таблица1[Столбец1],Таблица1[коэф],"1,5",Таблица1[р/р],"4/8",Таблица1[Ф. И. О.],B528)</f>
        <v>0</v>
      </c>
      <c r="L526" s="461">
        <f t="shared" si="171"/>
        <v>0</v>
      </c>
      <c r="M526" s="411"/>
      <c r="N526" s="411"/>
      <c r="O526" s="411"/>
      <c r="P526" s="383"/>
      <c r="Q526" s="366">
        <f>IF(D523&lt;=3,база!$L$4,
IF(D523=4,база!$L$5,
IF(D523=5,база!$L$6)))</f>
        <v>210.57480000000001</v>
      </c>
      <c r="R526" s="367">
        <v>1.2</v>
      </c>
      <c r="S526" s="377">
        <f>SUMIFS(Таблица1[Столбец1],Таблица1[коэф],"1,2",Таблица1[р/р],"3/16",Таблица1[Ф. И. О.],B528)</f>
        <v>0</v>
      </c>
      <c r="T526" s="469">
        <f t="shared" si="172"/>
        <v>0</v>
      </c>
      <c r="U526" s="455">
        <f>IF(D523&lt;=3,база!$M$4,
IF(D523=4,база!$M$5,
IF(D523=5,база!$M$6)))</f>
        <v>225.09719999999999</v>
      </c>
      <c r="V526" s="367">
        <v>1.2</v>
      </c>
      <c r="W526" s="389">
        <f>SUMIFS(Таблица1[Столбец1],Таблица1[коэф],"1,2",Таблица1[р/р],"3/24",Таблица1[Ф. И. О.],B528)</f>
        <v>0</v>
      </c>
      <c r="X526" s="469">
        <f t="shared" si="173"/>
        <v>0</v>
      </c>
      <c r="Y526" s="748"/>
      <c r="Z526" s="750"/>
      <c r="AA526" s="740"/>
    </row>
    <row r="527" spans="1:29" ht="18.75">
      <c r="A527" s="740"/>
      <c r="B527" s="201"/>
      <c r="C527" s="743"/>
      <c r="D527" s="746"/>
      <c r="E527" s="366"/>
      <c r="F527" s="367"/>
      <c r="G527" s="377"/>
      <c r="H527" s="369">
        <f t="shared" si="170"/>
        <v>0</v>
      </c>
      <c r="I527" s="409">
        <f>база!$J$6</f>
        <v>243.04319999999998</v>
      </c>
      <c r="J527" s="410">
        <v>1.5</v>
      </c>
      <c r="K527" s="411">
        <f>SUMIFS(Таблица1[Столбец1],Таблица1[коэф],"1,5",Таблица1[р/р],"5/8",Таблица1[Ф. И. О.],B528)</f>
        <v>0</v>
      </c>
      <c r="L527" s="461">
        <f t="shared" si="171"/>
        <v>0</v>
      </c>
      <c r="M527" s="411"/>
      <c r="N527" s="411"/>
      <c r="O527" s="411"/>
      <c r="P527" s="383"/>
      <c r="Q527" s="366">
        <f>база!$L$5</f>
        <v>231.45480000000001</v>
      </c>
      <c r="R527" s="367">
        <v>1.2</v>
      </c>
      <c r="S527" s="377">
        <f>SUMIFS(Таблица1[Столбец1],Таблица1[коэф],"1,2",Таблица1[р/р],"4/16",Таблица1[Ф. И. О.],B528)</f>
        <v>0</v>
      </c>
      <c r="T527" s="469">
        <f t="shared" si="172"/>
        <v>0</v>
      </c>
      <c r="U527" s="455">
        <f>база!$M$5</f>
        <v>247.41720000000001</v>
      </c>
      <c r="V527" s="367">
        <v>1.2</v>
      </c>
      <c r="W527" s="389">
        <f>SUMIFS(Таблица1[Столбец1],Таблица1[коэф],"1,2",Таблица1[р/р],"4/24",Таблица1[Ф. И. О.],B528)</f>
        <v>0</v>
      </c>
      <c r="X527" s="469">
        <f t="shared" si="173"/>
        <v>0</v>
      </c>
      <c r="Y527" s="748"/>
      <c r="Z527" s="750"/>
      <c r="AA527" s="740"/>
    </row>
    <row r="528" spans="1:29" ht="18.75">
      <c r="A528" s="740"/>
      <c r="B528" s="201" t="str">
        <f>база!B49</f>
        <v>Мельникова Анна Юрьевна</v>
      </c>
      <c r="C528" s="743"/>
      <c r="D528" s="746"/>
      <c r="E528" s="366"/>
      <c r="F528" s="367"/>
      <c r="G528" s="377"/>
      <c r="H528" s="369">
        <f t="shared" si="170"/>
        <v>0</v>
      </c>
      <c r="I528" s="409"/>
      <c r="J528" s="410"/>
      <c r="K528" s="411"/>
      <c r="L528" s="461">
        <f t="shared" si="171"/>
        <v>0</v>
      </c>
      <c r="M528" s="411"/>
      <c r="N528" s="411"/>
      <c r="O528" s="411"/>
      <c r="P528" s="383"/>
      <c r="Q528" s="366">
        <f>база!$L$6</f>
        <v>261.04640000000001</v>
      </c>
      <c r="R528" s="367">
        <v>1.2</v>
      </c>
      <c r="S528" s="377">
        <f>SUMIFS(Таблица1[Столбец1],Таблица1[коэф],"1,2",Таблица1[р/р],"5/16",Таблица1[Ф. И. О.],B528)</f>
        <v>0</v>
      </c>
      <c r="T528" s="469">
        <f t="shared" si="172"/>
        <v>0</v>
      </c>
      <c r="U528" s="455">
        <f>база!$M$6</f>
        <v>279.0496</v>
      </c>
      <c r="V528" s="367">
        <v>1.2</v>
      </c>
      <c r="W528" s="389">
        <f>SUMIFS(Таблица1[Столбец1],Таблица1[коэф],"1,2",Таблица1[р/р],"5/24",Таблица1[Ф. И. О.],B528)</f>
        <v>0</v>
      </c>
      <c r="X528" s="469">
        <f t="shared" si="173"/>
        <v>0</v>
      </c>
      <c r="Y528" s="748"/>
      <c r="Z528" s="750"/>
      <c r="AA528" s="740"/>
      <c r="AC528" s="693" t="str">
        <f>IF(SUMIFS(Таблица1[Столбец3],Таблица1[Ф. И. О.],B528)-Z523=0,"",SUMIFS(Таблица1[Столбец3],Таблица1[Ф. И. О.],B528)-Z523)</f>
        <v/>
      </c>
    </row>
    <row r="529" spans="1:29" ht="18.75">
      <c r="A529" s="740"/>
      <c r="B529" s="201"/>
      <c r="C529" s="743"/>
      <c r="D529" s="746"/>
      <c r="E529" s="366"/>
      <c r="F529" s="367"/>
      <c r="G529" s="377"/>
      <c r="H529" s="369">
        <f t="shared" si="170"/>
        <v>0</v>
      </c>
      <c r="I529" s="409"/>
      <c r="J529" s="410"/>
      <c r="K529" s="411"/>
      <c r="L529" s="461">
        <f t="shared" si="171"/>
        <v>0</v>
      </c>
      <c r="M529" s="411"/>
      <c r="N529" s="411"/>
      <c r="O529" s="411"/>
      <c r="P529" s="383"/>
      <c r="Q529" s="366">
        <f>IF($D$6&lt;=3,база!$L$4,
IF($D$6=4,база!$L$5,
IF($D$6=5,база!$L$6)))</f>
        <v>231.45480000000001</v>
      </c>
      <c r="R529" s="367">
        <v>1.3</v>
      </c>
      <c r="S529" s="377">
        <f>SUMIFS(Таблица1[Столбец1],Таблица1[коэф],"1,3",Таблица1[р/р],"3/16",Таблица1[Ф. И. О.],B528)</f>
        <v>0</v>
      </c>
      <c r="T529" s="469">
        <f t="shared" si="172"/>
        <v>0</v>
      </c>
      <c r="U529" s="455">
        <f>IF(D523&lt;=3,база!$M$4,
IF(D523=4,база!$M$5,
IF(D523=5,база!$M$6)))</f>
        <v>225.09719999999999</v>
      </c>
      <c r="V529" s="367">
        <v>1.3</v>
      </c>
      <c r="W529" s="389">
        <f>SUMIFS(Таблица1[Столбец1],Таблица1[коэф],"1,3",Таблица1[р/р],"3/24",Таблица1[Ф. И. О.],B528)</f>
        <v>0</v>
      </c>
      <c r="X529" s="469">
        <f t="shared" si="173"/>
        <v>0</v>
      </c>
      <c r="Y529" s="748"/>
      <c r="Z529" s="750"/>
      <c r="AA529" s="740"/>
      <c r="AC529" s="693" t="str">
        <f>IF(SUMIFS(Таблица1[Столбец1],Таблица1[Ф. И. О.],B528)=Y523,"",B528&amp;"  часы не верны")</f>
        <v/>
      </c>
    </row>
    <row r="530" spans="1:29" ht="18.75">
      <c r="A530" s="740"/>
      <c r="B530" s="201"/>
      <c r="C530" s="743"/>
      <c r="D530" s="746"/>
      <c r="E530" s="366"/>
      <c r="F530" s="367"/>
      <c r="G530" s="377"/>
      <c r="H530" s="369">
        <f t="shared" si="170"/>
        <v>0</v>
      </c>
      <c r="I530" s="409"/>
      <c r="J530" s="410"/>
      <c r="K530" s="411"/>
      <c r="L530" s="461">
        <f t="shared" si="171"/>
        <v>0</v>
      </c>
      <c r="M530" s="411"/>
      <c r="N530" s="411"/>
      <c r="O530" s="411"/>
      <c r="P530" s="383"/>
      <c r="Q530" s="366">
        <f>база!$L$5</f>
        <v>231.45480000000001</v>
      </c>
      <c r="R530" s="367">
        <v>1.3</v>
      </c>
      <c r="S530" s="377">
        <f>SUMIFS(Таблица1[Столбец1],Таблица1[коэф],"1,3",Таблица1[р/р],"4/16",Таблица1[Ф. И. О.],B528)</f>
        <v>0</v>
      </c>
      <c r="T530" s="469">
        <f t="shared" si="172"/>
        <v>0</v>
      </c>
      <c r="U530" s="455">
        <f>база!$M$5</f>
        <v>247.41720000000001</v>
      </c>
      <c r="V530" s="367">
        <v>1.3</v>
      </c>
      <c r="W530" s="389">
        <f>SUMIFS(Таблица1[Столбец1],Таблица1[коэф],"1,3",Таблица1[р/р],"4/24",Таблица1[Ф. И. О.],B528)</f>
        <v>0</v>
      </c>
      <c r="X530" s="469">
        <f t="shared" si="173"/>
        <v>0</v>
      </c>
      <c r="Y530" s="748"/>
      <c r="Z530" s="750"/>
      <c r="AA530" s="740"/>
    </row>
    <row r="531" spans="1:29" ht="18.75">
      <c r="A531" s="740"/>
      <c r="B531" s="201"/>
      <c r="C531" s="743"/>
      <c r="D531" s="746"/>
      <c r="E531" s="366"/>
      <c r="F531" s="367"/>
      <c r="G531" s="377"/>
      <c r="H531" s="369">
        <f t="shared" si="170"/>
        <v>0</v>
      </c>
      <c r="I531" s="409"/>
      <c r="J531" s="410"/>
      <c r="K531" s="411"/>
      <c r="L531" s="461">
        <f t="shared" si="171"/>
        <v>0</v>
      </c>
      <c r="M531" s="411"/>
      <c r="N531" s="411"/>
      <c r="O531" s="411"/>
      <c r="P531" s="383"/>
      <c r="Q531" s="366">
        <f>IF(D523&lt;=3,база!$L$4,
IF(D523=4,база!$L$5,
IF(D523=5,база!$L$6)))</f>
        <v>210.57480000000001</v>
      </c>
      <c r="R531" s="367">
        <v>1.4</v>
      </c>
      <c r="S531" s="377">
        <f>SUMIFS(Таблица1[Столбец1],Таблица1[коэф],"1,4",Таблица1[р/р],"3/16",Таблица1[Ф. И. О.],B528)</f>
        <v>0</v>
      </c>
      <c r="T531" s="469">
        <f t="shared" si="172"/>
        <v>0</v>
      </c>
      <c r="U531" s="455">
        <f>IF(D523&lt;=3,база!$M$4,
IF(D523=4,база!$M$5,
IF(D523=5,база!$M$6)))</f>
        <v>225.09719999999999</v>
      </c>
      <c r="V531" s="367">
        <v>1.4</v>
      </c>
      <c r="W531" s="389">
        <f>SUMIFS(Таблица1[Столбец1],Таблица1[коэф],"1,4",Таблица1[р/р],"3/24",Таблица1[Ф. И. О.],B528)</f>
        <v>0</v>
      </c>
      <c r="X531" s="469">
        <f t="shared" si="173"/>
        <v>0</v>
      </c>
      <c r="Y531" s="748"/>
      <c r="Z531" s="750"/>
      <c r="AA531" s="740"/>
    </row>
    <row r="532" spans="1:29" ht="18.75">
      <c r="A532" s="740"/>
      <c r="B532" s="201"/>
      <c r="C532" s="743"/>
      <c r="D532" s="746"/>
      <c r="E532" s="366"/>
      <c r="F532" s="367"/>
      <c r="G532" s="377"/>
      <c r="H532" s="369">
        <f t="shared" si="170"/>
        <v>0</v>
      </c>
      <c r="I532" s="409"/>
      <c r="J532" s="410"/>
      <c r="K532" s="411"/>
      <c r="L532" s="461">
        <f t="shared" si="171"/>
        <v>0</v>
      </c>
      <c r="M532" s="411"/>
      <c r="N532" s="411"/>
      <c r="O532" s="411"/>
      <c r="P532" s="383"/>
      <c r="Q532" s="366">
        <f>база!$L$5</f>
        <v>231.45480000000001</v>
      </c>
      <c r="R532" s="367">
        <v>1.4</v>
      </c>
      <c r="S532" s="377">
        <f>SUMIFS(Таблица1[Столбец1],Таблица1[коэф],"1,4",Таблица1[р/р],"4/16",Таблица1[Ф. И. О.],B528)</f>
        <v>0</v>
      </c>
      <c r="T532" s="469">
        <f t="shared" si="172"/>
        <v>0</v>
      </c>
      <c r="U532" s="455">
        <f>база!$M$5</f>
        <v>247.41720000000001</v>
      </c>
      <c r="V532" s="367">
        <v>1.4</v>
      </c>
      <c r="W532" s="389">
        <f>SUMIFS(Таблица1[Столбец1],Таблица1[коэф],"1,4",Таблица1[р/р],"4/24",Таблица1[Ф. И. О.],B528)</f>
        <v>0</v>
      </c>
      <c r="X532" s="469">
        <f t="shared" si="173"/>
        <v>0</v>
      </c>
      <c r="Y532" s="748"/>
      <c r="Z532" s="750"/>
      <c r="AA532" s="740"/>
    </row>
    <row r="533" spans="1:29" ht="19.5" thickBot="1">
      <c r="A533" s="741"/>
      <c r="B533" s="188"/>
      <c r="C533" s="744"/>
      <c r="D533" s="747"/>
      <c r="E533" s="450"/>
      <c r="F533" s="441"/>
      <c r="G533" s="442"/>
      <c r="H533" s="445">
        <f t="shared" si="170"/>
        <v>0</v>
      </c>
      <c r="I533" s="443"/>
      <c r="J533" s="433"/>
      <c r="K533" s="434"/>
      <c r="L533" s="461">
        <f t="shared" si="171"/>
        <v>0</v>
      </c>
      <c r="M533" s="434"/>
      <c r="N533" s="434"/>
      <c r="O533" s="434"/>
      <c r="P533" s="453"/>
      <c r="Q533" s="450">
        <f>база!$L$6</f>
        <v>261.04640000000001</v>
      </c>
      <c r="R533" s="441">
        <v>1.4</v>
      </c>
      <c r="S533" s="442">
        <f>SUMIFS(Таблица1[Столбец1],Таблица1[коэф],"1,4",Таблица1[р/р],"5/16",Таблица1[Ф. И. О.],B528)</f>
        <v>0</v>
      </c>
      <c r="T533" s="469">
        <f t="shared" si="172"/>
        <v>0</v>
      </c>
      <c r="U533" s="457">
        <f>база!$M$6</f>
        <v>279.0496</v>
      </c>
      <c r="V533" s="441">
        <v>1.4</v>
      </c>
      <c r="W533" s="447">
        <f>SUMIFS(Таблица1[Столбец1],Таблица1[коэф],"1,4",Таблица1[р/р],"5/24",Таблица1[Ф. И. О.],B528)</f>
        <v>0</v>
      </c>
      <c r="X533" s="469">
        <f t="shared" si="173"/>
        <v>0</v>
      </c>
      <c r="Y533" s="749"/>
      <c r="Z533" s="751"/>
      <c r="AA533" s="741"/>
    </row>
    <row r="534" spans="1:29" ht="18.75">
      <c r="A534" s="739">
        <v>49</v>
      </c>
      <c r="B534" s="219"/>
      <c r="C534" s="742">
        <f>INDEX(база!$E$2:$E$81, MATCH(B539,база!$B$2:$B$60,0))</f>
        <v>14883</v>
      </c>
      <c r="D534" s="745">
        <f>INDEX(база!$D$2:$D$89, MATCH(B539,база!$B$2:$B$60,0))</f>
        <v>4</v>
      </c>
      <c r="E534" s="354">
        <f>IF(D534&lt;=3,база!$I$4,
IF(D534=4,база!$I$5,
IF(D534=5,база!$I$6)))</f>
        <v>207.5112</v>
      </c>
      <c r="F534" s="355">
        <v>1</v>
      </c>
      <c r="G534" s="364">
        <f>SUMIFS(Таблица1[Столбец1],Таблица1[коэф],"1",Таблица1[р/р],"2/4",Таблица1[Ф. И. О.],B539)</f>
        <v>0</v>
      </c>
      <c r="H534" s="379">
        <f t="shared" ref="H534:H544" si="176">ROUND(E534*F534*G534*2,2)</f>
        <v>0</v>
      </c>
      <c r="I534" s="403">
        <f>IF(D534&lt;=3,база!$J$4,
IF(D534=4,база!$J$5,
IF(D534=5,база!$J$6)))</f>
        <v>215.4924</v>
      </c>
      <c r="J534" s="404">
        <v>1</v>
      </c>
      <c r="K534" s="405">
        <f>SUMIFS(Таблица1[Столбец1],Таблица1[коэф],"1",Таблица1[р/р],"2/8",Таблица1[Ф. И. О.],B539)</f>
        <v>0</v>
      </c>
      <c r="L534" s="360">
        <f t="shared" ref="L534:L544" si="177">ROUND(I534*J534*K534*2,2)</f>
        <v>0</v>
      </c>
      <c r="M534" s="405"/>
      <c r="N534" s="405">
        <v>1</v>
      </c>
      <c r="O534" s="405">
        <f>SUMIFS(Data_Tech!$AM$3:$AM$67,Data_Tech!$E$3:$E$67,"1",Data_Tech!$G$3:$G$67,"3/12",Data_Tech!$F$3:$F$67,B539)</f>
        <v>0</v>
      </c>
      <c r="P534" s="362">
        <f>ROUND(M534*N534*O534,2)</f>
        <v>0</v>
      </c>
      <c r="Q534" s="354">
        <f>IF(D534&lt;=3,база!$L$4,
IF(D534=4,база!$L$5,
IF(D534=5,база!$L$6)))</f>
        <v>231.45480000000001</v>
      </c>
      <c r="R534" s="355">
        <v>1</v>
      </c>
      <c r="S534" s="364">
        <f>SUMIFS(Таблица1[Столбец1],Таблица1[коэф],"1",Таблица1[р/р],"3/16",Таблица1[Ф. И. О.],B539)</f>
        <v>0</v>
      </c>
      <c r="T534" s="467">
        <f t="shared" ref="T534:T544" si="178">ROUND(Q534*R534*S534*2,2)</f>
        <v>0</v>
      </c>
      <c r="U534" s="454">
        <f>IF(D534&lt;=3,база!$M$4,
IF(D534=4,база!$M$5,
IF(D534=5,база!$M$6)))</f>
        <v>247.41720000000001</v>
      </c>
      <c r="V534" s="355">
        <v>1</v>
      </c>
      <c r="W534" s="407">
        <f>SUMIFS(Таблица1[Столбец1],Таблица1[коэф],"1",Таблица1[р/р],"3/24",Таблица1[Ф. И. О.],B539)</f>
        <v>0</v>
      </c>
      <c r="X534" s="467">
        <f t="shared" ref="X534:X544" si="179">ROUND(U534*V534*W534*2,2)</f>
        <v>0</v>
      </c>
      <c r="Y534" s="748">
        <f t="shared" ref="Y534" si="180">SUM(G534:G544,K534:K544,O534:O544,S534:S544,W534:W544)</f>
        <v>0</v>
      </c>
      <c r="Z534" s="750">
        <f t="shared" ref="Z534" si="181">IFERROR(SUM(H534:H544,L534:L544,T534:T544,X534:X544),"")</f>
        <v>0</v>
      </c>
      <c r="AA534" s="740"/>
    </row>
    <row r="535" spans="1:29" ht="18.75">
      <c r="A535" s="740"/>
      <c r="B535" s="201"/>
      <c r="C535" s="743"/>
      <c r="D535" s="746"/>
      <c r="E535" s="366">
        <f>IF(D534&lt;=3,база!$I$4,
IF(D534=4,база!$I$5,
IF(D534=5,база!$I$6)))</f>
        <v>207.5112</v>
      </c>
      <c r="F535" s="367">
        <v>1</v>
      </c>
      <c r="G535" s="377">
        <f>SUMIFS(Таблица1[Столбец1],Таблица1[коэф],"1",Таблица1[р/р],"3/4",Таблица1[Ф. И. О.],B539)</f>
        <v>0</v>
      </c>
      <c r="H535" s="369">
        <f t="shared" si="176"/>
        <v>0</v>
      </c>
      <c r="I535" s="409">
        <f>IF(D534&lt;=3,база!$J$4,
IF(D534=4,база!$J$5,
IF(D534=5,база!$J$6)))</f>
        <v>215.4924</v>
      </c>
      <c r="J535" s="410">
        <v>1</v>
      </c>
      <c r="K535" s="411">
        <f>SUMIFS(Таблица1[Столбец1],Таблица1[коэф],"1",Таблица1[р/р],"3/8",Таблица1[Ф. И. О.],B539)</f>
        <v>0</v>
      </c>
      <c r="L535" s="461">
        <f t="shared" si="177"/>
        <v>0</v>
      </c>
      <c r="M535" s="411"/>
      <c r="N535" s="411">
        <v>1</v>
      </c>
      <c r="O535" s="411">
        <f>SUMIFS(Data_Tech!$AM$3:$AM$67,Data_Tech!$E$3:$E$67,"1",Data_Tech!$G$3:$G$67,"4/12",Data_Tech!$F$3:$F$67,B539)</f>
        <v>0</v>
      </c>
      <c r="P535" s="383">
        <f>ROUND(M535*O535,2)</f>
        <v>0</v>
      </c>
      <c r="Q535" s="366">
        <f>база!$L$5</f>
        <v>231.45480000000001</v>
      </c>
      <c r="R535" s="367">
        <v>1</v>
      </c>
      <c r="S535" s="377">
        <f>SUMIFS(Таблица1[Столбец1],Таблица1[коэф],"1",Таблица1[р/р],"4/16",Таблица1[Ф. И. О.],B539)</f>
        <v>0</v>
      </c>
      <c r="T535" s="469">
        <f t="shared" si="178"/>
        <v>0</v>
      </c>
      <c r="U535" s="455">
        <f>база!$M$5</f>
        <v>247.41720000000001</v>
      </c>
      <c r="V535" s="367">
        <v>1</v>
      </c>
      <c r="W535" s="389">
        <f>SUMIFS(Таблица1[Столбец1],Таблица1[коэф],"1",Таблица1[р/р],"4/24",Таблица1[Ф. И. О.],B539)</f>
        <v>0</v>
      </c>
      <c r="X535" s="469">
        <f t="shared" si="179"/>
        <v>0</v>
      </c>
      <c r="Y535" s="748"/>
      <c r="Z535" s="750"/>
      <c r="AA535" s="740"/>
    </row>
    <row r="536" spans="1:29" ht="18.75">
      <c r="A536" s="740"/>
      <c r="B536" s="201"/>
      <c r="C536" s="743"/>
      <c r="D536" s="746"/>
      <c r="E536" s="366"/>
      <c r="F536" s="367"/>
      <c r="G536" s="377"/>
      <c r="H536" s="369">
        <f t="shared" si="176"/>
        <v>0</v>
      </c>
      <c r="I536" s="409"/>
      <c r="J536" s="410"/>
      <c r="K536" s="411"/>
      <c r="L536" s="461">
        <f t="shared" si="177"/>
        <v>0</v>
      </c>
      <c r="M536" s="411"/>
      <c r="N536" s="411"/>
      <c r="O536" s="411"/>
      <c r="P536" s="383"/>
      <c r="Q536" s="366">
        <f>база!$L$6</f>
        <v>261.04640000000001</v>
      </c>
      <c r="R536" s="367">
        <v>1</v>
      </c>
      <c r="S536" s="377">
        <f>SUMIFS(Таблица1[Столбец1],Таблица1[коэф],"1",Таблица1[р/р],"5/16",Таблица1[Ф. И. О.],B539)</f>
        <v>0</v>
      </c>
      <c r="T536" s="469">
        <f t="shared" si="178"/>
        <v>0</v>
      </c>
      <c r="U536" s="455">
        <f>база!$M$6</f>
        <v>279.0496</v>
      </c>
      <c r="V536" s="367">
        <v>1</v>
      </c>
      <c r="W536" s="389">
        <f>SUMIFS(Таблица1[Столбец1],Таблица1[коэф],"1",Таблица1[р/р],"5/24",Таблица1[Ф. И. О.],B539)</f>
        <v>0</v>
      </c>
      <c r="X536" s="469">
        <f t="shared" si="179"/>
        <v>0</v>
      </c>
      <c r="Y536" s="748"/>
      <c r="Z536" s="750"/>
      <c r="AA536" s="740"/>
    </row>
    <row r="537" spans="1:29" ht="18.75">
      <c r="A537" s="740"/>
      <c r="B537" s="201"/>
      <c r="C537" s="743"/>
      <c r="D537" s="746"/>
      <c r="E537" s="366"/>
      <c r="F537" s="367"/>
      <c r="G537" s="377"/>
      <c r="H537" s="369">
        <f t="shared" si="176"/>
        <v>0</v>
      </c>
      <c r="I537" s="409">
        <f>база!$J$5</f>
        <v>215.4924</v>
      </c>
      <c r="J537" s="410">
        <v>1.5</v>
      </c>
      <c r="K537" s="411">
        <f>SUMIFS(Таблица1[Столбец1],Таблица1[коэф],"1,5",Таблица1[р/р],"4/8",Таблица1[Ф. И. О.],B539)</f>
        <v>0</v>
      </c>
      <c r="L537" s="461">
        <f t="shared" si="177"/>
        <v>0</v>
      </c>
      <c r="M537" s="411"/>
      <c r="N537" s="411"/>
      <c r="O537" s="411"/>
      <c r="P537" s="383"/>
      <c r="Q537" s="366">
        <f>IF(D534&lt;=3,база!$L$4,
IF(D534=4,база!$L$5,
IF(D534=5,база!$L$6)))</f>
        <v>231.45480000000001</v>
      </c>
      <c r="R537" s="367">
        <v>1.2</v>
      </c>
      <c r="S537" s="377">
        <f>SUMIFS(Таблица1[Столбец1],Таблица1[коэф],"1,2",Таблица1[р/р],"3/16",Таблица1[Ф. И. О.],B539)</f>
        <v>0</v>
      </c>
      <c r="T537" s="469">
        <f t="shared" si="178"/>
        <v>0</v>
      </c>
      <c r="U537" s="455">
        <f>IF(D534&lt;=3,база!$M$4,
IF(D534=4,база!$M$5,
IF(D534=5,база!$M$6)))</f>
        <v>247.41720000000001</v>
      </c>
      <c r="V537" s="367">
        <v>1.2</v>
      </c>
      <c r="W537" s="389">
        <f>SUMIFS(Таблица1[Столбец1],Таблица1[коэф],"1,2",Таблица1[р/р],"3/24",Таблица1[Ф. И. О.],B539)</f>
        <v>0</v>
      </c>
      <c r="X537" s="469">
        <f t="shared" si="179"/>
        <v>0</v>
      </c>
      <c r="Y537" s="748"/>
      <c r="Z537" s="750"/>
      <c r="AA537" s="740"/>
    </row>
    <row r="538" spans="1:29" ht="18.75">
      <c r="A538" s="740"/>
      <c r="B538" s="201"/>
      <c r="C538" s="743"/>
      <c r="D538" s="746"/>
      <c r="E538" s="366"/>
      <c r="F538" s="367"/>
      <c r="G538" s="377"/>
      <c r="H538" s="369">
        <f t="shared" si="176"/>
        <v>0</v>
      </c>
      <c r="I538" s="409">
        <f>база!$J$6</f>
        <v>243.04319999999998</v>
      </c>
      <c r="J538" s="410">
        <v>1.5</v>
      </c>
      <c r="K538" s="411">
        <f>SUMIFS(Таблица1[Столбец1],Таблица1[коэф],"1,5",Таблица1[р/р],"5/8",Таблица1[Ф. И. О.],B539)</f>
        <v>0</v>
      </c>
      <c r="L538" s="461">
        <f t="shared" si="177"/>
        <v>0</v>
      </c>
      <c r="M538" s="411"/>
      <c r="N538" s="411"/>
      <c r="O538" s="411"/>
      <c r="P538" s="383"/>
      <c r="Q538" s="366">
        <f>база!$L$5</f>
        <v>231.45480000000001</v>
      </c>
      <c r="R538" s="367">
        <v>1.2</v>
      </c>
      <c r="S538" s="377">
        <f>SUMIFS(Таблица1[Столбец1],Таблица1[коэф],"1,2",Таблица1[р/р],"4/16",Таблица1[Ф. И. О.],B539)</f>
        <v>0</v>
      </c>
      <c r="T538" s="469">
        <f t="shared" si="178"/>
        <v>0</v>
      </c>
      <c r="U538" s="455">
        <f>база!$M$5</f>
        <v>247.41720000000001</v>
      </c>
      <c r="V538" s="367">
        <v>1.2</v>
      </c>
      <c r="W538" s="389">
        <f>SUMIFS(Таблица1[Столбец1],Таблица1[коэф],"1,2",Таблица1[р/р],"4/24",Таблица1[Ф. И. О.],B539)</f>
        <v>0</v>
      </c>
      <c r="X538" s="469">
        <f t="shared" si="179"/>
        <v>0</v>
      </c>
      <c r="Y538" s="748"/>
      <c r="Z538" s="750"/>
      <c r="AA538" s="740"/>
    </row>
    <row r="539" spans="1:29" ht="18.75">
      <c r="A539" s="740"/>
      <c r="B539" s="201" t="str">
        <f>база!B50</f>
        <v>Минко Елена Анатольевна</v>
      </c>
      <c r="C539" s="743"/>
      <c r="D539" s="746"/>
      <c r="E539" s="366"/>
      <c r="F539" s="367"/>
      <c r="G539" s="377"/>
      <c r="H539" s="369">
        <f t="shared" si="176"/>
        <v>0</v>
      </c>
      <c r="I539" s="409"/>
      <c r="J539" s="410"/>
      <c r="K539" s="411"/>
      <c r="L539" s="461">
        <f t="shared" si="177"/>
        <v>0</v>
      </c>
      <c r="M539" s="411"/>
      <c r="N539" s="411"/>
      <c r="O539" s="411"/>
      <c r="P539" s="383"/>
      <c r="Q539" s="366">
        <f>база!$L$6</f>
        <v>261.04640000000001</v>
      </c>
      <c r="R539" s="367">
        <v>1.2</v>
      </c>
      <c r="S539" s="377">
        <f>SUMIFS(Таблица1[Столбец1],Таблица1[коэф],"1,2",Таблица1[р/р],"5/16",Таблица1[Ф. И. О.],B539)</f>
        <v>0</v>
      </c>
      <c r="T539" s="469">
        <f t="shared" si="178"/>
        <v>0</v>
      </c>
      <c r="U539" s="455">
        <f>база!$M$6</f>
        <v>279.0496</v>
      </c>
      <c r="V539" s="367">
        <v>1.2</v>
      </c>
      <c r="W539" s="389">
        <f>SUMIFS(Таблица1[Столбец1],Таблица1[коэф],"1,2",Таблица1[р/р],"5/24",Таблица1[Ф. И. О.],B539)</f>
        <v>0</v>
      </c>
      <c r="X539" s="469">
        <f t="shared" si="179"/>
        <v>0</v>
      </c>
      <c r="Y539" s="748"/>
      <c r="Z539" s="750"/>
      <c r="AA539" s="740"/>
      <c r="AC539" s="693" t="str">
        <f>IF(SUMIFS(Таблица1[Столбец3],Таблица1[Ф. И. О.],B539)-Z534=0,"",SUMIFS(Таблица1[Столбец3],Таблица1[Ф. И. О.],B539)-Z534)</f>
        <v/>
      </c>
    </row>
    <row r="540" spans="1:29" ht="18.75">
      <c r="A540" s="740"/>
      <c r="B540" s="201"/>
      <c r="C540" s="743"/>
      <c r="D540" s="746"/>
      <c r="E540" s="366"/>
      <c r="F540" s="367"/>
      <c r="G540" s="377"/>
      <c r="H540" s="369">
        <f t="shared" si="176"/>
        <v>0</v>
      </c>
      <c r="I540" s="409"/>
      <c r="J540" s="410"/>
      <c r="K540" s="411"/>
      <c r="L540" s="461">
        <f t="shared" si="177"/>
        <v>0</v>
      </c>
      <c r="M540" s="411"/>
      <c r="N540" s="411"/>
      <c r="O540" s="411"/>
      <c r="P540" s="383"/>
      <c r="Q540" s="366">
        <f>IF($D$6&lt;=3,база!$L$4,
IF($D$6=4,база!$L$5,
IF($D$6=5,база!$L$6)))</f>
        <v>231.45480000000001</v>
      </c>
      <c r="R540" s="367">
        <v>1.3</v>
      </c>
      <c r="S540" s="377">
        <f>SUMIFS(Таблица1[Столбец1],Таблица1[коэф],"1,3",Таблица1[р/р],"3/16",Таблица1[Ф. И. О.],B539)</f>
        <v>0</v>
      </c>
      <c r="T540" s="469">
        <f t="shared" si="178"/>
        <v>0</v>
      </c>
      <c r="U540" s="455">
        <f>IF(D534&lt;=3,база!$M$4,
IF(D534=4,база!$M$5,
IF(D534=5,база!$M$6)))</f>
        <v>247.41720000000001</v>
      </c>
      <c r="V540" s="367">
        <v>1.3</v>
      </c>
      <c r="W540" s="389">
        <f>SUMIFS(Таблица1[Столбец1],Таблица1[коэф],"1,3",Таблица1[р/р],"3/24",Таблица1[Ф. И. О.],B539)</f>
        <v>0</v>
      </c>
      <c r="X540" s="469">
        <f t="shared" si="179"/>
        <v>0</v>
      </c>
      <c r="Y540" s="748"/>
      <c r="Z540" s="750"/>
      <c r="AA540" s="740"/>
      <c r="AC540" s="693" t="str">
        <f>IF(SUMIFS(Таблица1[Столбец1],Таблица1[Ф. И. О.],B539)=Y534,"",B539&amp;"  часы не верны")</f>
        <v/>
      </c>
    </row>
    <row r="541" spans="1:29" ht="18.75">
      <c r="A541" s="740"/>
      <c r="B541" s="201"/>
      <c r="C541" s="743"/>
      <c r="D541" s="746"/>
      <c r="E541" s="366"/>
      <c r="F541" s="367"/>
      <c r="G541" s="377"/>
      <c r="H541" s="369">
        <f t="shared" si="176"/>
        <v>0</v>
      </c>
      <c r="I541" s="409"/>
      <c r="J541" s="410"/>
      <c r="K541" s="411"/>
      <c r="L541" s="461">
        <f t="shared" si="177"/>
        <v>0</v>
      </c>
      <c r="M541" s="411"/>
      <c r="N541" s="411"/>
      <c r="O541" s="411"/>
      <c r="P541" s="383"/>
      <c r="Q541" s="366">
        <f>база!$L$5</f>
        <v>231.45480000000001</v>
      </c>
      <c r="R541" s="367">
        <v>1.3</v>
      </c>
      <c r="S541" s="377">
        <f>SUMIFS(Таблица1[Столбец1],Таблица1[коэф],"1,3",Таблица1[р/р],"4/16",Таблица1[Ф. И. О.],B539)</f>
        <v>0</v>
      </c>
      <c r="T541" s="469">
        <f t="shared" si="178"/>
        <v>0</v>
      </c>
      <c r="U541" s="455">
        <f>база!$M$5</f>
        <v>247.41720000000001</v>
      </c>
      <c r="V541" s="367">
        <v>1.3</v>
      </c>
      <c r="W541" s="389">
        <f>SUMIFS(Таблица1[Столбец1],Таблица1[коэф],"1,3",Таблица1[р/р],"4/24",Таблица1[Ф. И. О.],B539)</f>
        <v>0</v>
      </c>
      <c r="X541" s="469">
        <f t="shared" si="179"/>
        <v>0</v>
      </c>
      <c r="Y541" s="748"/>
      <c r="Z541" s="750"/>
      <c r="AA541" s="740"/>
    </row>
    <row r="542" spans="1:29" ht="18.75">
      <c r="A542" s="740"/>
      <c r="B542" s="201"/>
      <c r="C542" s="743"/>
      <c r="D542" s="746"/>
      <c r="E542" s="366"/>
      <c r="F542" s="367"/>
      <c r="G542" s="377"/>
      <c r="H542" s="369">
        <f t="shared" si="176"/>
        <v>0</v>
      </c>
      <c r="I542" s="409"/>
      <c r="J542" s="410"/>
      <c r="K542" s="411"/>
      <c r="L542" s="461">
        <f t="shared" si="177"/>
        <v>0</v>
      </c>
      <c r="M542" s="411"/>
      <c r="N542" s="411"/>
      <c r="O542" s="411"/>
      <c r="P542" s="383"/>
      <c r="Q542" s="366">
        <f>IF(D534&lt;=3,база!$L$4,
IF(D534=4,база!$L$5,
IF(D534=5,база!$L$6)))</f>
        <v>231.45480000000001</v>
      </c>
      <c r="R542" s="367">
        <v>1.4</v>
      </c>
      <c r="S542" s="377">
        <f>SUMIFS(Таблица1[Столбец1],Таблица1[коэф],"1,4",Таблица1[р/р],"3/16",Таблица1[Ф. И. О.],B539)</f>
        <v>0</v>
      </c>
      <c r="T542" s="469">
        <f t="shared" si="178"/>
        <v>0</v>
      </c>
      <c r="U542" s="455">
        <f>IF(D534&lt;=3,база!$M$4,
IF(D534=4,база!$M$5,
IF(D534=5,база!$M$6)))</f>
        <v>247.41720000000001</v>
      </c>
      <c r="V542" s="367">
        <v>1.4</v>
      </c>
      <c r="W542" s="389">
        <f>SUMIFS(Таблица1[Столбец1],Таблица1[коэф],"1,4",Таблица1[р/р],"3/24",Таблица1[Ф. И. О.],B539)</f>
        <v>0</v>
      </c>
      <c r="X542" s="469">
        <f t="shared" si="179"/>
        <v>0</v>
      </c>
      <c r="Y542" s="748"/>
      <c r="Z542" s="750"/>
      <c r="AA542" s="740"/>
    </row>
    <row r="543" spans="1:29" ht="18.75">
      <c r="A543" s="740"/>
      <c r="B543" s="201"/>
      <c r="C543" s="743"/>
      <c r="D543" s="746"/>
      <c r="E543" s="366"/>
      <c r="F543" s="367"/>
      <c r="G543" s="377"/>
      <c r="H543" s="369">
        <f t="shared" si="176"/>
        <v>0</v>
      </c>
      <c r="I543" s="409"/>
      <c r="J543" s="410"/>
      <c r="K543" s="411"/>
      <c r="L543" s="461">
        <f t="shared" si="177"/>
        <v>0</v>
      </c>
      <c r="M543" s="411"/>
      <c r="N543" s="411"/>
      <c r="O543" s="411"/>
      <c r="P543" s="383"/>
      <c r="Q543" s="366">
        <f>база!$L$5</f>
        <v>231.45480000000001</v>
      </c>
      <c r="R543" s="367">
        <v>1.4</v>
      </c>
      <c r="S543" s="377">
        <f>SUMIFS(Таблица1[Столбец1],Таблица1[коэф],"1,4",Таблица1[р/р],"4/16",Таблица1[Ф. И. О.],B539)</f>
        <v>0</v>
      </c>
      <c r="T543" s="469">
        <f t="shared" si="178"/>
        <v>0</v>
      </c>
      <c r="U543" s="455">
        <f>база!$M$5</f>
        <v>247.41720000000001</v>
      </c>
      <c r="V543" s="367">
        <v>1.4</v>
      </c>
      <c r="W543" s="389">
        <f>SUMIFS(Таблица1[Столбец1],Таблица1[коэф],"1,4",Таблица1[р/р],"4/24",Таблица1[Ф. И. О.],B539)</f>
        <v>0</v>
      </c>
      <c r="X543" s="469">
        <f t="shared" si="179"/>
        <v>0</v>
      </c>
      <c r="Y543" s="748"/>
      <c r="Z543" s="750"/>
      <c r="AA543" s="740"/>
    </row>
    <row r="544" spans="1:29" ht="19.5" thickBot="1">
      <c r="A544" s="741"/>
      <c r="B544" s="188"/>
      <c r="C544" s="744"/>
      <c r="D544" s="747"/>
      <c r="E544" s="450"/>
      <c r="F544" s="441"/>
      <c r="G544" s="442"/>
      <c r="H544" s="417">
        <f t="shared" si="176"/>
        <v>0</v>
      </c>
      <c r="I544" s="443"/>
      <c r="J544" s="433"/>
      <c r="K544" s="434"/>
      <c r="L544" s="461">
        <f t="shared" si="177"/>
        <v>0</v>
      </c>
      <c r="M544" s="434"/>
      <c r="N544" s="434"/>
      <c r="O544" s="434"/>
      <c r="P544" s="453"/>
      <c r="Q544" s="450">
        <f>база!$L$6</f>
        <v>261.04640000000001</v>
      </c>
      <c r="R544" s="441">
        <v>1.4</v>
      </c>
      <c r="S544" s="442">
        <f>SUMIFS(Таблица1[Столбец1],Таблица1[коэф],"1,4",Таблица1[р/р],"5/16",Таблица1[Ф. И. О.],B539)</f>
        <v>0</v>
      </c>
      <c r="T544" s="469">
        <f t="shared" si="178"/>
        <v>0</v>
      </c>
      <c r="U544" s="457">
        <f>база!$M$6</f>
        <v>279.0496</v>
      </c>
      <c r="V544" s="441">
        <v>1.4</v>
      </c>
      <c r="W544" s="447">
        <f>SUMIFS(Таблица1[Столбец1],Таблица1[коэф],"1,4",Таблица1[р/р],"5/24",Таблица1[Ф. И. О.],B539)</f>
        <v>0</v>
      </c>
      <c r="X544" s="469">
        <f t="shared" si="179"/>
        <v>0</v>
      </c>
      <c r="Y544" s="749"/>
      <c r="Z544" s="751"/>
      <c r="AA544" s="741"/>
    </row>
    <row r="545" spans="1:29" ht="18.75">
      <c r="A545" s="739">
        <v>50</v>
      </c>
      <c r="B545" s="219"/>
      <c r="C545" s="742">
        <f>INDEX(база!$E$2:$E$81, MATCH(B550,база!$B$2:$B$60,0))</f>
        <v>17312</v>
      </c>
      <c r="D545" s="745">
        <f>INDEX(база!$D$2:$D$89, MATCH(B550,база!$B$2:$B$60,0))</f>
        <v>3</v>
      </c>
      <c r="E545" s="354">
        <f>IF(D545&lt;=3,база!$I$4,
IF(D545=4,база!$I$5,
IF(D545=5,база!$I$6)))</f>
        <v>188.7912</v>
      </c>
      <c r="F545" s="355">
        <v>1</v>
      </c>
      <c r="G545" s="364">
        <f>SUMIFS(Таблица1[Столбец1],Таблица1[коэф],"1",Таблица1[р/р],"2/4",Таблица1[Ф. И. О.],B550)</f>
        <v>0</v>
      </c>
      <c r="H545" s="357">
        <f t="shared" ref="H545:H555" si="182">ROUND(E545*F545*G545*2,2)</f>
        <v>0</v>
      </c>
      <c r="I545" s="403">
        <f>IF(D545&lt;=3,база!$J$4,
IF(D545=4,база!$J$5,
IF(D545=5,база!$J$6)))</f>
        <v>196.05240000000001</v>
      </c>
      <c r="J545" s="404">
        <v>1</v>
      </c>
      <c r="K545" s="405">
        <f>SUMIFS(Таблица1[Столбец1],Таблица1[коэф],"1",Таблица1[р/р],"2/8",Таблица1[Ф. И. О.],B550)</f>
        <v>0</v>
      </c>
      <c r="L545" s="360">
        <f t="shared" ref="L545:L555" si="183">ROUND(I545*J545*K545*2,2)</f>
        <v>0</v>
      </c>
      <c r="M545" s="405"/>
      <c r="N545" s="405">
        <v>1</v>
      </c>
      <c r="O545" s="405">
        <f>SUMIFS(Data_Tech!$AM$3:$AM$67,Data_Tech!$E$3:$E$67,"1",Data_Tech!$G$3:$G$67,"3/12",Data_Tech!$F$3:$F$67,B550)</f>
        <v>0</v>
      </c>
      <c r="P545" s="362">
        <f>ROUND(M545*N545*O545,2)</f>
        <v>0</v>
      </c>
      <c r="Q545" s="354">
        <f>IF(D545&lt;=3,база!$L$4,
IF(D545=4,база!$L$5,
IF(D545=5,база!$L$6)))</f>
        <v>210.57480000000001</v>
      </c>
      <c r="R545" s="355">
        <v>1</v>
      </c>
      <c r="S545" s="364">
        <f>SUMIFS(Таблица1[Столбец1],Таблица1[коэф],"1",Таблица1[р/р],"3/16",Таблица1[Ф. И. О.],B550)</f>
        <v>0</v>
      </c>
      <c r="T545" s="467">
        <f t="shared" ref="T545:T555" si="184">ROUND(Q545*R545*S545*2,2)</f>
        <v>0</v>
      </c>
      <c r="U545" s="454">
        <f>IF(D545&lt;=3,база!$M$4,
IF(D545=4,база!$M$5,
IF(D545=5,база!$M$6)))</f>
        <v>225.09719999999999</v>
      </c>
      <c r="V545" s="355">
        <v>1</v>
      </c>
      <c r="W545" s="407">
        <f>SUMIFS(Таблица1[Столбец1],Таблица1[коэф],"1",Таблица1[р/р],"3/24",Таблица1[Ф. И. О.],B550)</f>
        <v>0</v>
      </c>
      <c r="X545" s="467">
        <f t="shared" ref="X545:X555" si="185">ROUND(U545*V545*W545*2,2)</f>
        <v>0</v>
      </c>
      <c r="Y545" s="748">
        <f t="shared" ref="Y545" si="186">SUM(G545:G555,K545:K555,O545:O555,S545:S555,W545:W555)</f>
        <v>0</v>
      </c>
      <c r="Z545" s="750">
        <f t="shared" ref="Z545" si="187">IFERROR(SUM(H545:H555,L545:L555,T545:T555,X545:X555),"")</f>
        <v>0</v>
      </c>
      <c r="AA545" s="740"/>
    </row>
    <row r="546" spans="1:29" ht="18.75">
      <c r="A546" s="740"/>
      <c r="B546" s="201"/>
      <c r="C546" s="743"/>
      <c r="D546" s="746"/>
      <c r="E546" s="366">
        <f>IF(D545&lt;=3,база!$I$4,
IF(D545=4,база!$I$5,
IF(D545=5,база!$I$6)))</f>
        <v>188.7912</v>
      </c>
      <c r="F546" s="367">
        <v>1</v>
      </c>
      <c r="G546" s="377">
        <f>SUMIFS(Таблица1[Столбец1],Таблица1[коэф],"1",Таблица1[р/р],"3/4",Таблица1[Ф. И. О.],B550)</f>
        <v>0</v>
      </c>
      <c r="H546" s="369">
        <f t="shared" si="182"/>
        <v>0</v>
      </c>
      <c r="I546" s="409">
        <f>IF(D545&lt;=3,база!$J$4,
IF(D545=4,база!$J$5,
IF(D545=5,база!$J$6)))</f>
        <v>196.05240000000001</v>
      </c>
      <c r="J546" s="410">
        <v>1</v>
      </c>
      <c r="K546" s="411">
        <f>SUMIFS(Таблица1[Столбец1],Таблица1[коэф],"1",Таблица1[р/р],"3/8",Таблица1[Ф. И. О.],B550)</f>
        <v>0</v>
      </c>
      <c r="L546" s="461">
        <f t="shared" si="183"/>
        <v>0</v>
      </c>
      <c r="M546" s="411"/>
      <c r="N546" s="411">
        <v>1</v>
      </c>
      <c r="O546" s="411">
        <f>SUMIFS(Data_Tech!$AM$3:$AM$67,Data_Tech!$E$3:$E$67,"1",Data_Tech!$G$3:$G$67,"4/12",Data_Tech!$F$3:$F$67,B550)</f>
        <v>0</v>
      </c>
      <c r="P546" s="383">
        <f>ROUND(M546*O546,2)</f>
        <v>0</v>
      </c>
      <c r="Q546" s="366">
        <f>база!$L$5</f>
        <v>231.45480000000001</v>
      </c>
      <c r="R546" s="367">
        <v>1</v>
      </c>
      <c r="S546" s="377">
        <f>SUMIFS(Таблица1[Столбец1],Таблица1[коэф],"1",Таблица1[р/р],"4/16",Таблица1[Ф. И. О.],B550)</f>
        <v>0</v>
      </c>
      <c r="T546" s="469">
        <f t="shared" si="184"/>
        <v>0</v>
      </c>
      <c r="U546" s="455">
        <f>база!$M$5</f>
        <v>247.41720000000001</v>
      </c>
      <c r="V546" s="367">
        <v>1</v>
      </c>
      <c r="W546" s="389">
        <f>SUMIFS(Таблица1[Столбец1],Таблица1[коэф],"1",Таблица1[р/р],"4/24",Таблица1[Ф. И. О.],B550)</f>
        <v>0</v>
      </c>
      <c r="X546" s="469">
        <f t="shared" si="185"/>
        <v>0</v>
      </c>
      <c r="Y546" s="748"/>
      <c r="Z546" s="750"/>
      <c r="AA546" s="740"/>
    </row>
    <row r="547" spans="1:29" ht="18.75">
      <c r="A547" s="740"/>
      <c r="B547" s="201"/>
      <c r="C547" s="743"/>
      <c r="D547" s="746"/>
      <c r="E547" s="366"/>
      <c r="F547" s="367"/>
      <c r="G547" s="377"/>
      <c r="H547" s="369">
        <f t="shared" si="182"/>
        <v>0</v>
      </c>
      <c r="I547" s="409"/>
      <c r="J547" s="410"/>
      <c r="K547" s="411"/>
      <c r="L547" s="461">
        <f t="shared" si="183"/>
        <v>0</v>
      </c>
      <c r="M547" s="411"/>
      <c r="N547" s="411"/>
      <c r="O547" s="411"/>
      <c r="P547" s="383"/>
      <c r="Q547" s="366">
        <f>база!$L$6</f>
        <v>261.04640000000001</v>
      </c>
      <c r="R547" s="367">
        <v>1</v>
      </c>
      <c r="S547" s="377">
        <f>SUMIFS(Таблица1[Столбец1],Таблица1[коэф],"1",Таблица1[р/р],"5/16",Таблица1[Ф. И. О.],B550)</f>
        <v>0</v>
      </c>
      <c r="T547" s="469">
        <f t="shared" si="184"/>
        <v>0</v>
      </c>
      <c r="U547" s="455">
        <f>база!$M$6</f>
        <v>279.0496</v>
      </c>
      <c r="V547" s="367">
        <v>1</v>
      </c>
      <c r="W547" s="389">
        <f>SUMIFS(Таблица1[Столбец1],Таблица1[коэф],"1",Таблица1[р/р],"5/24",Таблица1[Ф. И. О.],B550)</f>
        <v>0</v>
      </c>
      <c r="X547" s="469">
        <f t="shared" si="185"/>
        <v>0</v>
      </c>
      <c r="Y547" s="748"/>
      <c r="Z547" s="750"/>
      <c r="AA547" s="740"/>
    </row>
    <row r="548" spans="1:29" ht="18.75">
      <c r="A548" s="740"/>
      <c r="B548" s="201"/>
      <c r="C548" s="743"/>
      <c r="D548" s="746"/>
      <c r="E548" s="366"/>
      <c r="F548" s="367"/>
      <c r="G548" s="377"/>
      <c r="H548" s="369">
        <f t="shared" si="182"/>
        <v>0</v>
      </c>
      <c r="I548" s="409">
        <f>база!$J$5</f>
        <v>215.4924</v>
      </c>
      <c r="J548" s="410">
        <v>1.5</v>
      </c>
      <c r="K548" s="411">
        <f>SUMIFS(Таблица1[Столбец1],Таблица1[коэф],"1,5",Таблица1[р/р],"4/8",Таблица1[Ф. И. О.],B550)</f>
        <v>0</v>
      </c>
      <c r="L548" s="461">
        <f t="shared" si="183"/>
        <v>0</v>
      </c>
      <c r="M548" s="411"/>
      <c r="N548" s="411"/>
      <c r="O548" s="411"/>
      <c r="P548" s="383"/>
      <c r="Q548" s="366">
        <f>IF(D545&lt;=3,база!$L$4,
IF(D545=4,база!$L$5,
IF(D545=5,база!$L$6)))</f>
        <v>210.57480000000001</v>
      </c>
      <c r="R548" s="367">
        <v>1.2</v>
      </c>
      <c r="S548" s="377">
        <f>SUMIFS(Таблица1[Столбец1],Таблица1[коэф],"1,2",Таблица1[р/р],"3/16",Таблица1[Ф. И. О.],B550)</f>
        <v>0</v>
      </c>
      <c r="T548" s="469">
        <f t="shared" si="184"/>
        <v>0</v>
      </c>
      <c r="U548" s="455">
        <f>IF(D545&lt;=3,база!$M$4,
IF(D545=4,база!$M$5,
IF(D545=5,база!$M$6)))</f>
        <v>225.09719999999999</v>
      </c>
      <c r="V548" s="367">
        <v>1.2</v>
      </c>
      <c r="W548" s="389">
        <f>SUMIFS(Таблица1[Столбец1],Таблица1[коэф],"1,2",Таблица1[р/р],"3/24",Таблица1[Ф. И. О.],B550)</f>
        <v>0</v>
      </c>
      <c r="X548" s="469">
        <f t="shared" si="185"/>
        <v>0</v>
      </c>
      <c r="Y548" s="748"/>
      <c r="Z548" s="750"/>
      <c r="AA548" s="740"/>
    </row>
    <row r="549" spans="1:29" ht="18.75">
      <c r="A549" s="740"/>
      <c r="B549" s="201"/>
      <c r="C549" s="743"/>
      <c r="D549" s="746"/>
      <c r="E549" s="366"/>
      <c r="F549" s="367"/>
      <c r="G549" s="377"/>
      <c r="H549" s="369">
        <f t="shared" si="182"/>
        <v>0</v>
      </c>
      <c r="I549" s="409">
        <f>база!$J$6</f>
        <v>243.04319999999998</v>
      </c>
      <c r="J549" s="410">
        <v>1.5</v>
      </c>
      <c r="K549" s="411">
        <f>SUMIFS(Таблица1[Столбец1],Таблица1[коэф],"1,5",Таблица1[р/р],"5/8",Таблица1[Ф. И. О.],B550)</f>
        <v>0</v>
      </c>
      <c r="L549" s="461">
        <f t="shared" si="183"/>
        <v>0</v>
      </c>
      <c r="M549" s="411"/>
      <c r="N549" s="411"/>
      <c r="O549" s="411"/>
      <c r="P549" s="383"/>
      <c r="Q549" s="366">
        <f>база!$L$5</f>
        <v>231.45480000000001</v>
      </c>
      <c r="R549" s="367">
        <v>1.2</v>
      </c>
      <c r="S549" s="377">
        <f>SUMIFS(Таблица1[Столбец1],Таблица1[коэф],"1,2",Таблица1[р/р],"4/16",Таблица1[Ф. И. О.],B550)</f>
        <v>0</v>
      </c>
      <c r="T549" s="469">
        <f t="shared" si="184"/>
        <v>0</v>
      </c>
      <c r="U549" s="455">
        <f>база!$M$5</f>
        <v>247.41720000000001</v>
      </c>
      <c r="V549" s="367">
        <v>1.2</v>
      </c>
      <c r="W549" s="389">
        <f>SUMIFS(Таблица1[Столбец1],Таблица1[коэф],"1,2",Таблица1[р/р],"4/24",Таблица1[Ф. И. О.],B550)</f>
        <v>0</v>
      </c>
      <c r="X549" s="469">
        <f t="shared" si="185"/>
        <v>0</v>
      </c>
      <c r="Y549" s="748"/>
      <c r="Z549" s="750"/>
      <c r="AA549" s="740"/>
    </row>
    <row r="550" spans="1:29" ht="18.75">
      <c r="A550" s="740"/>
      <c r="B550" s="201" t="str">
        <f>база!B51</f>
        <v>Михалочкина Наталья Ивановна</v>
      </c>
      <c r="C550" s="743"/>
      <c r="D550" s="746"/>
      <c r="E550" s="366"/>
      <c r="F550" s="367"/>
      <c r="G550" s="377"/>
      <c r="H550" s="369">
        <f t="shared" si="182"/>
        <v>0</v>
      </c>
      <c r="I550" s="409"/>
      <c r="J550" s="410"/>
      <c r="K550" s="411"/>
      <c r="L550" s="461">
        <f t="shared" si="183"/>
        <v>0</v>
      </c>
      <c r="M550" s="411"/>
      <c r="N550" s="411"/>
      <c r="O550" s="411"/>
      <c r="P550" s="383"/>
      <c r="Q550" s="366">
        <f>база!$L$6</f>
        <v>261.04640000000001</v>
      </c>
      <c r="R550" s="367">
        <v>1.2</v>
      </c>
      <c r="S550" s="377">
        <f>SUMIFS(Таблица1[Столбец1],Таблица1[коэф],"1,2",Таблица1[р/р],"5/16",Таблица1[Ф. И. О.],B550)</f>
        <v>0</v>
      </c>
      <c r="T550" s="469">
        <f t="shared" si="184"/>
        <v>0</v>
      </c>
      <c r="U550" s="455">
        <f>база!$M$6</f>
        <v>279.0496</v>
      </c>
      <c r="V550" s="367">
        <v>1.2</v>
      </c>
      <c r="W550" s="389">
        <f>SUMIFS(Таблица1[Столбец1],Таблица1[коэф],"1,2",Таблица1[р/р],"5/24",Таблица1[Ф. И. О.],B550)</f>
        <v>0</v>
      </c>
      <c r="X550" s="469">
        <f t="shared" si="185"/>
        <v>0</v>
      </c>
      <c r="Y550" s="748"/>
      <c r="Z550" s="750"/>
      <c r="AA550" s="740"/>
      <c r="AC550" s="693" t="str">
        <f>IF(SUMIFS(Таблица1[Столбец3],Таблица1[Ф. И. О.],B550)-Z545=0,"",SUMIFS(Таблица1[Столбец3],Таблица1[Ф. И. О.],B550)-Z545)</f>
        <v/>
      </c>
    </row>
    <row r="551" spans="1:29" ht="18.75">
      <c r="A551" s="740"/>
      <c r="B551" s="201"/>
      <c r="C551" s="743"/>
      <c r="D551" s="746"/>
      <c r="E551" s="366"/>
      <c r="F551" s="367"/>
      <c r="G551" s="377"/>
      <c r="H551" s="369">
        <f t="shared" si="182"/>
        <v>0</v>
      </c>
      <c r="I551" s="409"/>
      <c r="J551" s="410"/>
      <c r="K551" s="411"/>
      <c r="L551" s="461">
        <f t="shared" si="183"/>
        <v>0</v>
      </c>
      <c r="M551" s="411"/>
      <c r="N551" s="411"/>
      <c r="O551" s="411"/>
      <c r="P551" s="383"/>
      <c r="Q551" s="366">
        <f>IF($D$6&lt;=3,база!$L$4,
IF($D$6=4,база!$L$5,
IF($D$6=5,база!$L$6)))</f>
        <v>231.45480000000001</v>
      </c>
      <c r="R551" s="367">
        <v>1.3</v>
      </c>
      <c r="S551" s="377">
        <f>SUMIFS(Таблица1[Столбец1],Таблица1[коэф],"1,3",Таблица1[р/р],"3/16",Таблица1[Ф. И. О.],B550)</f>
        <v>0</v>
      </c>
      <c r="T551" s="469">
        <f t="shared" si="184"/>
        <v>0</v>
      </c>
      <c r="U551" s="455">
        <f>IF(D545&lt;=3,база!$M$4,
IF(D545=4,база!$M$5,
IF(D545=5,база!$M$6)))</f>
        <v>225.09719999999999</v>
      </c>
      <c r="V551" s="367">
        <v>1.3</v>
      </c>
      <c r="W551" s="389">
        <f>SUMIFS(Таблица1[Столбец1],Таблица1[коэф],"1,3",Таблица1[р/р],"3/24",Таблица1[Ф. И. О.],B550)</f>
        <v>0</v>
      </c>
      <c r="X551" s="469">
        <f t="shared" si="185"/>
        <v>0</v>
      </c>
      <c r="Y551" s="748"/>
      <c r="Z551" s="750"/>
      <c r="AA551" s="740"/>
      <c r="AC551" s="693" t="str">
        <f>IF(SUMIFS(Таблица1[Столбец1],Таблица1[Ф. И. О.],B550)=Y545,"",B550&amp;"  часы не верны")</f>
        <v/>
      </c>
    </row>
    <row r="552" spans="1:29" ht="18.75">
      <c r="A552" s="740"/>
      <c r="B552" s="201"/>
      <c r="C552" s="743"/>
      <c r="D552" s="746"/>
      <c r="E552" s="366"/>
      <c r="F552" s="367"/>
      <c r="G552" s="377"/>
      <c r="H552" s="369">
        <f t="shared" si="182"/>
        <v>0</v>
      </c>
      <c r="I552" s="409"/>
      <c r="J552" s="410"/>
      <c r="K552" s="411"/>
      <c r="L552" s="461">
        <f t="shared" si="183"/>
        <v>0</v>
      </c>
      <c r="M552" s="411"/>
      <c r="N552" s="411"/>
      <c r="O552" s="411"/>
      <c r="P552" s="383"/>
      <c r="Q552" s="366">
        <f>база!$L$5</f>
        <v>231.45480000000001</v>
      </c>
      <c r="R552" s="367">
        <v>1.3</v>
      </c>
      <c r="S552" s="377">
        <f>SUMIFS(Таблица1[Столбец1],Таблица1[коэф],"1,3",Таблица1[р/р],"4/16",Таблица1[Ф. И. О.],B550)</f>
        <v>0</v>
      </c>
      <c r="T552" s="469">
        <f t="shared" si="184"/>
        <v>0</v>
      </c>
      <c r="U552" s="455">
        <f>база!$M$5</f>
        <v>247.41720000000001</v>
      </c>
      <c r="V552" s="367">
        <v>1.3</v>
      </c>
      <c r="W552" s="389">
        <f>SUMIFS(Таблица1[Столбец1],Таблица1[коэф],"1,3",Таблица1[р/р],"4/24",Таблица1[Ф. И. О.],B550)</f>
        <v>0</v>
      </c>
      <c r="X552" s="469">
        <f t="shared" si="185"/>
        <v>0</v>
      </c>
      <c r="Y552" s="748"/>
      <c r="Z552" s="750"/>
      <c r="AA552" s="740"/>
    </row>
    <row r="553" spans="1:29" ht="18.75">
      <c r="A553" s="740"/>
      <c r="B553" s="201"/>
      <c r="C553" s="743"/>
      <c r="D553" s="746"/>
      <c r="E553" s="366"/>
      <c r="F553" s="367"/>
      <c r="G553" s="377"/>
      <c r="H553" s="369">
        <f t="shared" si="182"/>
        <v>0</v>
      </c>
      <c r="I553" s="409"/>
      <c r="J553" s="410"/>
      <c r="K553" s="411"/>
      <c r="L553" s="461">
        <f t="shared" si="183"/>
        <v>0</v>
      </c>
      <c r="M553" s="411"/>
      <c r="N553" s="411"/>
      <c r="O553" s="411"/>
      <c r="P553" s="383"/>
      <c r="Q553" s="366">
        <f>IF(D545&lt;=3,база!$L$4,
IF(D545=4,база!$L$5,
IF(D545=5,база!$L$6)))</f>
        <v>210.57480000000001</v>
      </c>
      <c r="R553" s="367">
        <v>1.4</v>
      </c>
      <c r="S553" s="377">
        <f>SUMIFS(Таблица1[Столбец1],Таблица1[коэф],"1,4",Таблица1[р/р],"3/16",Таблица1[Ф. И. О.],B550)</f>
        <v>0</v>
      </c>
      <c r="T553" s="469">
        <f t="shared" si="184"/>
        <v>0</v>
      </c>
      <c r="U553" s="455">
        <f>IF(D545&lt;=3,база!$M$4,
IF(D545=4,база!$M$5,
IF(D545=5,база!$M$6)))</f>
        <v>225.09719999999999</v>
      </c>
      <c r="V553" s="367">
        <v>1.4</v>
      </c>
      <c r="W553" s="389">
        <f>SUMIFS(Таблица1[Столбец1],Таблица1[коэф],"1,4",Таблица1[р/р],"3/24",Таблица1[Ф. И. О.],B550)</f>
        <v>0</v>
      </c>
      <c r="X553" s="469">
        <f t="shared" si="185"/>
        <v>0</v>
      </c>
      <c r="Y553" s="748"/>
      <c r="Z553" s="750"/>
      <c r="AA553" s="740"/>
    </row>
    <row r="554" spans="1:29" ht="18.75">
      <c r="A554" s="740"/>
      <c r="B554" s="201"/>
      <c r="C554" s="743"/>
      <c r="D554" s="746"/>
      <c r="E554" s="366"/>
      <c r="F554" s="367"/>
      <c r="G554" s="377"/>
      <c r="H554" s="369">
        <f t="shared" si="182"/>
        <v>0</v>
      </c>
      <c r="I554" s="409"/>
      <c r="J554" s="410"/>
      <c r="K554" s="411"/>
      <c r="L554" s="461">
        <f t="shared" si="183"/>
        <v>0</v>
      </c>
      <c r="M554" s="411"/>
      <c r="N554" s="411"/>
      <c r="O554" s="411"/>
      <c r="P554" s="383"/>
      <c r="Q554" s="366">
        <f>база!$L$5</f>
        <v>231.45480000000001</v>
      </c>
      <c r="R554" s="367">
        <v>1.4</v>
      </c>
      <c r="S554" s="377">
        <f>SUMIFS(Таблица1[Столбец1],Таблица1[коэф],"1,4",Таблица1[р/р],"4/16",Таблица1[Ф. И. О.],B550)</f>
        <v>0</v>
      </c>
      <c r="T554" s="469">
        <f t="shared" si="184"/>
        <v>0</v>
      </c>
      <c r="U554" s="455">
        <f>база!$M$5</f>
        <v>247.41720000000001</v>
      </c>
      <c r="V554" s="367">
        <v>1.4</v>
      </c>
      <c r="W554" s="389">
        <f>SUMIFS(Таблица1[Столбец1],Таблица1[коэф],"1,4",Таблица1[р/р],"4/24",Таблица1[Ф. И. О.],B550)</f>
        <v>0</v>
      </c>
      <c r="X554" s="469">
        <f t="shared" si="185"/>
        <v>0</v>
      </c>
      <c r="Y554" s="748"/>
      <c r="Z554" s="750"/>
      <c r="AA554" s="740"/>
    </row>
    <row r="555" spans="1:29" ht="19.5" thickBot="1">
      <c r="A555" s="741"/>
      <c r="B555" s="188"/>
      <c r="C555" s="744"/>
      <c r="D555" s="747"/>
      <c r="E555" s="450"/>
      <c r="F555" s="441"/>
      <c r="G555" s="442"/>
      <c r="H555" s="417">
        <f t="shared" si="182"/>
        <v>0</v>
      </c>
      <c r="I555" s="443"/>
      <c r="J555" s="433"/>
      <c r="K555" s="434"/>
      <c r="L555" s="461">
        <f t="shared" si="183"/>
        <v>0</v>
      </c>
      <c r="M555" s="434"/>
      <c r="N555" s="434"/>
      <c r="O555" s="434"/>
      <c r="P555" s="453"/>
      <c r="Q555" s="450">
        <f>база!$L$6</f>
        <v>261.04640000000001</v>
      </c>
      <c r="R555" s="441">
        <v>1.4</v>
      </c>
      <c r="S555" s="442">
        <f>SUMIFS(Таблица1[Столбец1],Таблица1[коэф],"1,4",Таблица1[р/р],"5/16",Таблица1[Ф. И. О.],B550)</f>
        <v>0</v>
      </c>
      <c r="T555" s="469">
        <f t="shared" si="184"/>
        <v>0</v>
      </c>
      <c r="U555" s="457">
        <f>база!$M$6</f>
        <v>279.0496</v>
      </c>
      <c r="V555" s="441">
        <v>1.4</v>
      </c>
      <c r="W555" s="447">
        <f>SUMIFS(Таблица1[Столбец1],Таблица1[коэф],"1,4",Таблица1[р/р],"5/24",Таблица1[Ф. И. О.],B550)</f>
        <v>0</v>
      </c>
      <c r="X555" s="469">
        <f t="shared" si="185"/>
        <v>0</v>
      </c>
      <c r="Y555" s="749"/>
      <c r="Z555" s="751"/>
      <c r="AA555" s="741"/>
    </row>
    <row r="556" spans="1:29" ht="18.75">
      <c r="A556" s="739">
        <v>51</v>
      </c>
      <c r="B556" s="219"/>
      <c r="C556" s="742">
        <f>INDEX(база!$E$2:$E$81, MATCH(B561,база!$B$2:$B$60,0))</f>
        <v>15239</v>
      </c>
      <c r="D556" s="745">
        <f>INDEX(база!$D$2:$D$89, MATCH(B561,база!$B$2:$B$60,0))</f>
        <v>3</v>
      </c>
      <c r="E556" s="354">
        <f>IF(D556&lt;=3,база!$I$4,
IF(D556=4,база!$I$5,
IF(D556=5,база!$I$6)))</f>
        <v>188.7912</v>
      </c>
      <c r="F556" s="355">
        <v>1</v>
      </c>
      <c r="G556" s="364">
        <f>SUMIFS(Таблица1[Столбец1],Таблица1[коэф],"1",Таблица1[р/р],"2/4",Таблица1[Ф. И. О.],B561)</f>
        <v>0</v>
      </c>
      <c r="H556" s="357">
        <f t="shared" ref="H556:H566" si="188">ROUND(E556*F556*G556*2,2)</f>
        <v>0</v>
      </c>
      <c r="I556" s="403">
        <f>IF(D556&lt;=3,база!$J$4,
IF(D556=4,база!$J$5,
IF(D556=5,база!$J$6)))</f>
        <v>196.05240000000001</v>
      </c>
      <c r="J556" s="404">
        <v>1</v>
      </c>
      <c r="K556" s="405">
        <f>SUMIFS(Таблица1[Столбец1],Таблица1[коэф],"1",Таблица1[р/р],"2/8",Таблица1[Ф. И. О.],B561)</f>
        <v>0</v>
      </c>
      <c r="L556" s="360">
        <f t="shared" ref="L556:L566" si="189">ROUND(I556*J556*K556*2,2)</f>
        <v>0</v>
      </c>
      <c r="M556" s="405"/>
      <c r="N556" s="405">
        <v>1</v>
      </c>
      <c r="O556" s="405">
        <f>SUMIFS(Data_Tech!$AM$3:$AM$67,Data_Tech!$E$3:$E$67,"1",Data_Tech!$G$3:$G$67,"3/12",Data_Tech!$F$3:$F$67,B561)</f>
        <v>0</v>
      </c>
      <c r="P556" s="362">
        <f>ROUND(M556*N556*O556,2)</f>
        <v>0</v>
      </c>
      <c r="Q556" s="354">
        <f>IF(D556&lt;=3,база!$L$4,
IF(D556=4,база!$L$5,
IF(D556=5,база!$L$6)))</f>
        <v>210.57480000000001</v>
      </c>
      <c r="R556" s="355">
        <v>1</v>
      </c>
      <c r="S556" s="364">
        <f>SUMIFS(Таблица1[Столбец1],Таблица1[коэф],"1",Таблица1[р/р],"3/16",Таблица1[Ф. И. О.],B561)</f>
        <v>0</v>
      </c>
      <c r="T556" s="467">
        <f t="shared" ref="T556:T566" si="190">ROUND(Q556*R556*S556*2,2)</f>
        <v>0</v>
      </c>
      <c r="U556" s="454">
        <f>IF(D556&lt;=3,база!$M$4,
IF(D556=4,база!$M$5,
IF(D556=5,база!$M$6)))</f>
        <v>225.09719999999999</v>
      </c>
      <c r="V556" s="355">
        <v>1</v>
      </c>
      <c r="W556" s="407">
        <f>SUMIFS(Таблица1[Столбец1],Таблица1[коэф],"1",Таблица1[р/р],"3/24",Таблица1[Ф. И. О.],B561)</f>
        <v>0</v>
      </c>
      <c r="X556" s="467">
        <f t="shared" ref="X556:X566" si="191">ROUND(U556*V556*W556*2,2)</f>
        <v>0</v>
      </c>
      <c r="Y556" s="748">
        <f t="shared" ref="Y556" si="192">SUM(G556:G566,K556:K566,O556:O566,S556:S566,W556:W566)</f>
        <v>0</v>
      </c>
      <c r="Z556" s="750">
        <f t="shared" ref="Z556" si="193">IFERROR(SUM(H556:H566,L556:L566,T556:T566,X556:X566),"")</f>
        <v>0</v>
      </c>
      <c r="AA556" s="740"/>
    </row>
    <row r="557" spans="1:29" ht="18.75">
      <c r="A557" s="740"/>
      <c r="B557" s="201"/>
      <c r="C557" s="743"/>
      <c r="D557" s="746"/>
      <c r="E557" s="366">
        <f>IF(D556&lt;=3,база!$I$4,
IF(D556=4,база!$I$5,
IF(D556=5,база!$I$6)))</f>
        <v>188.7912</v>
      </c>
      <c r="F557" s="367">
        <v>1</v>
      </c>
      <c r="G557" s="377">
        <f>SUMIFS(Таблица1[Столбец1],Таблица1[коэф],"1",Таблица1[р/р],"3/4",Таблица1[Ф. И. О.],B561)</f>
        <v>0</v>
      </c>
      <c r="H557" s="369">
        <f t="shared" si="188"/>
        <v>0</v>
      </c>
      <c r="I557" s="409">
        <f>IF(D556&lt;=3,база!$J$4,
IF(D556=4,база!$J$5,
IF(D556=5,база!$J$6)))</f>
        <v>196.05240000000001</v>
      </c>
      <c r="J557" s="410">
        <v>1</v>
      </c>
      <c r="K557" s="411">
        <f>SUMIFS(Таблица1[Столбец1],Таблица1[коэф],"1",Таблица1[р/р],"3/8",Таблица1[Ф. И. О.],B561)</f>
        <v>0</v>
      </c>
      <c r="L557" s="461">
        <f t="shared" si="189"/>
        <v>0</v>
      </c>
      <c r="M557" s="411"/>
      <c r="N557" s="411">
        <v>1</v>
      </c>
      <c r="O557" s="411">
        <f>SUMIFS(Data_Tech!$AM$3:$AM$67,Data_Tech!$E$3:$E$67,"1",Data_Tech!$G$3:$G$67,"4/12",Data_Tech!$F$3:$F$67,B561)</f>
        <v>0</v>
      </c>
      <c r="P557" s="383">
        <f>ROUND(M557*O557,2)</f>
        <v>0</v>
      </c>
      <c r="Q557" s="366">
        <f>база!$L$5</f>
        <v>231.45480000000001</v>
      </c>
      <c r="R557" s="367">
        <v>1</v>
      </c>
      <c r="S557" s="377">
        <f>SUMIFS(Таблица1[Столбец1],Таблица1[коэф],"1",Таблица1[р/р],"4/16",Таблица1[Ф. И. О.],B561)</f>
        <v>0</v>
      </c>
      <c r="T557" s="469">
        <f t="shared" si="190"/>
        <v>0</v>
      </c>
      <c r="U557" s="455">
        <f>база!$M$5</f>
        <v>247.41720000000001</v>
      </c>
      <c r="V557" s="367">
        <v>1</v>
      </c>
      <c r="W557" s="389">
        <f>SUMIFS(Таблица1[Столбец1],Таблица1[коэф],"1",Таблица1[р/р],"4/24",Таблица1[Ф. И. О.],B561)</f>
        <v>0</v>
      </c>
      <c r="X557" s="469">
        <f t="shared" si="191"/>
        <v>0</v>
      </c>
      <c r="Y557" s="748"/>
      <c r="Z557" s="750"/>
      <c r="AA557" s="740"/>
    </row>
    <row r="558" spans="1:29" ht="18.75">
      <c r="A558" s="740"/>
      <c r="B558" s="201"/>
      <c r="C558" s="743"/>
      <c r="D558" s="746"/>
      <c r="E558" s="366"/>
      <c r="F558" s="367"/>
      <c r="G558" s="377"/>
      <c r="H558" s="369">
        <f t="shared" si="188"/>
        <v>0</v>
      </c>
      <c r="I558" s="409"/>
      <c r="J558" s="410"/>
      <c r="K558" s="411"/>
      <c r="L558" s="461">
        <f t="shared" si="189"/>
        <v>0</v>
      </c>
      <c r="M558" s="411"/>
      <c r="N558" s="411"/>
      <c r="O558" s="411"/>
      <c r="P558" s="383"/>
      <c r="Q558" s="366">
        <f>база!$L$6</f>
        <v>261.04640000000001</v>
      </c>
      <c r="R558" s="367">
        <v>1</v>
      </c>
      <c r="S558" s="377">
        <f>SUMIFS(Таблица1[Столбец1],Таблица1[коэф],"1",Таблица1[р/р],"5/16",Таблица1[Ф. И. О.],B561)</f>
        <v>0</v>
      </c>
      <c r="T558" s="469">
        <f t="shared" si="190"/>
        <v>0</v>
      </c>
      <c r="U558" s="455">
        <f>база!$M$6</f>
        <v>279.0496</v>
      </c>
      <c r="V558" s="367">
        <v>1</v>
      </c>
      <c r="W558" s="389">
        <f>SUMIFS(Таблица1[Столбец1],Таблица1[коэф],"1",Таблица1[р/р],"5/24",Таблица1[Ф. И. О.],B561)</f>
        <v>0</v>
      </c>
      <c r="X558" s="469">
        <f t="shared" si="191"/>
        <v>0</v>
      </c>
      <c r="Y558" s="748"/>
      <c r="Z558" s="750"/>
      <c r="AA558" s="740"/>
    </row>
    <row r="559" spans="1:29" ht="18.75">
      <c r="A559" s="740"/>
      <c r="B559" s="201"/>
      <c r="C559" s="743"/>
      <c r="D559" s="746"/>
      <c r="E559" s="366"/>
      <c r="F559" s="367"/>
      <c r="G559" s="377"/>
      <c r="H559" s="369">
        <f t="shared" si="188"/>
        <v>0</v>
      </c>
      <c r="I559" s="409">
        <f>база!$J$5</f>
        <v>215.4924</v>
      </c>
      <c r="J559" s="410">
        <v>1.5</v>
      </c>
      <c r="K559" s="411">
        <f>SUMIFS(Таблица1[Столбец1],Таблица1[коэф],"1,5",Таблица1[р/р],"4/8",Таблица1[Ф. И. О.],B561)</f>
        <v>0</v>
      </c>
      <c r="L559" s="461">
        <f t="shared" si="189"/>
        <v>0</v>
      </c>
      <c r="M559" s="411"/>
      <c r="N559" s="411"/>
      <c r="O559" s="411"/>
      <c r="P559" s="383"/>
      <c r="Q559" s="366">
        <f>IF(D556&lt;=3,база!$L$4,
IF(D556=4,база!$L$5,
IF(D556=5,база!$L$6)))</f>
        <v>210.57480000000001</v>
      </c>
      <c r="R559" s="367">
        <v>1.2</v>
      </c>
      <c r="S559" s="377">
        <f>SUMIFS(Таблица1[Столбец1],Таблица1[коэф],"1,2",Таблица1[р/р],"3/16",Таблица1[Ф. И. О.],B561)</f>
        <v>0</v>
      </c>
      <c r="T559" s="469">
        <f t="shared" si="190"/>
        <v>0</v>
      </c>
      <c r="U559" s="455">
        <f>IF(D556&lt;=3,база!$M$4,
IF(D556=4,база!$M$5,
IF(D556=5,база!$M$6)))</f>
        <v>225.09719999999999</v>
      </c>
      <c r="V559" s="367">
        <v>1.2</v>
      </c>
      <c r="W559" s="389">
        <f>SUMIFS(Таблица1[Столбец1],Таблица1[коэф],"1,2",Таблица1[р/р],"3/24",Таблица1[Ф. И. О.],B561)</f>
        <v>0</v>
      </c>
      <c r="X559" s="469">
        <f t="shared" si="191"/>
        <v>0</v>
      </c>
      <c r="Y559" s="748"/>
      <c r="Z559" s="750"/>
      <c r="AA559" s="740"/>
    </row>
    <row r="560" spans="1:29" ht="18.75">
      <c r="A560" s="740"/>
      <c r="B560" s="201"/>
      <c r="C560" s="743"/>
      <c r="D560" s="746"/>
      <c r="E560" s="366"/>
      <c r="F560" s="367"/>
      <c r="G560" s="377"/>
      <c r="H560" s="369">
        <f t="shared" si="188"/>
        <v>0</v>
      </c>
      <c r="I560" s="409">
        <f>база!$J$6</f>
        <v>243.04319999999998</v>
      </c>
      <c r="J560" s="410">
        <v>1.5</v>
      </c>
      <c r="K560" s="411">
        <f>SUMIFS(Таблица1[Столбец1],Таблица1[коэф],"1,5",Таблица1[р/р],"5/8",Таблица1[Ф. И. О.],B561)</f>
        <v>0</v>
      </c>
      <c r="L560" s="461">
        <f t="shared" si="189"/>
        <v>0</v>
      </c>
      <c r="M560" s="411"/>
      <c r="N560" s="411"/>
      <c r="O560" s="411"/>
      <c r="P560" s="383"/>
      <c r="Q560" s="366">
        <f>база!$L$5</f>
        <v>231.45480000000001</v>
      </c>
      <c r="R560" s="367">
        <v>1.2</v>
      </c>
      <c r="S560" s="377">
        <f>SUMIFS(Таблица1[Столбец1],Таблица1[коэф],"1,2",Таблица1[р/р],"4/16",Таблица1[Ф. И. О.],B561)</f>
        <v>0</v>
      </c>
      <c r="T560" s="469">
        <f t="shared" si="190"/>
        <v>0</v>
      </c>
      <c r="U560" s="455">
        <f>база!$M$5</f>
        <v>247.41720000000001</v>
      </c>
      <c r="V560" s="367">
        <v>1.2</v>
      </c>
      <c r="W560" s="389">
        <f>SUMIFS(Таблица1[Столбец1],Таблица1[коэф],"1,2",Таблица1[р/р],"4/24",Таблица1[Ф. И. О.],B561)</f>
        <v>0</v>
      </c>
      <c r="X560" s="469">
        <f t="shared" si="191"/>
        <v>0</v>
      </c>
      <c r="Y560" s="748"/>
      <c r="Z560" s="750"/>
      <c r="AA560" s="740"/>
    </row>
    <row r="561" spans="1:29" ht="18.75">
      <c r="A561" s="740"/>
      <c r="B561" s="201" t="str">
        <f>база!B52</f>
        <v>Михно Татьяна Николаевна</v>
      </c>
      <c r="C561" s="743"/>
      <c r="D561" s="746"/>
      <c r="E561" s="366"/>
      <c r="F561" s="367"/>
      <c r="G561" s="377"/>
      <c r="H561" s="369">
        <f t="shared" si="188"/>
        <v>0</v>
      </c>
      <c r="I561" s="409"/>
      <c r="J561" s="410"/>
      <c r="K561" s="411"/>
      <c r="L561" s="461">
        <f t="shared" si="189"/>
        <v>0</v>
      </c>
      <c r="M561" s="411"/>
      <c r="N561" s="411"/>
      <c r="O561" s="411"/>
      <c r="P561" s="383"/>
      <c r="Q561" s="366">
        <f>база!$L$6</f>
        <v>261.04640000000001</v>
      </c>
      <c r="R561" s="367">
        <v>1.2</v>
      </c>
      <c r="S561" s="377">
        <f>SUMIFS(Таблица1[Столбец1],Таблица1[коэф],"1,2",Таблица1[р/р],"5/16",Таблица1[Ф. И. О.],B561)</f>
        <v>0</v>
      </c>
      <c r="T561" s="469">
        <f t="shared" si="190"/>
        <v>0</v>
      </c>
      <c r="U561" s="455">
        <f>база!$M$6</f>
        <v>279.0496</v>
      </c>
      <c r="V561" s="367">
        <v>1.2</v>
      </c>
      <c r="W561" s="389">
        <f>SUMIFS(Таблица1[Столбец1],Таблица1[коэф],"1,2",Таблица1[р/р],"5/24",Таблица1[Ф. И. О.],B561)</f>
        <v>0</v>
      </c>
      <c r="X561" s="469">
        <f t="shared" si="191"/>
        <v>0</v>
      </c>
      <c r="Y561" s="748"/>
      <c r="Z561" s="750"/>
      <c r="AA561" s="740"/>
      <c r="AC561" s="693" t="str">
        <f>IF(SUMIFS(Таблица1[Столбец3],Таблица1[Ф. И. О.],B561)-Z556=0,"",SUMIFS(Таблица1[Столбец3],Таблица1[Ф. И. О.],B561)-Z556)</f>
        <v/>
      </c>
    </row>
    <row r="562" spans="1:29" ht="18.75">
      <c r="A562" s="740"/>
      <c r="B562" s="201"/>
      <c r="C562" s="743"/>
      <c r="D562" s="746"/>
      <c r="E562" s="366"/>
      <c r="F562" s="367"/>
      <c r="G562" s="377"/>
      <c r="H562" s="369">
        <f t="shared" si="188"/>
        <v>0</v>
      </c>
      <c r="I562" s="409"/>
      <c r="J562" s="410"/>
      <c r="K562" s="411"/>
      <c r="L562" s="461">
        <f t="shared" si="189"/>
        <v>0</v>
      </c>
      <c r="M562" s="411"/>
      <c r="N562" s="411"/>
      <c r="O562" s="411"/>
      <c r="P562" s="383"/>
      <c r="Q562" s="366">
        <f>IF($D$6&lt;=3,база!$L$4,
IF($D$6=4,база!$L$5,
IF($D$6=5,база!$L$6)))</f>
        <v>231.45480000000001</v>
      </c>
      <c r="R562" s="367">
        <v>1.3</v>
      </c>
      <c r="S562" s="377">
        <f>SUMIFS(Таблица1[Столбец1],Таблица1[коэф],"1,3",Таблица1[р/р],"3/16",Таблица1[Ф. И. О.],B561)</f>
        <v>0</v>
      </c>
      <c r="T562" s="469">
        <f t="shared" si="190"/>
        <v>0</v>
      </c>
      <c r="U562" s="455">
        <f>IF(D556&lt;=3,база!$M$4,
IF(D556=4,база!$M$5,
IF(D556=5,база!$M$6)))</f>
        <v>225.09719999999999</v>
      </c>
      <c r="V562" s="367">
        <v>1.3</v>
      </c>
      <c r="W562" s="389">
        <f>SUMIFS(Таблица1[Столбец1],Таблица1[коэф],"1,3",Таблица1[р/р],"3/24",Таблица1[Ф. И. О.],B561)</f>
        <v>0</v>
      </c>
      <c r="X562" s="469">
        <f t="shared" si="191"/>
        <v>0</v>
      </c>
      <c r="Y562" s="748"/>
      <c r="Z562" s="750"/>
      <c r="AA562" s="740"/>
      <c r="AC562" s="693" t="str">
        <f>IF(SUMIFS(Таблица1[Столбец1],Таблица1[Ф. И. О.],B561)=Y556,"",B561&amp;"  часы не верны")</f>
        <v/>
      </c>
    </row>
    <row r="563" spans="1:29" ht="18.75">
      <c r="A563" s="740"/>
      <c r="B563" s="201"/>
      <c r="C563" s="743"/>
      <c r="D563" s="746"/>
      <c r="E563" s="366"/>
      <c r="F563" s="367"/>
      <c r="G563" s="377"/>
      <c r="H563" s="369">
        <f t="shared" si="188"/>
        <v>0</v>
      </c>
      <c r="I563" s="409"/>
      <c r="J563" s="410"/>
      <c r="K563" s="411"/>
      <c r="L563" s="461">
        <f t="shared" si="189"/>
        <v>0</v>
      </c>
      <c r="M563" s="411"/>
      <c r="N563" s="411"/>
      <c r="O563" s="411"/>
      <c r="P563" s="383"/>
      <c r="Q563" s="366">
        <f>база!$L$5</f>
        <v>231.45480000000001</v>
      </c>
      <c r="R563" s="367">
        <v>1.3</v>
      </c>
      <c r="S563" s="377">
        <f>SUMIFS(Таблица1[Столбец1],Таблица1[коэф],"1,3",Таблица1[р/р],"4/16",Таблица1[Ф. И. О.],B561)</f>
        <v>0</v>
      </c>
      <c r="T563" s="469">
        <f t="shared" si="190"/>
        <v>0</v>
      </c>
      <c r="U563" s="455">
        <f>база!$M$5</f>
        <v>247.41720000000001</v>
      </c>
      <c r="V563" s="367">
        <v>1.3</v>
      </c>
      <c r="W563" s="389">
        <f>SUMIFS(Таблица1[Столбец1],Таблица1[коэф],"1,3",Таблица1[р/р],"4/24",Таблица1[Ф. И. О.],B561)</f>
        <v>0</v>
      </c>
      <c r="X563" s="469">
        <f t="shared" si="191"/>
        <v>0</v>
      </c>
      <c r="Y563" s="748"/>
      <c r="Z563" s="750"/>
      <c r="AA563" s="740"/>
    </row>
    <row r="564" spans="1:29" ht="18.75">
      <c r="A564" s="740"/>
      <c r="B564" s="201"/>
      <c r="C564" s="743"/>
      <c r="D564" s="746"/>
      <c r="E564" s="366"/>
      <c r="F564" s="367"/>
      <c r="G564" s="377"/>
      <c r="H564" s="369">
        <f t="shared" si="188"/>
        <v>0</v>
      </c>
      <c r="I564" s="409"/>
      <c r="J564" s="410"/>
      <c r="K564" s="411"/>
      <c r="L564" s="461">
        <f t="shared" si="189"/>
        <v>0</v>
      </c>
      <c r="M564" s="411"/>
      <c r="N564" s="411"/>
      <c r="O564" s="411"/>
      <c r="P564" s="383"/>
      <c r="Q564" s="366">
        <f>IF(D556&lt;=3,база!$L$4,
IF(D556=4,база!$L$5,
IF(D556=5,база!$L$6)))</f>
        <v>210.57480000000001</v>
      </c>
      <c r="R564" s="367">
        <v>1.4</v>
      </c>
      <c r="S564" s="377">
        <f>SUMIFS(Таблица1[Столбец1],Таблица1[коэф],"1,4",Таблица1[р/р],"3/16",Таблица1[Ф. И. О.],B561)</f>
        <v>0</v>
      </c>
      <c r="T564" s="469">
        <f t="shared" si="190"/>
        <v>0</v>
      </c>
      <c r="U564" s="455">
        <f>IF(D556&lt;=3,база!$M$4,
IF(D556=4,база!$M$5,
IF(D556=5,база!$M$6)))</f>
        <v>225.09719999999999</v>
      </c>
      <c r="V564" s="367">
        <v>1.4</v>
      </c>
      <c r="W564" s="389">
        <f>SUMIFS(Таблица1[Столбец1],Таблица1[коэф],"1,4",Таблица1[р/р],"3/24",Таблица1[Ф. И. О.],B561)</f>
        <v>0</v>
      </c>
      <c r="X564" s="469">
        <f t="shared" si="191"/>
        <v>0</v>
      </c>
      <c r="Y564" s="748"/>
      <c r="Z564" s="750"/>
      <c r="AA564" s="740"/>
    </row>
    <row r="565" spans="1:29" ht="18.75">
      <c r="A565" s="740"/>
      <c r="B565" s="201"/>
      <c r="C565" s="743"/>
      <c r="D565" s="746"/>
      <c r="E565" s="366"/>
      <c r="F565" s="367"/>
      <c r="G565" s="377"/>
      <c r="H565" s="369">
        <f t="shared" si="188"/>
        <v>0</v>
      </c>
      <c r="I565" s="409"/>
      <c r="J565" s="410"/>
      <c r="K565" s="411"/>
      <c r="L565" s="461">
        <f t="shared" si="189"/>
        <v>0</v>
      </c>
      <c r="M565" s="411"/>
      <c r="N565" s="411"/>
      <c r="O565" s="411"/>
      <c r="P565" s="383"/>
      <c r="Q565" s="366">
        <f>база!$L$5</f>
        <v>231.45480000000001</v>
      </c>
      <c r="R565" s="367">
        <v>1.4</v>
      </c>
      <c r="S565" s="377">
        <f>SUMIFS(Таблица1[Столбец1],Таблица1[коэф],"1,4",Таблица1[р/р],"4/16",Таблица1[Ф. И. О.],B561)</f>
        <v>0</v>
      </c>
      <c r="T565" s="469">
        <f t="shared" si="190"/>
        <v>0</v>
      </c>
      <c r="U565" s="455">
        <f>база!$M$5</f>
        <v>247.41720000000001</v>
      </c>
      <c r="V565" s="367">
        <v>1.4</v>
      </c>
      <c r="W565" s="389">
        <f>SUMIFS(Таблица1[Столбец1],Таблица1[коэф],"1,4",Таблица1[р/р],"4/24",Таблица1[Ф. И. О.],B561)</f>
        <v>0</v>
      </c>
      <c r="X565" s="469">
        <f t="shared" si="191"/>
        <v>0</v>
      </c>
      <c r="Y565" s="748"/>
      <c r="Z565" s="750"/>
      <c r="AA565" s="740"/>
    </row>
    <row r="566" spans="1:29" ht="19.5" thickBot="1">
      <c r="A566" s="741"/>
      <c r="B566" s="188"/>
      <c r="C566" s="744"/>
      <c r="D566" s="747"/>
      <c r="E566" s="450"/>
      <c r="F566" s="441"/>
      <c r="G566" s="442"/>
      <c r="H566" s="445">
        <f t="shared" si="188"/>
        <v>0</v>
      </c>
      <c r="I566" s="443"/>
      <c r="J566" s="433"/>
      <c r="K566" s="434"/>
      <c r="L566" s="461">
        <f t="shared" si="189"/>
        <v>0</v>
      </c>
      <c r="M566" s="434"/>
      <c r="N566" s="434"/>
      <c r="O566" s="434"/>
      <c r="P566" s="453"/>
      <c r="Q566" s="450">
        <f>база!$L$6</f>
        <v>261.04640000000001</v>
      </c>
      <c r="R566" s="441">
        <v>1.4</v>
      </c>
      <c r="S566" s="442">
        <f>SUMIFS(Таблица1[Столбец1],Таблица1[коэф],"1,4",Таблица1[р/р],"5/16",Таблица1[Ф. И. О.],B561)</f>
        <v>0</v>
      </c>
      <c r="T566" s="469">
        <f t="shared" si="190"/>
        <v>0</v>
      </c>
      <c r="U566" s="457">
        <f>база!$M$6</f>
        <v>279.0496</v>
      </c>
      <c r="V566" s="441">
        <v>1.4</v>
      </c>
      <c r="W566" s="447">
        <f>SUMIFS(Таблица1[Столбец1],Таблица1[коэф],"1,4",Таблица1[р/р],"5/24",Таблица1[Ф. И. О.],B561)</f>
        <v>0</v>
      </c>
      <c r="X566" s="469">
        <f t="shared" si="191"/>
        <v>0</v>
      </c>
      <c r="Y566" s="749"/>
      <c r="Z566" s="751"/>
      <c r="AA566" s="741"/>
    </row>
    <row r="567" spans="1:29" ht="18.75">
      <c r="A567" s="739">
        <v>52</v>
      </c>
      <c r="B567" s="219"/>
      <c r="C567" s="742">
        <f>INDEX(база!$E$2:$E$81, MATCH(B572,база!$B$2:$B$60,0))</f>
        <v>15041</v>
      </c>
      <c r="D567" s="745">
        <f>INDEX(база!$D$2:$D$89, MATCH(B572,база!$B$2:$B$60,0))</f>
        <v>3</v>
      </c>
      <c r="E567" s="354">
        <f>IF(D567&lt;=3,база!$I$4,
IF(D567=4,база!$I$5,
IF(D567=5,база!$I$6)))</f>
        <v>188.7912</v>
      </c>
      <c r="F567" s="355">
        <v>1</v>
      </c>
      <c r="G567" s="364">
        <f>SUMIFS(Таблица1[Столбец1],Таблица1[коэф],"1",Таблица1[р/р],"2/4",Таблица1[Ф. И. О.],B572)</f>
        <v>0</v>
      </c>
      <c r="H567" s="379">
        <f t="shared" ref="H567:H577" si="194">ROUND(E567*F567*G567*2,2)</f>
        <v>0</v>
      </c>
      <c r="I567" s="403">
        <f>IF(D567&lt;=3,база!$J$4,
IF(D567=4,база!$J$5,
IF(D567=5,база!$J$6)))</f>
        <v>196.05240000000001</v>
      </c>
      <c r="J567" s="404">
        <v>1</v>
      </c>
      <c r="K567" s="405">
        <f>SUMIFS(Таблица1[Столбец1],Таблица1[коэф],"1",Таблица1[р/р],"2/8",Таблица1[Ф. И. О.],B572)</f>
        <v>0</v>
      </c>
      <c r="L567" s="360">
        <f t="shared" ref="L567:L577" si="195">ROUND(I567*J567*K567*2,2)</f>
        <v>0</v>
      </c>
      <c r="M567" s="405"/>
      <c r="N567" s="405">
        <v>1</v>
      </c>
      <c r="O567" s="405">
        <f>SUMIFS(Data_Tech!$AM$3:$AM$67,Data_Tech!$E$3:$E$67,"1",Data_Tech!$G$3:$G$67,"3/12",Data_Tech!$F$3:$F$67,B572)</f>
        <v>0</v>
      </c>
      <c r="P567" s="362">
        <f>ROUND(M567*N567*O567,2)</f>
        <v>0</v>
      </c>
      <c r="Q567" s="354">
        <f>IF(D567&lt;=3,база!$L$4,
IF(D567=4,база!$L$5,
IF(D567=5,база!$L$6)))</f>
        <v>210.57480000000001</v>
      </c>
      <c r="R567" s="355">
        <v>1</v>
      </c>
      <c r="S567" s="364">
        <f>SUMIFS(Таблица1[Столбец1],Таблица1[коэф],"1",Таблица1[р/р],"3/16",Таблица1[Ф. И. О.],B572)</f>
        <v>0</v>
      </c>
      <c r="T567" s="467">
        <f t="shared" ref="T567:T577" si="196">ROUND(Q567*R567*S567*2,2)</f>
        <v>0</v>
      </c>
      <c r="U567" s="454">
        <f>IF(D567&lt;=3,база!$M$4,
IF(D567=4,база!$M$5,
IF(D567=5,база!$M$6)))</f>
        <v>225.09719999999999</v>
      </c>
      <c r="V567" s="355">
        <v>1</v>
      </c>
      <c r="W567" s="407">
        <f>SUMIFS(Таблица1[Столбец1],Таблица1[коэф],"1",Таблица1[р/р],"3/24",Таблица1[Ф. И. О.],B572)</f>
        <v>0</v>
      </c>
      <c r="X567" s="467">
        <f t="shared" ref="X567:X577" si="197">ROUND(U567*V567*W567*2,2)</f>
        <v>0</v>
      </c>
      <c r="Y567" s="748">
        <f t="shared" ref="Y567" si="198">SUM(G567:G577,K567:K577,O567:O577,S567:S577,W567:W577)</f>
        <v>0</v>
      </c>
      <c r="Z567" s="750">
        <f t="shared" ref="Z567" si="199">IFERROR(SUM(H567:H577,L567:L577,T567:T577,X567:X577),"")</f>
        <v>0</v>
      </c>
      <c r="AA567" s="740"/>
    </row>
    <row r="568" spans="1:29" ht="18.75">
      <c r="A568" s="740"/>
      <c r="B568" s="201"/>
      <c r="C568" s="743"/>
      <c r="D568" s="746"/>
      <c r="E568" s="366">
        <f>IF(D567&lt;=3,база!$I$4,
IF(D567=4,база!$I$5,
IF(D567=5,база!$I$6)))</f>
        <v>188.7912</v>
      </c>
      <c r="F568" s="367">
        <v>1</v>
      </c>
      <c r="G568" s="377">
        <f>SUMIFS(Таблица1[Столбец1],Таблица1[коэф],"1",Таблица1[р/р],"3/4",Таблица1[Ф. И. О.],B572)</f>
        <v>0</v>
      </c>
      <c r="H568" s="369">
        <f t="shared" si="194"/>
        <v>0</v>
      </c>
      <c r="I568" s="409">
        <f>IF(D567&lt;=3,база!$J$4,
IF(D567=4,база!$J$5,
IF(D567=5,база!$J$6)))</f>
        <v>196.05240000000001</v>
      </c>
      <c r="J568" s="410">
        <v>1</v>
      </c>
      <c r="K568" s="411">
        <f>SUMIFS(Таблица1[Столбец1],Таблица1[коэф],"1",Таблица1[р/р],"3/8",Таблица1[Ф. И. О.],B572)</f>
        <v>0</v>
      </c>
      <c r="L568" s="461">
        <f t="shared" si="195"/>
        <v>0</v>
      </c>
      <c r="M568" s="411"/>
      <c r="N568" s="411">
        <v>1</v>
      </c>
      <c r="O568" s="411">
        <f>SUMIFS(Data_Tech!$AM$3:$AM$67,Data_Tech!$E$3:$E$67,"1",Data_Tech!$G$3:$G$67,"4/12",Data_Tech!$F$3:$F$67,B572)</f>
        <v>0</v>
      </c>
      <c r="P568" s="383">
        <f>ROUND(M568*O568,2)</f>
        <v>0</v>
      </c>
      <c r="Q568" s="366">
        <f>база!$L$5</f>
        <v>231.45480000000001</v>
      </c>
      <c r="R568" s="367">
        <v>1</v>
      </c>
      <c r="S568" s="377">
        <f>SUMIFS(Таблица1[Столбец1],Таблица1[коэф],"1",Таблица1[р/р],"4/16",Таблица1[Ф. И. О.],B572)</f>
        <v>0</v>
      </c>
      <c r="T568" s="469">
        <f t="shared" si="196"/>
        <v>0</v>
      </c>
      <c r="U568" s="455">
        <f>база!$M$5</f>
        <v>247.41720000000001</v>
      </c>
      <c r="V568" s="367">
        <v>1</v>
      </c>
      <c r="W568" s="389">
        <f>SUMIFS(Таблица1[Столбец1],Таблица1[коэф],"1",Таблица1[р/р],"4/24",Таблица1[Ф. И. О.],B572)</f>
        <v>0</v>
      </c>
      <c r="X568" s="469">
        <f t="shared" si="197"/>
        <v>0</v>
      </c>
      <c r="Y568" s="748"/>
      <c r="Z568" s="750"/>
      <c r="AA568" s="740"/>
    </row>
    <row r="569" spans="1:29" ht="18.75">
      <c r="A569" s="740"/>
      <c r="B569" s="201"/>
      <c r="C569" s="743"/>
      <c r="D569" s="746"/>
      <c r="E569" s="366"/>
      <c r="F569" s="367"/>
      <c r="G569" s="377"/>
      <c r="H569" s="369">
        <f t="shared" si="194"/>
        <v>0</v>
      </c>
      <c r="I569" s="409"/>
      <c r="J569" s="410"/>
      <c r="K569" s="411"/>
      <c r="L569" s="461">
        <f t="shared" si="195"/>
        <v>0</v>
      </c>
      <c r="M569" s="411"/>
      <c r="N569" s="411"/>
      <c r="O569" s="411"/>
      <c r="P569" s="383"/>
      <c r="Q569" s="366">
        <f>база!$L$6</f>
        <v>261.04640000000001</v>
      </c>
      <c r="R569" s="367">
        <v>1</v>
      </c>
      <c r="S569" s="377">
        <f>SUMIFS(Таблица1[Столбец1],Таблица1[коэф],"1",Таблица1[р/р],"5/16",Таблица1[Ф. И. О.],B572)</f>
        <v>0</v>
      </c>
      <c r="T569" s="469">
        <f t="shared" si="196"/>
        <v>0</v>
      </c>
      <c r="U569" s="455">
        <f>база!$M$6</f>
        <v>279.0496</v>
      </c>
      <c r="V569" s="367">
        <v>1</v>
      </c>
      <c r="W569" s="389">
        <f>SUMIFS(Таблица1[Столбец1],Таблица1[коэф],"1",Таблица1[р/р],"5/24",Таблица1[Ф. И. О.],B572)</f>
        <v>0</v>
      </c>
      <c r="X569" s="469">
        <f t="shared" si="197"/>
        <v>0</v>
      </c>
      <c r="Y569" s="748"/>
      <c r="Z569" s="750"/>
      <c r="AA569" s="740"/>
    </row>
    <row r="570" spans="1:29" ht="18.75">
      <c r="A570" s="740"/>
      <c r="B570" s="201"/>
      <c r="C570" s="743"/>
      <c r="D570" s="746"/>
      <c r="E570" s="366"/>
      <c r="F570" s="367"/>
      <c r="G570" s="377"/>
      <c r="H570" s="369">
        <f t="shared" si="194"/>
        <v>0</v>
      </c>
      <c r="I570" s="409">
        <f>база!$J$5</f>
        <v>215.4924</v>
      </c>
      <c r="J570" s="410">
        <v>1.5</v>
      </c>
      <c r="K570" s="411">
        <f>SUMIFS(Таблица1[Столбец1],Таблица1[коэф],"1,5",Таблица1[р/р],"4/8",Таблица1[Ф. И. О.],B572)</f>
        <v>0</v>
      </c>
      <c r="L570" s="461">
        <f t="shared" si="195"/>
        <v>0</v>
      </c>
      <c r="M570" s="411"/>
      <c r="N570" s="411"/>
      <c r="O570" s="411"/>
      <c r="P570" s="383"/>
      <c r="Q570" s="366">
        <f>IF(D567&lt;=3,база!$L$4,
IF(D567=4,база!$L$5,
IF(D567=5,база!$L$6)))</f>
        <v>210.57480000000001</v>
      </c>
      <c r="R570" s="367">
        <v>1.2</v>
      </c>
      <c r="S570" s="377">
        <f>SUMIFS(Таблица1[Столбец1],Таблица1[коэф],"1,2",Таблица1[р/р],"3/16",Таблица1[Ф. И. О.],B572)</f>
        <v>0</v>
      </c>
      <c r="T570" s="469">
        <f t="shared" si="196"/>
        <v>0</v>
      </c>
      <c r="U570" s="455">
        <f>IF(D567&lt;=3,база!$M$4,
IF(D567=4,база!$M$5,
IF(D567=5,база!$M$6)))</f>
        <v>225.09719999999999</v>
      </c>
      <c r="V570" s="367">
        <v>1.2</v>
      </c>
      <c r="W570" s="389">
        <f>SUMIFS(Таблица1[Столбец1],Таблица1[коэф],"1,2",Таблица1[р/р],"3/24",Таблица1[Ф. И. О.],B572)</f>
        <v>0</v>
      </c>
      <c r="X570" s="469">
        <f t="shared" si="197"/>
        <v>0</v>
      </c>
      <c r="Y570" s="748"/>
      <c r="Z570" s="750"/>
      <c r="AA570" s="740"/>
    </row>
    <row r="571" spans="1:29" ht="18.75">
      <c r="A571" s="740"/>
      <c r="B571" s="201"/>
      <c r="C571" s="743"/>
      <c r="D571" s="746"/>
      <c r="E571" s="366"/>
      <c r="F571" s="367"/>
      <c r="G571" s="377"/>
      <c r="H571" s="369">
        <f t="shared" si="194"/>
        <v>0</v>
      </c>
      <c r="I571" s="409">
        <f>база!$J$6</f>
        <v>243.04319999999998</v>
      </c>
      <c r="J571" s="410">
        <v>1.5</v>
      </c>
      <c r="K571" s="411">
        <f>SUMIFS(Таблица1[Столбец1],Таблица1[коэф],"1,5",Таблица1[р/р],"5/8",Таблица1[Ф. И. О.],B572)</f>
        <v>0</v>
      </c>
      <c r="L571" s="461">
        <f t="shared" si="195"/>
        <v>0</v>
      </c>
      <c r="M571" s="411"/>
      <c r="N571" s="411"/>
      <c r="O571" s="411"/>
      <c r="P571" s="383"/>
      <c r="Q571" s="366">
        <f>база!$L$5</f>
        <v>231.45480000000001</v>
      </c>
      <c r="R571" s="367">
        <v>1.2</v>
      </c>
      <c r="S571" s="377">
        <f>SUMIFS(Таблица1[Столбец1],Таблица1[коэф],"1,2",Таблица1[р/р],"4/16",Таблица1[Ф. И. О.],B572)</f>
        <v>0</v>
      </c>
      <c r="T571" s="469">
        <f t="shared" si="196"/>
        <v>0</v>
      </c>
      <c r="U571" s="455">
        <f>база!$M$5</f>
        <v>247.41720000000001</v>
      </c>
      <c r="V571" s="367">
        <v>1.2</v>
      </c>
      <c r="W571" s="389">
        <f>SUMIFS(Таблица1[Столбец1],Таблица1[коэф],"1,2",Таблица1[р/р],"4/24",Таблица1[Ф. И. О.],B572)</f>
        <v>0</v>
      </c>
      <c r="X571" s="469">
        <f t="shared" si="197"/>
        <v>0</v>
      </c>
      <c r="Y571" s="748"/>
      <c r="Z571" s="750"/>
      <c r="AA571" s="740"/>
    </row>
    <row r="572" spans="1:29" ht="18.75">
      <c r="A572" s="740"/>
      <c r="B572" s="201" t="str">
        <f>база!B53</f>
        <v>Набойченко Седа Хамидовна</v>
      </c>
      <c r="C572" s="743"/>
      <c r="D572" s="746"/>
      <c r="E572" s="366"/>
      <c r="F572" s="367"/>
      <c r="G572" s="377"/>
      <c r="H572" s="369">
        <f t="shared" si="194"/>
        <v>0</v>
      </c>
      <c r="I572" s="409"/>
      <c r="J572" s="410"/>
      <c r="K572" s="411"/>
      <c r="L572" s="461">
        <f t="shared" si="195"/>
        <v>0</v>
      </c>
      <c r="M572" s="411"/>
      <c r="N572" s="411"/>
      <c r="O572" s="411"/>
      <c r="P572" s="383"/>
      <c r="Q572" s="366">
        <f>база!$L$6</f>
        <v>261.04640000000001</v>
      </c>
      <c r="R572" s="367">
        <v>1.2</v>
      </c>
      <c r="S572" s="377">
        <f>SUMIFS(Таблица1[Столбец1],Таблица1[коэф],"1,2",Таблица1[р/р],"5/16",Таблица1[Ф. И. О.],B572)</f>
        <v>0</v>
      </c>
      <c r="T572" s="469">
        <f t="shared" si="196"/>
        <v>0</v>
      </c>
      <c r="U572" s="455">
        <f>база!$M$6</f>
        <v>279.0496</v>
      </c>
      <c r="V572" s="367">
        <v>1.2</v>
      </c>
      <c r="W572" s="389">
        <f>SUMIFS(Таблица1[Столбец1],Таблица1[коэф],"1,2",Таблица1[р/р],"5/24",Таблица1[Ф. И. О.],B572)</f>
        <v>0</v>
      </c>
      <c r="X572" s="469">
        <f t="shared" si="197"/>
        <v>0</v>
      </c>
      <c r="Y572" s="748"/>
      <c r="Z572" s="750"/>
      <c r="AA572" s="740"/>
      <c r="AC572" s="693" t="str">
        <f>IF(SUMIFS(Таблица1[Столбец3],Таблица1[Ф. И. О.],B572)-Z567=0,"",SUMIFS(Таблица1[Столбец3],Таблица1[Ф. И. О.],B572)-Z567)</f>
        <v/>
      </c>
    </row>
    <row r="573" spans="1:29" ht="18.75">
      <c r="A573" s="740"/>
      <c r="B573" s="201"/>
      <c r="C573" s="743"/>
      <c r="D573" s="746"/>
      <c r="E573" s="366"/>
      <c r="F573" s="367"/>
      <c r="G573" s="377"/>
      <c r="H573" s="369">
        <f t="shared" si="194"/>
        <v>0</v>
      </c>
      <c r="I573" s="409"/>
      <c r="J573" s="410"/>
      <c r="K573" s="411"/>
      <c r="L573" s="461">
        <f t="shared" si="195"/>
        <v>0</v>
      </c>
      <c r="M573" s="411"/>
      <c r="N573" s="411"/>
      <c r="O573" s="411"/>
      <c r="P573" s="383"/>
      <c r="Q573" s="366">
        <f>IF($D$6&lt;=3,база!$L$4,
IF($D$6=4,база!$L$5,
IF($D$6=5,база!$L$6)))</f>
        <v>231.45480000000001</v>
      </c>
      <c r="R573" s="367">
        <v>1.3</v>
      </c>
      <c r="S573" s="377">
        <f>SUMIFS(Таблица1[Столбец1],Таблица1[коэф],"1,3",Таблица1[р/р],"3/16",Таблица1[Ф. И. О.],B572)</f>
        <v>0</v>
      </c>
      <c r="T573" s="469">
        <f t="shared" si="196"/>
        <v>0</v>
      </c>
      <c r="U573" s="455">
        <f>IF(D567&lt;=3,база!$M$4,
IF(D567=4,база!$M$5,
IF(D567=5,база!$M$6)))</f>
        <v>225.09719999999999</v>
      </c>
      <c r="V573" s="367">
        <v>1.3</v>
      </c>
      <c r="W573" s="389">
        <f>SUMIFS(Таблица1[Столбец1],Таблица1[коэф],"1,3",Таблица1[р/р],"3/24",Таблица1[Ф. И. О.],B572)</f>
        <v>0</v>
      </c>
      <c r="X573" s="469">
        <f t="shared" si="197"/>
        <v>0</v>
      </c>
      <c r="Y573" s="748"/>
      <c r="Z573" s="750"/>
      <c r="AA573" s="740"/>
      <c r="AC573" s="693" t="str">
        <f>IF(SUMIFS(Таблица1[Столбец1],Таблица1[Ф. И. О.],B572)=Y567,"",B572&amp;"  часы не верны")</f>
        <v/>
      </c>
    </row>
    <row r="574" spans="1:29" ht="18.75">
      <c r="A574" s="740"/>
      <c r="B574" s="201"/>
      <c r="C574" s="743"/>
      <c r="D574" s="746"/>
      <c r="E574" s="366"/>
      <c r="F574" s="367"/>
      <c r="G574" s="377"/>
      <c r="H574" s="369">
        <f t="shared" si="194"/>
        <v>0</v>
      </c>
      <c r="I574" s="409"/>
      <c r="J574" s="410"/>
      <c r="K574" s="411"/>
      <c r="L574" s="461">
        <f t="shared" si="195"/>
        <v>0</v>
      </c>
      <c r="M574" s="411"/>
      <c r="N574" s="411"/>
      <c r="O574" s="411"/>
      <c r="P574" s="383"/>
      <c r="Q574" s="366">
        <f>база!$L$5</f>
        <v>231.45480000000001</v>
      </c>
      <c r="R574" s="367">
        <v>1.3</v>
      </c>
      <c r="S574" s="377">
        <f>SUMIFS(Таблица1[Столбец1],Таблица1[коэф],"1,3",Таблица1[р/р],"4/16",Таблица1[Ф. И. О.],B572)</f>
        <v>0</v>
      </c>
      <c r="T574" s="469">
        <f t="shared" si="196"/>
        <v>0</v>
      </c>
      <c r="U574" s="455">
        <f>база!$M$5</f>
        <v>247.41720000000001</v>
      </c>
      <c r="V574" s="367">
        <v>1.3</v>
      </c>
      <c r="W574" s="389">
        <f>SUMIFS(Таблица1[Столбец1],Таблица1[коэф],"1,3",Таблица1[р/р],"4/24",Таблица1[Ф. И. О.],B572)</f>
        <v>0</v>
      </c>
      <c r="X574" s="469">
        <f t="shared" si="197"/>
        <v>0</v>
      </c>
      <c r="Y574" s="748"/>
      <c r="Z574" s="750"/>
      <c r="AA574" s="740"/>
    </row>
    <row r="575" spans="1:29" ht="18.75">
      <c r="A575" s="740"/>
      <c r="B575" s="201"/>
      <c r="C575" s="743"/>
      <c r="D575" s="746"/>
      <c r="E575" s="366"/>
      <c r="F575" s="367"/>
      <c r="G575" s="377"/>
      <c r="H575" s="369">
        <f t="shared" si="194"/>
        <v>0</v>
      </c>
      <c r="I575" s="409"/>
      <c r="J575" s="410"/>
      <c r="K575" s="411"/>
      <c r="L575" s="461">
        <f t="shared" si="195"/>
        <v>0</v>
      </c>
      <c r="M575" s="411"/>
      <c r="N575" s="411"/>
      <c r="O575" s="411"/>
      <c r="P575" s="383"/>
      <c r="Q575" s="366">
        <f>IF(D567&lt;=3,база!$L$4,
IF(D567=4,база!$L$5,
IF(D567=5,база!$L$6)))</f>
        <v>210.57480000000001</v>
      </c>
      <c r="R575" s="367">
        <v>1.4</v>
      </c>
      <c r="S575" s="377">
        <f>SUMIFS(Таблица1[Столбец1],Таблица1[коэф],"1,4",Таблица1[р/р],"3/16",Таблица1[Ф. И. О.],B572)</f>
        <v>0</v>
      </c>
      <c r="T575" s="469">
        <f t="shared" si="196"/>
        <v>0</v>
      </c>
      <c r="U575" s="455">
        <f>IF(D567&lt;=3,база!$M$4,
IF(D567=4,база!$M$5,
IF(D567=5,база!$M$6)))</f>
        <v>225.09719999999999</v>
      </c>
      <c r="V575" s="367">
        <v>1.4</v>
      </c>
      <c r="W575" s="389">
        <f>SUMIFS(Таблица1[Столбец1],Таблица1[коэф],"1,4",Таблица1[р/р],"3/24",Таблица1[Ф. И. О.],B572)</f>
        <v>0</v>
      </c>
      <c r="X575" s="469">
        <f t="shared" si="197"/>
        <v>0</v>
      </c>
      <c r="Y575" s="748"/>
      <c r="Z575" s="750"/>
      <c r="AA575" s="740"/>
    </row>
    <row r="576" spans="1:29" ht="18.75">
      <c r="A576" s="740"/>
      <c r="B576" s="201"/>
      <c r="C576" s="743"/>
      <c r="D576" s="746"/>
      <c r="E576" s="366"/>
      <c r="F576" s="367"/>
      <c r="G576" s="377"/>
      <c r="H576" s="369">
        <f t="shared" si="194"/>
        <v>0</v>
      </c>
      <c r="I576" s="409"/>
      <c r="J576" s="410"/>
      <c r="K576" s="411"/>
      <c r="L576" s="461">
        <f t="shared" si="195"/>
        <v>0</v>
      </c>
      <c r="M576" s="411"/>
      <c r="N576" s="411"/>
      <c r="O576" s="411"/>
      <c r="P576" s="383"/>
      <c r="Q576" s="366">
        <f>база!$L$5</f>
        <v>231.45480000000001</v>
      </c>
      <c r="R576" s="367">
        <v>1.4</v>
      </c>
      <c r="S576" s="377">
        <f>SUMIFS(Таблица1[Столбец1],Таблица1[коэф],"1,4",Таблица1[р/р],"4/16",Таблица1[Ф. И. О.],B572)</f>
        <v>0</v>
      </c>
      <c r="T576" s="469">
        <f t="shared" si="196"/>
        <v>0</v>
      </c>
      <c r="U576" s="455">
        <f>база!$M$5</f>
        <v>247.41720000000001</v>
      </c>
      <c r="V576" s="367">
        <v>1.4</v>
      </c>
      <c r="W576" s="389">
        <f>SUMIFS(Таблица1[Столбец1],Таблица1[коэф],"1,4",Таблица1[р/р],"4/24",Таблица1[Ф. И. О.],B572)</f>
        <v>0</v>
      </c>
      <c r="X576" s="469">
        <f t="shared" si="197"/>
        <v>0</v>
      </c>
      <c r="Y576" s="748"/>
      <c r="Z576" s="750"/>
      <c r="AA576" s="740"/>
    </row>
    <row r="577" spans="1:29" ht="19.5" thickBot="1">
      <c r="A577" s="741"/>
      <c r="B577" s="188"/>
      <c r="C577" s="744"/>
      <c r="D577" s="747"/>
      <c r="E577" s="450"/>
      <c r="F577" s="441"/>
      <c r="G577" s="442"/>
      <c r="H577" s="445">
        <f t="shared" si="194"/>
        <v>0</v>
      </c>
      <c r="I577" s="443"/>
      <c r="J577" s="433"/>
      <c r="K577" s="434"/>
      <c r="L577" s="461">
        <f t="shared" si="195"/>
        <v>0</v>
      </c>
      <c r="M577" s="434"/>
      <c r="N577" s="434"/>
      <c r="O577" s="434"/>
      <c r="P577" s="453"/>
      <c r="Q577" s="450">
        <f>база!$L$6</f>
        <v>261.04640000000001</v>
      </c>
      <c r="R577" s="441">
        <v>1.4</v>
      </c>
      <c r="S577" s="442">
        <f>SUMIFS(Таблица1[Столбец1],Таблица1[коэф],"1,4",Таблица1[р/р],"5/16",Таблица1[Ф. И. О.],B572)</f>
        <v>0</v>
      </c>
      <c r="T577" s="469">
        <f t="shared" si="196"/>
        <v>0</v>
      </c>
      <c r="U577" s="457">
        <f>база!$M$6</f>
        <v>279.0496</v>
      </c>
      <c r="V577" s="441">
        <v>1.4</v>
      </c>
      <c r="W577" s="447">
        <f>SUMIFS(Таблица1[Столбец1],Таблица1[коэф],"1,4",Таблица1[р/р],"5/24",Таблица1[Ф. И. О.],B572)</f>
        <v>0</v>
      </c>
      <c r="X577" s="469">
        <f t="shared" si="197"/>
        <v>0</v>
      </c>
      <c r="Y577" s="749"/>
      <c r="Z577" s="751"/>
      <c r="AA577" s="741"/>
    </row>
    <row r="578" spans="1:29" ht="18.75">
      <c r="A578" s="739">
        <v>53</v>
      </c>
      <c r="B578" s="219"/>
      <c r="C578" s="742">
        <f>INDEX(база!$E$2:$E$81, MATCH(B583,база!$B$2:$B$60,0))</f>
        <v>17164</v>
      </c>
      <c r="D578" s="745">
        <f>INDEX(база!$D$2:$D$89, MATCH(B583,база!$B$2:$B$60,0))</f>
        <v>3</v>
      </c>
      <c r="E578" s="354">
        <f>IF(D578&lt;=3,база!$I$4,
IF(D578=4,база!$I$5,
IF(D578=5,база!$I$6)))</f>
        <v>188.7912</v>
      </c>
      <c r="F578" s="355">
        <v>1</v>
      </c>
      <c r="G578" s="364">
        <f>SUMIFS(Таблица1[Столбец1],Таблица1[коэф],"1",Таблица1[р/р],"2/4",Таблица1[Ф. И. О.],B583)</f>
        <v>0</v>
      </c>
      <c r="H578" s="379">
        <f t="shared" ref="H578:H588" si="200">ROUND(E578*F578*G578*2,2)</f>
        <v>0</v>
      </c>
      <c r="I578" s="403">
        <f>IF(D578&lt;=3,база!$J$4,
IF(D578=4,база!$J$5,
IF(D578=5,база!$J$6)))</f>
        <v>196.05240000000001</v>
      </c>
      <c r="J578" s="404">
        <v>1</v>
      </c>
      <c r="K578" s="405">
        <f>SUMIFS(Таблица1[Столбец1],Таблица1[коэф],"1",Таблица1[р/р],"2/8",Таблица1[Ф. И. О.],B583)</f>
        <v>0</v>
      </c>
      <c r="L578" s="360">
        <f t="shared" ref="L578:L588" si="201">ROUND(I578*J578*K578*2,2)</f>
        <v>0</v>
      </c>
      <c r="M578" s="405"/>
      <c r="N578" s="405">
        <v>1</v>
      </c>
      <c r="O578" s="405">
        <f>SUMIFS(Data_Tech!$AM$3:$AM$67,Data_Tech!$E$3:$E$67,"1",Data_Tech!$G$3:$G$67,"3/12",Data_Tech!$F$3:$F$67,B583)</f>
        <v>0</v>
      </c>
      <c r="P578" s="362">
        <f>ROUND(M578*N578*O578,2)</f>
        <v>0</v>
      </c>
      <c r="Q578" s="354">
        <f>IF(D578&lt;=3,база!$L$4,
IF(D578=4,база!$L$5,
IF(D578=5,база!$L$6)))</f>
        <v>210.57480000000001</v>
      </c>
      <c r="R578" s="355">
        <v>1</v>
      </c>
      <c r="S578" s="364">
        <f>SUMIFS(Таблица1[Столбец1],Таблица1[коэф],"1",Таблица1[р/р],"3/16",Таблица1[Ф. И. О.],B583)</f>
        <v>0</v>
      </c>
      <c r="T578" s="467">
        <f t="shared" ref="T578:T588" si="202">ROUND(Q578*R578*S578*2,2)</f>
        <v>0</v>
      </c>
      <c r="U578" s="454">
        <f>IF(D578&lt;=3,база!$M$4,
IF(D578=4,база!$M$5,
IF(D578=5,база!$M$6)))</f>
        <v>225.09719999999999</v>
      </c>
      <c r="V578" s="355">
        <v>1</v>
      </c>
      <c r="W578" s="407">
        <f>SUMIFS(Таблица1[Столбец1],Таблица1[коэф],"1",Таблица1[р/р],"3/24",Таблица1[Ф. И. О.],B583)</f>
        <v>0</v>
      </c>
      <c r="X578" s="467">
        <f t="shared" ref="X578:X588" si="203">ROUND(U578*V578*W578*2,2)</f>
        <v>0</v>
      </c>
      <c r="Y578" s="748">
        <f t="shared" ref="Y578" si="204">SUM(G578:G588,K578:K588,O578:O588,S578:S588,W578:W588)</f>
        <v>0</v>
      </c>
      <c r="Z578" s="750">
        <f t="shared" ref="Z578" si="205">IFERROR(SUM(H578:H588,L578:L588,T578:T588,X578:X588),"")</f>
        <v>0</v>
      </c>
      <c r="AA578" s="740"/>
    </row>
    <row r="579" spans="1:29" ht="18.75">
      <c r="A579" s="740"/>
      <c r="B579" s="201"/>
      <c r="C579" s="743"/>
      <c r="D579" s="746"/>
      <c r="E579" s="366">
        <f>IF(D578&lt;=3,база!$I$4,
IF(D578=4,база!$I$5,
IF(D578=5,база!$I$6)))</f>
        <v>188.7912</v>
      </c>
      <c r="F579" s="367">
        <v>1</v>
      </c>
      <c r="G579" s="377">
        <f>SUMIFS(Таблица1[Столбец1],Таблица1[коэф],"1",Таблица1[р/р],"3/4",Таблица1[Ф. И. О.],B583)</f>
        <v>0</v>
      </c>
      <c r="H579" s="369">
        <f t="shared" si="200"/>
        <v>0</v>
      </c>
      <c r="I579" s="409">
        <f>IF(D578&lt;=3,база!$J$4,
IF(D578=4,база!$J$5,
IF(D578=5,база!$J$6)))</f>
        <v>196.05240000000001</v>
      </c>
      <c r="J579" s="410">
        <v>1</v>
      </c>
      <c r="K579" s="411">
        <f>SUMIFS(Таблица1[Столбец1],Таблица1[коэф],"1",Таблица1[р/р],"3/8",Таблица1[Ф. И. О.],B583)</f>
        <v>0</v>
      </c>
      <c r="L579" s="461">
        <f t="shared" si="201"/>
        <v>0</v>
      </c>
      <c r="M579" s="411"/>
      <c r="N579" s="411">
        <v>1</v>
      </c>
      <c r="O579" s="411">
        <f>SUMIFS(Data_Tech!$AM$3:$AM$67,Data_Tech!$E$3:$E$67,"1",Data_Tech!$G$3:$G$67,"4/12",Data_Tech!$F$3:$F$67,B583)</f>
        <v>0</v>
      </c>
      <c r="P579" s="383">
        <f>ROUND(M579*O579,2)</f>
        <v>0</v>
      </c>
      <c r="Q579" s="366">
        <f>база!$L$5</f>
        <v>231.45480000000001</v>
      </c>
      <c r="R579" s="367">
        <v>1</v>
      </c>
      <c r="S579" s="377">
        <f>SUMIFS(Таблица1[Столбец1],Таблица1[коэф],"1",Таблица1[р/р],"4/16",Таблица1[Ф. И. О.],B583)</f>
        <v>0</v>
      </c>
      <c r="T579" s="469">
        <f t="shared" si="202"/>
        <v>0</v>
      </c>
      <c r="U579" s="455">
        <f>база!$M$5</f>
        <v>247.41720000000001</v>
      </c>
      <c r="V579" s="367">
        <v>1</v>
      </c>
      <c r="W579" s="389">
        <f>SUMIFS(Таблица1[Столбец1],Таблица1[коэф],"1",Таблица1[р/р],"4/24",Таблица1[Ф. И. О.],B583)</f>
        <v>0</v>
      </c>
      <c r="X579" s="469">
        <f t="shared" si="203"/>
        <v>0</v>
      </c>
      <c r="Y579" s="748"/>
      <c r="Z579" s="750"/>
      <c r="AA579" s="740"/>
    </row>
    <row r="580" spans="1:29" ht="18.75">
      <c r="A580" s="740"/>
      <c r="B580" s="201"/>
      <c r="C580" s="743"/>
      <c r="D580" s="746"/>
      <c r="E580" s="366"/>
      <c r="F580" s="367"/>
      <c r="G580" s="377"/>
      <c r="H580" s="369">
        <f t="shared" si="200"/>
        <v>0</v>
      </c>
      <c r="I580" s="409"/>
      <c r="J580" s="410"/>
      <c r="K580" s="411"/>
      <c r="L580" s="461">
        <f t="shared" si="201"/>
        <v>0</v>
      </c>
      <c r="M580" s="411"/>
      <c r="N580" s="411"/>
      <c r="O580" s="411"/>
      <c r="P580" s="383"/>
      <c r="Q580" s="366">
        <f>база!$L$6</f>
        <v>261.04640000000001</v>
      </c>
      <c r="R580" s="367">
        <v>1</v>
      </c>
      <c r="S580" s="377">
        <f>SUMIFS(Таблица1[Столбец1],Таблица1[коэф],"1",Таблица1[р/р],"5/16",Таблица1[Ф. И. О.],B583)</f>
        <v>0</v>
      </c>
      <c r="T580" s="469">
        <f t="shared" si="202"/>
        <v>0</v>
      </c>
      <c r="U580" s="455">
        <f>база!$M$6</f>
        <v>279.0496</v>
      </c>
      <c r="V580" s="367">
        <v>1</v>
      </c>
      <c r="W580" s="389">
        <f>SUMIFS(Таблица1[Столбец1],Таблица1[коэф],"1",Таблица1[р/р],"5/24",Таблица1[Ф. И. О.],B583)</f>
        <v>0</v>
      </c>
      <c r="X580" s="469">
        <f t="shared" si="203"/>
        <v>0</v>
      </c>
      <c r="Y580" s="748"/>
      <c r="Z580" s="750"/>
      <c r="AA580" s="740"/>
    </row>
    <row r="581" spans="1:29" ht="18.75">
      <c r="A581" s="740"/>
      <c r="B581" s="201"/>
      <c r="C581" s="743"/>
      <c r="D581" s="746"/>
      <c r="E581" s="366"/>
      <c r="F581" s="367"/>
      <c r="G581" s="377"/>
      <c r="H581" s="369">
        <f t="shared" si="200"/>
        <v>0</v>
      </c>
      <c r="I581" s="409">
        <f>база!$J$5</f>
        <v>215.4924</v>
      </c>
      <c r="J581" s="410">
        <v>1.5</v>
      </c>
      <c r="K581" s="411">
        <f>SUMIFS(Таблица1[Столбец1],Таблица1[коэф],"1,5",Таблица1[р/р],"4/8",Таблица1[Ф. И. О.],B583)</f>
        <v>0</v>
      </c>
      <c r="L581" s="461">
        <f t="shared" si="201"/>
        <v>0</v>
      </c>
      <c r="M581" s="411"/>
      <c r="N581" s="411"/>
      <c r="O581" s="411"/>
      <c r="P581" s="383"/>
      <c r="Q581" s="366">
        <f>IF(D578&lt;=3,база!$L$4,
IF(D578=4,база!$L$5,
IF(D578=5,база!$L$6)))</f>
        <v>210.57480000000001</v>
      </c>
      <c r="R581" s="367">
        <v>1.2</v>
      </c>
      <c r="S581" s="377">
        <f>SUMIFS(Таблица1[Столбец1],Таблица1[коэф],"1,2",Таблица1[р/р],"3/16",Таблица1[Ф. И. О.],B583)</f>
        <v>0</v>
      </c>
      <c r="T581" s="469">
        <f t="shared" si="202"/>
        <v>0</v>
      </c>
      <c r="U581" s="455">
        <f>IF(D578&lt;=3,база!$M$4,
IF(D578=4,база!$M$5,
IF(D578=5,база!$M$6)))</f>
        <v>225.09719999999999</v>
      </c>
      <c r="V581" s="367">
        <v>1.2</v>
      </c>
      <c r="W581" s="389">
        <f>SUMIFS(Таблица1[Столбец1],Таблица1[коэф],"1,2",Таблица1[р/р],"3/24",Таблица1[Ф. И. О.],B583)</f>
        <v>0</v>
      </c>
      <c r="X581" s="469">
        <f t="shared" si="203"/>
        <v>0</v>
      </c>
      <c r="Y581" s="748"/>
      <c r="Z581" s="750"/>
      <c r="AA581" s="740"/>
    </row>
    <row r="582" spans="1:29" ht="18.75">
      <c r="A582" s="740"/>
      <c r="B582" s="201"/>
      <c r="C582" s="743"/>
      <c r="D582" s="746"/>
      <c r="E582" s="366"/>
      <c r="F582" s="367"/>
      <c r="G582" s="377"/>
      <c r="H582" s="369">
        <f t="shared" si="200"/>
        <v>0</v>
      </c>
      <c r="I582" s="409">
        <f>база!$J$6</f>
        <v>243.04319999999998</v>
      </c>
      <c r="J582" s="410">
        <v>1.5</v>
      </c>
      <c r="K582" s="411">
        <f>SUMIFS(Таблица1[Столбец1],Таблица1[коэф],"1,5",Таблица1[р/р],"5/8",Таблица1[Ф. И. О.],B583)</f>
        <v>0</v>
      </c>
      <c r="L582" s="461">
        <f t="shared" si="201"/>
        <v>0</v>
      </c>
      <c r="M582" s="411"/>
      <c r="N582" s="411"/>
      <c r="O582" s="411"/>
      <c r="P582" s="383"/>
      <c r="Q582" s="366">
        <f>база!$L$5</f>
        <v>231.45480000000001</v>
      </c>
      <c r="R582" s="367">
        <v>1.2</v>
      </c>
      <c r="S582" s="377">
        <f>SUMIFS(Таблица1[Столбец1],Таблица1[коэф],"1,2",Таблица1[р/р],"4/16",Таблица1[Ф. И. О.],B583)</f>
        <v>0</v>
      </c>
      <c r="T582" s="469">
        <f t="shared" si="202"/>
        <v>0</v>
      </c>
      <c r="U582" s="455">
        <f>база!$M$5</f>
        <v>247.41720000000001</v>
      </c>
      <c r="V582" s="367">
        <v>1.2</v>
      </c>
      <c r="W582" s="389">
        <f>SUMIFS(Таблица1[Столбец1],Таблица1[коэф],"1,2",Таблица1[р/р],"4/24",Таблица1[Ф. И. О.],B583)</f>
        <v>0</v>
      </c>
      <c r="X582" s="469">
        <f t="shared" si="203"/>
        <v>0</v>
      </c>
      <c r="Y582" s="748"/>
      <c r="Z582" s="750"/>
      <c r="AA582" s="740"/>
    </row>
    <row r="583" spans="1:29" ht="18.75">
      <c r="A583" s="740"/>
      <c r="B583" s="201" t="str">
        <f>база!B54</f>
        <v>Никифорова Юлия Анатольевна</v>
      </c>
      <c r="C583" s="743"/>
      <c r="D583" s="746"/>
      <c r="E583" s="366"/>
      <c r="F583" s="367"/>
      <c r="G583" s="377"/>
      <c r="H583" s="369">
        <f t="shared" si="200"/>
        <v>0</v>
      </c>
      <c r="I583" s="409"/>
      <c r="J583" s="410"/>
      <c r="K583" s="411"/>
      <c r="L583" s="461">
        <f t="shared" si="201"/>
        <v>0</v>
      </c>
      <c r="M583" s="411"/>
      <c r="N583" s="411"/>
      <c r="O583" s="411"/>
      <c r="P583" s="383"/>
      <c r="Q583" s="366">
        <f>база!$L$6</f>
        <v>261.04640000000001</v>
      </c>
      <c r="R583" s="367">
        <v>1.2</v>
      </c>
      <c r="S583" s="377">
        <f>SUMIFS(Таблица1[Столбец1],Таблица1[коэф],"1,2",Таблица1[р/р],"5/16",Таблица1[Ф. И. О.],B583)</f>
        <v>0</v>
      </c>
      <c r="T583" s="469">
        <f t="shared" si="202"/>
        <v>0</v>
      </c>
      <c r="U583" s="455">
        <f>база!$M$6</f>
        <v>279.0496</v>
      </c>
      <c r="V583" s="367">
        <v>1.2</v>
      </c>
      <c r="W583" s="389">
        <f>SUMIFS(Таблица1[Столбец1],Таблица1[коэф],"1,2",Таблица1[р/р],"5/24",Таблица1[Ф. И. О.],B583)</f>
        <v>0</v>
      </c>
      <c r="X583" s="469">
        <f t="shared" si="203"/>
        <v>0</v>
      </c>
      <c r="Y583" s="748"/>
      <c r="Z583" s="750"/>
      <c r="AA583" s="740"/>
      <c r="AC583" s="693" t="str">
        <f>IF(SUMIFS(Таблица1[Столбец3],Таблица1[Ф. И. О.],B583)-Z578=0,"",SUMIFS(Таблица1[Столбец3],Таблица1[Ф. И. О.],B583)-Z578)</f>
        <v/>
      </c>
    </row>
    <row r="584" spans="1:29" ht="18.75">
      <c r="A584" s="740"/>
      <c r="B584" s="201"/>
      <c r="C584" s="743"/>
      <c r="D584" s="746"/>
      <c r="E584" s="366"/>
      <c r="F584" s="367"/>
      <c r="G584" s="377"/>
      <c r="H584" s="369">
        <f t="shared" si="200"/>
        <v>0</v>
      </c>
      <c r="I584" s="409"/>
      <c r="J584" s="410"/>
      <c r="K584" s="411"/>
      <c r="L584" s="461">
        <f t="shared" si="201"/>
        <v>0</v>
      </c>
      <c r="M584" s="411"/>
      <c r="N584" s="411"/>
      <c r="O584" s="411"/>
      <c r="P584" s="383"/>
      <c r="Q584" s="366">
        <f>IF($D$6&lt;=3,база!$L$4,
IF($D$6=4,база!$L$5,
IF($D$6=5,база!$L$6)))</f>
        <v>231.45480000000001</v>
      </c>
      <c r="R584" s="367">
        <v>1.3</v>
      </c>
      <c r="S584" s="377">
        <f>SUMIFS(Таблица1[Столбец1],Таблица1[коэф],"1,3",Таблица1[р/р],"3/16",Таблица1[Ф. И. О.],B583)</f>
        <v>0</v>
      </c>
      <c r="T584" s="469">
        <f t="shared" si="202"/>
        <v>0</v>
      </c>
      <c r="U584" s="455">
        <f>IF(D578&lt;=3,база!$M$4,
IF(D578=4,база!$M$5,
IF(D578=5,база!$M$6)))</f>
        <v>225.09719999999999</v>
      </c>
      <c r="V584" s="367">
        <v>1.3</v>
      </c>
      <c r="W584" s="389">
        <f>SUMIFS(Таблица1[Столбец1],Таблица1[коэф],"1,3",Таблица1[р/р],"3/24",Таблица1[Ф. И. О.],B583)</f>
        <v>0</v>
      </c>
      <c r="X584" s="469">
        <f t="shared" si="203"/>
        <v>0</v>
      </c>
      <c r="Y584" s="748"/>
      <c r="Z584" s="750"/>
      <c r="AA584" s="740"/>
      <c r="AC584" s="693" t="str">
        <f>IF(SUMIFS(Таблица1[Столбец1],Таблица1[Ф. И. О.],B583)=Y578,"",B583&amp;"  часы не верны")</f>
        <v/>
      </c>
    </row>
    <row r="585" spans="1:29" ht="18.75">
      <c r="A585" s="740"/>
      <c r="B585" s="201"/>
      <c r="C585" s="743"/>
      <c r="D585" s="746"/>
      <c r="E585" s="366"/>
      <c r="F585" s="367"/>
      <c r="G585" s="377"/>
      <c r="H585" s="369">
        <f t="shared" si="200"/>
        <v>0</v>
      </c>
      <c r="I585" s="409"/>
      <c r="J585" s="410"/>
      <c r="K585" s="411"/>
      <c r="L585" s="461">
        <f t="shared" si="201"/>
        <v>0</v>
      </c>
      <c r="M585" s="411"/>
      <c r="N585" s="411"/>
      <c r="O585" s="411"/>
      <c r="P585" s="383"/>
      <c r="Q585" s="366">
        <f>база!$L$5</f>
        <v>231.45480000000001</v>
      </c>
      <c r="R585" s="367">
        <v>1.3</v>
      </c>
      <c r="S585" s="377">
        <f>SUMIFS(Таблица1[Столбец1],Таблица1[коэф],"1,3",Таблица1[р/р],"4/16",Таблица1[Ф. И. О.],B583)</f>
        <v>0</v>
      </c>
      <c r="T585" s="469">
        <f t="shared" si="202"/>
        <v>0</v>
      </c>
      <c r="U585" s="455">
        <f>база!$M$5</f>
        <v>247.41720000000001</v>
      </c>
      <c r="V585" s="367">
        <v>1.3</v>
      </c>
      <c r="W585" s="389">
        <f>SUMIFS(Таблица1[Столбец1],Таблица1[коэф],"1,3",Таблица1[р/р],"4/24",Таблица1[Ф. И. О.],B583)</f>
        <v>0</v>
      </c>
      <c r="X585" s="469">
        <f t="shared" si="203"/>
        <v>0</v>
      </c>
      <c r="Y585" s="748"/>
      <c r="Z585" s="750"/>
      <c r="AA585" s="740"/>
    </row>
    <row r="586" spans="1:29" ht="18.75">
      <c r="A586" s="740"/>
      <c r="B586" s="201"/>
      <c r="C586" s="743"/>
      <c r="D586" s="746"/>
      <c r="E586" s="366"/>
      <c r="F586" s="367"/>
      <c r="G586" s="377"/>
      <c r="H586" s="369">
        <f t="shared" si="200"/>
        <v>0</v>
      </c>
      <c r="I586" s="409"/>
      <c r="J586" s="410"/>
      <c r="K586" s="411"/>
      <c r="L586" s="461">
        <f t="shared" si="201"/>
        <v>0</v>
      </c>
      <c r="M586" s="411"/>
      <c r="N586" s="411"/>
      <c r="O586" s="411"/>
      <c r="P586" s="383"/>
      <c r="Q586" s="366">
        <f>IF(D578&lt;=3,база!$L$4,
IF(D578=4,база!$L$5,
IF(D578=5,база!$L$6)))</f>
        <v>210.57480000000001</v>
      </c>
      <c r="R586" s="367">
        <v>1.4</v>
      </c>
      <c r="S586" s="377">
        <f>SUMIFS(Таблица1[Столбец1],Таблица1[коэф],"1,4",Таблица1[р/р],"3/16",Таблица1[Ф. И. О.],B583)</f>
        <v>0</v>
      </c>
      <c r="T586" s="469">
        <f t="shared" si="202"/>
        <v>0</v>
      </c>
      <c r="U586" s="455">
        <f>IF(D578&lt;=3,база!$M$4,
IF(D578=4,база!$M$5,
IF(D578=5,база!$M$6)))</f>
        <v>225.09719999999999</v>
      </c>
      <c r="V586" s="367">
        <v>1.4</v>
      </c>
      <c r="W586" s="389">
        <f>SUMIFS(Таблица1[Столбец1],Таблица1[коэф],"1,4",Таблица1[р/р],"3/24",Таблица1[Ф. И. О.],B583)</f>
        <v>0</v>
      </c>
      <c r="X586" s="469">
        <f t="shared" si="203"/>
        <v>0</v>
      </c>
      <c r="Y586" s="748"/>
      <c r="Z586" s="750"/>
      <c r="AA586" s="740"/>
    </row>
    <row r="587" spans="1:29" ht="18.75">
      <c r="A587" s="740"/>
      <c r="B587" s="201"/>
      <c r="C587" s="743"/>
      <c r="D587" s="746"/>
      <c r="E587" s="366"/>
      <c r="F587" s="367"/>
      <c r="G587" s="377"/>
      <c r="H587" s="369">
        <f t="shared" si="200"/>
        <v>0</v>
      </c>
      <c r="I587" s="409"/>
      <c r="J587" s="410"/>
      <c r="K587" s="411"/>
      <c r="L587" s="461">
        <f t="shared" si="201"/>
        <v>0</v>
      </c>
      <c r="M587" s="411"/>
      <c r="N587" s="411"/>
      <c r="O587" s="411"/>
      <c r="P587" s="383"/>
      <c r="Q587" s="366">
        <f>база!$L$5</f>
        <v>231.45480000000001</v>
      </c>
      <c r="R587" s="367">
        <v>1.4</v>
      </c>
      <c r="S587" s="377">
        <f>SUMIFS(Таблица1[Столбец1],Таблица1[коэф],"1,4",Таблица1[р/р],"4/16",Таблица1[Ф. И. О.],B583)</f>
        <v>0</v>
      </c>
      <c r="T587" s="469">
        <f t="shared" si="202"/>
        <v>0</v>
      </c>
      <c r="U587" s="455">
        <f>база!$M$5</f>
        <v>247.41720000000001</v>
      </c>
      <c r="V587" s="367">
        <v>1.4</v>
      </c>
      <c r="W587" s="389">
        <f>SUMIFS(Таблица1[Столбец1],Таблица1[коэф],"1,4",Таблица1[р/р],"4/24",Таблица1[Ф. И. О.],B583)</f>
        <v>0</v>
      </c>
      <c r="X587" s="469">
        <f t="shared" si="203"/>
        <v>0</v>
      </c>
      <c r="Y587" s="748"/>
      <c r="Z587" s="750"/>
      <c r="AA587" s="740"/>
    </row>
    <row r="588" spans="1:29" ht="19.5" thickBot="1">
      <c r="A588" s="741"/>
      <c r="B588" s="188"/>
      <c r="C588" s="744"/>
      <c r="D588" s="747"/>
      <c r="E588" s="450"/>
      <c r="F588" s="441"/>
      <c r="G588" s="442"/>
      <c r="H588" s="445">
        <f t="shared" si="200"/>
        <v>0</v>
      </c>
      <c r="I588" s="443"/>
      <c r="J588" s="433"/>
      <c r="K588" s="434"/>
      <c r="L588" s="461">
        <f t="shared" si="201"/>
        <v>0</v>
      </c>
      <c r="M588" s="434"/>
      <c r="N588" s="434"/>
      <c r="O588" s="434"/>
      <c r="P588" s="453"/>
      <c r="Q588" s="450">
        <f>база!$L$6</f>
        <v>261.04640000000001</v>
      </c>
      <c r="R588" s="441">
        <v>1.4</v>
      </c>
      <c r="S588" s="442">
        <f>SUMIFS(Таблица1[Столбец1],Таблица1[коэф],"1,4",Таблица1[р/р],"5/16",Таблица1[Ф. И. О.],B583)</f>
        <v>0</v>
      </c>
      <c r="T588" s="469">
        <f t="shared" si="202"/>
        <v>0</v>
      </c>
      <c r="U588" s="457">
        <f>база!$M$6</f>
        <v>279.0496</v>
      </c>
      <c r="V588" s="441">
        <v>1.4</v>
      </c>
      <c r="W588" s="447">
        <f>SUMIFS(Таблица1[Столбец1],Таблица1[коэф],"1,4",Таблица1[р/р],"5/24",Таблица1[Ф. И. О.],B583)</f>
        <v>0</v>
      </c>
      <c r="X588" s="469">
        <f t="shared" si="203"/>
        <v>0</v>
      </c>
      <c r="Y588" s="749"/>
      <c r="Z588" s="751"/>
      <c r="AA588" s="741"/>
    </row>
    <row r="589" spans="1:29" ht="18.75">
      <c r="A589" s="739">
        <v>54</v>
      </c>
      <c r="B589" s="219"/>
      <c r="C589" s="742">
        <f>INDEX(база!$E$2:$E$81, MATCH(B594,база!$B$2:$B$60,0))</f>
        <v>17307</v>
      </c>
      <c r="D589" s="745">
        <f>INDEX(база!$D$2:$D$89, MATCH(B594,база!$B$2:$B$60,0))</f>
        <v>3</v>
      </c>
      <c r="E589" s="354">
        <f>IF(D589&lt;=3,база!$I$4,
IF(D589=4,база!$I$5,
IF(D589=5,база!$I$6)))</f>
        <v>188.7912</v>
      </c>
      <c r="F589" s="355">
        <v>1</v>
      </c>
      <c r="G589" s="364">
        <f>SUMIFS(Таблица1[Столбец1],Таблица1[коэф],"1",Таблица1[р/р],"2/4",Таблица1[Ф. И. О.],B594)</f>
        <v>0</v>
      </c>
      <c r="H589" s="379">
        <f t="shared" ref="H589:H599" si="206">ROUND(E589*F589*G589*2,2)</f>
        <v>0</v>
      </c>
      <c r="I589" s="403">
        <f>IF(D589&lt;=3,база!$J$4,
IF(D589=4,база!$J$5,
IF(D589=5,база!$J$6)))</f>
        <v>196.05240000000001</v>
      </c>
      <c r="J589" s="404">
        <v>1</v>
      </c>
      <c r="K589" s="405">
        <f>SUMIFS(Таблица1[Столбец1],Таблица1[коэф],"1",Таблица1[р/р],"2/8",Таблица1[Ф. И. О.],B594)</f>
        <v>0</v>
      </c>
      <c r="L589" s="360">
        <f t="shared" ref="L589:L599" si="207">ROUND(I589*J589*K589*2,2)</f>
        <v>0</v>
      </c>
      <c r="M589" s="405"/>
      <c r="N589" s="405">
        <v>1</v>
      </c>
      <c r="O589" s="405">
        <f>SUMIFS(Data_Tech!$AM$3:$AM$67,Data_Tech!$E$3:$E$67,"1",Data_Tech!$G$3:$G$67,"3/12",Data_Tech!$F$3:$F$67,B594)</f>
        <v>0</v>
      </c>
      <c r="P589" s="362">
        <f>ROUND(M589*N589*O589,2)</f>
        <v>0</v>
      </c>
      <c r="Q589" s="354">
        <f>IF(D589&lt;=3,база!$L$4,
IF(D589=4,база!$L$5,
IF(D589=5,база!$L$6)))</f>
        <v>210.57480000000001</v>
      </c>
      <c r="R589" s="355">
        <v>1</v>
      </c>
      <c r="S589" s="364">
        <f>SUMIFS(Таблица1[Столбец1],Таблица1[коэф],"1",Таблица1[р/р],"3/16",Таблица1[Ф. И. О.],B594)</f>
        <v>0</v>
      </c>
      <c r="T589" s="467">
        <f t="shared" ref="T589:T599" si="208">ROUND(Q589*R589*S589*2,2)</f>
        <v>0</v>
      </c>
      <c r="U589" s="454">
        <f>IF(D589&lt;=3,база!$M$4,
IF(D589=4,база!$M$5,
IF(D589=5,база!$M$6)))</f>
        <v>225.09719999999999</v>
      </c>
      <c r="V589" s="355">
        <v>1</v>
      </c>
      <c r="W589" s="407">
        <f>SUMIFS(Таблица1[Столбец1],Таблица1[коэф],"1",Таблица1[р/р],"3/24",Таблица1[Ф. И. О.],B594)</f>
        <v>0</v>
      </c>
      <c r="X589" s="467">
        <f t="shared" ref="X589:X599" si="209">ROUND(U589*V589*W589*2,2)</f>
        <v>0</v>
      </c>
      <c r="Y589" s="748">
        <f t="shared" ref="Y589" si="210">SUM(G589:G599,K589:K599,O589:O599,S589:S599,W589:W599)</f>
        <v>0</v>
      </c>
      <c r="Z589" s="750">
        <f t="shared" ref="Z589" si="211">IFERROR(SUM(H589:H599,L589:L599,T589:T599,X589:X599),"")</f>
        <v>0</v>
      </c>
      <c r="AA589" s="740"/>
    </row>
    <row r="590" spans="1:29" ht="18.75">
      <c r="A590" s="740"/>
      <c r="B590" s="201"/>
      <c r="C590" s="743"/>
      <c r="D590" s="746"/>
      <c r="E590" s="366">
        <f>IF(D589&lt;=3,база!$I$4,
IF(D589=4,база!$I$5,
IF(D589=5,база!$I$6)))</f>
        <v>188.7912</v>
      </c>
      <c r="F590" s="367">
        <v>1</v>
      </c>
      <c r="G590" s="377">
        <f>SUMIFS(Таблица1[Столбец1],Таблица1[коэф],"1",Таблица1[р/р],"3/4",Таблица1[Ф. И. О.],B594)</f>
        <v>0</v>
      </c>
      <c r="H590" s="369">
        <f t="shared" si="206"/>
        <v>0</v>
      </c>
      <c r="I590" s="409">
        <f>IF(D589&lt;=3,база!$J$4,
IF(D589=4,база!$J$5,
IF(D589=5,база!$J$6)))</f>
        <v>196.05240000000001</v>
      </c>
      <c r="J590" s="410">
        <v>1</v>
      </c>
      <c r="K590" s="411">
        <f>SUMIFS(Таблица1[Столбец1],Таблица1[коэф],"1",Таблица1[р/р],"3/8",Таблица1[Ф. И. О.],B594)</f>
        <v>0</v>
      </c>
      <c r="L590" s="461">
        <f t="shared" si="207"/>
        <v>0</v>
      </c>
      <c r="M590" s="411"/>
      <c r="N590" s="411">
        <v>1</v>
      </c>
      <c r="O590" s="411">
        <f>SUMIFS(Data_Tech!$AM$3:$AM$67,Data_Tech!$E$3:$E$67,"1",Data_Tech!$G$3:$G$67,"4/12",Data_Tech!$F$3:$F$67,B594)</f>
        <v>0</v>
      </c>
      <c r="P590" s="383">
        <f>ROUND(M590*O590,2)</f>
        <v>0</v>
      </c>
      <c r="Q590" s="366">
        <f>база!$L$5</f>
        <v>231.45480000000001</v>
      </c>
      <c r="R590" s="367">
        <v>1</v>
      </c>
      <c r="S590" s="377">
        <f>SUMIFS(Таблица1[Столбец1],Таблица1[коэф],"1",Таблица1[р/р],"4/16",Таблица1[Ф. И. О.],B594)</f>
        <v>0</v>
      </c>
      <c r="T590" s="469">
        <f t="shared" si="208"/>
        <v>0</v>
      </c>
      <c r="U590" s="455">
        <f>база!$M$5</f>
        <v>247.41720000000001</v>
      </c>
      <c r="V590" s="367">
        <v>1</v>
      </c>
      <c r="W590" s="389">
        <f>SUMIFS(Таблица1[Столбец1],Таблица1[коэф],"1",Таблица1[р/р],"4/24",Таблица1[Ф. И. О.],B594)</f>
        <v>0</v>
      </c>
      <c r="X590" s="469">
        <f t="shared" si="209"/>
        <v>0</v>
      </c>
      <c r="Y590" s="748"/>
      <c r="Z590" s="750"/>
      <c r="AA590" s="740"/>
    </row>
    <row r="591" spans="1:29" ht="18.75">
      <c r="A591" s="740"/>
      <c r="B591" s="201"/>
      <c r="C591" s="743"/>
      <c r="D591" s="746"/>
      <c r="E591" s="366"/>
      <c r="F591" s="367"/>
      <c r="G591" s="377"/>
      <c r="H591" s="369">
        <f t="shared" si="206"/>
        <v>0</v>
      </c>
      <c r="I591" s="409"/>
      <c r="J591" s="410"/>
      <c r="K591" s="411"/>
      <c r="L591" s="461">
        <f t="shared" si="207"/>
        <v>0</v>
      </c>
      <c r="M591" s="411"/>
      <c r="N591" s="411"/>
      <c r="O591" s="411"/>
      <c r="P591" s="383"/>
      <c r="Q591" s="366">
        <f>база!$L$6</f>
        <v>261.04640000000001</v>
      </c>
      <c r="R591" s="367">
        <v>1</v>
      </c>
      <c r="S591" s="377">
        <f>SUMIFS(Таблица1[Столбец1],Таблица1[коэф],"1",Таблица1[р/р],"5/16",Таблица1[Ф. И. О.],B594)</f>
        <v>0</v>
      </c>
      <c r="T591" s="469">
        <f t="shared" si="208"/>
        <v>0</v>
      </c>
      <c r="U591" s="455">
        <f>база!$M$6</f>
        <v>279.0496</v>
      </c>
      <c r="V591" s="367">
        <v>1</v>
      </c>
      <c r="W591" s="389">
        <f>SUMIFS(Таблица1[Столбец1],Таблица1[коэф],"1",Таблица1[р/р],"5/24",Таблица1[Ф. И. О.],B594)</f>
        <v>0</v>
      </c>
      <c r="X591" s="469">
        <f t="shared" si="209"/>
        <v>0</v>
      </c>
      <c r="Y591" s="748"/>
      <c r="Z591" s="750"/>
      <c r="AA591" s="740"/>
    </row>
    <row r="592" spans="1:29" ht="18.75">
      <c r="A592" s="740"/>
      <c r="B592" s="201"/>
      <c r="C592" s="743"/>
      <c r="D592" s="746"/>
      <c r="E592" s="366"/>
      <c r="F592" s="367"/>
      <c r="G592" s="377"/>
      <c r="H592" s="369">
        <f t="shared" si="206"/>
        <v>0</v>
      </c>
      <c r="I592" s="409">
        <f>база!$J$5</f>
        <v>215.4924</v>
      </c>
      <c r="J592" s="410">
        <v>1.5</v>
      </c>
      <c r="K592" s="411">
        <f>SUMIFS(Таблица1[Столбец1],Таблица1[коэф],"1,5",Таблица1[р/р],"4/8",Таблица1[Ф. И. О.],B594)</f>
        <v>0</v>
      </c>
      <c r="L592" s="461">
        <f t="shared" si="207"/>
        <v>0</v>
      </c>
      <c r="M592" s="411"/>
      <c r="N592" s="411"/>
      <c r="O592" s="411"/>
      <c r="P592" s="383"/>
      <c r="Q592" s="366">
        <f>IF(D589&lt;=3,база!$L$4,
IF(D589=4,база!$L$5,
IF(D589=5,база!$L$6)))</f>
        <v>210.57480000000001</v>
      </c>
      <c r="R592" s="367">
        <v>1.2</v>
      </c>
      <c r="S592" s="377">
        <f>SUMIFS(Таблица1[Столбец1],Таблица1[коэф],"1,2",Таблица1[р/р],"3/16",Таблица1[Ф. И. О.],B594)</f>
        <v>0</v>
      </c>
      <c r="T592" s="469">
        <f t="shared" si="208"/>
        <v>0</v>
      </c>
      <c r="U592" s="455">
        <f>IF(D589&lt;=3,база!$M$4,
IF(D589=4,база!$M$5,
IF(D589=5,база!$M$6)))</f>
        <v>225.09719999999999</v>
      </c>
      <c r="V592" s="367">
        <v>1.2</v>
      </c>
      <c r="W592" s="389">
        <f>SUMIFS(Таблица1[Столбец1],Таблица1[коэф],"1,2",Таблица1[р/р],"3/24",Таблица1[Ф. И. О.],B594)</f>
        <v>0</v>
      </c>
      <c r="X592" s="469">
        <f t="shared" si="209"/>
        <v>0</v>
      </c>
      <c r="Y592" s="748"/>
      <c r="Z592" s="750"/>
      <c r="AA592" s="740"/>
    </row>
    <row r="593" spans="1:29" ht="18.75">
      <c r="A593" s="740"/>
      <c r="B593" s="201"/>
      <c r="C593" s="743"/>
      <c r="D593" s="746"/>
      <c r="E593" s="366"/>
      <c r="F593" s="367"/>
      <c r="G593" s="377"/>
      <c r="H593" s="369">
        <f t="shared" si="206"/>
        <v>0</v>
      </c>
      <c r="I593" s="409">
        <f>база!$J$6</f>
        <v>243.04319999999998</v>
      </c>
      <c r="J593" s="410">
        <v>1.5</v>
      </c>
      <c r="K593" s="411">
        <f>SUMIFS(Таблица1[Столбец1],Таблица1[коэф],"1,5",Таблица1[р/р],"5/8",Таблица1[Ф. И. О.],B594)</f>
        <v>0</v>
      </c>
      <c r="L593" s="461">
        <f t="shared" si="207"/>
        <v>0</v>
      </c>
      <c r="M593" s="411"/>
      <c r="N593" s="411"/>
      <c r="O593" s="411"/>
      <c r="P593" s="383"/>
      <c r="Q593" s="366">
        <f>база!$L$5</f>
        <v>231.45480000000001</v>
      </c>
      <c r="R593" s="367">
        <v>1.2</v>
      </c>
      <c r="S593" s="377">
        <f>SUMIFS(Таблица1[Столбец1],Таблица1[коэф],"1,2",Таблица1[р/р],"4/16",Таблица1[Ф. И. О.],B594)</f>
        <v>0</v>
      </c>
      <c r="T593" s="469">
        <f t="shared" si="208"/>
        <v>0</v>
      </c>
      <c r="U593" s="455">
        <f>база!$M$5</f>
        <v>247.41720000000001</v>
      </c>
      <c r="V593" s="367">
        <v>1.2</v>
      </c>
      <c r="W593" s="389">
        <f>SUMIFS(Таблица1[Столбец1],Таблица1[коэф],"1,2",Таблица1[р/р],"4/24",Таблица1[Ф. И. О.],B594)</f>
        <v>0</v>
      </c>
      <c r="X593" s="469">
        <f t="shared" si="209"/>
        <v>0</v>
      </c>
      <c r="Y593" s="748"/>
      <c r="Z593" s="750"/>
      <c r="AA593" s="740"/>
    </row>
    <row r="594" spans="1:29" ht="18.75">
      <c r="A594" s="740"/>
      <c r="B594" s="201" t="str">
        <f>база!B55</f>
        <v>Новикова Александра Владимировна</v>
      </c>
      <c r="C594" s="743"/>
      <c r="D594" s="746"/>
      <c r="E594" s="366"/>
      <c r="F594" s="367"/>
      <c r="G594" s="377"/>
      <c r="H594" s="369">
        <f t="shared" si="206"/>
        <v>0</v>
      </c>
      <c r="I594" s="409"/>
      <c r="J594" s="410"/>
      <c r="K594" s="411"/>
      <c r="L594" s="461">
        <f t="shared" si="207"/>
        <v>0</v>
      </c>
      <c r="M594" s="411"/>
      <c r="N594" s="411"/>
      <c r="O594" s="411"/>
      <c r="P594" s="383"/>
      <c r="Q594" s="366">
        <f>база!$L$6</f>
        <v>261.04640000000001</v>
      </c>
      <c r="R594" s="367">
        <v>1.2</v>
      </c>
      <c r="S594" s="377">
        <f>SUMIFS(Таблица1[Столбец1],Таблица1[коэф],"1,2",Таблица1[р/р],"5/16",Таблица1[Ф. И. О.],B594)</f>
        <v>0</v>
      </c>
      <c r="T594" s="469">
        <f t="shared" si="208"/>
        <v>0</v>
      </c>
      <c r="U594" s="455">
        <f>база!$M$6</f>
        <v>279.0496</v>
      </c>
      <c r="V594" s="367">
        <v>1.2</v>
      </c>
      <c r="W594" s="389">
        <f>SUMIFS(Таблица1[Столбец1],Таблица1[коэф],"1,2",Таблица1[р/р],"5/24",Таблица1[Ф. И. О.],B594)</f>
        <v>0</v>
      </c>
      <c r="X594" s="469">
        <f t="shared" si="209"/>
        <v>0</v>
      </c>
      <c r="Y594" s="748"/>
      <c r="Z594" s="750"/>
      <c r="AA594" s="740"/>
      <c r="AC594" s="693" t="str">
        <f>IF(SUMIFS(Таблица1[Столбец3],Таблица1[Ф. И. О.],B594)-Z589=0,"",SUMIFS(Таблица1[Столбец3],Таблица1[Ф. И. О.],B594)-Z589)</f>
        <v/>
      </c>
    </row>
    <row r="595" spans="1:29" ht="18.75">
      <c r="A595" s="740"/>
      <c r="B595" s="201"/>
      <c r="C595" s="743"/>
      <c r="D595" s="746"/>
      <c r="E595" s="366"/>
      <c r="F595" s="367"/>
      <c r="G595" s="377"/>
      <c r="H595" s="369">
        <f t="shared" si="206"/>
        <v>0</v>
      </c>
      <c r="I595" s="409"/>
      <c r="J595" s="410"/>
      <c r="K595" s="411"/>
      <c r="L595" s="461">
        <f t="shared" si="207"/>
        <v>0</v>
      </c>
      <c r="M595" s="411"/>
      <c r="N595" s="411"/>
      <c r="O595" s="411"/>
      <c r="P595" s="383"/>
      <c r="Q595" s="366">
        <f>IF($D$6&lt;=3,база!$L$4,
IF($D$6=4,база!$L$5,
IF($D$6=5,база!$L$6)))</f>
        <v>231.45480000000001</v>
      </c>
      <c r="R595" s="367">
        <v>1.3</v>
      </c>
      <c r="S595" s="377">
        <f>SUMIFS(Таблица1[Столбец1],Таблица1[коэф],"1,3",Таблица1[р/р],"3/16",Таблица1[Ф. И. О.],B594)</f>
        <v>0</v>
      </c>
      <c r="T595" s="469">
        <f t="shared" si="208"/>
        <v>0</v>
      </c>
      <c r="U595" s="455">
        <f>IF(D589&lt;=3,база!$M$4,
IF(D589=4,база!$M$5,
IF(D589=5,база!$M$6)))</f>
        <v>225.09719999999999</v>
      </c>
      <c r="V595" s="367">
        <v>1.3</v>
      </c>
      <c r="W595" s="389">
        <f>SUMIFS(Таблица1[Столбец1],Таблица1[коэф],"1,3",Таблица1[р/р],"3/24",Таблица1[Ф. И. О.],B594)</f>
        <v>0</v>
      </c>
      <c r="X595" s="469">
        <f t="shared" si="209"/>
        <v>0</v>
      </c>
      <c r="Y595" s="748"/>
      <c r="Z595" s="750"/>
      <c r="AA595" s="740"/>
      <c r="AC595" s="693" t="str">
        <f>IF(SUMIFS(Таблица1[Столбец1],Таблица1[Ф. И. О.],B594)=Y589,"",B594&amp;"  часы не верны")</f>
        <v/>
      </c>
    </row>
    <row r="596" spans="1:29" ht="18.75">
      <c r="A596" s="740"/>
      <c r="B596" s="201"/>
      <c r="C596" s="743"/>
      <c r="D596" s="746"/>
      <c r="E596" s="366"/>
      <c r="F596" s="367"/>
      <c r="G596" s="377"/>
      <c r="H596" s="369">
        <f t="shared" si="206"/>
        <v>0</v>
      </c>
      <c r="I596" s="409"/>
      <c r="J596" s="410"/>
      <c r="K596" s="411"/>
      <c r="L596" s="461">
        <f t="shared" si="207"/>
        <v>0</v>
      </c>
      <c r="M596" s="411"/>
      <c r="N596" s="411"/>
      <c r="O596" s="411"/>
      <c r="P596" s="383"/>
      <c r="Q596" s="366">
        <f>база!$L$5</f>
        <v>231.45480000000001</v>
      </c>
      <c r="R596" s="367">
        <v>1.3</v>
      </c>
      <c r="S596" s="377">
        <f>SUMIFS(Таблица1[Столбец1],Таблица1[коэф],"1,3",Таблица1[р/р],"4/16",Таблица1[Ф. И. О.],B594)</f>
        <v>0</v>
      </c>
      <c r="T596" s="469">
        <f t="shared" si="208"/>
        <v>0</v>
      </c>
      <c r="U596" s="455">
        <f>база!$M$5</f>
        <v>247.41720000000001</v>
      </c>
      <c r="V596" s="367">
        <v>1.3</v>
      </c>
      <c r="W596" s="389">
        <f>SUMIFS(Таблица1[Столбец1],Таблица1[коэф],"1,3",Таблица1[р/р],"4/24",Таблица1[Ф. И. О.],B594)</f>
        <v>0</v>
      </c>
      <c r="X596" s="469">
        <f t="shared" si="209"/>
        <v>0</v>
      </c>
      <c r="Y596" s="748"/>
      <c r="Z596" s="750"/>
      <c r="AA596" s="740"/>
    </row>
    <row r="597" spans="1:29" ht="18.75">
      <c r="A597" s="740"/>
      <c r="B597" s="201"/>
      <c r="C597" s="743"/>
      <c r="D597" s="746"/>
      <c r="E597" s="366"/>
      <c r="F597" s="367"/>
      <c r="G597" s="377"/>
      <c r="H597" s="369">
        <f t="shared" si="206"/>
        <v>0</v>
      </c>
      <c r="I597" s="409"/>
      <c r="J597" s="410"/>
      <c r="K597" s="411"/>
      <c r="L597" s="461">
        <f t="shared" si="207"/>
        <v>0</v>
      </c>
      <c r="M597" s="411"/>
      <c r="N597" s="411"/>
      <c r="O597" s="411"/>
      <c r="P597" s="383"/>
      <c r="Q597" s="366">
        <f>IF(D589&lt;=3,база!$L$4,
IF(D589=4,база!$L$5,
IF(D589=5,база!$L$6)))</f>
        <v>210.57480000000001</v>
      </c>
      <c r="R597" s="367">
        <v>1.4</v>
      </c>
      <c r="S597" s="377">
        <f>SUMIFS(Таблица1[Столбец1],Таблица1[коэф],"1,4",Таблица1[р/р],"3/16",Таблица1[Ф. И. О.],B594)</f>
        <v>0</v>
      </c>
      <c r="T597" s="469">
        <f t="shared" si="208"/>
        <v>0</v>
      </c>
      <c r="U597" s="455">
        <f>IF(D589&lt;=3,база!$M$4,
IF(D589=4,база!$M$5,
IF(D589=5,база!$M$6)))</f>
        <v>225.09719999999999</v>
      </c>
      <c r="V597" s="367">
        <v>1.4</v>
      </c>
      <c r="W597" s="389">
        <f>SUMIFS(Таблица1[Столбец1],Таблица1[коэф],"1,4",Таблица1[р/р],"3/24",Таблица1[Ф. И. О.],B594)</f>
        <v>0</v>
      </c>
      <c r="X597" s="469">
        <f t="shared" si="209"/>
        <v>0</v>
      </c>
      <c r="Y597" s="748"/>
      <c r="Z597" s="750"/>
      <c r="AA597" s="740"/>
    </row>
    <row r="598" spans="1:29" ht="18.75">
      <c r="A598" s="740"/>
      <c r="B598" s="201"/>
      <c r="C598" s="743"/>
      <c r="D598" s="746"/>
      <c r="E598" s="366"/>
      <c r="F598" s="367"/>
      <c r="G598" s="377"/>
      <c r="H598" s="369">
        <f t="shared" si="206"/>
        <v>0</v>
      </c>
      <c r="I598" s="409"/>
      <c r="J598" s="410"/>
      <c r="K598" s="411"/>
      <c r="L598" s="461">
        <f t="shared" si="207"/>
        <v>0</v>
      </c>
      <c r="M598" s="411"/>
      <c r="N598" s="411"/>
      <c r="O598" s="411"/>
      <c r="P598" s="383"/>
      <c r="Q598" s="366">
        <f>база!$L$5</f>
        <v>231.45480000000001</v>
      </c>
      <c r="R598" s="367">
        <v>1.4</v>
      </c>
      <c r="S598" s="377">
        <f>SUMIFS(Таблица1[Столбец1],Таблица1[коэф],"1,4",Таблица1[р/р],"4/16",Таблица1[Ф. И. О.],B594)</f>
        <v>0</v>
      </c>
      <c r="T598" s="469">
        <f t="shared" si="208"/>
        <v>0</v>
      </c>
      <c r="U598" s="455">
        <f>база!$M$5</f>
        <v>247.41720000000001</v>
      </c>
      <c r="V598" s="367">
        <v>1.4</v>
      </c>
      <c r="W598" s="389">
        <f>SUMIFS(Таблица1[Столбец1],Таблица1[коэф],"1,4",Таблица1[р/р],"4/24",Таблица1[Ф. И. О.],B594)</f>
        <v>0</v>
      </c>
      <c r="X598" s="469">
        <f t="shared" si="209"/>
        <v>0</v>
      </c>
      <c r="Y598" s="748"/>
      <c r="Z598" s="750"/>
      <c r="AA598" s="740"/>
    </row>
    <row r="599" spans="1:29" ht="19.5" thickBot="1">
      <c r="A599" s="741"/>
      <c r="B599" s="188"/>
      <c r="C599" s="744"/>
      <c r="D599" s="747"/>
      <c r="E599" s="450"/>
      <c r="F599" s="441"/>
      <c r="G599" s="442"/>
      <c r="H599" s="417">
        <f t="shared" si="206"/>
        <v>0</v>
      </c>
      <c r="I599" s="443"/>
      <c r="J599" s="433"/>
      <c r="K599" s="434"/>
      <c r="L599" s="461">
        <f t="shared" si="207"/>
        <v>0</v>
      </c>
      <c r="M599" s="434"/>
      <c r="N599" s="434"/>
      <c r="O599" s="434"/>
      <c r="P599" s="453"/>
      <c r="Q599" s="450">
        <f>база!$L$6</f>
        <v>261.04640000000001</v>
      </c>
      <c r="R599" s="441">
        <v>1.4</v>
      </c>
      <c r="S599" s="442">
        <f>SUMIFS(Таблица1[Столбец1],Таблица1[коэф],"1,4",Таблица1[р/р],"5/16",Таблица1[Ф. И. О.],B594)</f>
        <v>0</v>
      </c>
      <c r="T599" s="469">
        <f t="shared" si="208"/>
        <v>0</v>
      </c>
      <c r="U599" s="457">
        <f>база!$M$6</f>
        <v>279.0496</v>
      </c>
      <c r="V599" s="441">
        <v>1.4</v>
      </c>
      <c r="W599" s="447">
        <f>SUMIFS(Таблица1[Столбец1],Таблица1[коэф],"1,4",Таблица1[р/р],"5/24",Таблица1[Ф. И. О.],B594)</f>
        <v>0</v>
      </c>
      <c r="X599" s="469">
        <f t="shared" si="209"/>
        <v>0</v>
      </c>
      <c r="Y599" s="749"/>
      <c r="Z599" s="751"/>
      <c r="AA599" s="741"/>
    </row>
    <row r="600" spans="1:29" ht="18.75">
      <c r="A600" s="739">
        <v>55</v>
      </c>
      <c r="B600" s="219"/>
      <c r="C600" s="742">
        <f>INDEX(база!$E$2:$E$81, MATCH(B605,база!$B$2:$B$60,0))</f>
        <v>16950</v>
      </c>
      <c r="D600" s="745">
        <f>INDEX(база!$D$2:$D$89, MATCH(B605,база!$B$2:$B$60,0))</f>
        <v>3</v>
      </c>
      <c r="E600" s="354">
        <f>IF(D600&lt;=3,база!$I$4,
IF(D600=4,база!$I$5,
IF(D600=5,база!$I$6)))</f>
        <v>188.7912</v>
      </c>
      <c r="F600" s="355">
        <v>1</v>
      </c>
      <c r="G600" s="364">
        <f>SUMIFS(Таблица1[Столбец1],Таблица1[коэф],"1",Таблица1[р/р],"2/4",Таблица1[Ф. И. О.],B605)</f>
        <v>0</v>
      </c>
      <c r="H600" s="357">
        <f t="shared" ref="H600:H610" si="212">ROUND(E600*F600*G600*2,2)</f>
        <v>0</v>
      </c>
      <c r="I600" s="403">
        <f>IF(D600&lt;=3,база!$J$4,
IF(D600=4,база!$J$5,
IF(D600=5,база!$J$6)))</f>
        <v>196.05240000000001</v>
      </c>
      <c r="J600" s="404">
        <v>1</v>
      </c>
      <c r="K600" s="405">
        <f>SUMIFS(Таблица1[Столбец1],Таблица1[коэф],"1",Таблица1[р/р],"2/8",Таблица1[Ф. И. О.],B605)</f>
        <v>0</v>
      </c>
      <c r="L600" s="360">
        <f t="shared" ref="L600:L610" si="213">ROUND(I600*J600*K600*2,2)</f>
        <v>0</v>
      </c>
      <c r="M600" s="405"/>
      <c r="N600" s="405">
        <v>1</v>
      </c>
      <c r="O600" s="405">
        <f>SUMIFS(Data_Tech!$AM$3:$AM$67,Data_Tech!$E$3:$E$67,"1",Data_Tech!$G$3:$G$67,"3/12",Data_Tech!$F$3:$F$67,B605)</f>
        <v>0</v>
      </c>
      <c r="P600" s="362">
        <f>ROUND(M600*N600*O600,2)</f>
        <v>0</v>
      </c>
      <c r="Q600" s="354">
        <f>IF(D600&lt;=3,база!$L$4,
IF(D600=4,база!$L$5,
IF(D600=5,база!$L$6)))</f>
        <v>210.57480000000001</v>
      </c>
      <c r="R600" s="355">
        <v>1</v>
      </c>
      <c r="S600" s="364">
        <f>SUMIFS(Таблица1[Столбец1],Таблица1[коэф],"1",Таблица1[р/р],"3/16",Таблица1[Ф. И. О.],B605)</f>
        <v>0</v>
      </c>
      <c r="T600" s="467">
        <f t="shared" ref="T600:T610" si="214">ROUND(Q600*R600*S600*2,2)</f>
        <v>0</v>
      </c>
      <c r="U600" s="454">
        <f>IF(D600&lt;=3,база!$M$4,
IF(D600=4,база!$M$5,
IF(D600=5,база!$M$6)))</f>
        <v>225.09719999999999</v>
      </c>
      <c r="V600" s="355">
        <v>1</v>
      </c>
      <c r="W600" s="407">
        <f>SUMIFS(Таблица1[Столбец1],Таблица1[коэф],"1",Таблица1[р/р],"3/24",Таблица1[Ф. И. О.],B605)</f>
        <v>0</v>
      </c>
      <c r="X600" s="467">
        <f t="shared" ref="X600:X610" si="215">ROUND(U600*V600*W600*2,2)</f>
        <v>0</v>
      </c>
      <c r="Y600" s="748">
        <f t="shared" ref="Y600" si="216">SUM(G600:G610,K600:K610,O600:O610,S600:S610,W600:W610)</f>
        <v>0</v>
      </c>
      <c r="Z600" s="750">
        <f t="shared" ref="Z600" si="217">IFERROR(SUM(H600:H610,L600:L610,T600:T610,X600:X610),"")</f>
        <v>0</v>
      </c>
      <c r="AA600" s="740"/>
    </row>
    <row r="601" spans="1:29" ht="18.75">
      <c r="A601" s="740"/>
      <c r="B601" s="201"/>
      <c r="C601" s="743"/>
      <c r="D601" s="746"/>
      <c r="E601" s="366">
        <f>IF(D600&lt;=3,база!$I$4,
IF(D600=4,база!$I$5,
IF(D600=5,база!$I$6)))</f>
        <v>188.7912</v>
      </c>
      <c r="F601" s="367">
        <v>1</v>
      </c>
      <c r="G601" s="377">
        <f>SUMIFS(Таблица1[Столбец1],Таблица1[коэф],"1",Таблица1[р/р],"3/4",Таблица1[Ф. И. О.],B605)</f>
        <v>0</v>
      </c>
      <c r="H601" s="369">
        <f t="shared" si="212"/>
        <v>0</v>
      </c>
      <c r="I601" s="409">
        <f>IF(D600&lt;=3,база!$J$4,
IF(D600=4,база!$J$5,
IF(D600=5,база!$J$6)))</f>
        <v>196.05240000000001</v>
      </c>
      <c r="J601" s="410">
        <v>1</v>
      </c>
      <c r="K601" s="411">
        <f>SUMIFS(Таблица1[Столбец1],Таблица1[коэф],"1",Таблица1[р/р],"3/8",Таблица1[Ф. И. О.],B605)</f>
        <v>0</v>
      </c>
      <c r="L601" s="461">
        <f t="shared" si="213"/>
        <v>0</v>
      </c>
      <c r="M601" s="411"/>
      <c r="N601" s="411">
        <v>1</v>
      </c>
      <c r="O601" s="411">
        <f>SUMIFS(Data_Tech!$AM$3:$AM$67,Data_Tech!$E$3:$E$67,"1",Data_Tech!$G$3:$G$67,"4/12",Data_Tech!$F$3:$F$67,B605)</f>
        <v>0</v>
      </c>
      <c r="P601" s="383">
        <f>ROUND(M601*O601,2)</f>
        <v>0</v>
      </c>
      <c r="Q601" s="366">
        <f>база!$L$5</f>
        <v>231.45480000000001</v>
      </c>
      <c r="R601" s="367">
        <v>1</v>
      </c>
      <c r="S601" s="377">
        <f>SUMIFS(Таблица1[Столбец1],Таблица1[коэф],"1",Таблица1[р/р],"4/16",Таблица1[Ф. И. О.],B605)</f>
        <v>0</v>
      </c>
      <c r="T601" s="469">
        <f t="shared" si="214"/>
        <v>0</v>
      </c>
      <c r="U601" s="455">
        <f>база!$M$5</f>
        <v>247.41720000000001</v>
      </c>
      <c r="V601" s="367">
        <v>1</v>
      </c>
      <c r="W601" s="389">
        <f>SUMIFS(Таблица1[Столбец1],Таблица1[коэф],"1",Таблица1[р/р],"4/24",Таблица1[Ф. И. О.],B605)</f>
        <v>0</v>
      </c>
      <c r="X601" s="469">
        <f t="shared" si="215"/>
        <v>0</v>
      </c>
      <c r="Y601" s="748"/>
      <c r="Z601" s="750"/>
      <c r="AA601" s="740"/>
    </row>
    <row r="602" spans="1:29" ht="18.75">
      <c r="A602" s="740"/>
      <c r="B602" s="201"/>
      <c r="C602" s="743"/>
      <c r="D602" s="746"/>
      <c r="E602" s="366"/>
      <c r="F602" s="367"/>
      <c r="G602" s="377"/>
      <c r="H602" s="369">
        <f t="shared" si="212"/>
        <v>0</v>
      </c>
      <c r="I602" s="409"/>
      <c r="J602" s="410"/>
      <c r="K602" s="411"/>
      <c r="L602" s="461">
        <f t="shared" si="213"/>
        <v>0</v>
      </c>
      <c r="M602" s="411"/>
      <c r="N602" s="411"/>
      <c r="O602" s="411"/>
      <c r="P602" s="383"/>
      <c r="Q602" s="366">
        <f>база!$L$6</f>
        <v>261.04640000000001</v>
      </c>
      <c r="R602" s="367">
        <v>1</v>
      </c>
      <c r="S602" s="377">
        <f>SUMIFS(Таблица1[Столбец1],Таблица1[коэф],"1",Таблица1[р/р],"5/16",Таблица1[Ф. И. О.],B605)</f>
        <v>0</v>
      </c>
      <c r="T602" s="469">
        <f t="shared" si="214"/>
        <v>0</v>
      </c>
      <c r="U602" s="455">
        <f>база!$M$6</f>
        <v>279.0496</v>
      </c>
      <c r="V602" s="367">
        <v>1</v>
      </c>
      <c r="W602" s="389">
        <f>SUMIFS(Таблица1[Столбец1],Таблица1[коэф],"1",Таблица1[р/р],"5/24",Таблица1[Ф. И. О.],B605)</f>
        <v>0</v>
      </c>
      <c r="X602" s="469">
        <f t="shared" si="215"/>
        <v>0</v>
      </c>
      <c r="Y602" s="748"/>
      <c r="Z602" s="750"/>
      <c r="AA602" s="740"/>
    </row>
    <row r="603" spans="1:29" ht="18.75">
      <c r="A603" s="740"/>
      <c r="B603" s="201"/>
      <c r="C603" s="743"/>
      <c r="D603" s="746"/>
      <c r="E603" s="366"/>
      <c r="F603" s="367"/>
      <c r="G603" s="377"/>
      <c r="H603" s="369">
        <f t="shared" si="212"/>
        <v>0</v>
      </c>
      <c r="I603" s="409">
        <f>база!$J$5</f>
        <v>215.4924</v>
      </c>
      <c r="J603" s="410">
        <v>1.5</v>
      </c>
      <c r="K603" s="411">
        <f>SUMIFS(Таблица1[Столбец1],Таблица1[коэф],"1,5",Таблица1[р/р],"4/8",Таблица1[Ф. И. О.],B605)</f>
        <v>0</v>
      </c>
      <c r="L603" s="461">
        <f t="shared" si="213"/>
        <v>0</v>
      </c>
      <c r="M603" s="411"/>
      <c r="N603" s="411"/>
      <c r="O603" s="411"/>
      <c r="P603" s="383"/>
      <c r="Q603" s="366">
        <f>IF(D600&lt;=3,база!$L$4,
IF(D600=4,база!$L$5,
IF(D600=5,база!$L$6)))</f>
        <v>210.57480000000001</v>
      </c>
      <c r="R603" s="367">
        <v>1.2</v>
      </c>
      <c r="S603" s="377">
        <f>SUMIFS(Таблица1[Столбец1],Таблица1[коэф],"1,2",Таблица1[р/р],"3/16",Таблица1[Ф. И. О.],B605)</f>
        <v>0</v>
      </c>
      <c r="T603" s="469">
        <f t="shared" si="214"/>
        <v>0</v>
      </c>
      <c r="U603" s="455">
        <f>IF(D600&lt;=3,база!$M$4,
IF(D600=4,база!$M$5,
IF(D600=5,база!$M$6)))</f>
        <v>225.09719999999999</v>
      </c>
      <c r="V603" s="367">
        <v>1.2</v>
      </c>
      <c r="W603" s="389">
        <f>SUMIFS(Таблица1[Столбец1],Таблица1[коэф],"1,2",Таблица1[р/р],"3/24",Таблица1[Ф. И. О.],B605)</f>
        <v>0</v>
      </c>
      <c r="X603" s="469">
        <f t="shared" si="215"/>
        <v>0</v>
      </c>
      <c r="Y603" s="748"/>
      <c r="Z603" s="750"/>
      <c r="AA603" s="740"/>
    </row>
    <row r="604" spans="1:29" ht="18.75">
      <c r="A604" s="740"/>
      <c r="B604" s="201"/>
      <c r="C604" s="743"/>
      <c r="D604" s="746"/>
      <c r="E604" s="366"/>
      <c r="F604" s="367"/>
      <c r="G604" s="377"/>
      <c r="H604" s="369">
        <f t="shared" si="212"/>
        <v>0</v>
      </c>
      <c r="I604" s="409">
        <f>база!$J$6</f>
        <v>243.04319999999998</v>
      </c>
      <c r="J604" s="410">
        <v>1.5</v>
      </c>
      <c r="K604" s="411">
        <f>SUMIFS(Таблица1[Столбец1],Таблица1[коэф],"1,5",Таблица1[р/р],"5/8",Таблица1[Ф. И. О.],B605)</f>
        <v>0</v>
      </c>
      <c r="L604" s="461">
        <f t="shared" si="213"/>
        <v>0</v>
      </c>
      <c r="M604" s="411"/>
      <c r="N604" s="411"/>
      <c r="O604" s="411"/>
      <c r="P604" s="383"/>
      <c r="Q604" s="366">
        <f>база!$L$5</f>
        <v>231.45480000000001</v>
      </c>
      <c r="R604" s="367">
        <v>1.2</v>
      </c>
      <c r="S604" s="377">
        <f>SUMIFS(Таблица1[Столбец1],Таблица1[коэф],"1,2",Таблица1[р/р],"4/16",Таблица1[Ф. И. О.],B605)</f>
        <v>0</v>
      </c>
      <c r="T604" s="469">
        <f t="shared" si="214"/>
        <v>0</v>
      </c>
      <c r="U604" s="455">
        <f>база!$M$5</f>
        <v>247.41720000000001</v>
      </c>
      <c r="V604" s="367">
        <v>1.2</v>
      </c>
      <c r="W604" s="389">
        <f>SUMIFS(Таблица1[Столбец1],Таблица1[коэф],"1,2",Таблица1[р/р],"4/24",Таблица1[Ф. И. О.],B605)</f>
        <v>0</v>
      </c>
      <c r="X604" s="469">
        <f t="shared" si="215"/>
        <v>0</v>
      </c>
      <c r="Y604" s="748"/>
      <c r="Z604" s="750"/>
      <c r="AA604" s="740"/>
    </row>
    <row r="605" spans="1:29" ht="18.75">
      <c r="A605" s="740"/>
      <c r="B605" s="201" t="str">
        <f>база!B56</f>
        <v>Овчинников Глеб Эдуардович</v>
      </c>
      <c r="C605" s="743"/>
      <c r="D605" s="746"/>
      <c r="E605" s="366"/>
      <c r="F605" s="367"/>
      <c r="G605" s="377"/>
      <c r="H605" s="369">
        <f t="shared" si="212"/>
        <v>0</v>
      </c>
      <c r="I605" s="409"/>
      <c r="J605" s="410"/>
      <c r="K605" s="411"/>
      <c r="L605" s="461">
        <f t="shared" si="213"/>
        <v>0</v>
      </c>
      <c r="M605" s="411"/>
      <c r="N605" s="411"/>
      <c r="O605" s="411"/>
      <c r="P605" s="383"/>
      <c r="Q605" s="366">
        <f>база!$L$6</f>
        <v>261.04640000000001</v>
      </c>
      <c r="R605" s="367">
        <v>1.2</v>
      </c>
      <c r="S605" s="377">
        <f>SUMIFS(Таблица1[Столбец1],Таблица1[коэф],"1,2",Таблица1[р/р],"5/16",Таблица1[Ф. И. О.],B605)</f>
        <v>0</v>
      </c>
      <c r="T605" s="469">
        <f t="shared" si="214"/>
        <v>0</v>
      </c>
      <c r="U605" s="455">
        <f>база!$M$6</f>
        <v>279.0496</v>
      </c>
      <c r="V605" s="367">
        <v>1.2</v>
      </c>
      <c r="W605" s="389">
        <f>SUMIFS(Таблица1[Столбец1],Таблица1[коэф],"1,2",Таблица1[р/р],"5/24",Таблица1[Ф. И. О.],B605)</f>
        <v>0</v>
      </c>
      <c r="X605" s="469">
        <f t="shared" si="215"/>
        <v>0</v>
      </c>
      <c r="Y605" s="748"/>
      <c r="Z605" s="750"/>
      <c r="AA605" s="740"/>
      <c r="AC605" s="693" t="str">
        <f>IF(SUMIFS(Таблица1[Столбец3],Таблица1[Ф. И. О.],B605)-Z600=0,"",SUMIFS(Таблица1[Столбец3],Таблица1[Ф. И. О.],B605)-Z600)</f>
        <v/>
      </c>
    </row>
    <row r="606" spans="1:29" ht="18.75">
      <c r="A606" s="740"/>
      <c r="B606" s="201"/>
      <c r="C606" s="743"/>
      <c r="D606" s="746"/>
      <c r="E606" s="366"/>
      <c r="F606" s="367"/>
      <c r="G606" s="377"/>
      <c r="H606" s="369">
        <f t="shared" si="212"/>
        <v>0</v>
      </c>
      <c r="I606" s="409"/>
      <c r="J606" s="410"/>
      <c r="K606" s="411"/>
      <c r="L606" s="461">
        <f t="shared" si="213"/>
        <v>0</v>
      </c>
      <c r="M606" s="411"/>
      <c r="N606" s="411"/>
      <c r="O606" s="411"/>
      <c r="P606" s="383"/>
      <c r="Q606" s="366">
        <f>IF($D$6&lt;=3,база!$L$4,
IF($D$6=4,база!$L$5,
IF($D$6=5,база!$L$6)))</f>
        <v>231.45480000000001</v>
      </c>
      <c r="R606" s="367">
        <v>1.3</v>
      </c>
      <c r="S606" s="377">
        <f>SUMIFS(Таблица1[Столбец1],Таблица1[коэф],"1,3",Таблица1[р/р],"3/16",Таблица1[Ф. И. О.],B605)</f>
        <v>0</v>
      </c>
      <c r="T606" s="469">
        <f t="shared" si="214"/>
        <v>0</v>
      </c>
      <c r="U606" s="455">
        <f>IF(D600&lt;=3,база!$M$4,
IF(D600=4,база!$M$5,
IF(D600=5,база!$M$6)))</f>
        <v>225.09719999999999</v>
      </c>
      <c r="V606" s="367">
        <v>1.3</v>
      </c>
      <c r="W606" s="389">
        <f>SUMIFS(Таблица1[Столбец1],Таблица1[коэф],"1,3",Таблица1[р/р],"3/24",Таблица1[Ф. И. О.],B605)</f>
        <v>0</v>
      </c>
      <c r="X606" s="469">
        <f t="shared" si="215"/>
        <v>0</v>
      </c>
      <c r="Y606" s="748"/>
      <c r="Z606" s="750"/>
      <c r="AA606" s="740"/>
      <c r="AC606" s="693" t="str">
        <f>IF(SUMIFS(Таблица1[Столбец1],Таблица1[Ф. И. О.],B605)=Y600,"",B605&amp;"  часы не верны")</f>
        <v/>
      </c>
    </row>
    <row r="607" spans="1:29" ht="18.75">
      <c r="A607" s="740"/>
      <c r="B607" s="201"/>
      <c r="C607" s="743"/>
      <c r="D607" s="746"/>
      <c r="E607" s="366"/>
      <c r="F607" s="367"/>
      <c r="G607" s="377"/>
      <c r="H607" s="369">
        <f t="shared" si="212"/>
        <v>0</v>
      </c>
      <c r="I607" s="409"/>
      <c r="J607" s="410"/>
      <c r="K607" s="411"/>
      <c r="L607" s="461">
        <f t="shared" si="213"/>
        <v>0</v>
      </c>
      <c r="M607" s="411"/>
      <c r="N607" s="411"/>
      <c r="O607" s="411"/>
      <c r="P607" s="383"/>
      <c r="Q607" s="366">
        <f>база!$L$5</f>
        <v>231.45480000000001</v>
      </c>
      <c r="R607" s="367">
        <v>1.3</v>
      </c>
      <c r="S607" s="377">
        <f>SUMIFS(Таблица1[Столбец1],Таблица1[коэф],"1,3",Таблица1[р/р],"4/16",Таблица1[Ф. И. О.],B605)</f>
        <v>0</v>
      </c>
      <c r="T607" s="469">
        <f t="shared" si="214"/>
        <v>0</v>
      </c>
      <c r="U607" s="455">
        <f>база!$M$5</f>
        <v>247.41720000000001</v>
      </c>
      <c r="V607" s="367">
        <v>1.3</v>
      </c>
      <c r="W607" s="389">
        <f>SUMIFS(Таблица1[Столбец1],Таблица1[коэф],"1,3",Таблица1[р/р],"4/24",Таблица1[Ф. И. О.],B605)</f>
        <v>0</v>
      </c>
      <c r="X607" s="469">
        <f t="shared" si="215"/>
        <v>0</v>
      </c>
      <c r="Y607" s="748"/>
      <c r="Z607" s="750"/>
      <c r="AA607" s="740"/>
    </row>
    <row r="608" spans="1:29" ht="18.75">
      <c r="A608" s="740"/>
      <c r="B608" s="201"/>
      <c r="C608" s="743"/>
      <c r="D608" s="746"/>
      <c r="E608" s="366"/>
      <c r="F608" s="367"/>
      <c r="G608" s="377"/>
      <c r="H608" s="369">
        <f t="shared" si="212"/>
        <v>0</v>
      </c>
      <c r="I608" s="409"/>
      <c r="J608" s="410"/>
      <c r="K608" s="411"/>
      <c r="L608" s="461">
        <f t="shared" si="213"/>
        <v>0</v>
      </c>
      <c r="M608" s="411"/>
      <c r="N608" s="411"/>
      <c r="O608" s="411"/>
      <c r="P608" s="383"/>
      <c r="Q608" s="366">
        <f>IF(D600&lt;=3,база!$L$4,
IF(D600=4,база!$L$5,
IF(D600=5,база!$L$6)))</f>
        <v>210.57480000000001</v>
      </c>
      <c r="R608" s="367">
        <v>1.4</v>
      </c>
      <c r="S608" s="377">
        <f>SUMIFS(Таблица1[Столбец1],Таблица1[коэф],"1,4",Таблица1[р/р],"3/16",Таблица1[Ф. И. О.],B605)</f>
        <v>0</v>
      </c>
      <c r="T608" s="469">
        <f t="shared" si="214"/>
        <v>0</v>
      </c>
      <c r="U608" s="455">
        <f>IF(D600&lt;=3,база!$M$4,
IF(D600=4,база!$M$5,
IF(D600=5,база!$M$6)))</f>
        <v>225.09719999999999</v>
      </c>
      <c r="V608" s="367">
        <v>1.4</v>
      </c>
      <c r="W608" s="389">
        <f>SUMIFS(Таблица1[Столбец1],Таблица1[коэф],"1,4",Таблица1[р/р],"3/24",Таблица1[Ф. И. О.],B605)</f>
        <v>0</v>
      </c>
      <c r="X608" s="469">
        <f t="shared" si="215"/>
        <v>0</v>
      </c>
      <c r="Y608" s="748"/>
      <c r="Z608" s="750"/>
      <c r="AA608" s="740"/>
    </row>
    <row r="609" spans="1:29" ht="18.75">
      <c r="A609" s="740"/>
      <c r="B609" s="201"/>
      <c r="C609" s="743"/>
      <c r="D609" s="746"/>
      <c r="E609" s="366"/>
      <c r="F609" s="367"/>
      <c r="G609" s="377"/>
      <c r="H609" s="369">
        <f t="shared" si="212"/>
        <v>0</v>
      </c>
      <c r="I609" s="409"/>
      <c r="J609" s="410"/>
      <c r="K609" s="411"/>
      <c r="L609" s="461">
        <f t="shared" si="213"/>
        <v>0</v>
      </c>
      <c r="M609" s="411"/>
      <c r="N609" s="411"/>
      <c r="O609" s="411"/>
      <c r="P609" s="383"/>
      <c r="Q609" s="366">
        <f>база!$L$5</f>
        <v>231.45480000000001</v>
      </c>
      <c r="R609" s="367">
        <v>1.4</v>
      </c>
      <c r="S609" s="377">
        <f>SUMIFS(Таблица1[Столбец1],Таблица1[коэф],"1,4",Таблица1[р/р],"4/16",Таблица1[Ф. И. О.],B605)</f>
        <v>0</v>
      </c>
      <c r="T609" s="469">
        <f t="shared" si="214"/>
        <v>0</v>
      </c>
      <c r="U609" s="455">
        <f>база!$M$5</f>
        <v>247.41720000000001</v>
      </c>
      <c r="V609" s="367">
        <v>1.4</v>
      </c>
      <c r="W609" s="389">
        <f>SUMIFS(Таблица1[Столбец1],Таблица1[коэф],"1,4",Таблица1[р/р],"4/24",Таблица1[Ф. И. О.],B605)</f>
        <v>0</v>
      </c>
      <c r="X609" s="469">
        <f t="shared" si="215"/>
        <v>0</v>
      </c>
      <c r="Y609" s="748"/>
      <c r="Z609" s="750"/>
      <c r="AA609" s="740"/>
    </row>
    <row r="610" spans="1:29" ht="19.5" thickBot="1">
      <c r="A610" s="741"/>
      <c r="B610" s="188"/>
      <c r="C610" s="744"/>
      <c r="D610" s="747"/>
      <c r="E610" s="450"/>
      <c r="F610" s="441"/>
      <c r="G610" s="442"/>
      <c r="H610" s="379">
        <f t="shared" si="212"/>
        <v>0</v>
      </c>
      <c r="I610" s="443"/>
      <c r="J610" s="433"/>
      <c r="K610" s="434"/>
      <c r="L610" s="461">
        <f t="shared" si="213"/>
        <v>0</v>
      </c>
      <c r="M610" s="434"/>
      <c r="N610" s="434"/>
      <c r="O610" s="434"/>
      <c r="P610" s="453"/>
      <c r="Q610" s="450">
        <f>база!$L$6</f>
        <v>261.04640000000001</v>
      </c>
      <c r="R610" s="441">
        <v>1.4</v>
      </c>
      <c r="S610" s="442">
        <f>SUMIFS(Таблица1[Столбец1],Таблица1[коэф],"1,4",Таблица1[р/р],"5/16",Таблица1[Ф. И. О.],B605)</f>
        <v>0</v>
      </c>
      <c r="T610" s="469">
        <f t="shared" si="214"/>
        <v>0</v>
      </c>
      <c r="U610" s="457">
        <f>база!$M$6</f>
        <v>279.0496</v>
      </c>
      <c r="V610" s="441">
        <v>1.4</v>
      </c>
      <c r="W610" s="447">
        <f>SUMIFS(Таблица1[Столбец1],Таблица1[коэф],"1,4",Таблица1[р/р],"5/24",Таблица1[Ф. И. О.],B605)</f>
        <v>0</v>
      </c>
      <c r="X610" s="469">
        <f t="shared" si="215"/>
        <v>0</v>
      </c>
      <c r="Y610" s="749"/>
      <c r="Z610" s="751"/>
      <c r="AA610" s="741"/>
    </row>
    <row r="611" spans="1:29" ht="18.75">
      <c r="A611" s="739">
        <v>56</v>
      </c>
      <c r="B611" s="219"/>
      <c r="C611" s="742">
        <f>INDEX(база!$E$2:$E$81, MATCH(B616,база!$B$2:$B$60,0))</f>
        <v>16311</v>
      </c>
      <c r="D611" s="745">
        <f>INDEX(база!$D$2:$D$89, MATCH(B616,база!$B$2:$B$60,0))</f>
        <v>3</v>
      </c>
      <c r="E611" s="354">
        <f>IF(D611&lt;=3,база!$I$4,
IF(D611=4,база!$I$5,
IF(D611=5,база!$I$6)))</f>
        <v>188.7912</v>
      </c>
      <c r="F611" s="355">
        <v>1</v>
      </c>
      <c r="G611" s="364">
        <f>SUMIFS(Таблица1[Столбец1],Таблица1[коэф],"1",Таблица1[р/р],"2/4",Таблица1[Ф. И. О.],B616)</f>
        <v>0</v>
      </c>
      <c r="H611" s="379">
        <f t="shared" ref="H611:H621" si="218">ROUND(E611*F611*G611*2,2)</f>
        <v>0</v>
      </c>
      <c r="I611" s="403">
        <f>IF(D611&lt;=3,база!$J$4,
IF(D611=4,база!$J$5,
IF(D611=5,база!$J$6)))</f>
        <v>196.05240000000001</v>
      </c>
      <c r="J611" s="404">
        <v>1</v>
      </c>
      <c r="K611" s="405">
        <f>SUMIFS(Таблица1[Столбец1],Таблица1[коэф],"1",Таблица1[р/р],"2/8",Таблица1[Ф. И. О.],B616)</f>
        <v>0</v>
      </c>
      <c r="L611" s="360">
        <f t="shared" ref="L611:L621" si="219">ROUND(I611*J611*K611*2,2)</f>
        <v>0</v>
      </c>
      <c r="M611" s="405"/>
      <c r="N611" s="405">
        <v>1</v>
      </c>
      <c r="O611" s="405">
        <f>SUMIFS(Data_Tech!$AM$3:$AM$67,Data_Tech!$E$3:$E$67,"1",Data_Tech!$G$3:$G$67,"3/12",Data_Tech!$F$3:$F$67,B616)</f>
        <v>0</v>
      </c>
      <c r="P611" s="362">
        <f>ROUND(M611*N611*O611,2)</f>
        <v>0</v>
      </c>
      <c r="Q611" s="354">
        <f>IF(D611&lt;=3,база!$L$4,
IF(D611=4,база!$L$5,
IF(D611=5,база!$L$6)))</f>
        <v>210.57480000000001</v>
      </c>
      <c r="R611" s="355">
        <v>1</v>
      </c>
      <c r="S611" s="364">
        <f>SUMIFS(Таблица1[Столбец1],Таблица1[коэф],"1",Таблица1[р/р],"3/16",Таблица1[Ф. И. О.],B616)</f>
        <v>0</v>
      </c>
      <c r="T611" s="467">
        <f t="shared" ref="T611:T621" si="220">ROUND(Q611*R611*S611*2,2)</f>
        <v>0</v>
      </c>
      <c r="U611" s="454">
        <f>IF(D611&lt;=3,база!$M$4,
IF(D611=4,база!$M$5,
IF(D611=5,база!$M$6)))</f>
        <v>225.09719999999999</v>
      </c>
      <c r="V611" s="355">
        <v>1</v>
      </c>
      <c r="W611" s="407">
        <f>SUMIFS(Таблица1[Столбец1],Таблица1[коэф],"1",Таблица1[р/р],"3/24",Таблица1[Ф. И. О.],B616)</f>
        <v>0</v>
      </c>
      <c r="X611" s="467">
        <f t="shared" ref="X611:X621" si="221">ROUND(U611*V611*W611*2,2)</f>
        <v>0</v>
      </c>
      <c r="Y611" s="748">
        <f t="shared" ref="Y611" si="222">SUM(G611:G621,K611:K621,O611:O621,S611:S621,W611:W621)</f>
        <v>0</v>
      </c>
      <c r="Z611" s="750">
        <f t="shared" ref="Z611" si="223">IFERROR(SUM(H611:H621,L611:L621,T611:T621,X611:X621),"")</f>
        <v>0</v>
      </c>
      <c r="AA611" s="740"/>
    </row>
    <row r="612" spans="1:29" ht="18.75">
      <c r="A612" s="740"/>
      <c r="B612" s="201"/>
      <c r="C612" s="743"/>
      <c r="D612" s="746"/>
      <c r="E612" s="366">
        <f>IF(D611&lt;=3,база!$I$4,
IF(D611=4,база!$I$5,
IF(D611=5,база!$I$6)))</f>
        <v>188.7912</v>
      </c>
      <c r="F612" s="367">
        <v>1</v>
      </c>
      <c r="G612" s="377">
        <f>SUMIFS(Таблица1[Столбец1],Таблица1[коэф],"1",Таблица1[р/р],"3/4",Таблица1[Ф. И. О.],B616)</f>
        <v>0</v>
      </c>
      <c r="H612" s="369">
        <f t="shared" si="218"/>
        <v>0</v>
      </c>
      <c r="I612" s="409">
        <f>IF(D611&lt;=3,база!$J$4,
IF(D611=4,база!$J$5,
IF(D611=5,база!$J$6)))</f>
        <v>196.05240000000001</v>
      </c>
      <c r="J612" s="410">
        <v>1</v>
      </c>
      <c r="K612" s="411">
        <f>SUMIFS(Таблица1[Столбец1],Таблица1[коэф],"1",Таблица1[р/р],"3/8",Таблица1[Ф. И. О.],B616)</f>
        <v>0</v>
      </c>
      <c r="L612" s="461">
        <f t="shared" si="219"/>
        <v>0</v>
      </c>
      <c r="M612" s="411"/>
      <c r="N612" s="411">
        <v>1</v>
      </c>
      <c r="O612" s="411">
        <f>SUMIFS(Data_Tech!$AM$3:$AM$67,Data_Tech!$E$3:$E$67,"1",Data_Tech!$G$3:$G$67,"4/12",Data_Tech!$F$3:$F$67,B616)</f>
        <v>0</v>
      </c>
      <c r="P612" s="383">
        <f>ROUND(M612*O612,2)</f>
        <v>0</v>
      </c>
      <c r="Q612" s="366">
        <f>база!$L$5</f>
        <v>231.45480000000001</v>
      </c>
      <c r="R612" s="367">
        <v>1</v>
      </c>
      <c r="S612" s="377">
        <f>SUMIFS(Таблица1[Столбец1],Таблица1[коэф],"1",Таблица1[р/р],"4/16",Таблица1[Ф. И. О.],B616)</f>
        <v>0</v>
      </c>
      <c r="T612" s="469">
        <f t="shared" si="220"/>
        <v>0</v>
      </c>
      <c r="U612" s="455">
        <f>база!$M$5</f>
        <v>247.41720000000001</v>
      </c>
      <c r="V612" s="367">
        <v>1</v>
      </c>
      <c r="W612" s="389">
        <f>SUMIFS(Таблица1[Столбец1],Таблица1[коэф],"1",Таблица1[р/р],"4/24",Таблица1[Ф. И. О.],B616)</f>
        <v>0</v>
      </c>
      <c r="X612" s="469">
        <f t="shared" si="221"/>
        <v>0</v>
      </c>
      <c r="Y612" s="748"/>
      <c r="Z612" s="750"/>
      <c r="AA612" s="740"/>
    </row>
    <row r="613" spans="1:29" ht="18.75">
      <c r="A613" s="740"/>
      <c r="B613" s="201"/>
      <c r="C613" s="743"/>
      <c r="D613" s="746"/>
      <c r="E613" s="366"/>
      <c r="F613" s="367"/>
      <c r="G613" s="377"/>
      <c r="H613" s="369">
        <f t="shared" si="218"/>
        <v>0</v>
      </c>
      <c r="I613" s="409"/>
      <c r="J613" s="410"/>
      <c r="K613" s="411"/>
      <c r="L613" s="461">
        <f t="shared" si="219"/>
        <v>0</v>
      </c>
      <c r="M613" s="411"/>
      <c r="N613" s="411"/>
      <c r="O613" s="411"/>
      <c r="P613" s="383"/>
      <c r="Q613" s="366">
        <f>база!$L$6</f>
        <v>261.04640000000001</v>
      </c>
      <c r="R613" s="367">
        <v>1</v>
      </c>
      <c r="S613" s="377">
        <f>SUMIFS(Таблица1[Столбец1],Таблица1[коэф],"1",Таблица1[р/р],"5/16",Таблица1[Ф. И. О.],B616)</f>
        <v>0</v>
      </c>
      <c r="T613" s="469">
        <f t="shared" si="220"/>
        <v>0</v>
      </c>
      <c r="U613" s="455">
        <f>база!$M$6</f>
        <v>279.0496</v>
      </c>
      <c r="V613" s="367">
        <v>1</v>
      </c>
      <c r="W613" s="389">
        <f>SUMIFS(Таблица1[Столбец1],Таблица1[коэф],"1",Таблица1[р/р],"5/24",Таблица1[Ф. И. О.],B616)</f>
        <v>0</v>
      </c>
      <c r="X613" s="469">
        <f t="shared" si="221"/>
        <v>0</v>
      </c>
      <c r="Y613" s="748"/>
      <c r="Z613" s="750"/>
      <c r="AA613" s="740"/>
    </row>
    <row r="614" spans="1:29" ht="18.75">
      <c r="A614" s="740"/>
      <c r="B614" s="201"/>
      <c r="C614" s="743"/>
      <c r="D614" s="746"/>
      <c r="E614" s="366"/>
      <c r="F614" s="367"/>
      <c r="G614" s="377"/>
      <c r="H614" s="369">
        <f t="shared" si="218"/>
        <v>0</v>
      </c>
      <c r="I614" s="409">
        <f>база!$J$5</f>
        <v>215.4924</v>
      </c>
      <c r="J614" s="410">
        <v>1.5</v>
      </c>
      <c r="K614" s="411">
        <f>SUMIFS(Таблица1[Столбец1],Таблица1[коэф],"1,5",Таблица1[р/р],"4/8",Таблица1[Ф. И. О.],B616)</f>
        <v>0</v>
      </c>
      <c r="L614" s="461">
        <f t="shared" si="219"/>
        <v>0</v>
      </c>
      <c r="M614" s="411"/>
      <c r="N614" s="411"/>
      <c r="O614" s="411"/>
      <c r="P614" s="383"/>
      <c r="Q614" s="366">
        <f>IF(D611&lt;=3,база!$L$4,
IF(D611=4,база!$L$5,
IF(D611=5,база!$L$6)))</f>
        <v>210.57480000000001</v>
      </c>
      <c r="R614" s="367">
        <v>1.2</v>
      </c>
      <c r="S614" s="377">
        <f>SUMIFS(Таблица1[Столбец1],Таблица1[коэф],"1,2",Таблица1[р/р],"3/16",Таблица1[Ф. И. О.],B616)</f>
        <v>0</v>
      </c>
      <c r="T614" s="469">
        <f t="shared" si="220"/>
        <v>0</v>
      </c>
      <c r="U614" s="455">
        <f>IF(D611&lt;=3,база!$M$4,
IF(D611=4,база!$M$5,
IF(D611=5,база!$M$6)))</f>
        <v>225.09719999999999</v>
      </c>
      <c r="V614" s="367">
        <v>1.2</v>
      </c>
      <c r="W614" s="389">
        <f>SUMIFS(Таблица1[Столбец1],Таблица1[коэф],"1,2",Таблица1[р/р],"3/24",Таблица1[Ф. И. О.],B616)</f>
        <v>0</v>
      </c>
      <c r="X614" s="469">
        <f t="shared" si="221"/>
        <v>0</v>
      </c>
      <c r="Y614" s="748"/>
      <c r="Z614" s="750"/>
      <c r="AA614" s="740"/>
    </row>
    <row r="615" spans="1:29" ht="18.75">
      <c r="A615" s="740"/>
      <c r="B615" s="201"/>
      <c r="C615" s="743"/>
      <c r="D615" s="746"/>
      <c r="E615" s="366"/>
      <c r="F615" s="367"/>
      <c r="G615" s="377"/>
      <c r="H615" s="369">
        <f t="shared" si="218"/>
        <v>0</v>
      </c>
      <c r="I615" s="409">
        <f>база!$J$6</f>
        <v>243.04319999999998</v>
      </c>
      <c r="J615" s="410">
        <v>1.5</v>
      </c>
      <c r="K615" s="411">
        <f>SUMIFS(Таблица1[Столбец1],Таблица1[коэф],"1,5",Таблица1[р/р],"5/8",Таблица1[Ф. И. О.],B616)</f>
        <v>0</v>
      </c>
      <c r="L615" s="461">
        <f t="shared" si="219"/>
        <v>0</v>
      </c>
      <c r="M615" s="411"/>
      <c r="N615" s="411"/>
      <c r="O615" s="411"/>
      <c r="P615" s="383"/>
      <c r="Q615" s="366">
        <f>база!$L$5</f>
        <v>231.45480000000001</v>
      </c>
      <c r="R615" s="367">
        <v>1.2</v>
      </c>
      <c r="S615" s="377">
        <f>SUMIFS(Таблица1[Столбец1],Таблица1[коэф],"1,2",Таблица1[р/р],"4/16",Таблица1[Ф. И. О.],B616)</f>
        <v>0</v>
      </c>
      <c r="T615" s="469">
        <f t="shared" si="220"/>
        <v>0</v>
      </c>
      <c r="U615" s="455">
        <f>база!$M$5</f>
        <v>247.41720000000001</v>
      </c>
      <c r="V615" s="367">
        <v>1.2</v>
      </c>
      <c r="W615" s="389">
        <f>SUMIFS(Таблица1[Столбец1],Таблица1[коэф],"1,2",Таблица1[р/р],"4/24",Таблица1[Ф. И. О.],B616)</f>
        <v>0</v>
      </c>
      <c r="X615" s="469">
        <f t="shared" si="221"/>
        <v>0</v>
      </c>
      <c r="Y615" s="748"/>
      <c r="Z615" s="750"/>
      <c r="AA615" s="740"/>
    </row>
    <row r="616" spans="1:29" ht="18.75">
      <c r="A616" s="740"/>
      <c r="B616" s="201" t="str">
        <f>база!B57</f>
        <v>Оленева Анна Викторовна</v>
      </c>
      <c r="C616" s="743"/>
      <c r="D616" s="746"/>
      <c r="E616" s="366"/>
      <c r="F616" s="367"/>
      <c r="G616" s="377"/>
      <c r="H616" s="369">
        <f t="shared" si="218"/>
        <v>0</v>
      </c>
      <c r="I616" s="409"/>
      <c r="J616" s="410"/>
      <c r="K616" s="411"/>
      <c r="L616" s="461">
        <f t="shared" si="219"/>
        <v>0</v>
      </c>
      <c r="M616" s="411"/>
      <c r="N616" s="411"/>
      <c r="O616" s="411"/>
      <c r="P616" s="383"/>
      <c r="Q616" s="366">
        <f>база!$L$6</f>
        <v>261.04640000000001</v>
      </c>
      <c r="R616" s="367">
        <v>1.2</v>
      </c>
      <c r="S616" s="377">
        <f>SUMIFS(Таблица1[Столбец1],Таблица1[коэф],"1,2",Таблица1[р/р],"5/16",Таблица1[Ф. И. О.],B616)</f>
        <v>0</v>
      </c>
      <c r="T616" s="469">
        <f t="shared" si="220"/>
        <v>0</v>
      </c>
      <c r="U616" s="455">
        <f>база!$M$6</f>
        <v>279.0496</v>
      </c>
      <c r="V616" s="367">
        <v>1.2</v>
      </c>
      <c r="W616" s="389">
        <f>SUMIFS(Таблица1[Столбец1],Таблица1[коэф],"1,2",Таблица1[р/р],"5/24",Таблица1[Ф. И. О.],B616)</f>
        <v>0</v>
      </c>
      <c r="X616" s="469">
        <f t="shared" si="221"/>
        <v>0</v>
      </c>
      <c r="Y616" s="748"/>
      <c r="Z616" s="750"/>
      <c r="AA616" s="740"/>
      <c r="AC616" s="693" t="str">
        <f>IF(SUMIFS(Таблица1[Столбец3],Таблица1[Ф. И. О.],B616)-Z611=0,"",SUMIFS(Таблица1[Столбец3],Таблица1[Ф. И. О.],B616)-Z611)</f>
        <v/>
      </c>
    </row>
    <row r="617" spans="1:29" ht="18.75">
      <c r="A617" s="740"/>
      <c r="B617" s="201"/>
      <c r="C617" s="743"/>
      <c r="D617" s="746"/>
      <c r="E617" s="366"/>
      <c r="F617" s="367"/>
      <c r="G617" s="377"/>
      <c r="H617" s="369">
        <f t="shared" si="218"/>
        <v>0</v>
      </c>
      <c r="I617" s="409"/>
      <c r="J617" s="410"/>
      <c r="K617" s="411"/>
      <c r="L617" s="461">
        <f t="shared" si="219"/>
        <v>0</v>
      </c>
      <c r="M617" s="411"/>
      <c r="N617" s="411"/>
      <c r="O617" s="411"/>
      <c r="P617" s="383"/>
      <c r="Q617" s="366">
        <f>IF($D$6&lt;=3,база!$L$4,
IF($D$6=4,база!$L$5,
IF($D$6=5,база!$L$6)))</f>
        <v>231.45480000000001</v>
      </c>
      <c r="R617" s="367">
        <v>1.3</v>
      </c>
      <c r="S617" s="377">
        <f>SUMIFS(Таблица1[Столбец1],Таблица1[коэф],"1,3",Таблица1[р/р],"3/16",Таблица1[Ф. И. О.],B616)</f>
        <v>0</v>
      </c>
      <c r="T617" s="469">
        <f t="shared" si="220"/>
        <v>0</v>
      </c>
      <c r="U617" s="455">
        <f>IF(D611&lt;=3,база!$M$4,
IF(D611=4,база!$M$5,
IF(D611=5,база!$M$6)))</f>
        <v>225.09719999999999</v>
      </c>
      <c r="V617" s="367">
        <v>1.3</v>
      </c>
      <c r="W617" s="389">
        <f>SUMIFS(Таблица1[Столбец1],Таблица1[коэф],"1,3",Таблица1[р/р],"3/24",Таблица1[Ф. И. О.],B616)</f>
        <v>0</v>
      </c>
      <c r="X617" s="469">
        <f t="shared" si="221"/>
        <v>0</v>
      </c>
      <c r="Y617" s="748"/>
      <c r="Z617" s="750"/>
      <c r="AA617" s="740"/>
      <c r="AC617" s="693" t="str">
        <f>IF(SUMIFS(Таблица1[Столбец1],Таблица1[Ф. И. О.],B616)=Y611,"",B616&amp;"  часы не верны")</f>
        <v/>
      </c>
    </row>
    <row r="618" spans="1:29" ht="18.75">
      <c r="A618" s="740"/>
      <c r="B618" s="201"/>
      <c r="C618" s="743"/>
      <c r="D618" s="746"/>
      <c r="E618" s="366"/>
      <c r="F618" s="367"/>
      <c r="G618" s="377"/>
      <c r="H618" s="369">
        <f t="shared" si="218"/>
        <v>0</v>
      </c>
      <c r="I618" s="409"/>
      <c r="J618" s="410"/>
      <c r="K618" s="411"/>
      <c r="L618" s="461">
        <f t="shared" si="219"/>
        <v>0</v>
      </c>
      <c r="M618" s="411"/>
      <c r="N618" s="411"/>
      <c r="O618" s="411"/>
      <c r="P618" s="383"/>
      <c r="Q618" s="366">
        <f>база!$L$5</f>
        <v>231.45480000000001</v>
      </c>
      <c r="R618" s="367">
        <v>1.3</v>
      </c>
      <c r="S618" s="377">
        <f>SUMIFS(Таблица1[Столбец1],Таблица1[коэф],"1,3",Таблица1[р/р],"4/16",Таблица1[Ф. И. О.],B616)</f>
        <v>0</v>
      </c>
      <c r="T618" s="469">
        <f t="shared" si="220"/>
        <v>0</v>
      </c>
      <c r="U618" s="455">
        <f>база!$M$5</f>
        <v>247.41720000000001</v>
      </c>
      <c r="V618" s="367">
        <v>1.3</v>
      </c>
      <c r="W618" s="389">
        <f>SUMIFS(Таблица1[Столбец1],Таблица1[коэф],"1,3",Таблица1[р/р],"4/24",Таблица1[Ф. И. О.],B616)</f>
        <v>0</v>
      </c>
      <c r="X618" s="469">
        <f t="shared" si="221"/>
        <v>0</v>
      </c>
      <c r="Y618" s="748"/>
      <c r="Z618" s="750"/>
      <c r="AA618" s="740"/>
    </row>
    <row r="619" spans="1:29" ht="18.75">
      <c r="A619" s="740"/>
      <c r="B619" s="201"/>
      <c r="C619" s="743"/>
      <c r="D619" s="746"/>
      <c r="E619" s="366"/>
      <c r="F619" s="367"/>
      <c r="G619" s="377"/>
      <c r="H619" s="369">
        <f t="shared" si="218"/>
        <v>0</v>
      </c>
      <c r="I619" s="409"/>
      <c r="J619" s="410"/>
      <c r="K619" s="411"/>
      <c r="L619" s="461">
        <f t="shared" si="219"/>
        <v>0</v>
      </c>
      <c r="M619" s="411"/>
      <c r="N619" s="411"/>
      <c r="O619" s="411"/>
      <c r="P619" s="383"/>
      <c r="Q619" s="366">
        <f>IF(D611&lt;=3,база!$L$4,
IF(D611=4,база!$L$5,
IF(D611=5,база!$L$6)))</f>
        <v>210.57480000000001</v>
      </c>
      <c r="R619" s="367">
        <v>1.4</v>
      </c>
      <c r="S619" s="377">
        <f>SUMIFS(Таблица1[Столбец1],Таблица1[коэф],"1,4",Таблица1[р/р],"3/16",Таблица1[Ф. И. О.],B616)</f>
        <v>0</v>
      </c>
      <c r="T619" s="469">
        <f t="shared" si="220"/>
        <v>0</v>
      </c>
      <c r="U619" s="455">
        <f>IF(D611&lt;=3,база!$M$4,
IF(D611=4,база!$M$5,
IF(D611=5,база!$M$6)))</f>
        <v>225.09719999999999</v>
      </c>
      <c r="V619" s="367">
        <v>1.4</v>
      </c>
      <c r="W619" s="389">
        <f>SUMIFS(Таблица1[Столбец1],Таблица1[коэф],"1,4",Таблица1[р/р],"3/24",Таблица1[Ф. И. О.],B616)</f>
        <v>0</v>
      </c>
      <c r="X619" s="469">
        <f t="shared" si="221"/>
        <v>0</v>
      </c>
      <c r="Y619" s="748"/>
      <c r="Z619" s="750"/>
      <c r="AA619" s="740"/>
    </row>
    <row r="620" spans="1:29" ht="18.75">
      <c r="A620" s="740"/>
      <c r="B620" s="201"/>
      <c r="C620" s="743"/>
      <c r="D620" s="746"/>
      <c r="E620" s="366"/>
      <c r="F620" s="367"/>
      <c r="G620" s="377"/>
      <c r="H620" s="369">
        <f t="shared" si="218"/>
        <v>0</v>
      </c>
      <c r="I620" s="409"/>
      <c r="J620" s="410"/>
      <c r="K620" s="411"/>
      <c r="L620" s="461">
        <f t="shared" si="219"/>
        <v>0</v>
      </c>
      <c r="M620" s="411"/>
      <c r="N620" s="411"/>
      <c r="O620" s="411"/>
      <c r="P620" s="383"/>
      <c r="Q620" s="366">
        <f>база!$L$5</f>
        <v>231.45480000000001</v>
      </c>
      <c r="R620" s="367">
        <v>1.4</v>
      </c>
      <c r="S620" s="377">
        <f>SUMIFS(Таблица1[Столбец1],Таблица1[коэф],"1,4",Таблица1[р/р],"4/16",Таблица1[Ф. И. О.],B616)</f>
        <v>0</v>
      </c>
      <c r="T620" s="469">
        <f t="shared" si="220"/>
        <v>0</v>
      </c>
      <c r="U620" s="455">
        <f>база!$M$5</f>
        <v>247.41720000000001</v>
      </c>
      <c r="V620" s="367">
        <v>1.4</v>
      </c>
      <c r="W620" s="389">
        <f>SUMIFS(Таблица1[Столбец1],Таблица1[коэф],"1,4",Таблица1[р/р],"4/24",Таблица1[Ф. И. О.],B616)</f>
        <v>0</v>
      </c>
      <c r="X620" s="469">
        <f t="shared" si="221"/>
        <v>0</v>
      </c>
      <c r="Y620" s="748"/>
      <c r="Z620" s="750"/>
      <c r="AA620" s="740"/>
    </row>
    <row r="621" spans="1:29" ht="19.5" thickBot="1">
      <c r="A621" s="741"/>
      <c r="B621" s="188"/>
      <c r="C621" s="744"/>
      <c r="D621" s="747"/>
      <c r="E621" s="450"/>
      <c r="F621" s="441"/>
      <c r="G621" s="442"/>
      <c r="H621" s="417">
        <f t="shared" si="218"/>
        <v>0</v>
      </c>
      <c r="I621" s="443"/>
      <c r="J621" s="433"/>
      <c r="K621" s="434"/>
      <c r="L621" s="461">
        <f t="shared" si="219"/>
        <v>0</v>
      </c>
      <c r="M621" s="434"/>
      <c r="N621" s="434"/>
      <c r="O621" s="434"/>
      <c r="P621" s="453"/>
      <c r="Q621" s="450">
        <f>база!$L$6</f>
        <v>261.04640000000001</v>
      </c>
      <c r="R621" s="441">
        <v>1.4</v>
      </c>
      <c r="S621" s="442">
        <f>SUMIFS(Таблица1[Столбец1],Таблица1[коэф],"1,4",Таблица1[р/р],"5/16",Таблица1[Ф. И. О.],B616)</f>
        <v>0</v>
      </c>
      <c r="T621" s="469">
        <f t="shared" si="220"/>
        <v>0</v>
      </c>
      <c r="U621" s="457">
        <f>база!$M$6</f>
        <v>279.0496</v>
      </c>
      <c r="V621" s="441">
        <v>1.4</v>
      </c>
      <c r="W621" s="447">
        <f>SUMIFS(Таблица1[Столбец1],Таблица1[коэф],"1,4",Таблица1[р/р],"5/24",Таблица1[Ф. И. О.],B616)</f>
        <v>0</v>
      </c>
      <c r="X621" s="469">
        <f t="shared" si="221"/>
        <v>0</v>
      </c>
      <c r="Y621" s="749"/>
      <c r="Z621" s="751"/>
      <c r="AA621" s="741"/>
    </row>
    <row r="622" spans="1:29" ht="18.75">
      <c r="A622" s="739">
        <v>57</v>
      </c>
      <c r="B622" s="219"/>
      <c r="C622" s="742">
        <f>INDEX(база!$E$2:$E$81, MATCH(B627,база!$B$2:$B$60,0))</f>
        <v>15556</v>
      </c>
      <c r="D622" s="745">
        <f>INDEX(база!$D$2:$D$89, MATCH(B627,база!$B$2:$B$60,0))</f>
        <v>3</v>
      </c>
      <c r="E622" s="354">
        <f>IF(D622&lt;=3,база!$I$4,
IF(D622=4,база!$I$5,
IF(D622=5,база!$I$6)))</f>
        <v>188.7912</v>
      </c>
      <c r="F622" s="355">
        <v>1</v>
      </c>
      <c r="G622" s="364">
        <f>SUMIFS(Таблица1[Столбец1],Таблица1[коэф],"1",Таблица1[р/р],"2/4",Таблица1[Ф. И. О.],B627)</f>
        <v>0</v>
      </c>
      <c r="H622" s="357">
        <f t="shared" ref="H622:H632" si="224">ROUND(E622*F622*G622*2,2)</f>
        <v>0</v>
      </c>
      <c r="I622" s="403">
        <f>IF(D622&lt;=3,база!$J$4,
IF(D622=4,база!$J$5,
IF(D622=5,база!$J$6)))</f>
        <v>196.05240000000001</v>
      </c>
      <c r="J622" s="404">
        <v>1</v>
      </c>
      <c r="K622" s="405">
        <f>SUMIFS(Таблица1[Столбец1],Таблица1[коэф],"1",Таблица1[р/р],"2/8",Таблица1[Ф. И. О.],B627)</f>
        <v>0</v>
      </c>
      <c r="L622" s="360">
        <f t="shared" ref="L622:L632" si="225">ROUND(I622*J622*K622*2,2)</f>
        <v>0</v>
      </c>
      <c r="M622" s="405"/>
      <c r="N622" s="405">
        <v>1</v>
      </c>
      <c r="O622" s="405">
        <f>SUMIFS(Data_Tech!$AM$3:$AM$67,Data_Tech!$E$3:$E$67,"1",Data_Tech!$G$3:$G$67,"3/12",Data_Tech!$F$3:$F$67,B627)</f>
        <v>0</v>
      </c>
      <c r="P622" s="362">
        <f>ROUND(M622*N622*O622,2)</f>
        <v>0</v>
      </c>
      <c r="Q622" s="354">
        <f>IF(D622&lt;=3,база!$L$4,
IF(D622=4,база!$L$5,
IF(D622=5,база!$L$6)))</f>
        <v>210.57480000000001</v>
      </c>
      <c r="R622" s="355">
        <v>1</v>
      </c>
      <c r="S622" s="364">
        <f>SUMIFS(Таблица1[Столбец1],Таблица1[коэф],"1",Таблица1[р/р],"3/16",Таблица1[Ф. И. О.],B627)</f>
        <v>0</v>
      </c>
      <c r="T622" s="467">
        <f t="shared" ref="T622:T632" si="226">ROUND(Q622*R622*S622*2,2)</f>
        <v>0</v>
      </c>
      <c r="U622" s="454">
        <f>IF(D622&lt;=3,база!$M$4,
IF(D622=4,база!$M$5,
IF(D622=5,база!$M$6)))</f>
        <v>225.09719999999999</v>
      </c>
      <c r="V622" s="355">
        <v>1</v>
      </c>
      <c r="W622" s="407">
        <f>SUMIFS(Таблица1[Столбец1],Таблица1[коэф],"1",Таблица1[р/р],"3/24",Таблица1[Ф. И. О.],B627)</f>
        <v>0</v>
      </c>
      <c r="X622" s="467">
        <f t="shared" ref="X622:X632" si="227">ROUND(U622*V622*W622*2,2)</f>
        <v>0</v>
      </c>
      <c r="Y622" s="748">
        <f t="shared" ref="Y622" si="228">SUM(G622:G632,K622:K632,O622:O632,S622:S632,W622:W632)</f>
        <v>0</v>
      </c>
      <c r="Z622" s="750">
        <f t="shared" ref="Z622" si="229">IFERROR(SUM(H622:H632,L622:L632,T622:T632,X622:X632),"")</f>
        <v>0</v>
      </c>
      <c r="AA622" s="740"/>
    </row>
    <row r="623" spans="1:29" ht="18.75">
      <c r="A623" s="740"/>
      <c r="B623" s="201"/>
      <c r="C623" s="743"/>
      <c r="D623" s="746"/>
      <c r="E623" s="366">
        <f>IF(D622&lt;=3,база!$I$4,
IF(D622=4,база!$I$5,
IF(D622=5,база!$I$6)))</f>
        <v>188.7912</v>
      </c>
      <c r="F623" s="367">
        <v>1</v>
      </c>
      <c r="G623" s="377">
        <f>SUMIFS(Таблица1[Столбец1],Таблица1[коэф],"1",Таблица1[р/р],"3/4",Таблица1[Ф. И. О.],B627)</f>
        <v>0</v>
      </c>
      <c r="H623" s="369">
        <f t="shared" si="224"/>
        <v>0</v>
      </c>
      <c r="I623" s="409">
        <f>IF(D622&lt;=3,база!$J$4,
IF(D622=4,база!$J$5,
IF(D622=5,база!$J$6)))</f>
        <v>196.05240000000001</v>
      </c>
      <c r="J623" s="410">
        <v>1</v>
      </c>
      <c r="K623" s="411">
        <f>SUMIFS(Таблица1[Столбец1],Таблица1[коэф],"1",Таблица1[р/р],"3/8",Таблица1[Ф. И. О.],B627)</f>
        <v>0</v>
      </c>
      <c r="L623" s="461">
        <f t="shared" si="225"/>
        <v>0</v>
      </c>
      <c r="M623" s="411"/>
      <c r="N623" s="411">
        <v>1</v>
      </c>
      <c r="O623" s="411">
        <f>SUMIFS(Data_Tech!$AM$3:$AM$67,Data_Tech!$E$3:$E$67,"1",Data_Tech!$G$3:$G$67,"4/12",Data_Tech!$F$3:$F$67,B627)</f>
        <v>0</v>
      </c>
      <c r="P623" s="383">
        <f>ROUND(M623*O623,2)</f>
        <v>0</v>
      </c>
      <c r="Q623" s="366">
        <f>база!$L$5</f>
        <v>231.45480000000001</v>
      </c>
      <c r="R623" s="367">
        <v>1</v>
      </c>
      <c r="S623" s="377">
        <f>SUMIFS(Таблица1[Столбец1],Таблица1[коэф],"1",Таблица1[р/р],"4/16",Таблица1[Ф. И. О.],B627)</f>
        <v>0</v>
      </c>
      <c r="T623" s="469">
        <f t="shared" si="226"/>
        <v>0</v>
      </c>
      <c r="U623" s="455">
        <f>база!$M$5</f>
        <v>247.41720000000001</v>
      </c>
      <c r="V623" s="367">
        <v>1</v>
      </c>
      <c r="W623" s="389">
        <f>SUMIFS(Таблица1[Столбец1],Таблица1[коэф],"1",Таблица1[р/р],"4/24",Таблица1[Ф. И. О.],B627)</f>
        <v>0</v>
      </c>
      <c r="X623" s="469">
        <f t="shared" si="227"/>
        <v>0</v>
      </c>
      <c r="Y623" s="748"/>
      <c r="Z623" s="750"/>
      <c r="AA623" s="740"/>
    </row>
    <row r="624" spans="1:29" ht="18.75">
      <c r="A624" s="740"/>
      <c r="B624" s="201"/>
      <c r="C624" s="743"/>
      <c r="D624" s="746"/>
      <c r="E624" s="366"/>
      <c r="F624" s="367"/>
      <c r="G624" s="377"/>
      <c r="H624" s="369">
        <f t="shared" si="224"/>
        <v>0</v>
      </c>
      <c r="I624" s="409"/>
      <c r="J624" s="410"/>
      <c r="K624" s="411"/>
      <c r="L624" s="461">
        <f t="shared" si="225"/>
        <v>0</v>
      </c>
      <c r="M624" s="411"/>
      <c r="N624" s="411"/>
      <c r="O624" s="411"/>
      <c r="P624" s="383"/>
      <c r="Q624" s="366">
        <f>база!$L$6</f>
        <v>261.04640000000001</v>
      </c>
      <c r="R624" s="367">
        <v>1</v>
      </c>
      <c r="S624" s="377">
        <f>SUMIFS(Таблица1[Столбец1],Таблица1[коэф],"1",Таблица1[р/р],"5/16",Таблица1[Ф. И. О.],B627)</f>
        <v>0</v>
      </c>
      <c r="T624" s="469">
        <f t="shared" si="226"/>
        <v>0</v>
      </c>
      <c r="U624" s="455">
        <f>база!$M$6</f>
        <v>279.0496</v>
      </c>
      <c r="V624" s="367">
        <v>1</v>
      </c>
      <c r="W624" s="389">
        <f>SUMIFS(Таблица1[Столбец1],Таблица1[коэф],"1",Таблица1[р/р],"5/24",Таблица1[Ф. И. О.],B627)</f>
        <v>0</v>
      </c>
      <c r="X624" s="469">
        <f t="shared" si="227"/>
        <v>0</v>
      </c>
      <c r="Y624" s="748"/>
      <c r="Z624" s="750"/>
      <c r="AA624" s="740"/>
    </row>
    <row r="625" spans="1:29" ht="18.75">
      <c r="A625" s="740"/>
      <c r="B625" s="201"/>
      <c r="C625" s="743"/>
      <c r="D625" s="746"/>
      <c r="E625" s="366"/>
      <c r="F625" s="367"/>
      <c r="G625" s="377"/>
      <c r="H625" s="369">
        <f t="shared" si="224"/>
        <v>0</v>
      </c>
      <c r="I625" s="409">
        <f>база!$J$5</f>
        <v>215.4924</v>
      </c>
      <c r="J625" s="410">
        <v>1.5</v>
      </c>
      <c r="K625" s="411">
        <f>SUMIFS(Таблица1[Столбец1],Таблица1[коэф],"1,5",Таблица1[р/р],"4/8",Таблица1[Ф. И. О.],B627)</f>
        <v>0</v>
      </c>
      <c r="L625" s="461">
        <f t="shared" si="225"/>
        <v>0</v>
      </c>
      <c r="M625" s="411"/>
      <c r="N625" s="411"/>
      <c r="O625" s="411"/>
      <c r="P625" s="383"/>
      <c r="Q625" s="366">
        <f>IF(D622&lt;=3,база!$L$4,
IF(D622=4,база!$L$5,
IF(D622=5,база!$L$6)))</f>
        <v>210.57480000000001</v>
      </c>
      <c r="R625" s="367">
        <v>1.2</v>
      </c>
      <c r="S625" s="377">
        <f>SUMIFS(Таблица1[Столбец1],Таблица1[коэф],"1,2",Таблица1[р/р],"3/16",Таблица1[Ф. И. О.],B627)</f>
        <v>0</v>
      </c>
      <c r="T625" s="469">
        <f t="shared" si="226"/>
        <v>0</v>
      </c>
      <c r="U625" s="455">
        <f>IF(D622&lt;=3,база!$M$4,
IF(D622=4,база!$M$5,
IF(D622=5,база!$M$6)))</f>
        <v>225.09719999999999</v>
      </c>
      <c r="V625" s="367">
        <v>1.2</v>
      </c>
      <c r="W625" s="389">
        <f>SUMIFS(Таблица1[Столбец1],Таблица1[коэф],"1,2",Таблица1[р/р],"3/24",Таблица1[Ф. И. О.],B627)</f>
        <v>0</v>
      </c>
      <c r="X625" s="469">
        <f t="shared" si="227"/>
        <v>0</v>
      </c>
      <c r="Y625" s="748"/>
      <c r="Z625" s="750"/>
      <c r="AA625" s="740"/>
    </row>
    <row r="626" spans="1:29" ht="18.75">
      <c r="A626" s="740"/>
      <c r="B626" s="201"/>
      <c r="C626" s="743"/>
      <c r="D626" s="746"/>
      <c r="E626" s="366"/>
      <c r="F626" s="367"/>
      <c r="G626" s="377"/>
      <c r="H626" s="369">
        <f t="shared" si="224"/>
        <v>0</v>
      </c>
      <c r="I626" s="409">
        <f>база!$J$6</f>
        <v>243.04319999999998</v>
      </c>
      <c r="J626" s="410">
        <v>1.5</v>
      </c>
      <c r="K626" s="411">
        <f>SUMIFS(Таблица1[Столбец1],Таблица1[коэф],"1,5",Таблица1[р/р],"5/8",Таблица1[Ф. И. О.],B627)</f>
        <v>0</v>
      </c>
      <c r="L626" s="461">
        <f t="shared" si="225"/>
        <v>0</v>
      </c>
      <c r="M626" s="411"/>
      <c r="N626" s="411"/>
      <c r="O626" s="411"/>
      <c r="P626" s="383"/>
      <c r="Q626" s="366">
        <f>база!$L$5</f>
        <v>231.45480000000001</v>
      </c>
      <c r="R626" s="367">
        <v>1.2</v>
      </c>
      <c r="S626" s="377">
        <f>SUMIFS(Таблица1[Столбец1],Таблица1[коэф],"1,2",Таблица1[р/р],"4/16",Таблица1[Ф. И. О.],B627)</f>
        <v>0</v>
      </c>
      <c r="T626" s="469">
        <f t="shared" si="226"/>
        <v>0</v>
      </c>
      <c r="U626" s="455">
        <f>база!$M$5</f>
        <v>247.41720000000001</v>
      </c>
      <c r="V626" s="367">
        <v>1.2</v>
      </c>
      <c r="W626" s="389">
        <f>SUMIFS(Таблица1[Столбец1],Таблица1[коэф],"1,2",Таблица1[р/р],"4/24",Таблица1[Ф. И. О.],B627)</f>
        <v>0</v>
      </c>
      <c r="X626" s="469">
        <f t="shared" si="227"/>
        <v>0</v>
      </c>
      <c r="Y626" s="748"/>
      <c r="Z626" s="750"/>
      <c r="AA626" s="740"/>
    </row>
    <row r="627" spans="1:29" ht="18.75">
      <c r="A627" s="740"/>
      <c r="B627" s="201" t="str">
        <f>база!B58</f>
        <v>Петрова Анна Сергеевна</v>
      </c>
      <c r="C627" s="743"/>
      <c r="D627" s="746"/>
      <c r="E627" s="366"/>
      <c r="F627" s="367"/>
      <c r="G627" s="377"/>
      <c r="H627" s="369">
        <f t="shared" si="224"/>
        <v>0</v>
      </c>
      <c r="I627" s="409"/>
      <c r="J627" s="410"/>
      <c r="K627" s="411"/>
      <c r="L627" s="461">
        <f t="shared" si="225"/>
        <v>0</v>
      </c>
      <c r="M627" s="411"/>
      <c r="N627" s="411"/>
      <c r="O627" s="411"/>
      <c r="P627" s="383"/>
      <c r="Q627" s="366">
        <f>база!$L$6</f>
        <v>261.04640000000001</v>
      </c>
      <c r="R627" s="367">
        <v>1.2</v>
      </c>
      <c r="S627" s="377">
        <f>SUMIFS(Таблица1[Столбец1],Таблица1[коэф],"1,2",Таблица1[р/р],"5/16",Таблица1[Ф. И. О.],B627)</f>
        <v>0</v>
      </c>
      <c r="T627" s="469">
        <f t="shared" si="226"/>
        <v>0</v>
      </c>
      <c r="U627" s="455">
        <f>база!$M$6</f>
        <v>279.0496</v>
      </c>
      <c r="V627" s="367">
        <v>1.2</v>
      </c>
      <c r="W627" s="389">
        <f>SUMIFS(Таблица1[Столбец1],Таблица1[коэф],"1,2",Таблица1[р/р],"5/24",Таблица1[Ф. И. О.],B627)</f>
        <v>0</v>
      </c>
      <c r="X627" s="469">
        <f t="shared" si="227"/>
        <v>0</v>
      </c>
      <c r="Y627" s="748"/>
      <c r="Z627" s="750"/>
      <c r="AA627" s="740"/>
      <c r="AC627" s="693" t="str">
        <f>IF(SUMIFS(Таблица1[Столбец3],Таблица1[Ф. И. О.],B627)-Z622=0,"",SUMIFS(Таблица1[Столбец3],Таблица1[Ф. И. О.],B627)-Z622)</f>
        <v/>
      </c>
    </row>
    <row r="628" spans="1:29" ht="18.75">
      <c r="A628" s="740"/>
      <c r="B628" s="201"/>
      <c r="C628" s="743"/>
      <c r="D628" s="746"/>
      <c r="E628" s="366"/>
      <c r="F628" s="367"/>
      <c r="G628" s="377"/>
      <c r="H628" s="369">
        <f t="shared" si="224"/>
        <v>0</v>
      </c>
      <c r="I628" s="409"/>
      <c r="J628" s="410"/>
      <c r="K628" s="411"/>
      <c r="L628" s="461">
        <f t="shared" si="225"/>
        <v>0</v>
      </c>
      <c r="M628" s="411"/>
      <c r="N628" s="411"/>
      <c r="O628" s="411"/>
      <c r="P628" s="383"/>
      <c r="Q628" s="366">
        <f>IF($D$6&lt;=3,база!$L$4,
IF($D$6=4,база!$L$5,
IF($D$6=5,база!$L$6)))</f>
        <v>231.45480000000001</v>
      </c>
      <c r="R628" s="367">
        <v>1.3</v>
      </c>
      <c r="S628" s="377">
        <f>SUMIFS(Таблица1[Столбец1],Таблица1[коэф],"1,3",Таблица1[р/р],"3/16",Таблица1[Ф. И. О.],B627)</f>
        <v>0</v>
      </c>
      <c r="T628" s="469">
        <f t="shared" si="226"/>
        <v>0</v>
      </c>
      <c r="U628" s="455">
        <f>IF(D622&lt;=3,база!$M$4,
IF(D622=4,база!$M$5,
IF(D622=5,база!$M$6)))</f>
        <v>225.09719999999999</v>
      </c>
      <c r="V628" s="367">
        <v>1.3</v>
      </c>
      <c r="W628" s="389">
        <f>SUMIFS(Таблица1[Столбец1],Таблица1[коэф],"1,3",Таблица1[р/р],"3/24",Таблица1[Ф. И. О.],B627)</f>
        <v>0</v>
      </c>
      <c r="X628" s="469">
        <f t="shared" si="227"/>
        <v>0</v>
      </c>
      <c r="Y628" s="748"/>
      <c r="Z628" s="750"/>
      <c r="AA628" s="740"/>
      <c r="AC628" s="693" t="str">
        <f>IF(SUMIFS(Таблица1[Столбец1],Таблица1[Ф. И. О.],B627)=Y622,"",B627&amp;"  часы не верны")</f>
        <v/>
      </c>
    </row>
    <row r="629" spans="1:29" ht="18.75">
      <c r="A629" s="740"/>
      <c r="B629" s="201"/>
      <c r="C629" s="743"/>
      <c r="D629" s="746"/>
      <c r="E629" s="366"/>
      <c r="F629" s="367"/>
      <c r="G629" s="377"/>
      <c r="H629" s="369">
        <f t="shared" si="224"/>
        <v>0</v>
      </c>
      <c r="I629" s="409"/>
      <c r="J629" s="410"/>
      <c r="K629" s="411"/>
      <c r="L629" s="461">
        <f t="shared" si="225"/>
        <v>0</v>
      </c>
      <c r="M629" s="411"/>
      <c r="N629" s="411"/>
      <c r="O629" s="411"/>
      <c r="P629" s="383"/>
      <c r="Q629" s="366">
        <f>база!$L$5</f>
        <v>231.45480000000001</v>
      </c>
      <c r="R629" s="367">
        <v>1.3</v>
      </c>
      <c r="S629" s="377">
        <f>SUMIFS(Таблица1[Столбец1],Таблица1[коэф],"1,3",Таблица1[р/р],"4/16",Таблица1[Ф. И. О.],B627)</f>
        <v>0</v>
      </c>
      <c r="T629" s="469">
        <f t="shared" si="226"/>
        <v>0</v>
      </c>
      <c r="U629" s="455">
        <f>база!$M$5</f>
        <v>247.41720000000001</v>
      </c>
      <c r="V629" s="367">
        <v>1.3</v>
      </c>
      <c r="W629" s="389">
        <f>SUMIFS(Таблица1[Столбец1],Таблица1[коэф],"1,3",Таблица1[р/р],"4/24",Таблица1[Ф. И. О.],B627)</f>
        <v>0</v>
      </c>
      <c r="X629" s="469">
        <f t="shared" si="227"/>
        <v>0</v>
      </c>
      <c r="Y629" s="748"/>
      <c r="Z629" s="750"/>
      <c r="AA629" s="740"/>
    </row>
    <row r="630" spans="1:29" ht="18.75">
      <c r="A630" s="740"/>
      <c r="B630" s="201"/>
      <c r="C630" s="743"/>
      <c r="D630" s="746"/>
      <c r="E630" s="366"/>
      <c r="F630" s="367"/>
      <c r="G630" s="377"/>
      <c r="H630" s="369">
        <f t="shared" si="224"/>
        <v>0</v>
      </c>
      <c r="I630" s="409"/>
      <c r="J630" s="410"/>
      <c r="K630" s="411"/>
      <c r="L630" s="461">
        <f t="shared" si="225"/>
        <v>0</v>
      </c>
      <c r="M630" s="411"/>
      <c r="N630" s="411"/>
      <c r="O630" s="411"/>
      <c r="P630" s="383"/>
      <c r="Q630" s="366">
        <f>IF(D622&lt;=3,база!$L$4,
IF(D622=4,база!$L$5,
IF(D622=5,база!$L$6)))</f>
        <v>210.57480000000001</v>
      </c>
      <c r="R630" s="367">
        <v>1.4</v>
      </c>
      <c r="S630" s="377">
        <f>SUMIFS(Таблица1[Столбец1],Таблица1[коэф],"1,4",Таблица1[р/р],"3/16",Таблица1[Ф. И. О.],B627)</f>
        <v>0</v>
      </c>
      <c r="T630" s="469">
        <f t="shared" si="226"/>
        <v>0</v>
      </c>
      <c r="U630" s="455">
        <f>IF(D622&lt;=3,база!$M$4,
IF(D622=4,база!$M$5,
IF(D622=5,база!$M$6)))</f>
        <v>225.09719999999999</v>
      </c>
      <c r="V630" s="367">
        <v>1.4</v>
      </c>
      <c r="W630" s="389">
        <f>SUMIFS(Таблица1[Столбец1],Таблица1[коэф],"1,4",Таблица1[р/р],"3/24",Таблица1[Ф. И. О.],B627)</f>
        <v>0</v>
      </c>
      <c r="X630" s="469">
        <f t="shared" si="227"/>
        <v>0</v>
      </c>
      <c r="Y630" s="748"/>
      <c r="Z630" s="750"/>
      <c r="AA630" s="740"/>
    </row>
    <row r="631" spans="1:29" ht="18.75">
      <c r="A631" s="740"/>
      <c r="B631" s="201"/>
      <c r="C631" s="743"/>
      <c r="D631" s="746"/>
      <c r="E631" s="366"/>
      <c r="F631" s="367"/>
      <c r="G631" s="377"/>
      <c r="H631" s="369">
        <f t="shared" si="224"/>
        <v>0</v>
      </c>
      <c r="I631" s="409"/>
      <c r="J631" s="410"/>
      <c r="K631" s="411"/>
      <c r="L631" s="461">
        <f t="shared" si="225"/>
        <v>0</v>
      </c>
      <c r="M631" s="411"/>
      <c r="N631" s="411"/>
      <c r="O631" s="411"/>
      <c r="P631" s="383"/>
      <c r="Q631" s="366">
        <f>база!$L$5</f>
        <v>231.45480000000001</v>
      </c>
      <c r="R631" s="367">
        <v>1.4</v>
      </c>
      <c r="S631" s="377">
        <f>SUMIFS(Таблица1[Столбец1],Таблица1[коэф],"1,4",Таблица1[р/р],"4/16",Таблица1[Ф. И. О.],B627)</f>
        <v>0</v>
      </c>
      <c r="T631" s="469">
        <f t="shared" si="226"/>
        <v>0</v>
      </c>
      <c r="U631" s="455">
        <f>база!$M$5</f>
        <v>247.41720000000001</v>
      </c>
      <c r="V631" s="367">
        <v>1.4</v>
      </c>
      <c r="W631" s="389">
        <f>SUMIFS(Таблица1[Столбец1],Таблица1[коэф],"1,4",Таблица1[р/р],"4/24",Таблица1[Ф. И. О.],B627)</f>
        <v>0</v>
      </c>
      <c r="X631" s="469">
        <f t="shared" si="227"/>
        <v>0</v>
      </c>
      <c r="Y631" s="748"/>
      <c r="Z631" s="750"/>
      <c r="AA631" s="740"/>
    </row>
    <row r="632" spans="1:29" ht="19.5" thickBot="1">
      <c r="A632" s="741"/>
      <c r="B632" s="188"/>
      <c r="C632" s="744"/>
      <c r="D632" s="747"/>
      <c r="E632" s="450"/>
      <c r="F632" s="441"/>
      <c r="G632" s="442"/>
      <c r="H632" s="445">
        <f t="shared" si="224"/>
        <v>0</v>
      </c>
      <c r="I632" s="443"/>
      <c r="J632" s="433"/>
      <c r="K632" s="434"/>
      <c r="L632" s="461">
        <f t="shared" si="225"/>
        <v>0</v>
      </c>
      <c r="M632" s="434"/>
      <c r="N632" s="434"/>
      <c r="O632" s="434"/>
      <c r="P632" s="453"/>
      <c r="Q632" s="450">
        <f>база!$L$6</f>
        <v>261.04640000000001</v>
      </c>
      <c r="R632" s="441">
        <v>1.4</v>
      </c>
      <c r="S632" s="442">
        <f>SUMIFS(Таблица1[Столбец1],Таблица1[коэф],"1,4",Таблица1[р/р],"5/16",Таблица1[Ф. И. О.],B627)</f>
        <v>0</v>
      </c>
      <c r="T632" s="469">
        <f t="shared" si="226"/>
        <v>0</v>
      </c>
      <c r="U632" s="457">
        <f>база!$M$6</f>
        <v>279.0496</v>
      </c>
      <c r="V632" s="441">
        <v>1.4</v>
      </c>
      <c r="W632" s="447">
        <f>SUMIFS(Таблица1[Столбец1],Таблица1[коэф],"1,4",Таблица1[р/р],"5/24",Таблица1[Ф. И. О.],B627)</f>
        <v>0</v>
      </c>
      <c r="X632" s="469">
        <f t="shared" si="227"/>
        <v>0</v>
      </c>
      <c r="Y632" s="749"/>
      <c r="Z632" s="751"/>
      <c r="AA632" s="741"/>
    </row>
    <row r="633" spans="1:29" ht="18.75">
      <c r="A633" s="739">
        <v>58</v>
      </c>
      <c r="B633" s="219"/>
      <c r="C633" s="742">
        <f>INDEX(база!$E$2:$E$81, MATCH(B638,база!$B$2:$B$60,0))</f>
        <v>15589</v>
      </c>
      <c r="D633" s="745">
        <f>INDEX(база!$D$2:$D$89, MATCH(B638,база!$B$2:$B$60,0))</f>
        <v>3</v>
      </c>
      <c r="E633" s="354">
        <f>IF(D633&lt;=3,база!$I$4,
IF(D633=4,база!$I$5,
IF(D633=5,база!$I$6)))</f>
        <v>188.7912</v>
      </c>
      <c r="F633" s="355">
        <v>1</v>
      </c>
      <c r="G633" s="364">
        <f>SUMIFS(Таблица1[Столбец1],Таблица1[коэф],"1",Таблица1[р/р],"2/4",Таблица1[Ф. И. О.],B638)</f>
        <v>0</v>
      </c>
      <c r="H633" s="379">
        <f t="shared" ref="H633:H696" si="230">ROUND(E633*F633*G633*2,2)</f>
        <v>0</v>
      </c>
      <c r="I633" s="403">
        <f>IF(D633&lt;=3,база!$J$4,
IF(D633=4,база!$J$5,
IF(D633=5,база!$J$6)))</f>
        <v>196.05240000000001</v>
      </c>
      <c r="J633" s="404">
        <v>1</v>
      </c>
      <c r="K633" s="405">
        <f>SUMIFS(Таблица1[Столбец1],Таблица1[коэф],"1",Таблица1[р/р],"2/8",Таблица1[Ф. И. О.],B638)</f>
        <v>0</v>
      </c>
      <c r="L633" s="360">
        <f t="shared" ref="L633:L696" si="231">ROUND(I633*J633*K633*2,2)</f>
        <v>0</v>
      </c>
      <c r="M633" s="405"/>
      <c r="N633" s="405">
        <v>1</v>
      </c>
      <c r="O633" s="405">
        <f>SUMIFS(Data_Tech!$AM$3:$AM$67,Data_Tech!$E$3:$E$67,"1",Data_Tech!$G$3:$G$67,"3/12",Data_Tech!$F$3:$F$67,B638)</f>
        <v>0</v>
      </c>
      <c r="P633" s="362">
        <f>ROUND(M633*N633*O633,2)</f>
        <v>0</v>
      </c>
      <c r="Q633" s="354">
        <f>IF(D633&lt;=3,база!$L$4,
IF(D633=4,база!$L$5,
IF(D633=5,база!$L$6)))</f>
        <v>210.57480000000001</v>
      </c>
      <c r="R633" s="355">
        <v>1</v>
      </c>
      <c r="S633" s="364">
        <f>SUMIFS(Таблица1[Столбец1],Таблица1[коэф],"1",Таблица1[р/р],"3/16",Таблица1[Ф. И. О.],B638)</f>
        <v>0</v>
      </c>
      <c r="T633" s="467">
        <f t="shared" ref="T633:T696" si="232">ROUND(Q633*R633*S633*2,2)</f>
        <v>0</v>
      </c>
      <c r="U633" s="454">
        <f>IF(D633&lt;=3,база!$M$4,
IF(D633=4,база!$M$5,
IF(D633=5,база!$M$6)))</f>
        <v>225.09719999999999</v>
      </c>
      <c r="V633" s="355">
        <v>1</v>
      </c>
      <c r="W633" s="407">
        <f>SUMIFS(Таблица1[Столбец1],Таблица1[коэф],"1",Таблица1[р/р],"3/24",Таблица1[Ф. И. О.],B638)</f>
        <v>0</v>
      </c>
      <c r="X633" s="467">
        <f t="shared" ref="X633:X696" si="233">ROUND(U633*V633*W633*2,2)</f>
        <v>0</v>
      </c>
      <c r="Y633" s="748">
        <f t="shared" ref="Y633" si="234">SUM(G633:G643,K633:K643,O633:O643,S633:S643,W633:W643)</f>
        <v>0</v>
      </c>
      <c r="Z633" s="750">
        <f t="shared" ref="Z633" si="235">IFERROR(SUM(H633:H643,L633:L643,T633:T643,X633:X643),"")</f>
        <v>0</v>
      </c>
      <c r="AA633" s="740"/>
    </row>
    <row r="634" spans="1:29" ht="18.75">
      <c r="A634" s="740"/>
      <c r="B634" s="201"/>
      <c r="C634" s="743"/>
      <c r="D634" s="746"/>
      <c r="E634" s="366">
        <f>IF(D633&lt;=3,база!$I$4,
IF(D633=4,база!$I$5,
IF(D633=5,база!$I$6)))</f>
        <v>188.7912</v>
      </c>
      <c r="F634" s="367">
        <v>1</v>
      </c>
      <c r="G634" s="377">
        <f>SUMIFS(Таблица1[Столбец1],Таблица1[коэф],"1",Таблица1[р/р],"3/4",Таблица1[Ф. И. О.],B638)</f>
        <v>0</v>
      </c>
      <c r="H634" s="369">
        <f t="shared" si="230"/>
        <v>0</v>
      </c>
      <c r="I634" s="409">
        <f>IF(D633&lt;=3,база!$J$4,
IF(D633=4,база!$J$5,
IF(D633=5,база!$J$6)))</f>
        <v>196.05240000000001</v>
      </c>
      <c r="J634" s="410">
        <v>1</v>
      </c>
      <c r="K634" s="411">
        <f>SUMIFS(Таблица1[Столбец1],Таблица1[коэф],"1",Таблица1[р/р],"3/8",Таблица1[Ф. И. О.],B638)</f>
        <v>0</v>
      </c>
      <c r="L634" s="461">
        <f t="shared" si="231"/>
        <v>0</v>
      </c>
      <c r="M634" s="411"/>
      <c r="N634" s="411">
        <v>1</v>
      </c>
      <c r="O634" s="411">
        <f>SUMIFS(Data_Tech!$AM$3:$AM$67,Data_Tech!$E$3:$E$67,"1",Data_Tech!$G$3:$G$67,"4/12",Data_Tech!$F$3:$F$67,B638)</f>
        <v>0</v>
      </c>
      <c r="P634" s="383">
        <f>ROUND(M634*O634,2)</f>
        <v>0</v>
      </c>
      <c r="Q634" s="366">
        <f>база!$L$5</f>
        <v>231.45480000000001</v>
      </c>
      <c r="R634" s="367">
        <v>1</v>
      </c>
      <c r="S634" s="377">
        <f>SUMIFS(Таблица1[Столбец1],Таблица1[коэф],"1",Таблица1[р/р],"4/16",Таблица1[Ф. И. О.],B638)</f>
        <v>0</v>
      </c>
      <c r="T634" s="469">
        <f t="shared" si="232"/>
        <v>0</v>
      </c>
      <c r="U634" s="455">
        <f>база!$M$5</f>
        <v>247.41720000000001</v>
      </c>
      <c r="V634" s="367">
        <v>1</v>
      </c>
      <c r="W634" s="389">
        <f>SUMIFS(Таблица1[Столбец1],Таблица1[коэф],"1",Таблица1[р/р],"4/24",Таблица1[Ф. И. О.],B638)</f>
        <v>0</v>
      </c>
      <c r="X634" s="469">
        <f t="shared" si="233"/>
        <v>0</v>
      </c>
      <c r="Y634" s="748"/>
      <c r="Z634" s="750"/>
      <c r="AA634" s="740"/>
    </row>
    <row r="635" spans="1:29" ht="18.75">
      <c r="A635" s="740"/>
      <c r="B635" s="201"/>
      <c r="C635" s="743"/>
      <c r="D635" s="746"/>
      <c r="E635" s="366"/>
      <c r="F635" s="367"/>
      <c r="G635" s="377"/>
      <c r="H635" s="369">
        <f t="shared" si="230"/>
        <v>0</v>
      </c>
      <c r="I635" s="409"/>
      <c r="J635" s="410"/>
      <c r="K635" s="411"/>
      <c r="L635" s="461">
        <f t="shared" si="231"/>
        <v>0</v>
      </c>
      <c r="M635" s="411"/>
      <c r="N635" s="411"/>
      <c r="O635" s="411"/>
      <c r="P635" s="383"/>
      <c r="Q635" s="366">
        <f>база!$L$6</f>
        <v>261.04640000000001</v>
      </c>
      <c r="R635" s="367">
        <v>1</v>
      </c>
      <c r="S635" s="377">
        <f>SUMIFS(Таблица1[Столбец1],Таблица1[коэф],"1",Таблица1[р/р],"5/16",Таблица1[Ф. И. О.],B638)</f>
        <v>0</v>
      </c>
      <c r="T635" s="469">
        <f t="shared" si="232"/>
        <v>0</v>
      </c>
      <c r="U635" s="455">
        <f>база!$M$6</f>
        <v>279.0496</v>
      </c>
      <c r="V635" s="367">
        <v>1</v>
      </c>
      <c r="W635" s="389">
        <f>SUMIFS(Таблица1[Столбец1],Таблица1[коэф],"1",Таблица1[р/р],"5/24",Таблица1[Ф. И. О.],B638)</f>
        <v>0</v>
      </c>
      <c r="X635" s="469">
        <f t="shared" si="233"/>
        <v>0</v>
      </c>
      <c r="Y635" s="748"/>
      <c r="Z635" s="750"/>
      <c r="AA635" s="740"/>
    </row>
    <row r="636" spans="1:29" ht="18.75">
      <c r="A636" s="740"/>
      <c r="B636" s="201"/>
      <c r="C636" s="743"/>
      <c r="D636" s="746"/>
      <c r="E636" s="366"/>
      <c r="F636" s="367"/>
      <c r="G636" s="377"/>
      <c r="H636" s="369">
        <f t="shared" si="230"/>
        <v>0</v>
      </c>
      <c r="I636" s="409">
        <f>база!$J$5</f>
        <v>215.4924</v>
      </c>
      <c r="J636" s="410">
        <v>1.5</v>
      </c>
      <c r="K636" s="411">
        <f>SUMIFS(Таблица1[Столбец1],Таблица1[коэф],"1,5",Таблица1[р/р],"4/8",Таблица1[Ф. И. О.],B638)</f>
        <v>0</v>
      </c>
      <c r="L636" s="461">
        <f t="shared" si="231"/>
        <v>0</v>
      </c>
      <c r="M636" s="411"/>
      <c r="N636" s="411"/>
      <c r="O636" s="411"/>
      <c r="P636" s="383"/>
      <c r="Q636" s="366">
        <f>IF(D633&lt;=3,база!$L$4,
IF(D633=4,база!$L$5,
IF(D633=5,база!$L$6)))</f>
        <v>210.57480000000001</v>
      </c>
      <c r="R636" s="367">
        <v>1.2</v>
      </c>
      <c r="S636" s="377">
        <f>SUMIFS(Таблица1[Столбец1],Таблица1[коэф],"1,2",Таблица1[р/р],"3/16",Таблица1[Ф. И. О.],B638)</f>
        <v>0</v>
      </c>
      <c r="T636" s="469">
        <f t="shared" si="232"/>
        <v>0</v>
      </c>
      <c r="U636" s="455">
        <f>IF(D633&lt;=3,база!$M$4,
IF(D633=4,база!$M$5,
IF(D633=5,база!$M$6)))</f>
        <v>225.09719999999999</v>
      </c>
      <c r="V636" s="367">
        <v>1.2</v>
      </c>
      <c r="W636" s="389">
        <f>SUMIFS(Таблица1[Столбец1],Таблица1[коэф],"1,2",Таблица1[р/р],"3/24",Таблица1[Ф. И. О.],B638)</f>
        <v>0</v>
      </c>
      <c r="X636" s="469">
        <f t="shared" si="233"/>
        <v>0</v>
      </c>
      <c r="Y636" s="748"/>
      <c r="Z636" s="750"/>
      <c r="AA636" s="740"/>
    </row>
    <row r="637" spans="1:29" ht="18.75">
      <c r="A637" s="740"/>
      <c r="B637" s="201"/>
      <c r="C637" s="743"/>
      <c r="D637" s="746"/>
      <c r="E637" s="366"/>
      <c r="F637" s="367"/>
      <c r="G637" s="377"/>
      <c r="H637" s="369">
        <f t="shared" si="230"/>
        <v>0</v>
      </c>
      <c r="I637" s="409">
        <f>база!$J$6</f>
        <v>243.04319999999998</v>
      </c>
      <c r="J637" s="410">
        <v>1.5</v>
      </c>
      <c r="K637" s="411">
        <f>SUMIFS(Таблица1[Столбец1],Таблица1[коэф],"1,5",Таблица1[р/р],"5/8",Таблица1[Ф. И. О.],B638)</f>
        <v>0</v>
      </c>
      <c r="L637" s="461">
        <f t="shared" si="231"/>
        <v>0</v>
      </c>
      <c r="M637" s="411"/>
      <c r="N637" s="411"/>
      <c r="O637" s="411"/>
      <c r="P637" s="383"/>
      <c r="Q637" s="366">
        <f>база!$L$5</f>
        <v>231.45480000000001</v>
      </c>
      <c r="R637" s="367">
        <v>1.2</v>
      </c>
      <c r="S637" s="377">
        <f>SUMIFS(Таблица1[Столбец1],Таблица1[коэф],"1,2",Таблица1[р/р],"4/16",Таблица1[Ф. И. О.],B638)</f>
        <v>0</v>
      </c>
      <c r="T637" s="469">
        <f t="shared" si="232"/>
        <v>0</v>
      </c>
      <c r="U637" s="455">
        <f>база!$M$5</f>
        <v>247.41720000000001</v>
      </c>
      <c r="V637" s="367">
        <v>1.2</v>
      </c>
      <c r="W637" s="389">
        <f>SUMIFS(Таблица1[Столбец1],Таблица1[коэф],"1,2",Таблица1[р/р],"4/24",Таблица1[Ф. И. О.],B638)</f>
        <v>0</v>
      </c>
      <c r="X637" s="469">
        <f t="shared" si="233"/>
        <v>0</v>
      </c>
      <c r="Y637" s="748"/>
      <c r="Z637" s="750"/>
      <c r="AA637" s="740"/>
    </row>
    <row r="638" spans="1:29" ht="18.75">
      <c r="A638" s="740"/>
      <c r="B638" s="201" t="str">
        <f>база!B59</f>
        <v>Пириева Виктория Хозеиновна</v>
      </c>
      <c r="C638" s="743"/>
      <c r="D638" s="746"/>
      <c r="E638" s="366"/>
      <c r="F638" s="367"/>
      <c r="G638" s="377"/>
      <c r="H638" s="369">
        <f t="shared" si="230"/>
        <v>0</v>
      </c>
      <c r="I638" s="409"/>
      <c r="J638" s="410"/>
      <c r="K638" s="411"/>
      <c r="L638" s="461">
        <f t="shared" si="231"/>
        <v>0</v>
      </c>
      <c r="M638" s="411"/>
      <c r="N638" s="411"/>
      <c r="O638" s="411"/>
      <c r="P638" s="383"/>
      <c r="Q638" s="366">
        <f>база!$L$6</f>
        <v>261.04640000000001</v>
      </c>
      <c r="R638" s="367">
        <v>1.2</v>
      </c>
      <c r="S638" s="377">
        <f>SUMIFS(Таблица1[Столбец1],Таблица1[коэф],"1,2",Таблица1[р/р],"5/16",Таблица1[Ф. И. О.],B638)</f>
        <v>0</v>
      </c>
      <c r="T638" s="469">
        <f t="shared" si="232"/>
        <v>0</v>
      </c>
      <c r="U638" s="455">
        <f>база!$M$6</f>
        <v>279.0496</v>
      </c>
      <c r="V638" s="367">
        <v>1.2</v>
      </c>
      <c r="W638" s="389">
        <f>SUMIFS(Таблица1[Столбец1],Таблица1[коэф],"1,2",Таблица1[р/р],"5/24",Таблица1[Ф. И. О.],B638)</f>
        <v>0</v>
      </c>
      <c r="X638" s="469">
        <f t="shared" si="233"/>
        <v>0</v>
      </c>
      <c r="Y638" s="748"/>
      <c r="Z638" s="750"/>
      <c r="AA638" s="740"/>
      <c r="AC638" s="693" t="str">
        <f>IF(SUMIFS(Таблица1[Столбец3],Таблица1[Ф. И. О.],B638)-Z633=0,"",SUMIFS(Таблица1[Столбец3],Таблица1[Ф. И. О.],B638)-Z633)</f>
        <v/>
      </c>
    </row>
    <row r="639" spans="1:29" ht="18.75">
      <c r="A639" s="740"/>
      <c r="B639" s="201"/>
      <c r="C639" s="743"/>
      <c r="D639" s="746"/>
      <c r="E639" s="366"/>
      <c r="F639" s="367"/>
      <c r="G639" s="377"/>
      <c r="H639" s="369">
        <f t="shared" si="230"/>
        <v>0</v>
      </c>
      <c r="I639" s="409"/>
      <c r="J639" s="410"/>
      <c r="K639" s="411"/>
      <c r="L639" s="461">
        <f t="shared" si="231"/>
        <v>0</v>
      </c>
      <c r="M639" s="411"/>
      <c r="N639" s="411"/>
      <c r="O639" s="411"/>
      <c r="P639" s="383"/>
      <c r="Q639" s="366">
        <f>IF($D$6&lt;=3,база!$L$4,
IF($D$6=4,база!$L$5,
IF($D$6=5,база!$L$6)))</f>
        <v>231.45480000000001</v>
      </c>
      <c r="R639" s="367">
        <v>1.3</v>
      </c>
      <c r="S639" s="377">
        <f>SUMIFS(Таблица1[Столбец1],Таблица1[коэф],"1,3",Таблица1[р/р],"3/16",Таблица1[Ф. И. О.],B638)</f>
        <v>0</v>
      </c>
      <c r="T639" s="469">
        <f t="shared" si="232"/>
        <v>0</v>
      </c>
      <c r="U639" s="455">
        <f>IF(D633&lt;=3,база!$M$4,
IF(D633=4,база!$M$5,
IF(D633=5,база!$M$6)))</f>
        <v>225.09719999999999</v>
      </c>
      <c r="V639" s="367">
        <v>1.3</v>
      </c>
      <c r="W639" s="389">
        <f>SUMIFS(Таблица1[Столбец1],Таблица1[коэф],"1,3",Таблица1[р/р],"3/24",Таблица1[Ф. И. О.],B638)</f>
        <v>0</v>
      </c>
      <c r="X639" s="469">
        <f t="shared" si="233"/>
        <v>0</v>
      </c>
      <c r="Y639" s="748"/>
      <c r="Z639" s="750"/>
      <c r="AA639" s="740"/>
      <c r="AC639" s="693" t="str">
        <f>IF(SUMIFS(Таблица1[Столбец1],Таблица1[Ф. И. О.],B638)=Y633,"",B638&amp;"  часы не верны")</f>
        <v/>
      </c>
    </row>
    <row r="640" spans="1:29" ht="18.75">
      <c r="A640" s="740"/>
      <c r="B640" s="201"/>
      <c r="C640" s="743"/>
      <c r="D640" s="746"/>
      <c r="E640" s="366"/>
      <c r="F640" s="367"/>
      <c r="G640" s="377"/>
      <c r="H640" s="369">
        <f t="shared" si="230"/>
        <v>0</v>
      </c>
      <c r="I640" s="409"/>
      <c r="J640" s="410"/>
      <c r="K640" s="411"/>
      <c r="L640" s="461">
        <f t="shared" si="231"/>
        <v>0</v>
      </c>
      <c r="M640" s="411"/>
      <c r="N640" s="411"/>
      <c r="O640" s="411"/>
      <c r="P640" s="383"/>
      <c r="Q640" s="366">
        <f>база!$L$5</f>
        <v>231.45480000000001</v>
      </c>
      <c r="R640" s="367">
        <v>1.3</v>
      </c>
      <c r="S640" s="377">
        <f>SUMIFS(Таблица1[Столбец1],Таблица1[коэф],"1,3",Таблица1[р/р],"4/16",Таблица1[Ф. И. О.],B638)</f>
        <v>0</v>
      </c>
      <c r="T640" s="469">
        <f t="shared" si="232"/>
        <v>0</v>
      </c>
      <c r="U640" s="455">
        <f>база!$M$5</f>
        <v>247.41720000000001</v>
      </c>
      <c r="V640" s="367">
        <v>1.3</v>
      </c>
      <c r="W640" s="389">
        <f>SUMIFS(Таблица1[Столбец1],Таблица1[коэф],"1,3",Таблица1[р/р],"4/24",Таблица1[Ф. И. О.],B638)</f>
        <v>0</v>
      </c>
      <c r="X640" s="469">
        <f t="shared" si="233"/>
        <v>0</v>
      </c>
      <c r="Y640" s="748"/>
      <c r="Z640" s="750"/>
      <c r="AA640" s="740"/>
    </row>
    <row r="641" spans="1:29" ht="18.75">
      <c r="A641" s="740"/>
      <c r="B641" s="201"/>
      <c r="C641" s="743"/>
      <c r="D641" s="746"/>
      <c r="E641" s="366"/>
      <c r="F641" s="367"/>
      <c r="G641" s="377"/>
      <c r="H641" s="369">
        <f t="shared" si="230"/>
        <v>0</v>
      </c>
      <c r="I641" s="409"/>
      <c r="J641" s="410"/>
      <c r="K641" s="411"/>
      <c r="L641" s="461">
        <f t="shared" si="231"/>
        <v>0</v>
      </c>
      <c r="M641" s="411"/>
      <c r="N641" s="411"/>
      <c r="O641" s="411"/>
      <c r="P641" s="383"/>
      <c r="Q641" s="366">
        <f>IF(D633&lt;=3,база!$L$4,
IF(D633=4,база!$L$5,
IF(D633=5,база!$L$6)))</f>
        <v>210.57480000000001</v>
      </c>
      <c r="R641" s="367">
        <v>1.4</v>
      </c>
      <c r="S641" s="377">
        <f>SUMIFS(Таблица1[Столбец1],Таблица1[коэф],"1,4",Таблица1[р/р],"3/16",Таблица1[Ф. И. О.],B638)</f>
        <v>0</v>
      </c>
      <c r="T641" s="469">
        <f t="shared" si="232"/>
        <v>0</v>
      </c>
      <c r="U641" s="455">
        <f>IF(D633&lt;=3,база!$M$4,
IF(D633=4,база!$M$5,
IF(D633=5,база!$M$6)))</f>
        <v>225.09719999999999</v>
      </c>
      <c r="V641" s="367">
        <v>1.4</v>
      </c>
      <c r="W641" s="389">
        <f>SUMIFS(Таблица1[Столбец1],Таблица1[коэф],"1,4",Таблица1[р/р],"3/24",Таблица1[Ф. И. О.],B638)</f>
        <v>0</v>
      </c>
      <c r="X641" s="469">
        <f t="shared" si="233"/>
        <v>0</v>
      </c>
      <c r="Y641" s="748"/>
      <c r="Z641" s="750"/>
      <c r="AA641" s="740"/>
    </row>
    <row r="642" spans="1:29" ht="18.75">
      <c r="A642" s="740"/>
      <c r="B642" s="201"/>
      <c r="C642" s="743"/>
      <c r="D642" s="746"/>
      <c r="E642" s="366"/>
      <c r="F642" s="367"/>
      <c r="G642" s="377"/>
      <c r="H642" s="369">
        <f t="shared" si="230"/>
        <v>0</v>
      </c>
      <c r="I642" s="409"/>
      <c r="J642" s="410"/>
      <c r="K642" s="411"/>
      <c r="L642" s="461">
        <f t="shared" si="231"/>
        <v>0</v>
      </c>
      <c r="M642" s="411"/>
      <c r="N642" s="411"/>
      <c r="O642" s="411"/>
      <c r="P642" s="383"/>
      <c r="Q642" s="366">
        <f>база!$L$5</f>
        <v>231.45480000000001</v>
      </c>
      <c r="R642" s="367">
        <v>1.4</v>
      </c>
      <c r="S642" s="377">
        <f>SUMIFS(Таблица1[Столбец1],Таблица1[коэф],"1,4",Таблица1[р/р],"4/16",Таблица1[Ф. И. О.],B638)</f>
        <v>0</v>
      </c>
      <c r="T642" s="469">
        <f t="shared" si="232"/>
        <v>0</v>
      </c>
      <c r="U642" s="455">
        <f>база!$M$5</f>
        <v>247.41720000000001</v>
      </c>
      <c r="V642" s="367">
        <v>1.4</v>
      </c>
      <c r="W642" s="389">
        <f>SUMIFS(Таблица1[Столбец1],Таблица1[коэф],"1,4",Таблица1[р/р],"4/24",Таблица1[Ф. И. О.],B638)</f>
        <v>0</v>
      </c>
      <c r="X642" s="469">
        <f t="shared" si="233"/>
        <v>0</v>
      </c>
      <c r="Y642" s="748"/>
      <c r="Z642" s="750"/>
      <c r="AA642" s="740"/>
    </row>
    <row r="643" spans="1:29" ht="19.5" thickBot="1">
      <c r="A643" s="741"/>
      <c r="B643" s="188"/>
      <c r="C643" s="744"/>
      <c r="D643" s="747"/>
      <c r="E643" s="450"/>
      <c r="F643" s="441"/>
      <c r="G643" s="442"/>
      <c r="H643" s="379">
        <f t="shared" si="230"/>
        <v>0</v>
      </c>
      <c r="I643" s="443"/>
      <c r="J643" s="433"/>
      <c r="K643" s="434"/>
      <c r="L643" s="461">
        <f t="shared" si="231"/>
        <v>0</v>
      </c>
      <c r="M643" s="434"/>
      <c r="N643" s="434"/>
      <c r="O643" s="434"/>
      <c r="P643" s="453"/>
      <c r="Q643" s="450">
        <f>база!$L$6</f>
        <v>261.04640000000001</v>
      </c>
      <c r="R643" s="441">
        <v>1.4</v>
      </c>
      <c r="S643" s="442">
        <f>SUMIFS(Таблица1[Столбец1],Таблица1[коэф],"1,4",Таблица1[р/р],"5/16",Таблица1[Ф. И. О.],B638)</f>
        <v>0</v>
      </c>
      <c r="T643" s="469">
        <f t="shared" si="232"/>
        <v>0</v>
      </c>
      <c r="U643" s="457">
        <f>база!$M$6</f>
        <v>279.0496</v>
      </c>
      <c r="V643" s="441">
        <v>1.4</v>
      </c>
      <c r="W643" s="447">
        <f>SUMIFS(Таблица1[Столбец1],Таблица1[коэф],"1,4",Таблица1[р/р],"5/24",Таблица1[Ф. И. О.],B638)</f>
        <v>0</v>
      </c>
      <c r="X643" s="469">
        <f t="shared" si="233"/>
        <v>0</v>
      </c>
      <c r="Y643" s="749"/>
      <c r="Z643" s="751"/>
      <c r="AA643" s="741"/>
    </row>
    <row r="644" spans="1:29" ht="18.75">
      <c r="A644" s="739">
        <v>59</v>
      </c>
      <c r="B644" s="201"/>
      <c r="C644" s="742">
        <f>INDEX(база!$E$2:$E$150, MATCH(B649,база!$B$2:$B$150,0))</f>
        <v>16858</v>
      </c>
      <c r="D644" s="745">
        <f>INDEX(база!$D$2:$D$150, MATCH(B649,база!$B$2:$B$150,0))</f>
        <v>3</v>
      </c>
      <c r="E644" s="354">
        <f>IF(D644&lt;=3,база!$I$4,
IF(D644=4,база!$I$5,
IF(D644=5,база!$I$6)))</f>
        <v>188.7912</v>
      </c>
      <c r="F644" s="355">
        <v>1</v>
      </c>
      <c r="G644" s="364">
        <f>SUMIFS(Таблица1[Столбец1],Таблица1[коэф],"1",Таблица1[р/р],"2/4",Таблица1[Ф. И. О.],B649)</f>
        <v>0</v>
      </c>
      <c r="H644" s="357">
        <f t="shared" si="230"/>
        <v>0</v>
      </c>
      <c r="I644" s="429">
        <f>IF(D644&lt;=3,база!$J$4,
IF(D644=4,база!$J$5,
IF(D644=5,база!$J$6)))</f>
        <v>196.05240000000001</v>
      </c>
      <c r="J644" s="452">
        <v>1</v>
      </c>
      <c r="K644" s="430">
        <f>SUMIFS(Таблица1[Столбец1],Таблица1[коэф],"1",Таблица1[р/р],"2/8",Таблица1[Ф. И. О.],B649)</f>
        <v>0</v>
      </c>
      <c r="L644" s="360">
        <f t="shared" si="231"/>
        <v>0</v>
      </c>
      <c r="M644" s="430"/>
      <c r="N644" s="430">
        <v>1</v>
      </c>
      <c r="O644" s="430">
        <f>SUMIFS(Data_Tech!$AM$3:$AM$67,Data_Tech!$E$3:$E$67,"1",Data_Tech!$G$3:$G$67,"3/12",Data_Tech!$F$3:$F$67,B649)</f>
        <v>0</v>
      </c>
      <c r="P644" s="375">
        <f>ROUND(M644*N644*O644,2)</f>
        <v>0</v>
      </c>
      <c r="Q644" s="354">
        <f>IF(D644&lt;=3,база!$L$4,
IF(D644=4,база!$L$5,
IF(D644=5,база!$L$6)))</f>
        <v>210.57480000000001</v>
      </c>
      <c r="R644" s="355">
        <v>1</v>
      </c>
      <c r="S644" s="364">
        <f>SUMIFS(Таблица1[Столбец1],Таблица1[коэф],"1",Таблица1[р/р],"3/16",Таблица1[Ф. И. О.],B649)</f>
        <v>0</v>
      </c>
      <c r="T644" s="467">
        <f t="shared" si="232"/>
        <v>0</v>
      </c>
      <c r="U644" s="460">
        <f>IF(D644&lt;=3,база!$M$4,
IF(D644=4,база!$M$5,
IF(D644=5,база!$M$6)))</f>
        <v>225.09719999999999</v>
      </c>
      <c r="V644" s="394">
        <v>1</v>
      </c>
      <c r="W644" s="432">
        <f>SUMIFS(Таблица1[Столбец1],Таблица1[коэф],"1",Таблица1[р/р],"3/24",Таблица1[Ф. И. О.],B649)</f>
        <v>0</v>
      </c>
      <c r="X644" s="467">
        <f t="shared" si="233"/>
        <v>0</v>
      </c>
      <c r="Y644" s="748">
        <f t="shared" ref="Y644" si="236">SUM(G644:G654,K644:K654,O644:O654,S644:S654,W644:W654)</f>
        <v>0</v>
      </c>
      <c r="Z644" s="750">
        <f t="shared" ref="Z644" si="237">IFERROR(SUM(H644:H654,L644:L654,T644:T654,X644:X654),"")</f>
        <v>0</v>
      </c>
      <c r="AA644" s="740"/>
    </row>
    <row r="645" spans="1:29" ht="18.75">
      <c r="A645" s="740"/>
      <c r="B645" s="201"/>
      <c r="C645" s="743"/>
      <c r="D645" s="746"/>
      <c r="E645" s="366">
        <f>IF(D644&lt;=3,база!$I$4,
IF(D644=4,база!$I$5,
IF(D644=5,база!$I$6)))</f>
        <v>188.7912</v>
      </c>
      <c r="F645" s="367">
        <v>1</v>
      </c>
      <c r="G645" s="377">
        <f>SUMIFS(Таблица1[Столбец1],Таблица1[коэф],"1",Таблица1[р/р],"3/4",Таблица1[Ф. И. О.],B649)</f>
        <v>0</v>
      </c>
      <c r="H645" s="369">
        <f t="shared" si="230"/>
        <v>0</v>
      </c>
      <c r="I645" s="409">
        <f>IF(D644&lt;=3,база!$J$4,
IF(D644=4,база!$J$5,
IF(D644=5,база!$J$6)))</f>
        <v>196.05240000000001</v>
      </c>
      <c r="J645" s="410">
        <v>1</v>
      </c>
      <c r="K645" s="411">
        <f>SUMIFS(Таблица1[Столбец1],Таблица1[коэф],"1",Таблица1[р/р],"3/8",Таблица1[Ф. И. О.],B649)</f>
        <v>0</v>
      </c>
      <c r="L645" s="461">
        <f t="shared" si="231"/>
        <v>0</v>
      </c>
      <c r="M645" s="411"/>
      <c r="N645" s="411">
        <v>1</v>
      </c>
      <c r="O645" s="411">
        <f>SUMIFS(Data_Tech!$AM$3:$AM$67,Data_Tech!$E$3:$E$67,"1",Data_Tech!$G$3:$G$67,"4/12",Data_Tech!$F$3:$F$67,B649)</f>
        <v>0</v>
      </c>
      <c r="P645" s="383">
        <f>ROUND(M645*O645,2)</f>
        <v>0</v>
      </c>
      <c r="Q645" s="366">
        <f>база!$L$5</f>
        <v>231.45480000000001</v>
      </c>
      <c r="R645" s="367">
        <v>1</v>
      </c>
      <c r="S645" s="377">
        <f>SUMIFS(Таблица1[Столбец1],Таблица1[коэф],"1",Таблица1[р/р],"4/16",Таблица1[Ф. И. О.],B649)</f>
        <v>0</v>
      </c>
      <c r="T645" s="469">
        <f t="shared" si="232"/>
        <v>0</v>
      </c>
      <c r="U645" s="455">
        <f>база!$M$5</f>
        <v>247.41720000000001</v>
      </c>
      <c r="V645" s="367">
        <v>1</v>
      </c>
      <c r="W645" s="389">
        <f>SUMIFS(Таблица1[Столбец1],Таблица1[коэф],"1",Таблица1[р/р],"4/24",Таблица1[Ф. И. О.],B649)</f>
        <v>0</v>
      </c>
      <c r="X645" s="469">
        <f t="shared" si="233"/>
        <v>0</v>
      </c>
      <c r="Y645" s="748"/>
      <c r="Z645" s="750"/>
      <c r="AA645" s="740"/>
    </row>
    <row r="646" spans="1:29" ht="18.75">
      <c r="A646" s="740"/>
      <c r="B646" s="201"/>
      <c r="C646" s="743"/>
      <c r="D646" s="746"/>
      <c r="E646" s="366"/>
      <c r="F646" s="367"/>
      <c r="G646" s="377"/>
      <c r="H646" s="369">
        <f t="shared" si="230"/>
        <v>0</v>
      </c>
      <c r="I646" s="409"/>
      <c r="J646" s="410"/>
      <c r="K646" s="411"/>
      <c r="L646" s="461">
        <f t="shared" si="231"/>
        <v>0</v>
      </c>
      <c r="M646" s="411"/>
      <c r="N646" s="411"/>
      <c r="O646" s="411"/>
      <c r="P646" s="383"/>
      <c r="Q646" s="366">
        <f>база!$L$6</f>
        <v>261.04640000000001</v>
      </c>
      <c r="R646" s="367">
        <v>1</v>
      </c>
      <c r="S646" s="377">
        <f>SUMIFS(Таблица1[Столбец1],Таблица1[коэф],"1",Таблица1[р/р],"5/16",Таблица1[Ф. И. О.],B649)</f>
        <v>0</v>
      </c>
      <c r="T646" s="469">
        <f t="shared" si="232"/>
        <v>0</v>
      </c>
      <c r="U646" s="455">
        <f>база!$M$6</f>
        <v>279.0496</v>
      </c>
      <c r="V646" s="367">
        <v>1</v>
      </c>
      <c r="W646" s="389">
        <f>SUMIFS(Таблица1[Столбец1],Таблица1[коэф],"1",Таблица1[р/р],"5/24",Таблица1[Ф. И. О.],B649)</f>
        <v>0</v>
      </c>
      <c r="X646" s="469">
        <f t="shared" si="233"/>
        <v>0</v>
      </c>
      <c r="Y646" s="748"/>
      <c r="Z646" s="750"/>
      <c r="AA646" s="740"/>
    </row>
    <row r="647" spans="1:29" ht="18.75">
      <c r="A647" s="740"/>
      <c r="B647" s="201"/>
      <c r="C647" s="743"/>
      <c r="D647" s="746"/>
      <c r="E647" s="366"/>
      <c r="F647" s="367"/>
      <c r="G647" s="377"/>
      <c r="H647" s="369">
        <f t="shared" si="230"/>
        <v>0</v>
      </c>
      <c r="I647" s="409">
        <f>база!$J$5</f>
        <v>215.4924</v>
      </c>
      <c r="J647" s="410">
        <v>1.5</v>
      </c>
      <c r="K647" s="411">
        <f>SUMIFS(Таблица1[Столбец1],Таблица1[коэф],"1,5",Таблица1[р/р],"4/8",Таблица1[Ф. И. О.],B649)</f>
        <v>0</v>
      </c>
      <c r="L647" s="461">
        <f t="shared" si="231"/>
        <v>0</v>
      </c>
      <c r="M647" s="411"/>
      <c r="N647" s="411"/>
      <c r="O647" s="411"/>
      <c r="P647" s="383"/>
      <c r="Q647" s="366">
        <f>IF(D644&lt;=3,база!$L$4,
IF(D644=4,база!$L$5,
IF(D644=5,база!$L$6)))</f>
        <v>210.57480000000001</v>
      </c>
      <c r="R647" s="367">
        <v>1.2</v>
      </c>
      <c r="S647" s="377">
        <f>SUMIFS(Таблица1[Столбец1],Таблица1[коэф],"1,2",Таблица1[р/р],"3/16",Таблица1[Ф. И. О.],B649)</f>
        <v>0</v>
      </c>
      <c r="T647" s="469">
        <f t="shared" si="232"/>
        <v>0</v>
      </c>
      <c r="U647" s="455">
        <f>IF(D644&lt;=3,база!$M$4,
IF(D644=4,база!$M$5,
IF(D644=5,база!$M$6)))</f>
        <v>225.09719999999999</v>
      </c>
      <c r="V647" s="367">
        <v>1.2</v>
      </c>
      <c r="W647" s="389">
        <f>SUMIFS(Таблица1[Столбец1],Таблица1[коэф],"1,2",Таблица1[р/р],"3/24",Таблица1[Ф. И. О.],B649)</f>
        <v>0</v>
      </c>
      <c r="X647" s="469">
        <f t="shared" si="233"/>
        <v>0</v>
      </c>
      <c r="Y647" s="748"/>
      <c r="Z647" s="750"/>
      <c r="AA647" s="740"/>
    </row>
    <row r="648" spans="1:29" ht="18.75">
      <c r="A648" s="740"/>
      <c r="B648" s="201"/>
      <c r="C648" s="743"/>
      <c r="D648" s="746"/>
      <c r="E648" s="366"/>
      <c r="F648" s="367"/>
      <c r="G648" s="377"/>
      <c r="H648" s="369">
        <f t="shared" si="230"/>
        <v>0</v>
      </c>
      <c r="I648" s="409">
        <f>база!$J$6</f>
        <v>243.04319999999998</v>
      </c>
      <c r="J648" s="410">
        <v>1.5</v>
      </c>
      <c r="K648" s="411">
        <f>SUMIFS(Таблица1[Столбец1],Таблица1[коэф],"1,5",Таблица1[р/р],"5/8",Таблица1[Ф. И. О.],B649)</f>
        <v>0</v>
      </c>
      <c r="L648" s="461">
        <f t="shared" si="231"/>
        <v>0</v>
      </c>
      <c r="M648" s="411"/>
      <c r="N648" s="411"/>
      <c r="O648" s="411"/>
      <c r="P648" s="383"/>
      <c r="Q648" s="366">
        <f>база!$L$5</f>
        <v>231.45480000000001</v>
      </c>
      <c r="R648" s="367">
        <v>1.2</v>
      </c>
      <c r="S648" s="377">
        <f>SUMIFS(Таблица1[Столбец1],Таблица1[коэф],"1,2",Таблица1[р/р],"4/16",Таблица1[Ф. И. О.],B649)</f>
        <v>0</v>
      </c>
      <c r="T648" s="469">
        <f t="shared" si="232"/>
        <v>0</v>
      </c>
      <c r="U648" s="455">
        <f>база!$M$5</f>
        <v>247.41720000000001</v>
      </c>
      <c r="V648" s="367">
        <v>1.2</v>
      </c>
      <c r="W648" s="389">
        <f>SUMIFS(Таблица1[Столбец1],Таблица1[коэф],"1,2",Таблица1[р/р],"4/24",Таблица1[Ф. И. О.],B649)</f>
        <v>0</v>
      </c>
      <c r="X648" s="469">
        <f t="shared" si="233"/>
        <v>0</v>
      </c>
      <c r="Y648" s="748"/>
      <c r="Z648" s="750"/>
      <c r="AA648" s="740"/>
    </row>
    <row r="649" spans="1:29" ht="18.75">
      <c r="A649" s="740"/>
      <c r="B649" s="201" t="str">
        <f>база!B60</f>
        <v>Полушкина Анастасия Юрьевна</v>
      </c>
      <c r="C649" s="743"/>
      <c r="D649" s="746"/>
      <c r="E649" s="366"/>
      <c r="F649" s="367"/>
      <c r="G649" s="377"/>
      <c r="H649" s="369">
        <f t="shared" si="230"/>
        <v>0</v>
      </c>
      <c r="I649" s="409"/>
      <c r="J649" s="410"/>
      <c r="K649" s="411"/>
      <c r="L649" s="461">
        <f t="shared" si="231"/>
        <v>0</v>
      </c>
      <c r="M649" s="411"/>
      <c r="N649" s="411"/>
      <c r="O649" s="411"/>
      <c r="P649" s="383"/>
      <c r="Q649" s="366">
        <f>база!$L$6</f>
        <v>261.04640000000001</v>
      </c>
      <c r="R649" s="367">
        <v>1.2</v>
      </c>
      <c r="S649" s="377">
        <f>SUMIFS(Таблица1[Столбец1],Таблица1[коэф],"1,2",Таблица1[р/р],"5/16",Таблица1[Ф. И. О.],B649)</f>
        <v>0</v>
      </c>
      <c r="T649" s="469">
        <f t="shared" si="232"/>
        <v>0</v>
      </c>
      <c r="U649" s="455">
        <f>база!$M$6</f>
        <v>279.0496</v>
      </c>
      <c r="V649" s="367">
        <v>1.2</v>
      </c>
      <c r="W649" s="389">
        <f>SUMIFS(Таблица1[Столбец1],Таблица1[коэф],"1,2",Таблица1[р/р],"5/24",Таблица1[Ф. И. О.],B649)</f>
        <v>0</v>
      </c>
      <c r="X649" s="469">
        <f t="shared" si="233"/>
        <v>0</v>
      </c>
      <c r="Y649" s="748"/>
      <c r="Z649" s="750"/>
      <c r="AA649" s="740"/>
      <c r="AC649" s="693" t="str">
        <f>IF(SUMIFS(Таблица1[Столбец3],Таблица1[Ф. И. О.],B649)-Z644=0,"",SUMIFS(Таблица1[Столбец3],Таблица1[Ф. И. О.],B649)-Z644)</f>
        <v/>
      </c>
    </row>
    <row r="650" spans="1:29" ht="18.75">
      <c r="A650" s="740"/>
      <c r="B650" s="201"/>
      <c r="C650" s="743"/>
      <c r="D650" s="746"/>
      <c r="E650" s="366"/>
      <c r="F650" s="367"/>
      <c r="G650" s="377"/>
      <c r="H650" s="369">
        <f t="shared" si="230"/>
        <v>0</v>
      </c>
      <c r="I650" s="409"/>
      <c r="J650" s="410"/>
      <c r="K650" s="411"/>
      <c r="L650" s="461">
        <f t="shared" si="231"/>
        <v>0</v>
      </c>
      <c r="M650" s="411"/>
      <c r="N650" s="411"/>
      <c r="O650" s="411"/>
      <c r="P650" s="383"/>
      <c r="Q650" s="366">
        <f>IF($D$6&lt;=3,база!$L$4,
IF($D$6=4,база!$L$5,
IF($D$6=5,база!$L$6)))</f>
        <v>231.45480000000001</v>
      </c>
      <c r="R650" s="367">
        <v>1.3</v>
      </c>
      <c r="S650" s="377">
        <f>SUMIFS(Таблица1[Столбец1],Таблица1[коэф],"1,3",Таблица1[р/р],"3/16",Таблица1[Ф. И. О.],B649)</f>
        <v>0</v>
      </c>
      <c r="T650" s="469">
        <f t="shared" si="232"/>
        <v>0</v>
      </c>
      <c r="U650" s="455">
        <f>IF(D644&lt;=3,база!$M$4,
IF(D644=4,база!$M$5,
IF(D644=5,база!$M$6)))</f>
        <v>225.09719999999999</v>
      </c>
      <c r="V650" s="367">
        <v>1.3</v>
      </c>
      <c r="W650" s="389">
        <f>SUMIFS(Таблица1[Столбец1],Таблица1[коэф],"1,3",Таблица1[р/р],"3/24",Таблица1[Ф. И. О.],B649)</f>
        <v>0</v>
      </c>
      <c r="X650" s="469">
        <f t="shared" si="233"/>
        <v>0</v>
      </c>
      <c r="Y650" s="748"/>
      <c r="Z650" s="750"/>
      <c r="AA650" s="740"/>
      <c r="AC650" s="693" t="str">
        <f>IF(SUMIFS(Таблица1[Столбец1],Таблица1[Ф. И. О.],B649)=Y644,"",B649&amp;"  часы не верны")</f>
        <v/>
      </c>
    </row>
    <row r="651" spans="1:29" ht="18.75">
      <c r="A651" s="740"/>
      <c r="B651" s="201"/>
      <c r="C651" s="743"/>
      <c r="D651" s="746"/>
      <c r="E651" s="366"/>
      <c r="F651" s="367"/>
      <c r="G651" s="377"/>
      <c r="H651" s="369">
        <f t="shared" si="230"/>
        <v>0</v>
      </c>
      <c r="I651" s="409"/>
      <c r="J651" s="410"/>
      <c r="K651" s="411"/>
      <c r="L651" s="461">
        <f t="shared" si="231"/>
        <v>0</v>
      </c>
      <c r="M651" s="411"/>
      <c r="N651" s="411"/>
      <c r="O651" s="411"/>
      <c r="P651" s="383"/>
      <c r="Q651" s="366">
        <f>база!$L$5</f>
        <v>231.45480000000001</v>
      </c>
      <c r="R651" s="367">
        <v>1.3</v>
      </c>
      <c r="S651" s="377">
        <f>SUMIFS(Таблица1[Столбец1],Таблица1[коэф],"1,3",Таблица1[р/р],"4/16",Таблица1[Ф. И. О.],B649)</f>
        <v>0</v>
      </c>
      <c r="T651" s="469">
        <f t="shared" si="232"/>
        <v>0</v>
      </c>
      <c r="U651" s="455">
        <f>база!$M$5</f>
        <v>247.41720000000001</v>
      </c>
      <c r="V651" s="367">
        <v>1.3</v>
      </c>
      <c r="W651" s="389">
        <f>SUMIFS(Таблица1[Столбец1],Таблица1[коэф],"1,3",Таблица1[р/р],"4/24",Таблица1[Ф. И. О.],B649)</f>
        <v>0</v>
      </c>
      <c r="X651" s="469">
        <f t="shared" si="233"/>
        <v>0</v>
      </c>
      <c r="Y651" s="748"/>
      <c r="Z651" s="750"/>
      <c r="AA651" s="740"/>
    </row>
    <row r="652" spans="1:29" ht="18.75">
      <c r="A652" s="740"/>
      <c r="B652" s="201"/>
      <c r="C652" s="743"/>
      <c r="D652" s="746"/>
      <c r="E652" s="366"/>
      <c r="F652" s="367"/>
      <c r="G652" s="377"/>
      <c r="H652" s="369">
        <f t="shared" si="230"/>
        <v>0</v>
      </c>
      <c r="I652" s="409"/>
      <c r="J652" s="410"/>
      <c r="K652" s="411"/>
      <c r="L652" s="461">
        <f t="shared" si="231"/>
        <v>0</v>
      </c>
      <c r="M652" s="411"/>
      <c r="N652" s="411"/>
      <c r="O652" s="411"/>
      <c r="P652" s="383"/>
      <c r="Q652" s="366">
        <f>IF(D644&lt;=3,база!$L$4,
IF(D644=4,база!$L$5,
IF(D644=5,база!$L$6)))</f>
        <v>210.57480000000001</v>
      </c>
      <c r="R652" s="367">
        <v>1.4</v>
      </c>
      <c r="S652" s="377">
        <f>SUMIFS(Таблица1[Столбец1],Таблица1[коэф],"1,4",Таблица1[р/р],"3/16",Таблица1[Ф. И. О.],B649)</f>
        <v>0</v>
      </c>
      <c r="T652" s="469">
        <f t="shared" si="232"/>
        <v>0</v>
      </c>
      <c r="U652" s="455">
        <f>IF(D644&lt;=3,база!$M$4,
IF(D644=4,база!$M$5,
IF(D644=5,база!$M$6)))</f>
        <v>225.09719999999999</v>
      </c>
      <c r="V652" s="367">
        <v>1.4</v>
      </c>
      <c r="W652" s="389">
        <f>SUMIFS(Таблица1[Столбец1],Таблица1[коэф],"1,4",Таблица1[р/р],"3/24",Таблица1[Ф. И. О.],B649)</f>
        <v>0</v>
      </c>
      <c r="X652" s="469">
        <f t="shared" si="233"/>
        <v>0</v>
      </c>
      <c r="Y652" s="748"/>
      <c r="Z652" s="750"/>
      <c r="AA652" s="740"/>
    </row>
    <row r="653" spans="1:29" ht="18.75">
      <c r="A653" s="740"/>
      <c r="B653" s="201"/>
      <c r="C653" s="743"/>
      <c r="D653" s="746"/>
      <c r="E653" s="366"/>
      <c r="F653" s="367"/>
      <c r="G653" s="377"/>
      <c r="H653" s="369">
        <f t="shared" si="230"/>
        <v>0</v>
      </c>
      <c r="I653" s="409"/>
      <c r="J653" s="410"/>
      <c r="K653" s="411"/>
      <c r="L653" s="461">
        <f t="shared" si="231"/>
        <v>0</v>
      </c>
      <c r="M653" s="411"/>
      <c r="N653" s="411"/>
      <c r="O653" s="411"/>
      <c r="P653" s="383"/>
      <c r="Q653" s="366">
        <f>база!$L$5</f>
        <v>231.45480000000001</v>
      </c>
      <c r="R653" s="367">
        <v>1.4</v>
      </c>
      <c r="S653" s="377">
        <f>SUMIFS(Таблица1[Столбец1],Таблица1[коэф],"1,4",Таблица1[р/р],"4/16",Таблица1[Ф. И. О.],B649)</f>
        <v>0</v>
      </c>
      <c r="T653" s="469">
        <f t="shared" si="232"/>
        <v>0</v>
      </c>
      <c r="U653" s="455">
        <f>база!$M$5</f>
        <v>247.41720000000001</v>
      </c>
      <c r="V653" s="367">
        <v>1.4</v>
      </c>
      <c r="W653" s="389">
        <f>SUMIFS(Таблица1[Столбец1],Таблица1[коэф],"1,4",Таблица1[р/р],"4/24",Таблица1[Ф. И. О.],B649)</f>
        <v>0</v>
      </c>
      <c r="X653" s="469">
        <f t="shared" si="233"/>
        <v>0</v>
      </c>
      <c r="Y653" s="748"/>
      <c r="Z653" s="750"/>
      <c r="AA653" s="740"/>
    </row>
    <row r="654" spans="1:29" ht="19.5" thickBot="1">
      <c r="A654" s="741"/>
      <c r="B654" s="329"/>
      <c r="C654" s="744"/>
      <c r="D654" s="747"/>
      <c r="E654" s="458"/>
      <c r="F654" s="394"/>
      <c r="G654" s="463"/>
      <c r="H654" s="445">
        <f t="shared" si="230"/>
        <v>0</v>
      </c>
      <c r="I654" s="622"/>
      <c r="J654" s="433"/>
      <c r="K654" s="623"/>
      <c r="L654" s="461">
        <f t="shared" si="231"/>
        <v>0</v>
      </c>
      <c r="M654" s="373"/>
      <c r="N654" s="374"/>
      <c r="O654" s="374"/>
      <c r="P654" s="375"/>
      <c r="Q654" s="464">
        <f>база!$L$6</f>
        <v>261.04640000000001</v>
      </c>
      <c r="R654" s="394">
        <v>1.4</v>
      </c>
      <c r="S654" s="395">
        <f>SUMIFS(Таблица1[Столбец1],Таблица1[коэф],"1,4",Таблица1[р/р],"5/16",Таблица1[Ф. И. О.],B649)</f>
        <v>0</v>
      </c>
      <c r="T654" s="469">
        <f t="shared" si="232"/>
        <v>0</v>
      </c>
      <c r="U654" s="450">
        <f>база!$M$6</f>
        <v>279.0496</v>
      </c>
      <c r="V654" s="441">
        <v>1.4</v>
      </c>
      <c r="W654" s="442">
        <f>SUMIFS(Таблица1[Столбец1],Таблица1[коэф],"1,4",Таблица1[р/р],"5/24",Таблица1[Ф. И. О.],B649)</f>
        <v>0</v>
      </c>
      <c r="X654" s="490">
        <f t="shared" si="233"/>
        <v>0</v>
      </c>
      <c r="Y654" s="749"/>
      <c r="Z654" s="751"/>
      <c r="AA654" s="741"/>
    </row>
    <row r="655" spans="1:29" ht="18.75">
      <c r="A655" s="739">
        <v>60</v>
      </c>
      <c r="B655" s="201"/>
      <c r="C655" s="742">
        <f>INDEX(база!$E$2:$E$150, MATCH(B660,база!$B$2:$B$150,0))</f>
        <v>16968</v>
      </c>
      <c r="D655" s="745">
        <f>INDEX(база!$D$2:$D$150, MATCH(B660,база!$B$2:$B$150,0))</f>
        <v>3</v>
      </c>
      <c r="E655" s="354">
        <f>IF(D655&lt;=3,база!$I$4,
IF(D655=4,база!$I$5,
IF(D655=5,база!$I$6)))</f>
        <v>188.7912</v>
      </c>
      <c r="F655" s="355">
        <v>1</v>
      </c>
      <c r="G655" s="364">
        <f>SUMIFS(Таблица1[Столбец1],Таблица1[коэф],"1",Таблица1[р/р],"2/4",Таблица1[Ф. И. О.],B660)</f>
        <v>0</v>
      </c>
      <c r="H655" s="379">
        <f t="shared" si="230"/>
        <v>0</v>
      </c>
      <c r="I655" s="429">
        <f>IF(D655&lt;=3,база!$J$4,
IF(D655=4,база!$J$5,
IF(D655=5,база!$J$6)))</f>
        <v>196.05240000000001</v>
      </c>
      <c r="J655" s="452">
        <v>1</v>
      </c>
      <c r="K655" s="430">
        <f>SUMIFS(Таблица1[Столбец1],Таблица1[коэф],"1",Таблица1[р/р],"2/8",Таблица1[Ф. И. О.],B660)</f>
        <v>0</v>
      </c>
      <c r="L655" s="360">
        <f t="shared" si="231"/>
        <v>0</v>
      </c>
      <c r="M655" s="430"/>
      <c r="N655" s="430">
        <v>1</v>
      </c>
      <c r="O655" s="430">
        <f>SUMIFS(Data_Tech!$AM$3:$AM$67,Data_Tech!$E$3:$E$67,"1",Data_Tech!$G$3:$G$67,"3/12",Data_Tech!$F$3:$F$67,B660)</f>
        <v>0</v>
      </c>
      <c r="P655" s="375">
        <f>ROUND(M655*N655*O655,2)</f>
        <v>0</v>
      </c>
      <c r="Q655" s="354">
        <f>IF(D655&lt;=3,база!$L$4,
IF(D655=4,база!$L$5,
IF(D655=5,база!$L$6)))</f>
        <v>210.57480000000001</v>
      </c>
      <c r="R655" s="355">
        <v>1</v>
      </c>
      <c r="S655" s="364">
        <f>SUMIFS(Таблица1[Столбец1],Таблица1[коэф],"1",Таблица1[р/р],"3/16",Таблица1[Ф. И. О.],B660)</f>
        <v>0</v>
      </c>
      <c r="T655" s="467">
        <f t="shared" si="232"/>
        <v>0</v>
      </c>
      <c r="U655" s="460">
        <f>IF(D655&lt;=3,база!$M$4,
IF(D655=4,база!$M$5,
IF(D655=5,база!$M$6)))</f>
        <v>225.09719999999999</v>
      </c>
      <c r="V655" s="394">
        <v>1</v>
      </c>
      <c r="W655" s="432">
        <f>SUMIFS(Таблица1[Столбец1],Таблица1[коэф],"1",Таблица1[р/р],"3/24",Таблица1[Ф. И. О.],B660)</f>
        <v>0</v>
      </c>
      <c r="X655" s="469">
        <f t="shared" si="233"/>
        <v>0</v>
      </c>
      <c r="Y655" s="748">
        <f t="shared" ref="Y655" si="238">SUM(G655:G665,K655:K665,O655:O665,S655:S665,W655:W665)</f>
        <v>0</v>
      </c>
      <c r="Z655" s="750">
        <f t="shared" ref="Z655" si="239">IFERROR(SUM(H655:H665,L655:L665,T655:T665,X655:X665),"")</f>
        <v>0</v>
      </c>
      <c r="AA655" s="740"/>
    </row>
    <row r="656" spans="1:29" ht="18.75">
      <c r="A656" s="740"/>
      <c r="B656" s="201"/>
      <c r="C656" s="743"/>
      <c r="D656" s="746"/>
      <c r="E656" s="366">
        <f>IF(D655&lt;=3,база!$I$4,
IF(D655=4,база!$I$5,
IF(D655=5,база!$I$6)))</f>
        <v>188.7912</v>
      </c>
      <c r="F656" s="367">
        <v>1</v>
      </c>
      <c r="G656" s="377">
        <f>SUMIFS(Таблица1[Столбец1],Таблица1[коэф],"1",Таблица1[р/р],"3/4",Таблица1[Ф. И. О.],B660)</f>
        <v>0</v>
      </c>
      <c r="H656" s="369">
        <f t="shared" si="230"/>
        <v>0</v>
      </c>
      <c r="I656" s="409">
        <f>IF(D655&lt;=3,база!$J$4,
IF(D655=4,база!$J$5,
IF(D655=5,база!$J$6)))</f>
        <v>196.05240000000001</v>
      </c>
      <c r="J656" s="410">
        <v>1</v>
      </c>
      <c r="K656" s="411">
        <f>SUMIFS(Таблица1[Столбец1],Таблица1[коэф],"1",Таблица1[р/р],"3/8",Таблица1[Ф. И. О.],B660)</f>
        <v>0</v>
      </c>
      <c r="L656" s="461">
        <f t="shared" si="231"/>
        <v>0</v>
      </c>
      <c r="M656" s="411"/>
      <c r="N656" s="411">
        <v>1</v>
      </c>
      <c r="O656" s="411">
        <f>SUMIFS(Data_Tech!$AM$3:$AM$67,Data_Tech!$E$3:$E$67,"1",Data_Tech!$G$3:$G$67,"4/12",Data_Tech!$F$3:$F$67,B660)</f>
        <v>0</v>
      </c>
      <c r="P656" s="383">
        <f>ROUND(M656*O656,2)</f>
        <v>0</v>
      </c>
      <c r="Q656" s="366">
        <f>база!$L$5</f>
        <v>231.45480000000001</v>
      </c>
      <c r="R656" s="367">
        <v>1</v>
      </c>
      <c r="S656" s="377">
        <f>SUMIFS(Таблица1[Столбец1],Таблица1[коэф],"1",Таблица1[р/р],"4/16",Таблица1[Ф. И. О.],B660)</f>
        <v>0</v>
      </c>
      <c r="T656" s="469">
        <f t="shared" si="232"/>
        <v>0</v>
      </c>
      <c r="U656" s="455">
        <f>база!$M$5</f>
        <v>247.41720000000001</v>
      </c>
      <c r="V656" s="367">
        <v>1</v>
      </c>
      <c r="W656" s="389">
        <f>SUMIFS(Таблица1[Столбец1],Таблица1[коэф],"1",Таблица1[р/р],"4/24",Таблица1[Ф. И. О.],B660)</f>
        <v>0</v>
      </c>
      <c r="X656" s="469">
        <f t="shared" si="233"/>
        <v>0</v>
      </c>
      <c r="Y656" s="748"/>
      <c r="Z656" s="750"/>
      <c r="AA656" s="740"/>
    </row>
    <row r="657" spans="1:29" ht="18.75">
      <c r="A657" s="740"/>
      <c r="B657" s="201"/>
      <c r="C657" s="743"/>
      <c r="D657" s="746"/>
      <c r="E657" s="366"/>
      <c r="F657" s="367"/>
      <c r="G657" s="377"/>
      <c r="H657" s="369">
        <f t="shared" si="230"/>
        <v>0</v>
      </c>
      <c r="I657" s="409"/>
      <c r="J657" s="410"/>
      <c r="K657" s="411"/>
      <c r="L657" s="461">
        <f t="shared" si="231"/>
        <v>0</v>
      </c>
      <c r="M657" s="411"/>
      <c r="N657" s="411"/>
      <c r="O657" s="411"/>
      <c r="P657" s="383"/>
      <c r="Q657" s="366">
        <f>база!$L$6</f>
        <v>261.04640000000001</v>
      </c>
      <c r="R657" s="367">
        <v>1</v>
      </c>
      <c r="S657" s="377">
        <f>SUMIFS(Таблица1[Столбец1],Таблица1[коэф],"1",Таблица1[р/р],"5/16",Таблица1[Ф. И. О.],B660)</f>
        <v>0</v>
      </c>
      <c r="T657" s="469">
        <f t="shared" si="232"/>
        <v>0</v>
      </c>
      <c r="U657" s="455">
        <f>база!$M$6</f>
        <v>279.0496</v>
      </c>
      <c r="V657" s="367">
        <v>1</v>
      </c>
      <c r="W657" s="389">
        <f>SUMIFS(Таблица1[Столбец1],Таблица1[коэф],"1",Таблица1[р/р],"5/24",Таблица1[Ф. И. О.],B660)</f>
        <v>0</v>
      </c>
      <c r="X657" s="469">
        <f t="shared" si="233"/>
        <v>0</v>
      </c>
      <c r="Y657" s="748"/>
      <c r="Z657" s="750"/>
      <c r="AA657" s="740"/>
    </row>
    <row r="658" spans="1:29" ht="18.75">
      <c r="A658" s="740"/>
      <c r="B658" s="201"/>
      <c r="C658" s="743"/>
      <c r="D658" s="746"/>
      <c r="E658" s="366"/>
      <c r="F658" s="367"/>
      <c r="G658" s="377"/>
      <c r="H658" s="369">
        <f t="shared" si="230"/>
        <v>0</v>
      </c>
      <c r="I658" s="409">
        <f>база!$J$5</f>
        <v>215.4924</v>
      </c>
      <c r="J658" s="410">
        <v>1.5</v>
      </c>
      <c r="K658" s="411">
        <f>SUMIFS(Таблица1[Столбец1],Таблица1[коэф],"1,5",Таблица1[р/р],"4/8",Таблица1[Ф. И. О.],B660)</f>
        <v>0</v>
      </c>
      <c r="L658" s="461">
        <f t="shared" si="231"/>
        <v>0</v>
      </c>
      <c r="M658" s="411"/>
      <c r="N658" s="411"/>
      <c r="O658" s="411"/>
      <c r="P658" s="383"/>
      <c r="Q658" s="366">
        <f>IF(D655&lt;=3,база!$L$4,
IF(D655=4,база!$L$5,
IF(D655=5,база!$L$6)))</f>
        <v>210.57480000000001</v>
      </c>
      <c r="R658" s="367">
        <v>1.2</v>
      </c>
      <c r="S658" s="377">
        <f>SUMIFS(Таблица1[Столбец1],Таблица1[коэф],"1,2",Таблица1[р/р],"3/16",Таблица1[Ф. И. О.],B660)</f>
        <v>0</v>
      </c>
      <c r="T658" s="469">
        <f t="shared" si="232"/>
        <v>0</v>
      </c>
      <c r="U658" s="455">
        <f>IF(D655&lt;=3,база!$M$4,
IF(D655=4,база!$M$5,
IF(D655=5,база!$M$6)))</f>
        <v>225.09719999999999</v>
      </c>
      <c r="V658" s="367">
        <v>1.2</v>
      </c>
      <c r="W658" s="389">
        <f>SUMIFS(Таблица1[Столбец1],Таблица1[коэф],"1,2",Таблица1[р/р],"3/24",Таблица1[Ф. И. О.],B660)</f>
        <v>0</v>
      </c>
      <c r="X658" s="469">
        <f t="shared" si="233"/>
        <v>0</v>
      </c>
      <c r="Y658" s="748"/>
      <c r="Z658" s="750"/>
      <c r="AA658" s="740"/>
    </row>
    <row r="659" spans="1:29" ht="18.75">
      <c r="A659" s="740"/>
      <c r="B659" s="201"/>
      <c r="C659" s="743"/>
      <c r="D659" s="746"/>
      <c r="E659" s="366"/>
      <c r="F659" s="367"/>
      <c r="G659" s="377"/>
      <c r="H659" s="369">
        <f t="shared" si="230"/>
        <v>0</v>
      </c>
      <c r="I659" s="409">
        <f>база!$J$6</f>
        <v>243.04319999999998</v>
      </c>
      <c r="J659" s="410">
        <v>1.5</v>
      </c>
      <c r="K659" s="411">
        <f>SUMIFS(Таблица1[Столбец1],Таблица1[коэф],"1,5",Таблица1[р/р],"5/8",Таблица1[Ф. И. О.],B660)</f>
        <v>0</v>
      </c>
      <c r="L659" s="461">
        <f t="shared" si="231"/>
        <v>0</v>
      </c>
      <c r="M659" s="411"/>
      <c r="N659" s="411"/>
      <c r="O659" s="411"/>
      <c r="P659" s="383"/>
      <c r="Q659" s="366">
        <f>база!$L$5</f>
        <v>231.45480000000001</v>
      </c>
      <c r="R659" s="367">
        <v>1.2</v>
      </c>
      <c r="S659" s="377">
        <f>SUMIFS(Таблица1[Столбец1],Таблица1[коэф],"1,2",Таблица1[р/р],"4/16",Таблица1[Ф. И. О.],B660)</f>
        <v>0</v>
      </c>
      <c r="T659" s="469">
        <f t="shared" si="232"/>
        <v>0</v>
      </c>
      <c r="U659" s="455">
        <f>база!$M$5</f>
        <v>247.41720000000001</v>
      </c>
      <c r="V659" s="367">
        <v>1.2</v>
      </c>
      <c r="W659" s="389">
        <f>SUMIFS(Таблица1[Столбец1],Таблица1[коэф],"1,2",Таблица1[р/р],"4/24",Таблица1[Ф. И. О.],B660)</f>
        <v>0</v>
      </c>
      <c r="X659" s="469">
        <f t="shared" si="233"/>
        <v>0</v>
      </c>
      <c r="Y659" s="748"/>
      <c r="Z659" s="750"/>
      <c r="AA659" s="740"/>
    </row>
    <row r="660" spans="1:29" ht="18.75">
      <c r="A660" s="740"/>
      <c r="B660" s="201" t="str">
        <f>база!B61</f>
        <v>Попова Ольга Геннадьевна</v>
      </c>
      <c r="C660" s="743"/>
      <c r="D660" s="746"/>
      <c r="E660" s="366"/>
      <c r="F660" s="367"/>
      <c r="G660" s="377"/>
      <c r="H660" s="369">
        <f t="shared" si="230"/>
        <v>0</v>
      </c>
      <c r="I660" s="409"/>
      <c r="J660" s="410"/>
      <c r="K660" s="411"/>
      <c r="L660" s="461">
        <f t="shared" si="231"/>
        <v>0</v>
      </c>
      <c r="M660" s="411"/>
      <c r="N660" s="411"/>
      <c r="O660" s="411"/>
      <c r="P660" s="383"/>
      <c r="Q660" s="366">
        <f>база!$L$6</f>
        <v>261.04640000000001</v>
      </c>
      <c r="R660" s="367">
        <v>1.2</v>
      </c>
      <c r="S660" s="377">
        <f>SUMIFS(Таблица1[Столбец1],Таблица1[коэф],"1,2",Таблица1[р/р],"5/16",Таблица1[Ф. И. О.],B660)</f>
        <v>0</v>
      </c>
      <c r="T660" s="469">
        <f t="shared" si="232"/>
        <v>0</v>
      </c>
      <c r="U660" s="455">
        <f>база!$M$6</f>
        <v>279.0496</v>
      </c>
      <c r="V660" s="367">
        <v>1.2</v>
      </c>
      <c r="W660" s="389">
        <f>SUMIFS(Таблица1[Столбец1],Таблица1[коэф],"1,2",Таблица1[р/р],"5/24",Таблица1[Ф. И. О.],B660)</f>
        <v>0</v>
      </c>
      <c r="X660" s="469">
        <f t="shared" si="233"/>
        <v>0</v>
      </c>
      <c r="Y660" s="748"/>
      <c r="Z660" s="750"/>
      <c r="AA660" s="740"/>
      <c r="AC660" s="693" t="str">
        <f>IF(SUMIFS(Таблица1[Столбец3],Таблица1[Ф. И. О.],B660)-Z655=0,"",SUMIFS(Таблица1[Столбец3],Таблица1[Ф. И. О.],B660)-Z655)</f>
        <v/>
      </c>
    </row>
    <row r="661" spans="1:29" ht="18.75">
      <c r="A661" s="740"/>
      <c r="B661" s="201"/>
      <c r="C661" s="743"/>
      <c r="D661" s="746"/>
      <c r="E661" s="366"/>
      <c r="F661" s="367"/>
      <c r="G661" s="377"/>
      <c r="H661" s="369">
        <f t="shared" si="230"/>
        <v>0</v>
      </c>
      <c r="I661" s="409"/>
      <c r="J661" s="410"/>
      <c r="K661" s="411"/>
      <c r="L661" s="461">
        <f t="shared" si="231"/>
        <v>0</v>
      </c>
      <c r="M661" s="411"/>
      <c r="N661" s="411"/>
      <c r="O661" s="411"/>
      <c r="P661" s="383"/>
      <c r="Q661" s="366">
        <f>IF($D$6&lt;=3,база!$L$4,
IF($D$6=4,база!$L$5,
IF($D$6=5,база!$L$6)))</f>
        <v>231.45480000000001</v>
      </c>
      <c r="R661" s="367">
        <v>1.3</v>
      </c>
      <c r="S661" s="377">
        <f>SUMIFS(Таблица1[Столбец1],Таблица1[коэф],"1,3",Таблица1[р/р],"3/16",Таблица1[Ф. И. О.],B660)</f>
        <v>0</v>
      </c>
      <c r="T661" s="469">
        <f t="shared" si="232"/>
        <v>0</v>
      </c>
      <c r="U661" s="455">
        <f>IF(D655&lt;=3,база!$M$4,
IF(D655=4,база!$M$5,
IF(D655=5,база!$M$6)))</f>
        <v>225.09719999999999</v>
      </c>
      <c r="V661" s="367">
        <v>1.3</v>
      </c>
      <c r="W661" s="389">
        <f>SUMIFS(Таблица1[Столбец1],Таблица1[коэф],"1,3",Таблица1[р/р],"3/24",Таблица1[Ф. И. О.],B660)</f>
        <v>0</v>
      </c>
      <c r="X661" s="469">
        <f t="shared" si="233"/>
        <v>0</v>
      </c>
      <c r="Y661" s="748"/>
      <c r="Z661" s="750"/>
      <c r="AA661" s="740"/>
      <c r="AC661" s="693" t="str">
        <f>IF(SUMIFS(Таблица1[Столбец1],Таблица1[Ф. И. О.],B660)=Y655,"",B660&amp;"  часы не верны")</f>
        <v/>
      </c>
    </row>
    <row r="662" spans="1:29" ht="18.75">
      <c r="A662" s="740"/>
      <c r="B662" s="201"/>
      <c r="C662" s="743"/>
      <c r="D662" s="746"/>
      <c r="E662" s="366"/>
      <c r="F662" s="367"/>
      <c r="G662" s="377"/>
      <c r="H662" s="369">
        <f t="shared" si="230"/>
        <v>0</v>
      </c>
      <c r="I662" s="409"/>
      <c r="J662" s="410"/>
      <c r="K662" s="411"/>
      <c r="L662" s="461">
        <f t="shared" si="231"/>
        <v>0</v>
      </c>
      <c r="M662" s="411"/>
      <c r="N662" s="411"/>
      <c r="O662" s="411"/>
      <c r="P662" s="383"/>
      <c r="Q662" s="366">
        <f>база!$L$5</f>
        <v>231.45480000000001</v>
      </c>
      <c r="R662" s="367">
        <v>1.3</v>
      </c>
      <c r="S662" s="377">
        <f>SUMIFS(Таблица1[Столбец1],Таблица1[коэф],"1,3",Таблица1[р/р],"4/16",Таблица1[Ф. И. О.],B660)</f>
        <v>0</v>
      </c>
      <c r="T662" s="469">
        <f t="shared" si="232"/>
        <v>0</v>
      </c>
      <c r="U662" s="455">
        <f>база!$M$5</f>
        <v>247.41720000000001</v>
      </c>
      <c r="V662" s="367">
        <v>1.3</v>
      </c>
      <c r="W662" s="389">
        <f>SUMIFS(Таблица1[Столбец1],Таблица1[коэф],"1,3",Таблица1[р/р],"4/24",Таблица1[Ф. И. О.],B660)</f>
        <v>0</v>
      </c>
      <c r="X662" s="469">
        <f t="shared" si="233"/>
        <v>0</v>
      </c>
      <c r="Y662" s="748"/>
      <c r="Z662" s="750"/>
      <c r="AA662" s="740"/>
    </row>
    <row r="663" spans="1:29" ht="18.75">
      <c r="A663" s="740"/>
      <c r="B663" s="201"/>
      <c r="C663" s="743"/>
      <c r="D663" s="746"/>
      <c r="E663" s="366"/>
      <c r="F663" s="367"/>
      <c r="G663" s="377"/>
      <c r="H663" s="369">
        <f t="shared" si="230"/>
        <v>0</v>
      </c>
      <c r="I663" s="409"/>
      <c r="J663" s="410"/>
      <c r="K663" s="411"/>
      <c r="L663" s="461">
        <f t="shared" si="231"/>
        <v>0</v>
      </c>
      <c r="M663" s="411"/>
      <c r="N663" s="411"/>
      <c r="O663" s="411"/>
      <c r="P663" s="383"/>
      <c r="Q663" s="366">
        <f>IF(D655&lt;=3,база!$L$4,
IF(D655=4,база!$L$5,
IF(D655=5,база!$L$6)))</f>
        <v>210.57480000000001</v>
      </c>
      <c r="R663" s="367">
        <v>1.4</v>
      </c>
      <c r="S663" s="377">
        <f>SUMIFS(Таблица1[Столбец1],Таблица1[коэф],"1,4",Таблица1[р/р],"3/16",Таблица1[Ф. И. О.],B660)</f>
        <v>0</v>
      </c>
      <c r="T663" s="469">
        <f t="shared" si="232"/>
        <v>0</v>
      </c>
      <c r="U663" s="455">
        <f>IF(D655&lt;=3,база!$M$4,
IF(D655=4,база!$M$5,
IF(D655=5,база!$M$6)))</f>
        <v>225.09719999999999</v>
      </c>
      <c r="V663" s="367">
        <v>1.4</v>
      </c>
      <c r="W663" s="389">
        <f>SUMIFS(Таблица1[Столбец1],Таблица1[коэф],"1,4",Таблица1[р/р],"3/24",Таблица1[Ф. И. О.],B660)</f>
        <v>0</v>
      </c>
      <c r="X663" s="469">
        <f t="shared" si="233"/>
        <v>0</v>
      </c>
      <c r="Y663" s="748"/>
      <c r="Z663" s="750"/>
      <c r="AA663" s="740"/>
    </row>
    <row r="664" spans="1:29" ht="18.75">
      <c r="A664" s="740"/>
      <c r="B664" s="201"/>
      <c r="C664" s="743"/>
      <c r="D664" s="746"/>
      <c r="E664" s="366"/>
      <c r="F664" s="367"/>
      <c r="G664" s="377"/>
      <c r="H664" s="369">
        <f t="shared" si="230"/>
        <v>0</v>
      </c>
      <c r="I664" s="409"/>
      <c r="J664" s="410"/>
      <c r="K664" s="411"/>
      <c r="L664" s="461">
        <f t="shared" si="231"/>
        <v>0</v>
      </c>
      <c r="M664" s="411"/>
      <c r="N664" s="411"/>
      <c r="O664" s="411"/>
      <c r="P664" s="383"/>
      <c r="Q664" s="366">
        <f>база!$L$5</f>
        <v>231.45480000000001</v>
      </c>
      <c r="R664" s="367">
        <v>1.4</v>
      </c>
      <c r="S664" s="377">
        <f>SUMIFS(Таблица1[Столбец1],Таблица1[коэф],"1,4",Таблица1[р/р],"4/16",Таблица1[Ф. И. О.],B660)</f>
        <v>0</v>
      </c>
      <c r="T664" s="469">
        <f t="shared" si="232"/>
        <v>0</v>
      </c>
      <c r="U664" s="455">
        <f>база!$M$5</f>
        <v>247.41720000000001</v>
      </c>
      <c r="V664" s="367">
        <v>1.4</v>
      </c>
      <c r="W664" s="389">
        <f>SUMIFS(Таблица1[Столбец1],Таблица1[коэф],"1,4",Таблица1[р/р],"4/24",Таблица1[Ф. И. О.],B660)</f>
        <v>0</v>
      </c>
      <c r="X664" s="469">
        <f t="shared" si="233"/>
        <v>0</v>
      </c>
      <c r="Y664" s="748"/>
      <c r="Z664" s="750"/>
      <c r="AA664" s="740"/>
    </row>
    <row r="665" spans="1:29" ht="19.5" thickBot="1">
      <c r="A665" s="741"/>
      <c r="B665" s="329"/>
      <c r="C665" s="744"/>
      <c r="D665" s="747"/>
      <c r="E665" s="458"/>
      <c r="F665" s="394"/>
      <c r="G665" s="463"/>
      <c r="H665" s="445">
        <f t="shared" si="230"/>
        <v>0</v>
      </c>
      <c r="I665" s="622"/>
      <c r="J665" s="433"/>
      <c r="K665" s="623"/>
      <c r="L665" s="435">
        <f t="shared" si="231"/>
        <v>0</v>
      </c>
      <c r="M665" s="373"/>
      <c r="N665" s="374"/>
      <c r="O665" s="374"/>
      <c r="P665" s="375"/>
      <c r="Q665" s="464">
        <f>база!$L$6</f>
        <v>261.04640000000001</v>
      </c>
      <c r="R665" s="394">
        <v>1.4</v>
      </c>
      <c r="S665" s="395">
        <f>SUMIFS(Таблица1[Столбец1],Таблица1[коэф],"1,4",Таблица1[р/р],"5/16",Таблица1[Ф. И. О.],B660)</f>
        <v>0</v>
      </c>
      <c r="T665" s="469">
        <f t="shared" si="232"/>
        <v>0</v>
      </c>
      <c r="U665" s="450">
        <f>база!$M$6</f>
        <v>279.0496</v>
      </c>
      <c r="V665" s="441">
        <v>1.4</v>
      </c>
      <c r="W665" s="442">
        <f>SUMIFS(Таблица1[Столбец1],Таблица1[коэф],"1,4",Таблица1[р/р],"5/24",Таблица1[Ф. И. О.],B660)</f>
        <v>0</v>
      </c>
      <c r="X665" s="490">
        <f t="shared" si="233"/>
        <v>0</v>
      </c>
      <c r="Y665" s="749"/>
      <c r="Z665" s="751"/>
      <c r="AA665" s="741"/>
    </row>
    <row r="666" spans="1:29" ht="18.75">
      <c r="A666" s="739">
        <v>61</v>
      </c>
      <c r="B666" s="201"/>
      <c r="C666" s="742">
        <f>INDEX(база!$E$2:$E$150, MATCH(B671,база!$B$2:$B$150,0))</f>
        <v>15098</v>
      </c>
      <c r="D666" s="745">
        <f>INDEX(база!$D$2:$D$150, MATCH(B671,база!$B$2:$B$160,0))</f>
        <v>3</v>
      </c>
      <c r="E666" s="354">
        <f>IF(D666&lt;=3,база!$I$4,
IF(D666=4,база!$I$5,
IF(D666=5,база!$I$6)))</f>
        <v>188.7912</v>
      </c>
      <c r="F666" s="355">
        <v>1</v>
      </c>
      <c r="G666" s="364">
        <f>SUMIFS(Таблица1[Столбец1],Таблица1[коэф],"1",Таблица1[р/р],"2/4",Таблица1[Ф. И. О.],B671)</f>
        <v>0</v>
      </c>
      <c r="H666" s="379">
        <f t="shared" si="230"/>
        <v>0</v>
      </c>
      <c r="I666" s="429">
        <f>IF(D666&lt;=3,база!$J$4,
IF(D666=4,база!$J$5,
IF(D666=5,база!$J$6)))</f>
        <v>196.05240000000001</v>
      </c>
      <c r="J666" s="452">
        <v>1</v>
      </c>
      <c r="K666" s="430">
        <f>SUMIFS(Таблица1[Столбец1],Таблица1[коэф],"1",Таблица1[р/р],"2/8",Таблица1[Ф. И. О.],B671)</f>
        <v>0</v>
      </c>
      <c r="L666" s="461">
        <f t="shared" si="231"/>
        <v>0</v>
      </c>
      <c r="M666" s="430"/>
      <c r="N666" s="430">
        <v>1</v>
      </c>
      <c r="O666" s="430">
        <f>SUMIFS(Data_Tech!$AM$3:$AM$67,Data_Tech!$E$3:$E$67,"1",Data_Tech!$G$3:$G$67,"3/12",Data_Tech!$F$3:$F$67,B671)</f>
        <v>0</v>
      </c>
      <c r="P666" s="375">
        <f>ROUND(M666*N666*O666,2)</f>
        <v>0</v>
      </c>
      <c r="Q666" s="354">
        <f>IF(D666&lt;=3,база!$L$4,
IF(D666=4,база!$L$5,
IF(D666=5,база!$L$6)))</f>
        <v>210.57480000000001</v>
      </c>
      <c r="R666" s="355">
        <v>1</v>
      </c>
      <c r="S666" s="364">
        <f>SUMIFS(Таблица1[Столбец1],Таблица1[коэф],"1",Таблица1[р/р],"3/16",Таблица1[Ф. И. О.],B671)</f>
        <v>0</v>
      </c>
      <c r="T666" s="467">
        <f t="shared" si="232"/>
        <v>0</v>
      </c>
      <c r="U666" s="460">
        <f>IF(D666&lt;=3,база!$M$4,
IF(D666=4,база!$M$5,
IF(D666=5,база!$M$6)))</f>
        <v>225.09719999999999</v>
      </c>
      <c r="V666" s="394">
        <v>1</v>
      </c>
      <c r="W666" s="432">
        <f>SUMIFS(Таблица1[Столбец1],Таблица1[коэф],"1",Таблица1[р/р],"3/24",Таблица1[Ф. И. О.],B671)</f>
        <v>0</v>
      </c>
      <c r="X666" s="469">
        <f t="shared" si="233"/>
        <v>0</v>
      </c>
      <c r="Y666" s="748">
        <f t="shared" ref="Y666" si="240">SUM(G666:G676,K666:K676,O666:O676,S666:S676,W666:W676)</f>
        <v>0</v>
      </c>
      <c r="Z666" s="750">
        <f t="shared" ref="Z666" si="241">IFERROR(SUM(H666:H676,L666:L676,T666:T676,X666:X676),"")</f>
        <v>0</v>
      </c>
      <c r="AA666" s="740"/>
    </row>
    <row r="667" spans="1:29" ht="18.75">
      <c r="A667" s="740"/>
      <c r="B667" s="201"/>
      <c r="C667" s="743"/>
      <c r="D667" s="746"/>
      <c r="E667" s="366">
        <f>IF(D666&lt;=3,база!$I$4,
IF(D666=4,база!$I$5,
IF(D666=5,база!$I$6)))</f>
        <v>188.7912</v>
      </c>
      <c r="F667" s="367">
        <v>1</v>
      </c>
      <c r="G667" s="377">
        <f>SUMIFS(Таблица1[Столбец1],Таблица1[коэф],"1",Таблица1[р/р],"3/4",Таблица1[Ф. И. О.],B671)</f>
        <v>0</v>
      </c>
      <c r="H667" s="369">
        <f t="shared" si="230"/>
        <v>0</v>
      </c>
      <c r="I667" s="409">
        <f>IF(D666&lt;=3,база!$J$4,
IF(D666=4,база!$J$5,
IF(D666=5,база!$J$6)))</f>
        <v>196.05240000000001</v>
      </c>
      <c r="J667" s="410">
        <v>1</v>
      </c>
      <c r="K667" s="411">
        <f>SUMIFS(Таблица1[Столбец1],Таблица1[коэф],"1",Таблица1[р/р],"3/8",Таблица1[Ф. И. О.],B671)</f>
        <v>0</v>
      </c>
      <c r="L667" s="461">
        <f t="shared" si="231"/>
        <v>0</v>
      </c>
      <c r="M667" s="411"/>
      <c r="N667" s="411">
        <v>1</v>
      </c>
      <c r="O667" s="411">
        <f>SUMIFS(Data_Tech!$AM$3:$AM$67,Data_Tech!$E$3:$E$67,"1",Data_Tech!$G$3:$G$67,"4/12",Data_Tech!$F$3:$F$67,B671)</f>
        <v>0</v>
      </c>
      <c r="P667" s="383">
        <f>ROUND(M667*O667,2)</f>
        <v>0</v>
      </c>
      <c r="Q667" s="366">
        <f>база!$L$5</f>
        <v>231.45480000000001</v>
      </c>
      <c r="R667" s="367">
        <v>1</v>
      </c>
      <c r="S667" s="377">
        <f>SUMIFS(Таблица1[Столбец1],Таблица1[коэф],"1",Таблица1[р/р],"4/16",Таблица1[Ф. И. О.],B671)</f>
        <v>0</v>
      </c>
      <c r="T667" s="469">
        <f t="shared" si="232"/>
        <v>0</v>
      </c>
      <c r="U667" s="455">
        <f>база!$M$5</f>
        <v>247.41720000000001</v>
      </c>
      <c r="V667" s="367">
        <v>1</v>
      </c>
      <c r="W667" s="389">
        <f>SUMIFS(Таблица1[Столбец1],Таблица1[коэф],"1",Таблица1[р/р],"4/24",Таблица1[Ф. И. О.],B671)</f>
        <v>0</v>
      </c>
      <c r="X667" s="469">
        <f t="shared" si="233"/>
        <v>0</v>
      </c>
      <c r="Y667" s="748"/>
      <c r="Z667" s="750"/>
      <c r="AA667" s="740"/>
    </row>
    <row r="668" spans="1:29" ht="18.75">
      <c r="A668" s="740"/>
      <c r="B668" s="201"/>
      <c r="C668" s="743"/>
      <c r="D668" s="746"/>
      <c r="E668" s="366"/>
      <c r="F668" s="367"/>
      <c r="G668" s="377"/>
      <c r="H668" s="369">
        <f t="shared" si="230"/>
        <v>0</v>
      </c>
      <c r="I668" s="409"/>
      <c r="J668" s="410"/>
      <c r="K668" s="411"/>
      <c r="L668" s="461">
        <f t="shared" si="231"/>
        <v>0</v>
      </c>
      <c r="M668" s="411"/>
      <c r="N668" s="411"/>
      <c r="O668" s="411"/>
      <c r="P668" s="383"/>
      <c r="Q668" s="366">
        <f>база!$L$6</f>
        <v>261.04640000000001</v>
      </c>
      <c r="R668" s="367">
        <v>1</v>
      </c>
      <c r="S668" s="377">
        <f>SUMIFS(Таблица1[Столбец1],Таблица1[коэф],"1",Таблица1[р/р],"5/16",Таблица1[Ф. И. О.],B671)</f>
        <v>0</v>
      </c>
      <c r="T668" s="469">
        <f t="shared" si="232"/>
        <v>0</v>
      </c>
      <c r="U668" s="455">
        <f>база!$M$6</f>
        <v>279.0496</v>
      </c>
      <c r="V668" s="367">
        <v>1</v>
      </c>
      <c r="W668" s="389">
        <f>SUMIFS(Таблица1[Столбец1],Таблица1[коэф],"1",Таблица1[р/р],"5/24",Таблица1[Ф. И. О.],B671)</f>
        <v>0</v>
      </c>
      <c r="X668" s="469">
        <f t="shared" si="233"/>
        <v>0</v>
      </c>
      <c r="Y668" s="748"/>
      <c r="Z668" s="750"/>
      <c r="AA668" s="740"/>
    </row>
    <row r="669" spans="1:29" ht="18.75">
      <c r="A669" s="740"/>
      <c r="B669" s="201"/>
      <c r="C669" s="743"/>
      <c r="D669" s="746"/>
      <c r="E669" s="366"/>
      <c r="F669" s="367"/>
      <c r="G669" s="377"/>
      <c r="H669" s="369">
        <f t="shared" si="230"/>
        <v>0</v>
      </c>
      <c r="I669" s="409">
        <f>база!$J$5</f>
        <v>215.4924</v>
      </c>
      <c r="J669" s="410">
        <v>1.5</v>
      </c>
      <c r="K669" s="411">
        <f>SUMIFS(Таблица1[Столбец1],Таблица1[коэф],"1,5",Таблица1[р/р],"4/8",Таблица1[Ф. И. О.],B671)</f>
        <v>0</v>
      </c>
      <c r="L669" s="461">
        <f t="shared" si="231"/>
        <v>0</v>
      </c>
      <c r="M669" s="411"/>
      <c r="N669" s="411"/>
      <c r="O669" s="411"/>
      <c r="P669" s="383"/>
      <c r="Q669" s="366">
        <f>IF(D666&lt;=3,база!$L$4,
IF(D666=4,база!$L$5,
IF(D666=5,база!$L$6)))</f>
        <v>210.57480000000001</v>
      </c>
      <c r="R669" s="367">
        <v>1.2</v>
      </c>
      <c r="S669" s="377">
        <f>SUMIFS(Таблица1[Столбец1],Таблица1[коэф],"1,2",Таблица1[р/р],"3/16",Таблица1[Ф. И. О.],B671)</f>
        <v>0</v>
      </c>
      <c r="T669" s="469">
        <f t="shared" si="232"/>
        <v>0</v>
      </c>
      <c r="U669" s="455">
        <f>IF(D666&lt;=3,база!$M$4,
IF(D666=4,база!$M$5,
IF(D666=5,база!$M$6)))</f>
        <v>225.09719999999999</v>
      </c>
      <c r="V669" s="367">
        <v>1.2</v>
      </c>
      <c r="W669" s="389">
        <f>SUMIFS(Таблица1[Столбец1],Таблица1[коэф],"1,2",Таблица1[р/р],"3/24",Таблица1[Ф. И. О.],B671)</f>
        <v>0</v>
      </c>
      <c r="X669" s="469">
        <f t="shared" si="233"/>
        <v>0</v>
      </c>
      <c r="Y669" s="748"/>
      <c r="Z669" s="750"/>
      <c r="AA669" s="740"/>
    </row>
    <row r="670" spans="1:29" ht="18.75">
      <c r="A670" s="740"/>
      <c r="B670" s="201"/>
      <c r="C670" s="743"/>
      <c r="D670" s="746"/>
      <c r="E670" s="366"/>
      <c r="F670" s="367"/>
      <c r="G670" s="377"/>
      <c r="H670" s="369">
        <f t="shared" si="230"/>
        <v>0</v>
      </c>
      <c r="I670" s="409">
        <f>база!$J$6</f>
        <v>243.04319999999998</v>
      </c>
      <c r="J670" s="410">
        <v>1.5</v>
      </c>
      <c r="K670" s="411">
        <f>SUMIFS(Таблица1[Столбец1],Таблица1[коэф],"1,5",Таблица1[р/р],"5/8",Таблица1[Ф. И. О.],B671)</f>
        <v>0</v>
      </c>
      <c r="L670" s="461">
        <f t="shared" si="231"/>
        <v>0</v>
      </c>
      <c r="M670" s="411"/>
      <c r="N670" s="411"/>
      <c r="O670" s="411"/>
      <c r="P670" s="383"/>
      <c r="Q670" s="366">
        <f>база!$L$5</f>
        <v>231.45480000000001</v>
      </c>
      <c r="R670" s="367">
        <v>1.2</v>
      </c>
      <c r="S670" s="377">
        <f>SUMIFS(Таблица1[Столбец1],Таблица1[коэф],"1,2",Таблица1[р/р],"4/16",Таблица1[Ф. И. О.],B671)</f>
        <v>0</v>
      </c>
      <c r="T670" s="469">
        <f t="shared" si="232"/>
        <v>0</v>
      </c>
      <c r="U670" s="455">
        <f>база!$M$5</f>
        <v>247.41720000000001</v>
      </c>
      <c r="V670" s="367">
        <v>1.2</v>
      </c>
      <c r="W670" s="389">
        <f>SUMIFS(Таблица1[Столбец1],Таблица1[коэф],"1,2",Таблица1[р/р],"4/24",Таблица1[Ф. И. О.],B671)</f>
        <v>0</v>
      </c>
      <c r="X670" s="469">
        <f t="shared" si="233"/>
        <v>0</v>
      </c>
      <c r="Y670" s="748"/>
      <c r="Z670" s="750"/>
      <c r="AA670" s="740"/>
    </row>
    <row r="671" spans="1:29" ht="18.75">
      <c r="A671" s="740"/>
      <c r="B671" s="201" t="str">
        <f>база!B62</f>
        <v>Потемкина Елена Анатольевна</v>
      </c>
      <c r="C671" s="743"/>
      <c r="D671" s="746"/>
      <c r="E671" s="366"/>
      <c r="F671" s="367"/>
      <c r="G671" s="377"/>
      <c r="H671" s="369">
        <f t="shared" si="230"/>
        <v>0</v>
      </c>
      <c r="I671" s="409"/>
      <c r="J671" s="410"/>
      <c r="K671" s="411"/>
      <c r="L671" s="461">
        <f t="shared" si="231"/>
        <v>0</v>
      </c>
      <c r="M671" s="411"/>
      <c r="N671" s="411"/>
      <c r="O671" s="411"/>
      <c r="P671" s="383"/>
      <c r="Q671" s="366">
        <f>база!$L$6</f>
        <v>261.04640000000001</v>
      </c>
      <c r="R671" s="367">
        <v>1.2</v>
      </c>
      <c r="S671" s="377">
        <f>SUMIFS(Таблица1[Столбец1],Таблица1[коэф],"1,2",Таблица1[р/р],"5/16",Таблица1[Ф. И. О.],B671)</f>
        <v>0</v>
      </c>
      <c r="T671" s="469">
        <f t="shared" si="232"/>
        <v>0</v>
      </c>
      <c r="U671" s="455">
        <f>база!$M$6</f>
        <v>279.0496</v>
      </c>
      <c r="V671" s="367">
        <v>1.2</v>
      </c>
      <c r="W671" s="389">
        <f>SUMIFS(Таблица1[Столбец1],Таблица1[коэф],"1,2",Таблица1[р/р],"5/24",Таблица1[Ф. И. О.],B671)</f>
        <v>0</v>
      </c>
      <c r="X671" s="469">
        <f t="shared" si="233"/>
        <v>0</v>
      </c>
      <c r="Y671" s="748"/>
      <c r="Z671" s="750"/>
      <c r="AA671" s="740"/>
      <c r="AC671" s="693" t="str">
        <f>IF(SUMIFS(Таблица1[Столбец3],Таблица1[Ф. И. О.],B671)-Z666=0,"",SUMIFS(Таблица1[Столбец3],Таблица1[Ф. И. О.],B671)-Z666)</f>
        <v/>
      </c>
    </row>
    <row r="672" spans="1:29" ht="18.75">
      <c r="A672" s="740"/>
      <c r="B672" s="201"/>
      <c r="C672" s="743"/>
      <c r="D672" s="746"/>
      <c r="E672" s="366"/>
      <c r="F672" s="367"/>
      <c r="G672" s="377"/>
      <c r="H672" s="369">
        <f t="shared" si="230"/>
        <v>0</v>
      </c>
      <c r="I672" s="409"/>
      <c r="J672" s="410"/>
      <c r="K672" s="411"/>
      <c r="L672" s="461">
        <f t="shared" si="231"/>
        <v>0</v>
      </c>
      <c r="M672" s="411"/>
      <c r="N672" s="411"/>
      <c r="O672" s="411"/>
      <c r="P672" s="383"/>
      <c r="Q672" s="366">
        <f>IF($D$6&lt;=3,база!$L$4,
IF($D$6=4,база!$L$5,
IF($D$6=5,база!$L$6)))</f>
        <v>231.45480000000001</v>
      </c>
      <c r="R672" s="367">
        <v>1.3</v>
      </c>
      <c r="S672" s="377">
        <f>SUMIFS(Таблица1[Столбец1],Таблица1[коэф],"1,3",Таблица1[р/р],"3/16",Таблица1[Ф. И. О.],B671)</f>
        <v>0</v>
      </c>
      <c r="T672" s="469">
        <f t="shared" si="232"/>
        <v>0</v>
      </c>
      <c r="U672" s="455">
        <f>IF(D666&lt;=3,база!$M$4,
IF(D666=4,база!$M$5,
IF(D666=5,база!$M$6)))</f>
        <v>225.09719999999999</v>
      </c>
      <c r="V672" s="367">
        <v>1.3</v>
      </c>
      <c r="W672" s="389">
        <f>SUMIFS(Таблица1[Столбец1],Таблица1[коэф],"1,3",Таблица1[р/р],"3/24",Таблица1[Ф. И. О.],B671)</f>
        <v>0</v>
      </c>
      <c r="X672" s="469">
        <f t="shared" si="233"/>
        <v>0</v>
      </c>
      <c r="Y672" s="748"/>
      <c r="Z672" s="750"/>
      <c r="AA672" s="740"/>
      <c r="AC672" s="693" t="str">
        <f>IF(SUMIFS(Таблица1[Столбец1],Таблица1[Ф. И. О.],B671)=Y666,"",B671&amp;"  часы не верны")</f>
        <v/>
      </c>
    </row>
    <row r="673" spans="1:29" ht="18.75">
      <c r="A673" s="740"/>
      <c r="B673" s="201"/>
      <c r="C673" s="743"/>
      <c r="D673" s="746"/>
      <c r="E673" s="366"/>
      <c r="F673" s="367"/>
      <c r="G673" s="377"/>
      <c r="H673" s="369">
        <f t="shared" si="230"/>
        <v>0</v>
      </c>
      <c r="I673" s="409"/>
      <c r="J673" s="410"/>
      <c r="K673" s="411"/>
      <c r="L673" s="461">
        <f t="shared" si="231"/>
        <v>0</v>
      </c>
      <c r="M673" s="411"/>
      <c r="N673" s="411"/>
      <c r="O673" s="411"/>
      <c r="P673" s="383"/>
      <c r="Q673" s="366">
        <f>база!$L$5</f>
        <v>231.45480000000001</v>
      </c>
      <c r="R673" s="367">
        <v>1.3</v>
      </c>
      <c r="S673" s="377">
        <f>SUMIFS(Таблица1[Столбец1],Таблица1[коэф],"1,3",Таблица1[р/р],"4/16",Таблица1[Ф. И. О.],B671)</f>
        <v>0</v>
      </c>
      <c r="T673" s="469">
        <f t="shared" si="232"/>
        <v>0</v>
      </c>
      <c r="U673" s="455">
        <f>база!$M$5</f>
        <v>247.41720000000001</v>
      </c>
      <c r="V673" s="367">
        <v>1.3</v>
      </c>
      <c r="W673" s="389">
        <f>SUMIFS(Таблица1[Столбец1],Таблица1[коэф],"1,3",Таблица1[р/р],"4/24",Таблица1[Ф. И. О.],B671)</f>
        <v>0</v>
      </c>
      <c r="X673" s="469">
        <f t="shared" si="233"/>
        <v>0</v>
      </c>
      <c r="Y673" s="748"/>
      <c r="Z673" s="750"/>
      <c r="AA673" s="740"/>
    </row>
    <row r="674" spans="1:29" ht="18.75">
      <c r="A674" s="740"/>
      <c r="B674" s="201"/>
      <c r="C674" s="743"/>
      <c r="D674" s="746"/>
      <c r="E674" s="366"/>
      <c r="F674" s="367"/>
      <c r="G674" s="377"/>
      <c r="H674" s="369">
        <f t="shared" si="230"/>
        <v>0</v>
      </c>
      <c r="I674" s="409"/>
      <c r="J674" s="410"/>
      <c r="K674" s="411"/>
      <c r="L674" s="461">
        <f t="shared" si="231"/>
        <v>0</v>
      </c>
      <c r="M674" s="411"/>
      <c r="N674" s="411"/>
      <c r="O674" s="411"/>
      <c r="P674" s="383"/>
      <c r="Q674" s="366">
        <f>IF(D666&lt;=3,база!$L$4,
IF(D666=4,база!$L$5,
IF(D666=5,база!$L$6)))</f>
        <v>210.57480000000001</v>
      </c>
      <c r="R674" s="367">
        <v>1.4</v>
      </c>
      <c r="S674" s="377">
        <f>SUMIFS(Таблица1[Столбец1],Таблица1[коэф],"1,4",Таблица1[р/р],"3/16",Таблица1[Ф. И. О.],B671)</f>
        <v>0</v>
      </c>
      <c r="T674" s="469">
        <f t="shared" si="232"/>
        <v>0</v>
      </c>
      <c r="U674" s="455">
        <f>IF(D666&lt;=3,база!$M$4,
IF(D666=4,база!$M$5,
IF(D666=5,база!$M$6)))</f>
        <v>225.09719999999999</v>
      </c>
      <c r="V674" s="367">
        <v>1.4</v>
      </c>
      <c r="W674" s="389">
        <f>SUMIFS(Таблица1[Столбец1],Таблица1[коэф],"1,4",Таблица1[р/р],"3/24",Таблица1[Ф. И. О.],B671)</f>
        <v>0</v>
      </c>
      <c r="X674" s="469">
        <f t="shared" si="233"/>
        <v>0</v>
      </c>
      <c r="Y674" s="748"/>
      <c r="Z674" s="750"/>
      <c r="AA674" s="740"/>
    </row>
    <row r="675" spans="1:29" ht="18.75">
      <c r="A675" s="740"/>
      <c r="B675" s="201"/>
      <c r="C675" s="743"/>
      <c r="D675" s="746"/>
      <c r="E675" s="366"/>
      <c r="F675" s="367"/>
      <c r="G675" s="377"/>
      <c r="H675" s="369">
        <f t="shared" si="230"/>
        <v>0</v>
      </c>
      <c r="I675" s="409"/>
      <c r="J675" s="410"/>
      <c r="K675" s="411"/>
      <c r="L675" s="461">
        <f t="shared" si="231"/>
        <v>0</v>
      </c>
      <c r="M675" s="411"/>
      <c r="N675" s="411"/>
      <c r="O675" s="411"/>
      <c r="P675" s="383"/>
      <c r="Q675" s="366">
        <f>база!$L$5</f>
        <v>231.45480000000001</v>
      </c>
      <c r="R675" s="367">
        <v>1.4</v>
      </c>
      <c r="S675" s="377">
        <f>SUMIFS(Таблица1[Столбец1],Таблица1[коэф],"1,4",Таблица1[р/р],"4/16",Таблица1[Ф. И. О.],B671)</f>
        <v>0</v>
      </c>
      <c r="T675" s="469">
        <f t="shared" si="232"/>
        <v>0</v>
      </c>
      <c r="U675" s="455">
        <f>база!$M$5</f>
        <v>247.41720000000001</v>
      </c>
      <c r="V675" s="367">
        <v>1.4</v>
      </c>
      <c r="W675" s="389">
        <f>SUMIFS(Таблица1[Столбец1],Таблица1[коэф],"1,4",Таблица1[р/р],"4/24",Таблица1[Ф. И. О.],B671)</f>
        <v>0</v>
      </c>
      <c r="X675" s="469">
        <f t="shared" si="233"/>
        <v>0</v>
      </c>
      <c r="Y675" s="748"/>
      <c r="Z675" s="750"/>
      <c r="AA675" s="740"/>
    </row>
    <row r="676" spans="1:29" ht="19.5" thickBot="1">
      <c r="A676" s="741"/>
      <c r="B676" s="329"/>
      <c r="C676" s="744"/>
      <c r="D676" s="747"/>
      <c r="E676" s="458"/>
      <c r="F676" s="394"/>
      <c r="G676" s="463"/>
      <c r="H676" s="445">
        <f t="shared" si="230"/>
        <v>0</v>
      </c>
      <c r="I676" s="622"/>
      <c r="J676" s="433"/>
      <c r="K676" s="623"/>
      <c r="L676" s="461">
        <f t="shared" si="231"/>
        <v>0</v>
      </c>
      <c r="M676" s="373"/>
      <c r="N676" s="374"/>
      <c r="O676" s="374"/>
      <c r="P676" s="375"/>
      <c r="Q676" s="464">
        <f>база!$L$6</f>
        <v>261.04640000000001</v>
      </c>
      <c r="R676" s="394">
        <v>1.4</v>
      </c>
      <c r="S676" s="395">
        <f>SUMIFS(Таблица1[Столбец1],Таблица1[коэф],"1,4",Таблица1[р/р],"5/16",Таблица1[Ф. И. О.],B671)</f>
        <v>0</v>
      </c>
      <c r="T676" s="469">
        <f t="shared" si="232"/>
        <v>0</v>
      </c>
      <c r="U676" s="450">
        <f>база!$M$6</f>
        <v>279.0496</v>
      </c>
      <c r="V676" s="441">
        <v>1.4</v>
      </c>
      <c r="W676" s="442">
        <f>SUMIFS(Таблица1[Столбец1],Таблица1[коэф],"1,4",Таблица1[р/р],"5/24",Таблица1[Ф. И. О.],B671)</f>
        <v>0</v>
      </c>
      <c r="X676" s="490">
        <f t="shared" si="233"/>
        <v>0</v>
      </c>
      <c r="Y676" s="749"/>
      <c r="Z676" s="751"/>
      <c r="AA676" s="741"/>
    </row>
    <row r="677" spans="1:29" ht="18.75">
      <c r="A677" s="739">
        <v>62</v>
      </c>
      <c r="B677" s="201"/>
      <c r="C677" s="742">
        <f>INDEX(база!$E$2:$E$181, MATCH(B682,база!$B$2:$B$160,0))</f>
        <v>15237</v>
      </c>
      <c r="D677" s="745">
        <f>INDEX(база!$D$2:$D$189, MATCH(B682,база!$B$2:$B$160,0))</f>
        <v>3</v>
      </c>
      <c r="E677" s="354">
        <f>IF(D677&lt;=3,база!$I$4,
IF(D677=4,база!$I$5,
IF(D677=5,база!$I$6)))</f>
        <v>188.7912</v>
      </c>
      <c r="F677" s="355">
        <v>1</v>
      </c>
      <c r="G677" s="364">
        <f>SUMIFS(Таблица1[Столбец1],Таблица1[коэф],"1",Таблица1[р/р],"2/4",Таблица1[Ф. И. О.],B682)</f>
        <v>0</v>
      </c>
      <c r="H677" s="379">
        <f t="shared" si="230"/>
        <v>0</v>
      </c>
      <c r="I677" s="429">
        <f>IF(D677&lt;=3,база!$J$4,
IF(D677=4,база!$J$5,
IF(D677=5,база!$J$6)))</f>
        <v>196.05240000000001</v>
      </c>
      <c r="J677" s="452">
        <v>1</v>
      </c>
      <c r="K677" s="430">
        <f>SUMIFS(Таблица1[Столбец1],Таблица1[коэф],"1",Таблица1[р/р],"2/8",Таблица1[Ф. И. О.],B682)</f>
        <v>0</v>
      </c>
      <c r="L677" s="360">
        <f t="shared" si="231"/>
        <v>0</v>
      </c>
      <c r="M677" s="430"/>
      <c r="N677" s="430">
        <v>1</v>
      </c>
      <c r="O677" s="430">
        <f>SUMIFS(Data_Tech!$AM$3:$AM$67,Data_Tech!$E$3:$E$67,"1",Data_Tech!$G$3:$G$67,"3/12",Data_Tech!$F$3:$F$67,B682)</f>
        <v>0</v>
      </c>
      <c r="P677" s="375">
        <f>ROUND(M677*N677*O677,2)</f>
        <v>0</v>
      </c>
      <c r="Q677" s="354">
        <f>IF(D677&lt;=3,база!$L$4,
IF(D677=4,база!$L$5,
IF(D677=5,база!$L$6)))</f>
        <v>210.57480000000001</v>
      </c>
      <c r="R677" s="355">
        <v>1</v>
      </c>
      <c r="S677" s="364">
        <f>SUMIFS(Таблица1[Столбец1],Таблица1[коэф],"1",Таблица1[р/р],"3/16",Таблица1[Ф. И. О.],B682)</f>
        <v>0</v>
      </c>
      <c r="T677" s="467">
        <f t="shared" si="232"/>
        <v>0</v>
      </c>
      <c r="U677" s="460">
        <f>IF(D677&lt;=3,база!$M$4,
IF(D677=4,база!$M$5,
IF(D677=5,база!$M$6)))</f>
        <v>225.09719999999999</v>
      </c>
      <c r="V677" s="394">
        <v>1</v>
      </c>
      <c r="W677" s="432">
        <f>SUMIFS(Таблица1[Столбец1],Таблица1[коэф],"1",Таблица1[р/р],"3/24",Таблица1[Ф. И. О.],B682)</f>
        <v>0</v>
      </c>
      <c r="X677" s="469">
        <f t="shared" si="233"/>
        <v>0</v>
      </c>
      <c r="Y677" s="748">
        <f t="shared" ref="Y677" si="242">SUM(G677:G687,K677:K687,O677:O687,S677:S687,W677:W687)</f>
        <v>0</v>
      </c>
      <c r="Z677" s="750">
        <f t="shared" ref="Z677" si="243">IFERROR(SUM(H677:H687,L677:L687,T677:T687,X677:X687),"")</f>
        <v>0</v>
      </c>
      <c r="AA677" s="740"/>
    </row>
    <row r="678" spans="1:29" ht="18.75">
      <c r="A678" s="740"/>
      <c r="B678" s="201"/>
      <c r="C678" s="743"/>
      <c r="D678" s="746"/>
      <c r="E678" s="366">
        <f>IF(D677&lt;=3,база!$I$4,
IF(D677=4,база!$I$5,
IF(D677=5,база!$I$6)))</f>
        <v>188.7912</v>
      </c>
      <c r="F678" s="367">
        <v>1</v>
      </c>
      <c r="G678" s="377">
        <f>SUMIFS(Таблица1[Столбец1],Таблица1[коэф],"1",Таблица1[р/р],"3/4",Таблица1[Ф. И. О.],B682)</f>
        <v>0</v>
      </c>
      <c r="H678" s="369">
        <f t="shared" si="230"/>
        <v>0</v>
      </c>
      <c r="I678" s="409">
        <f>IF(D677&lt;=3,база!$J$4,
IF(D677=4,база!$J$5,
IF(D677=5,база!$J$6)))</f>
        <v>196.05240000000001</v>
      </c>
      <c r="J678" s="410">
        <v>1</v>
      </c>
      <c r="K678" s="411">
        <f>SUMIFS(Таблица1[Столбец1],Таблица1[коэф],"1",Таблица1[р/р],"3/8",Таблица1[Ф. И. О.],B682)</f>
        <v>0</v>
      </c>
      <c r="L678" s="461">
        <f t="shared" si="231"/>
        <v>0</v>
      </c>
      <c r="M678" s="411"/>
      <c r="N678" s="411">
        <v>1</v>
      </c>
      <c r="O678" s="411">
        <f>SUMIFS(Data_Tech!$AM$3:$AM$67,Data_Tech!$E$3:$E$67,"1",Data_Tech!$G$3:$G$67,"4/12",Data_Tech!$F$3:$F$67,B682)</f>
        <v>0</v>
      </c>
      <c r="P678" s="383">
        <f>ROUND(M678*O678,2)</f>
        <v>0</v>
      </c>
      <c r="Q678" s="366">
        <f>база!$L$5</f>
        <v>231.45480000000001</v>
      </c>
      <c r="R678" s="367">
        <v>1</v>
      </c>
      <c r="S678" s="377">
        <f>SUMIFS(Таблица1[Столбец1],Таблица1[коэф],"1",Таблица1[р/р],"4/16",Таблица1[Ф. И. О.],B682)</f>
        <v>0</v>
      </c>
      <c r="T678" s="469">
        <f t="shared" si="232"/>
        <v>0</v>
      </c>
      <c r="U678" s="455">
        <f>база!$M$5</f>
        <v>247.41720000000001</v>
      </c>
      <c r="V678" s="367">
        <v>1</v>
      </c>
      <c r="W678" s="389">
        <f>SUMIFS(Таблица1[Столбец1],Таблица1[коэф],"1",Таблица1[р/р],"4/24",Таблица1[Ф. И. О.],B682)</f>
        <v>0</v>
      </c>
      <c r="X678" s="469">
        <f t="shared" si="233"/>
        <v>0</v>
      </c>
      <c r="Y678" s="748"/>
      <c r="Z678" s="750"/>
      <c r="AA678" s="740"/>
    </row>
    <row r="679" spans="1:29" ht="18.75">
      <c r="A679" s="740"/>
      <c r="B679" s="201"/>
      <c r="C679" s="743"/>
      <c r="D679" s="746"/>
      <c r="E679" s="366"/>
      <c r="F679" s="367"/>
      <c r="G679" s="377"/>
      <c r="H679" s="369">
        <f t="shared" si="230"/>
        <v>0</v>
      </c>
      <c r="I679" s="409"/>
      <c r="J679" s="410"/>
      <c r="K679" s="411"/>
      <c r="L679" s="461">
        <f t="shared" si="231"/>
        <v>0</v>
      </c>
      <c r="M679" s="411"/>
      <c r="N679" s="411"/>
      <c r="O679" s="411"/>
      <c r="P679" s="383"/>
      <c r="Q679" s="366">
        <f>база!$L$6</f>
        <v>261.04640000000001</v>
      </c>
      <c r="R679" s="367">
        <v>1</v>
      </c>
      <c r="S679" s="377">
        <f>SUMIFS(Таблица1[Столбец1],Таблица1[коэф],"1",Таблица1[р/р],"5/16",Таблица1[Ф. И. О.],B682)</f>
        <v>0</v>
      </c>
      <c r="T679" s="469">
        <f t="shared" si="232"/>
        <v>0</v>
      </c>
      <c r="U679" s="455">
        <f>база!$M$6</f>
        <v>279.0496</v>
      </c>
      <c r="V679" s="367">
        <v>1</v>
      </c>
      <c r="W679" s="389">
        <f>SUMIFS(Таблица1[Столбец1],Таблица1[коэф],"1",Таблица1[р/р],"5/24",Таблица1[Ф. И. О.],B682)</f>
        <v>0</v>
      </c>
      <c r="X679" s="469">
        <f t="shared" si="233"/>
        <v>0</v>
      </c>
      <c r="Y679" s="748"/>
      <c r="Z679" s="750"/>
      <c r="AA679" s="740"/>
    </row>
    <row r="680" spans="1:29" ht="18.75">
      <c r="A680" s="740"/>
      <c r="B680" s="201"/>
      <c r="C680" s="743"/>
      <c r="D680" s="746"/>
      <c r="E680" s="366"/>
      <c r="F680" s="367"/>
      <c r="G680" s="377"/>
      <c r="H680" s="369">
        <f t="shared" si="230"/>
        <v>0</v>
      </c>
      <c r="I680" s="409">
        <f>база!$J$5</f>
        <v>215.4924</v>
      </c>
      <c r="J680" s="410">
        <v>1.5</v>
      </c>
      <c r="K680" s="411">
        <f>SUMIFS(Таблица1[Столбец1],Таблица1[коэф],"1,5",Таблица1[р/р],"4/8",Таблица1[Ф. И. О.],B682)</f>
        <v>0</v>
      </c>
      <c r="L680" s="461">
        <f t="shared" si="231"/>
        <v>0</v>
      </c>
      <c r="M680" s="411"/>
      <c r="N680" s="411"/>
      <c r="O680" s="411"/>
      <c r="P680" s="383"/>
      <c r="Q680" s="366">
        <f>IF(D677&lt;=3,база!$L$4,
IF(D677=4,база!$L$5,
IF(D677=5,база!$L$6)))</f>
        <v>210.57480000000001</v>
      </c>
      <c r="R680" s="367">
        <v>1.2</v>
      </c>
      <c r="S680" s="377">
        <f>SUMIFS(Таблица1[Столбец1],Таблица1[коэф],"1,2",Таблица1[р/р],"3/16",Таблица1[Ф. И. О.],B682)</f>
        <v>0</v>
      </c>
      <c r="T680" s="469">
        <f t="shared" si="232"/>
        <v>0</v>
      </c>
      <c r="U680" s="455">
        <f>IF(D677&lt;=3,база!$M$4,
IF(D677=4,база!$M$5,
IF(D677=5,база!$M$6)))</f>
        <v>225.09719999999999</v>
      </c>
      <c r="V680" s="367">
        <v>1.2</v>
      </c>
      <c r="W680" s="389">
        <f>SUMIFS(Таблица1[Столбец1],Таблица1[коэф],"1,2",Таблица1[р/р],"3/24",Таблица1[Ф. И. О.],B682)</f>
        <v>0</v>
      </c>
      <c r="X680" s="469">
        <f t="shared" si="233"/>
        <v>0</v>
      </c>
      <c r="Y680" s="748"/>
      <c r="Z680" s="750"/>
      <c r="AA680" s="740"/>
    </row>
    <row r="681" spans="1:29" ht="18.75">
      <c r="A681" s="740"/>
      <c r="B681" s="201"/>
      <c r="C681" s="743"/>
      <c r="D681" s="746"/>
      <c r="E681" s="366"/>
      <c r="F681" s="367"/>
      <c r="G681" s="377"/>
      <c r="H681" s="369">
        <f t="shared" si="230"/>
        <v>0</v>
      </c>
      <c r="I681" s="409">
        <f>база!$J$6</f>
        <v>243.04319999999998</v>
      </c>
      <c r="J681" s="410">
        <v>1.5</v>
      </c>
      <c r="K681" s="411">
        <f>SUMIFS(Таблица1[Столбец1],Таблица1[коэф],"1,5",Таблица1[р/р],"5/8",Таблица1[Ф. И. О.],B682)</f>
        <v>0</v>
      </c>
      <c r="L681" s="461">
        <f t="shared" si="231"/>
        <v>0</v>
      </c>
      <c r="M681" s="411"/>
      <c r="N681" s="411"/>
      <c r="O681" s="411"/>
      <c r="P681" s="383"/>
      <c r="Q681" s="366">
        <f>база!$L$5</f>
        <v>231.45480000000001</v>
      </c>
      <c r="R681" s="367">
        <v>1.2</v>
      </c>
      <c r="S681" s="377">
        <f>SUMIFS(Таблица1[Столбец1],Таблица1[коэф],"1,2",Таблица1[р/р],"4/16",Таблица1[Ф. И. О.],B682)</f>
        <v>0</v>
      </c>
      <c r="T681" s="469">
        <f t="shared" si="232"/>
        <v>0</v>
      </c>
      <c r="U681" s="455">
        <f>база!$M$5</f>
        <v>247.41720000000001</v>
      </c>
      <c r="V681" s="367">
        <v>1.2</v>
      </c>
      <c r="W681" s="389">
        <f>SUMIFS(Таблица1[Столбец1],Таблица1[коэф],"1,2",Таблица1[р/р],"4/24",Таблица1[Ф. И. О.],B682)</f>
        <v>0</v>
      </c>
      <c r="X681" s="469">
        <f t="shared" si="233"/>
        <v>0</v>
      </c>
      <c r="Y681" s="748"/>
      <c r="Z681" s="750"/>
      <c r="AA681" s="740"/>
    </row>
    <row r="682" spans="1:29" ht="18.75">
      <c r="A682" s="740"/>
      <c r="B682" s="201" t="str">
        <f>база!B63</f>
        <v>Пригоженкова Ольга Сергеевна</v>
      </c>
      <c r="C682" s="743"/>
      <c r="D682" s="746"/>
      <c r="E682" s="366"/>
      <c r="F682" s="367"/>
      <c r="G682" s="377"/>
      <c r="H682" s="369">
        <f t="shared" si="230"/>
        <v>0</v>
      </c>
      <c r="I682" s="409"/>
      <c r="J682" s="410"/>
      <c r="K682" s="411"/>
      <c r="L682" s="461">
        <f t="shared" si="231"/>
        <v>0</v>
      </c>
      <c r="M682" s="411"/>
      <c r="N682" s="411"/>
      <c r="O682" s="411"/>
      <c r="P682" s="383"/>
      <c r="Q682" s="366">
        <f>база!$L$6</f>
        <v>261.04640000000001</v>
      </c>
      <c r="R682" s="367">
        <v>1.2</v>
      </c>
      <c r="S682" s="377">
        <f>SUMIFS(Таблица1[Столбец1],Таблица1[коэф],"1,2",Таблица1[р/р],"5/16",Таблица1[Ф. И. О.],B682)</f>
        <v>0</v>
      </c>
      <c r="T682" s="469">
        <f t="shared" si="232"/>
        <v>0</v>
      </c>
      <c r="U682" s="455">
        <f>база!$M$6</f>
        <v>279.0496</v>
      </c>
      <c r="V682" s="367">
        <v>1.2</v>
      </c>
      <c r="W682" s="389">
        <f>SUMIFS(Таблица1[Столбец1],Таблица1[коэф],"1,2",Таблица1[р/р],"5/24",Таблица1[Ф. И. О.],B682)</f>
        <v>0</v>
      </c>
      <c r="X682" s="469">
        <f t="shared" si="233"/>
        <v>0</v>
      </c>
      <c r="Y682" s="748"/>
      <c r="Z682" s="750"/>
      <c r="AA682" s="740"/>
      <c r="AC682" s="693" t="str">
        <f>IF(SUMIFS(Таблица1[Столбец3],Таблица1[Ф. И. О.],B682)-Z677=0,"",SUMIFS(Таблица1[Столбец3],Таблица1[Ф. И. О.],B682)-Z677)</f>
        <v/>
      </c>
    </row>
    <row r="683" spans="1:29" ht="18.75">
      <c r="A683" s="740"/>
      <c r="B683" s="201"/>
      <c r="C683" s="743"/>
      <c r="D683" s="746"/>
      <c r="E683" s="366"/>
      <c r="F683" s="367"/>
      <c r="G683" s="377"/>
      <c r="H683" s="369">
        <f t="shared" si="230"/>
        <v>0</v>
      </c>
      <c r="I683" s="409"/>
      <c r="J683" s="410"/>
      <c r="K683" s="411"/>
      <c r="L683" s="461">
        <f t="shared" si="231"/>
        <v>0</v>
      </c>
      <c r="M683" s="411"/>
      <c r="N683" s="411"/>
      <c r="O683" s="411"/>
      <c r="P683" s="383"/>
      <c r="Q683" s="366">
        <f>IF($D$6&lt;=3,база!$L$4,
IF($D$6=4,база!$L$5,
IF($D$6=5,база!$L$6)))</f>
        <v>231.45480000000001</v>
      </c>
      <c r="R683" s="367">
        <v>1.3</v>
      </c>
      <c r="S683" s="377">
        <f>SUMIFS(Таблица1[Столбец1],Таблица1[коэф],"1,3",Таблица1[р/р],"3/16",Таблица1[Ф. И. О.],B682)</f>
        <v>0</v>
      </c>
      <c r="T683" s="469">
        <f t="shared" si="232"/>
        <v>0</v>
      </c>
      <c r="U683" s="455">
        <f>IF(D677&lt;=3,база!$M$4,
IF(D677=4,база!$M$5,
IF(D677=5,база!$M$6)))</f>
        <v>225.09719999999999</v>
      </c>
      <c r="V683" s="367">
        <v>1.3</v>
      </c>
      <c r="W683" s="389">
        <f>SUMIFS(Таблица1[Столбец1],Таблица1[коэф],"1,3",Таблица1[р/р],"3/24",Таблица1[Ф. И. О.],B682)</f>
        <v>0</v>
      </c>
      <c r="X683" s="469">
        <f t="shared" si="233"/>
        <v>0</v>
      </c>
      <c r="Y683" s="748"/>
      <c r="Z683" s="750"/>
      <c r="AA683" s="740"/>
      <c r="AC683" s="693" t="str">
        <f>IF(SUMIFS(Таблица1[Столбец1],Таблица1[Ф. И. О.],B682)=Y677,"",B682&amp;"  часы не верны")</f>
        <v/>
      </c>
    </row>
    <row r="684" spans="1:29" ht="18.75">
      <c r="A684" s="740"/>
      <c r="B684" s="201"/>
      <c r="C684" s="743"/>
      <c r="D684" s="746"/>
      <c r="E684" s="366"/>
      <c r="F684" s="367"/>
      <c r="G684" s="377"/>
      <c r="H684" s="369">
        <f t="shared" si="230"/>
        <v>0</v>
      </c>
      <c r="I684" s="409"/>
      <c r="J684" s="410"/>
      <c r="K684" s="411"/>
      <c r="L684" s="461">
        <f t="shared" si="231"/>
        <v>0</v>
      </c>
      <c r="M684" s="411"/>
      <c r="N684" s="411"/>
      <c r="O684" s="411"/>
      <c r="P684" s="383"/>
      <c r="Q684" s="366">
        <f>база!$L$5</f>
        <v>231.45480000000001</v>
      </c>
      <c r="R684" s="367">
        <v>1.3</v>
      </c>
      <c r="S684" s="377">
        <f>SUMIFS(Таблица1[Столбец1],Таблица1[коэф],"1,3",Таблица1[р/р],"4/16",Таблица1[Ф. И. О.],B682)</f>
        <v>0</v>
      </c>
      <c r="T684" s="469">
        <f t="shared" si="232"/>
        <v>0</v>
      </c>
      <c r="U684" s="455">
        <f>база!$M$5</f>
        <v>247.41720000000001</v>
      </c>
      <c r="V684" s="367">
        <v>1.3</v>
      </c>
      <c r="W684" s="389">
        <f>SUMIFS(Таблица1[Столбец1],Таблица1[коэф],"1,3",Таблица1[р/р],"4/24",Таблица1[Ф. И. О.],B682)</f>
        <v>0</v>
      </c>
      <c r="X684" s="469">
        <f t="shared" si="233"/>
        <v>0</v>
      </c>
      <c r="Y684" s="748"/>
      <c r="Z684" s="750"/>
      <c r="AA684" s="740"/>
    </row>
    <row r="685" spans="1:29" ht="18.75">
      <c r="A685" s="740"/>
      <c r="B685" s="201"/>
      <c r="C685" s="743"/>
      <c r="D685" s="746"/>
      <c r="E685" s="366"/>
      <c r="F685" s="367"/>
      <c r="G685" s="377"/>
      <c r="H685" s="369">
        <f t="shared" si="230"/>
        <v>0</v>
      </c>
      <c r="I685" s="409"/>
      <c r="J685" s="410"/>
      <c r="K685" s="411"/>
      <c r="L685" s="461">
        <f t="shared" si="231"/>
        <v>0</v>
      </c>
      <c r="M685" s="411"/>
      <c r="N685" s="411"/>
      <c r="O685" s="411"/>
      <c r="P685" s="383"/>
      <c r="Q685" s="366">
        <f>IF(D677&lt;=3,база!$L$4,
IF(D677=4,база!$L$5,
IF(D677=5,база!$L$6)))</f>
        <v>210.57480000000001</v>
      </c>
      <c r="R685" s="367">
        <v>1.4</v>
      </c>
      <c r="S685" s="377">
        <f>SUMIFS(Таблица1[Столбец1],Таблица1[коэф],"1,4",Таблица1[р/р],"3/16",Таблица1[Ф. И. О.],B682)</f>
        <v>0</v>
      </c>
      <c r="T685" s="469">
        <f t="shared" si="232"/>
        <v>0</v>
      </c>
      <c r="U685" s="455">
        <f>IF(D677&lt;=3,база!$M$4,
IF(D677=4,база!$M$5,
IF(D677=5,база!$M$6)))</f>
        <v>225.09719999999999</v>
      </c>
      <c r="V685" s="367">
        <v>1.4</v>
      </c>
      <c r="W685" s="389">
        <f>SUMIFS(Таблица1[Столбец1],Таблица1[коэф],"1,4",Таблица1[р/р],"3/24",Таблица1[Ф. И. О.],B682)</f>
        <v>0</v>
      </c>
      <c r="X685" s="469">
        <f t="shared" si="233"/>
        <v>0</v>
      </c>
      <c r="Y685" s="748"/>
      <c r="Z685" s="750"/>
      <c r="AA685" s="740"/>
    </row>
    <row r="686" spans="1:29" ht="18.75">
      <c r="A686" s="740"/>
      <c r="B686" s="201"/>
      <c r="C686" s="743"/>
      <c r="D686" s="746"/>
      <c r="E686" s="366"/>
      <c r="F686" s="367"/>
      <c r="G686" s="377"/>
      <c r="H686" s="369">
        <f t="shared" si="230"/>
        <v>0</v>
      </c>
      <c r="I686" s="409"/>
      <c r="J686" s="410"/>
      <c r="K686" s="411"/>
      <c r="L686" s="461">
        <f t="shared" si="231"/>
        <v>0</v>
      </c>
      <c r="M686" s="411"/>
      <c r="N686" s="411"/>
      <c r="O686" s="411"/>
      <c r="P686" s="383"/>
      <c r="Q686" s="366">
        <f>база!$L$5</f>
        <v>231.45480000000001</v>
      </c>
      <c r="R686" s="367">
        <v>1.4</v>
      </c>
      <c r="S686" s="377">
        <f>SUMIFS(Таблица1[Столбец1],Таблица1[коэф],"1,4",Таблица1[р/р],"4/16",Таблица1[Ф. И. О.],B682)</f>
        <v>0</v>
      </c>
      <c r="T686" s="469">
        <f t="shared" si="232"/>
        <v>0</v>
      </c>
      <c r="U686" s="455">
        <f>база!$M$5</f>
        <v>247.41720000000001</v>
      </c>
      <c r="V686" s="367">
        <v>1.4</v>
      </c>
      <c r="W686" s="389">
        <f>SUMIFS(Таблица1[Столбец1],Таблица1[коэф],"1,4",Таблица1[р/р],"4/24",Таблица1[Ф. И. О.],B682)</f>
        <v>0</v>
      </c>
      <c r="X686" s="469">
        <f t="shared" si="233"/>
        <v>0</v>
      </c>
      <c r="Y686" s="748"/>
      <c r="Z686" s="750"/>
      <c r="AA686" s="740"/>
    </row>
    <row r="687" spans="1:29" ht="19.5" thickBot="1">
      <c r="A687" s="741"/>
      <c r="B687" s="329"/>
      <c r="C687" s="744"/>
      <c r="D687" s="747"/>
      <c r="E687" s="458"/>
      <c r="F687" s="394"/>
      <c r="G687" s="463"/>
      <c r="H687" s="445">
        <f t="shared" si="230"/>
        <v>0</v>
      </c>
      <c r="I687" s="622"/>
      <c r="J687" s="433"/>
      <c r="K687" s="623"/>
      <c r="L687" s="461">
        <f t="shared" si="231"/>
        <v>0</v>
      </c>
      <c r="M687" s="373"/>
      <c r="N687" s="374"/>
      <c r="O687" s="374"/>
      <c r="P687" s="375"/>
      <c r="Q687" s="464">
        <f>база!$L$6</f>
        <v>261.04640000000001</v>
      </c>
      <c r="R687" s="394">
        <v>1.4</v>
      </c>
      <c r="S687" s="395">
        <f>SUMIFS(Таблица1[Столбец1],Таблица1[коэф],"1,4",Таблица1[р/р],"5/16",Таблица1[Ф. И. О.],B682)</f>
        <v>0</v>
      </c>
      <c r="T687" s="469">
        <f t="shared" si="232"/>
        <v>0</v>
      </c>
      <c r="U687" s="450">
        <f>база!$M$6</f>
        <v>279.0496</v>
      </c>
      <c r="V687" s="441">
        <v>1.4</v>
      </c>
      <c r="W687" s="442">
        <f>SUMIFS(Таблица1[Столбец1],Таблица1[коэф],"1,4",Таблица1[р/р],"5/24",Таблица1[Ф. И. О.],B682)</f>
        <v>0</v>
      </c>
      <c r="X687" s="490">
        <f t="shared" si="233"/>
        <v>0</v>
      </c>
      <c r="Y687" s="749"/>
      <c r="Z687" s="751"/>
      <c r="AA687" s="741"/>
    </row>
    <row r="688" spans="1:29" ht="18.75">
      <c r="A688" s="739">
        <v>63</v>
      </c>
      <c r="B688" s="201"/>
      <c r="C688" s="742">
        <f>INDEX(база!$E$2:$E$181, MATCH(B693,база!$B$2:$B$160,0))</f>
        <v>17208</v>
      </c>
      <c r="D688" s="745">
        <f>INDEX(база!$D$2:$D$189, MATCH(B693,база!$B$2:$B$160,0))</f>
        <v>3</v>
      </c>
      <c r="E688" s="354">
        <f>IF(D688&lt;=3,база!$I$4,
IF(D688=4,база!$I$5,
IF(D688=5,база!$I$6)))</f>
        <v>188.7912</v>
      </c>
      <c r="F688" s="355">
        <v>1</v>
      </c>
      <c r="G688" s="364">
        <f>SUMIFS(Таблица1[Столбец1],Таблица1[коэф],"1",Таблица1[р/р],"2/4",Таблица1[Ф. И. О.],B693)</f>
        <v>0</v>
      </c>
      <c r="H688" s="379">
        <f t="shared" si="230"/>
        <v>0</v>
      </c>
      <c r="I688" s="429">
        <f>IF(D688&lt;=3,база!$J$4,
IF(D688=4,база!$J$5,
IF(D688=5,база!$J$6)))</f>
        <v>196.05240000000001</v>
      </c>
      <c r="J688" s="452">
        <v>1</v>
      </c>
      <c r="K688" s="430">
        <f>SUMIFS(Таблица1[Столбец1],Таблица1[коэф],"1",Таблица1[р/р],"2/8",Таблица1[Ф. И. О.],B693)</f>
        <v>0</v>
      </c>
      <c r="L688" s="360">
        <f t="shared" si="231"/>
        <v>0</v>
      </c>
      <c r="M688" s="430"/>
      <c r="N688" s="430">
        <v>1</v>
      </c>
      <c r="O688" s="430">
        <f>SUMIFS(Data_Tech!$AM$3:$AM$67,Data_Tech!$E$3:$E$67,"1",Data_Tech!$G$3:$G$67,"3/12",Data_Tech!$F$3:$F$67,B693)</f>
        <v>0</v>
      </c>
      <c r="P688" s="375">
        <f>ROUND(M688*N688*O688,2)</f>
        <v>0</v>
      </c>
      <c r="Q688" s="354">
        <f>IF(D688&lt;=3,база!$L$4,
IF(D688=4,база!$L$5,
IF(D688=5,база!$L$6)))</f>
        <v>210.57480000000001</v>
      </c>
      <c r="R688" s="355">
        <v>1</v>
      </c>
      <c r="S688" s="364">
        <f>SUMIFS(Таблица1[Столбец1],Таблица1[коэф],"1",Таблица1[р/р],"3/16",Таблица1[Ф. И. О.],B693)</f>
        <v>0</v>
      </c>
      <c r="T688" s="467">
        <f t="shared" si="232"/>
        <v>0</v>
      </c>
      <c r="U688" s="460">
        <f>IF(D688&lt;=3,база!$M$4,
IF(D688=4,база!$M$5,
IF(D688=5,база!$M$6)))</f>
        <v>225.09719999999999</v>
      </c>
      <c r="V688" s="394">
        <v>1</v>
      </c>
      <c r="W688" s="432">
        <f>SUMIFS(Таблица1[Столбец1],Таблица1[коэф],"1",Таблица1[р/р],"3/24",Таблица1[Ф. И. О.],B693)</f>
        <v>0</v>
      </c>
      <c r="X688" s="469">
        <f t="shared" si="233"/>
        <v>0</v>
      </c>
      <c r="Y688" s="748">
        <f t="shared" ref="Y688" si="244">SUM(G688:G698,K688:K698,O688:O698,S688:S698,W688:W698)</f>
        <v>0</v>
      </c>
      <c r="Z688" s="750">
        <f t="shared" ref="Z688" si="245">IFERROR(SUM(H688:H698,L688:L698,T688:T698,X688:X698),"")</f>
        <v>0</v>
      </c>
      <c r="AA688" s="740"/>
    </row>
    <row r="689" spans="1:29" ht="18.75">
      <c r="A689" s="740"/>
      <c r="B689" s="201"/>
      <c r="C689" s="743"/>
      <c r="D689" s="746"/>
      <c r="E689" s="366">
        <f>IF(D688&lt;=3,база!$I$4,
IF(D688=4,база!$I$5,
IF(D688=5,база!$I$6)))</f>
        <v>188.7912</v>
      </c>
      <c r="F689" s="367">
        <v>1</v>
      </c>
      <c r="G689" s="377">
        <f>SUMIFS(Таблица1[Столбец1],Таблица1[коэф],"1",Таблица1[р/р],"3/4",Таблица1[Ф. И. О.],B693)</f>
        <v>0</v>
      </c>
      <c r="H689" s="369">
        <f t="shared" si="230"/>
        <v>0</v>
      </c>
      <c r="I689" s="409">
        <f>IF(D688&lt;=3,база!$J$4,
IF(D688=4,база!$J$5,
IF(D688=5,база!$J$6)))</f>
        <v>196.05240000000001</v>
      </c>
      <c r="J689" s="410">
        <v>1</v>
      </c>
      <c r="K689" s="411">
        <f>SUMIFS(Таблица1[Столбец1],Таблица1[коэф],"1",Таблица1[р/р],"3/8",Таблица1[Ф. И. О.],B693)</f>
        <v>0</v>
      </c>
      <c r="L689" s="461">
        <f t="shared" si="231"/>
        <v>0</v>
      </c>
      <c r="M689" s="411"/>
      <c r="N689" s="411">
        <v>1</v>
      </c>
      <c r="O689" s="411">
        <f>SUMIFS(Data_Tech!$AM$3:$AM$67,Data_Tech!$E$3:$E$67,"1",Data_Tech!$G$3:$G$67,"4/12",Data_Tech!$F$3:$F$67,B693)</f>
        <v>0</v>
      </c>
      <c r="P689" s="383">
        <f>ROUND(M689*O689,2)</f>
        <v>0</v>
      </c>
      <c r="Q689" s="366">
        <f>база!$L$5</f>
        <v>231.45480000000001</v>
      </c>
      <c r="R689" s="367">
        <v>1</v>
      </c>
      <c r="S689" s="377">
        <f>SUMIFS(Таблица1[Столбец1],Таблица1[коэф],"1",Таблица1[р/р],"4/16",Таблица1[Ф. И. О.],B693)</f>
        <v>0</v>
      </c>
      <c r="T689" s="469">
        <f t="shared" si="232"/>
        <v>0</v>
      </c>
      <c r="U689" s="455">
        <f>база!$M$5</f>
        <v>247.41720000000001</v>
      </c>
      <c r="V689" s="367">
        <v>1</v>
      </c>
      <c r="W689" s="389">
        <f>SUMIFS(Таблица1[Столбец1],Таблица1[коэф],"1",Таблица1[р/р],"4/24",Таблица1[Ф. И. О.],B693)</f>
        <v>0</v>
      </c>
      <c r="X689" s="469">
        <f t="shared" si="233"/>
        <v>0</v>
      </c>
      <c r="Y689" s="748"/>
      <c r="Z689" s="750"/>
      <c r="AA689" s="740"/>
    </row>
    <row r="690" spans="1:29" ht="18.75">
      <c r="A690" s="740"/>
      <c r="B690" s="201"/>
      <c r="C690" s="743"/>
      <c r="D690" s="746"/>
      <c r="E690" s="366"/>
      <c r="F690" s="367"/>
      <c r="G690" s="377"/>
      <c r="H690" s="369">
        <f t="shared" si="230"/>
        <v>0</v>
      </c>
      <c r="I690" s="409"/>
      <c r="J690" s="410"/>
      <c r="K690" s="411"/>
      <c r="L690" s="461">
        <f t="shared" si="231"/>
        <v>0</v>
      </c>
      <c r="M690" s="411"/>
      <c r="N690" s="411"/>
      <c r="O690" s="411"/>
      <c r="P690" s="383"/>
      <c r="Q690" s="366">
        <f>база!$L$6</f>
        <v>261.04640000000001</v>
      </c>
      <c r="R690" s="367">
        <v>1</v>
      </c>
      <c r="S690" s="377">
        <f>SUMIFS(Таблица1[Столбец1],Таблица1[коэф],"1",Таблица1[р/р],"5/16",Таблица1[Ф. И. О.],B693)</f>
        <v>0</v>
      </c>
      <c r="T690" s="469">
        <f t="shared" si="232"/>
        <v>0</v>
      </c>
      <c r="U690" s="455">
        <f>база!$M$6</f>
        <v>279.0496</v>
      </c>
      <c r="V690" s="367">
        <v>1</v>
      </c>
      <c r="W690" s="389">
        <f>SUMIFS(Таблица1[Столбец1],Таблица1[коэф],"1",Таблица1[р/р],"5/24",Таблица1[Ф. И. О.],B693)</f>
        <v>0</v>
      </c>
      <c r="X690" s="469">
        <f t="shared" si="233"/>
        <v>0</v>
      </c>
      <c r="Y690" s="748"/>
      <c r="Z690" s="750"/>
      <c r="AA690" s="740"/>
    </row>
    <row r="691" spans="1:29" ht="18.75">
      <c r="A691" s="740"/>
      <c r="B691" s="201"/>
      <c r="C691" s="743"/>
      <c r="D691" s="746"/>
      <c r="E691" s="366"/>
      <c r="F691" s="367"/>
      <c r="G691" s="377"/>
      <c r="H691" s="369">
        <f t="shared" si="230"/>
        <v>0</v>
      </c>
      <c r="I691" s="409">
        <f>база!$J$5</f>
        <v>215.4924</v>
      </c>
      <c r="J691" s="410">
        <v>1.5</v>
      </c>
      <c r="K691" s="411">
        <f>SUMIFS(Таблица1[Столбец1],Таблица1[коэф],"1,5",Таблица1[р/р],"4/8",Таблица1[Ф. И. О.],B693)</f>
        <v>0</v>
      </c>
      <c r="L691" s="461">
        <f t="shared" si="231"/>
        <v>0</v>
      </c>
      <c r="M691" s="411"/>
      <c r="N691" s="411"/>
      <c r="O691" s="411"/>
      <c r="P691" s="383"/>
      <c r="Q691" s="366">
        <f>IF(D688&lt;=3,база!$L$4,
IF(D688=4,база!$L$5,
IF(D688=5,база!$L$6)))</f>
        <v>210.57480000000001</v>
      </c>
      <c r="R691" s="367">
        <v>1.2</v>
      </c>
      <c r="S691" s="377">
        <f>SUMIFS(Таблица1[Столбец1],Таблица1[коэф],"1,2",Таблица1[р/р],"3/16",Таблица1[Ф. И. О.],B693)</f>
        <v>0</v>
      </c>
      <c r="T691" s="469">
        <f t="shared" si="232"/>
        <v>0</v>
      </c>
      <c r="U691" s="455">
        <f>IF(D688&lt;=3,база!$M$4,
IF(D688=4,база!$M$5,
IF(D688=5,база!$M$6)))</f>
        <v>225.09719999999999</v>
      </c>
      <c r="V691" s="367">
        <v>1.2</v>
      </c>
      <c r="W691" s="389">
        <f>SUMIFS(Таблица1[Столбец1],Таблица1[коэф],"1,2",Таблица1[р/р],"3/24",Таблица1[Ф. И. О.],B693)</f>
        <v>0</v>
      </c>
      <c r="X691" s="469">
        <f t="shared" si="233"/>
        <v>0</v>
      </c>
      <c r="Y691" s="748"/>
      <c r="Z691" s="750"/>
      <c r="AA691" s="740"/>
    </row>
    <row r="692" spans="1:29" ht="18.75">
      <c r="A692" s="740"/>
      <c r="B692" s="201"/>
      <c r="C692" s="743"/>
      <c r="D692" s="746"/>
      <c r="E692" s="366"/>
      <c r="F692" s="367"/>
      <c r="G692" s="377"/>
      <c r="H692" s="369">
        <f t="shared" si="230"/>
        <v>0</v>
      </c>
      <c r="I692" s="409">
        <f>база!$J$6</f>
        <v>243.04319999999998</v>
      </c>
      <c r="J692" s="410">
        <v>1.5</v>
      </c>
      <c r="K692" s="411">
        <f>SUMIFS(Таблица1[Столбец1],Таблица1[коэф],"1,5",Таблица1[р/р],"5/8",Таблица1[Ф. И. О.],B693)</f>
        <v>0</v>
      </c>
      <c r="L692" s="461">
        <f t="shared" si="231"/>
        <v>0</v>
      </c>
      <c r="M692" s="411"/>
      <c r="N692" s="411"/>
      <c r="O692" s="411"/>
      <c r="P692" s="383"/>
      <c r="Q692" s="366">
        <f>база!$L$5</f>
        <v>231.45480000000001</v>
      </c>
      <c r="R692" s="367">
        <v>1.2</v>
      </c>
      <c r="S692" s="377">
        <f>SUMIFS(Таблица1[Столбец1],Таблица1[коэф],"1,2",Таблица1[р/р],"4/16",Таблица1[Ф. И. О.],B693)</f>
        <v>0</v>
      </c>
      <c r="T692" s="469">
        <f t="shared" si="232"/>
        <v>0</v>
      </c>
      <c r="U692" s="455">
        <f>база!$M$5</f>
        <v>247.41720000000001</v>
      </c>
      <c r="V692" s="367">
        <v>1.2</v>
      </c>
      <c r="W692" s="389">
        <f>SUMIFS(Таблица1[Столбец1],Таблица1[коэф],"1,2",Таблица1[р/р],"4/24",Таблица1[Ф. И. О.],B693)</f>
        <v>0</v>
      </c>
      <c r="X692" s="469">
        <f t="shared" si="233"/>
        <v>0</v>
      </c>
      <c r="Y692" s="748"/>
      <c r="Z692" s="750"/>
      <c r="AA692" s="740"/>
    </row>
    <row r="693" spans="1:29" ht="18.75">
      <c r="A693" s="740"/>
      <c r="B693" s="201" t="str">
        <f>база!B64</f>
        <v>Рысев Иван Александрович</v>
      </c>
      <c r="C693" s="743"/>
      <c r="D693" s="746"/>
      <c r="E693" s="366"/>
      <c r="F693" s="367"/>
      <c r="G693" s="377"/>
      <c r="H693" s="369">
        <f t="shared" si="230"/>
        <v>0</v>
      </c>
      <c r="I693" s="409"/>
      <c r="J693" s="410"/>
      <c r="K693" s="411"/>
      <c r="L693" s="461">
        <f t="shared" si="231"/>
        <v>0</v>
      </c>
      <c r="M693" s="411"/>
      <c r="N693" s="411"/>
      <c r="O693" s="411"/>
      <c r="P693" s="383"/>
      <c r="Q693" s="366">
        <f>база!$L$6</f>
        <v>261.04640000000001</v>
      </c>
      <c r="R693" s="367">
        <v>1.2</v>
      </c>
      <c r="S693" s="377">
        <f>SUMIFS(Таблица1[Столбец1],Таблица1[коэф],"1,2",Таблица1[р/р],"5/16",Таблица1[Ф. И. О.],B693)</f>
        <v>0</v>
      </c>
      <c r="T693" s="469">
        <f t="shared" si="232"/>
        <v>0</v>
      </c>
      <c r="U693" s="455">
        <f>база!$M$6</f>
        <v>279.0496</v>
      </c>
      <c r="V693" s="367">
        <v>1.2</v>
      </c>
      <c r="W693" s="389">
        <f>SUMIFS(Таблица1[Столбец1],Таблица1[коэф],"1,2",Таблица1[р/р],"5/24",Таблица1[Ф. И. О.],B693)</f>
        <v>0</v>
      </c>
      <c r="X693" s="469">
        <f t="shared" si="233"/>
        <v>0</v>
      </c>
      <c r="Y693" s="748"/>
      <c r="Z693" s="750"/>
      <c r="AA693" s="740"/>
      <c r="AC693" s="693" t="str">
        <f>IF(SUMIFS(Таблица1[Столбец3],Таблица1[Ф. И. О.],B693)-Z688=0,"",SUMIFS(Таблица1[Столбец3],Таблица1[Ф. И. О.],B693)-Z688)</f>
        <v/>
      </c>
    </row>
    <row r="694" spans="1:29" ht="18.75">
      <c r="A694" s="740"/>
      <c r="B694" s="201"/>
      <c r="C694" s="743"/>
      <c r="D694" s="746"/>
      <c r="E694" s="366"/>
      <c r="F694" s="367"/>
      <c r="G694" s="377"/>
      <c r="H694" s="369">
        <f t="shared" si="230"/>
        <v>0</v>
      </c>
      <c r="I694" s="409"/>
      <c r="J694" s="410"/>
      <c r="K694" s="411"/>
      <c r="L694" s="461">
        <f t="shared" si="231"/>
        <v>0</v>
      </c>
      <c r="M694" s="411"/>
      <c r="N694" s="411"/>
      <c r="O694" s="411"/>
      <c r="P694" s="383"/>
      <c r="Q694" s="366">
        <f>IF($D$6&lt;=3,база!$L$4,
IF($D$6=4,база!$L$5,
IF($D$6=5,база!$L$6)))</f>
        <v>231.45480000000001</v>
      </c>
      <c r="R694" s="367">
        <v>1.3</v>
      </c>
      <c r="S694" s="377">
        <f>SUMIFS(Таблица1[Столбец1],Таблица1[коэф],"1,3",Таблица1[р/р],"3/16",Таблица1[Ф. И. О.],B693)</f>
        <v>0</v>
      </c>
      <c r="T694" s="469">
        <f t="shared" si="232"/>
        <v>0</v>
      </c>
      <c r="U694" s="455">
        <f>IF(D688&lt;=3,база!$M$4,
IF(D688=4,база!$M$5,
IF(D688=5,база!$M$6)))</f>
        <v>225.09719999999999</v>
      </c>
      <c r="V694" s="367">
        <v>1.3</v>
      </c>
      <c r="W694" s="389">
        <f>SUMIFS(Таблица1[Столбец1],Таблица1[коэф],"1,3",Таблица1[р/р],"3/24",Таблица1[Ф. И. О.],B693)</f>
        <v>0</v>
      </c>
      <c r="X694" s="469">
        <f t="shared" si="233"/>
        <v>0</v>
      </c>
      <c r="Y694" s="748"/>
      <c r="Z694" s="750"/>
      <c r="AA694" s="740"/>
      <c r="AC694" s="693" t="str">
        <f>IF(SUMIFS(Таблица1[Столбец1],Таблица1[Ф. И. О.],B693)=Y688,"",B693&amp;"  часы не верны")</f>
        <v/>
      </c>
    </row>
    <row r="695" spans="1:29" ht="18.75">
      <c r="A695" s="740"/>
      <c r="B695" s="201"/>
      <c r="C695" s="743"/>
      <c r="D695" s="746"/>
      <c r="E695" s="366"/>
      <c r="F695" s="367"/>
      <c r="G695" s="377"/>
      <c r="H695" s="369">
        <f t="shared" si="230"/>
        <v>0</v>
      </c>
      <c r="I695" s="409"/>
      <c r="J695" s="410"/>
      <c r="K695" s="411"/>
      <c r="L695" s="461">
        <f t="shared" si="231"/>
        <v>0</v>
      </c>
      <c r="M695" s="411"/>
      <c r="N695" s="411"/>
      <c r="O695" s="411"/>
      <c r="P695" s="383"/>
      <c r="Q695" s="366">
        <f>база!$L$5</f>
        <v>231.45480000000001</v>
      </c>
      <c r="R695" s="367">
        <v>1.3</v>
      </c>
      <c r="S695" s="377">
        <f>SUMIFS(Таблица1[Столбец1],Таблица1[коэф],"1,3",Таблица1[р/р],"4/16",Таблица1[Ф. И. О.],B693)</f>
        <v>0</v>
      </c>
      <c r="T695" s="469">
        <f t="shared" si="232"/>
        <v>0</v>
      </c>
      <c r="U695" s="455">
        <f>база!$M$5</f>
        <v>247.41720000000001</v>
      </c>
      <c r="V695" s="367">
        <v>1.3</v>
      </c>
      <c r="W695" s="389">
        <f>SUMIFS(Таблица1[Столбец1],Таблица1[коэф],"1,3",Таблица1[р/р],"4/24",Таблица1[Ф. И. О.],B693)</f>
        <v>0</v>
      </c>
      <c r="X695" s="469">
        <f t="shared" si="233"/>
        <v>0</v>
      </c>
      <c r="Y695" s="748"/>
      <c r="Z695" s="750"/>
      <c r="AA695" s="740"/>
    </row>
    <row r="696" spans="1:29" ht="18.75">
      <c r="A696" s="740"/>
      <c r="B696" s="201"/>
      <c r="C696" s="743"/>
      <c r="D696" s="746"/>
      <c r="E696" s="366"/>
      <c r="F696" s="367"/>
      <c r="G696" s="377"/>
      <c r="H696" s="369">
        <f t="shared" si="230"/>
        <v>0</v>
      </c>
      <c r="I696" s="409"/>
      <c r="J696" s="410"/>
      <c r="K696" s="411"/>
      <c r="L696" s="461">
        <f t="shared" si="231"/>
        <v>0</v>
      </c>
      <c r="M696" s="411"/>
      <c r="N696" s="411"/>
      <c r="O696" s="411"/>
      <c r="P696" s="383"/>
      <c r="Q696" s="366">
        <f>IF(D688&lt;=3,база!$L$4,
IF(D688=4,база!$L$5,
IF(D688=5,база!$L$6)))</f>
        <v>210.57480000000001</v>
      </c>
      <c r="R696" s="367">
        <v>1.4</v>
      </c>
      <c r="S696" s="377">
        <f>SUMIFS(Таблица1[Столбец1],Таблица1[коэф],"1,4",Таблица1[р/р],"3/16",Таблица1[Ф. И. О.],B693)</f>
        <v>0</v>
      </c>
      <c r="T696" s="469">
        <f t="shared" si="232"/>
        <v>0</v>
      </c>
      <c r="U696" s="455">
        <f>IF(D688&lt;=3,база!$M$4,
IF(D688=4,база!$M$5,
IF(D688=5,база!$M$6)))</f>
        <v>225.09719999999999</v>
      </c>
      <c r="V696" s="367">
        <v>1.4</v>
      </c>
      <c r="W696" s="389">
        <f>SUMIFS(Таблица1[Столбец1],Таблица1[коэф],"1,4",Таблица1[р/р],"3/24",Таблица1[Ф. И. О.],B693)</f>
        <v>0</v>
      </c>
      <c r="X696" s="469">
        <f t="shared" si="233"/>
        <v>0</v>
      </c>
      <c r="Y696" s="748"/>
      <c r="Z696" s="750"/>
      <c r="AA696" s="740"/>
    </row>
    <row r="697" spans="1:29" ht="18.75">
      <c r="A697" s="740"/>
      <c r="B697" s="201"/>
      <c r="C697" s="743"/>
      <c r="D697" s="746"/>
      <c r="E697" s="366"/>
      <c r="F697" s="367"/>
      <c r="G697" s="377"/>
      <c r="H697" s="369">
        <f t="shared" ref="H697:H753" si="246">ROUND(E697*F697*G697*2,2)</f>
        <v>0</v>
      </c>
      <c r="I697" s="409"/>
      <c r="J697" s="410"/>
      <c r="K697" s="411"/>
      <c r="L697" s="461">
        <f t="shared" ref="L697:L753" si="247">ROUND(I697*J697*K697*2,2)</f>
        <v>0</v>
      </c>
      <c r="M697" s="411"/>
      <c r="N697" s="411"/>
      <c r="O697" s="411"/>
      <c r="P697" s="383"/>
      <c r="Q697" s="366">
        <f>база!$L$5</f>
        <v>231.45480000000001</v>
      </c>
      <c r="R697" s="367">
        <v>1.4</v>
      </c>
      <c r="S697" s="377">
        <f>SUMIFS(Таблица1[Столбец1],Таблица1[коэф],"1,4",Таблица1[р/р],"4/16",Таблица1[Ф. И. О.],B693)</f>
        <v>0</v>
      </c>
      <c r="T697" s="469">
        <f t="shared" ref="T697:T753" si="248">ROUND(Q697*R697*S697*2,2)</f>
        <v>0</v>
      </c>
      <c r="U697" s="455">
        <f>база!$M$5</f>
        <v>247.41720000000001</v>
      </c>
      <c r="V697" s="367">
        <v>1.4</v>
      </c>
      <c r="W697" s="389">
        <f>SUMIFS(Таблица1[Столбец1],Таблица1[коэф],"1,4",Таблица1[р/р],"4/24",Таблица1[Ф. И. О.],B693)</f>
        <v>0</v>
      </c>
      <c r="X697" s="469">
        <f t="shared" ref="X697:X753" si="249">ROUND(U697*V697*W697*2,2)</f>
        <v>0</v>
      </c>
      <c r="Y697" s="748"/>
      <c r="Z697" s="750"/>
      <c r="AA697" s="740"/>
    </row>
    <row r="698" spans="1:29" ht="19.5" thickBot="1">
      <c r="A698" s="741"/>
      <c r="B698" s="329"/>
      <c r="C698" s="744"/>
      <c r="D698" s="747"/>
      <c r="E698" s="458"/>
      <c r="F698" s="394"/>
      <c r="G698" s="463"/>
      <c r="H698" s="445">
        <f t="shared" si="246"/>
        <v>0</v>
      </c>
      <c r="I698" s="622"/>
      <c r="J698" s="433"/>
      <c r="K698" s="623"/>
      <c r="L698" s="435">
        <f t="shared" si="247"/>
        <v>0</v>
      </c>
      <c r="M698" s="373"/>
      <c r="N698" s="374"/>
      <c r="O698" s="374"/>
      <c r="P698" s="375"/>
      <c r="Q698" s="464">
        <f>база!$L$6</f>
        <v>261.04640000000001</v>
      </c>
      <c r="R698" s="394">
        <v>1.4</v>
      </c>
      <c r="S698" s="395">
        <f>SUMIFS(Таблица1[Столбец1],Таблица1[коэф],"1,4",Таблица1[р/р],"5/16",Таблица1[Ф. И. О.],B693)</f>
        <v>0</v>
      </c>
      <c r="T698" s="469">
        <f t="shared" si="248"/>
        <v>0</v>
      </c>
      <c r="U698" s="450">
        <f>база!$M$6</f>
        <v>279.0496</v>
      </c>
      <c r="V698" s="441">
        <v>1.4</v>
      </c>
      <c r="W698" s="442">
        <f>SUMIFS(Таблица1[Столбец1],Таблица1[коэф],"1,4",Таблица1[р/р],"5/24",Таблица1[Ф. И. О.],B693)</f>
        <v>0</v>
      </c>
      <c r="X698" s="469">
        <f t="shared" si="249"/>
        <v>0</v>
      </c>
      <c r="Y698" s="749"/>
      <c r="Z698" s="751"/>
      <c r="AA698" s="741"/>
    </row>
    <row r="699" spans="1:29" ht="18.75">
      <c r="A699" s="739">
        <v>64</v>
      </c>
      <c r="B699" s="201"/>
      <c r="C699" s="742">
        <f>INDEX(база!$E$2:$E$181, MATCH(B704,база!$B$2:$B$160,0))</f>
        <v>17324</v>
      </c>
      <c r="D699" s="745">
        <f>INDEX(база!$D$2:$D$189, MATCH(B704,база!$B$2:$B$160,0))</f>
        <v>3</v>
      </c>
      <c r="E699" s="354">
        <f>IF(D699&lt;=3,база!$I$4,
IF(D699=4,база!$I$5,
IF(D699=5,база!$I$6)))</f>
        <v>188.7912</v>
      </c>
      <c r="F699" s="355">
        <v>1</v>
      </c>
      <c r="G699" s="364">
        <f>SUMIFS(Таблица1[Столбец1],Таблица1[коэф],"1",Таблица1[р/р],"2/4",Таблица1[Ф. И. О.],B704)</f>
        <v>0</v>
      </c>
      <c r="H699" s="379">
        <f t="shared" si="246"/>
        <v>0</v>
      </c>
      <c r="I699" s="429">
        <f>IF(D699&lt;=3,база!$J$4,
IF(D699=4,база!$J$5,
IF(D699=5,база!$J$6)))</f>
        <v>196.05240000000001</v>
      </c>
      <c r="J699" s="452">
        <v>1</v>
      </c>
      <c r="K699" s="430">
        <f>SUMIFS(Таблица1[Столбец1],Таблица1[коэф],"1",Таблица1[р/р],"2/8",Таблица1[Ф. И. О.],B704)</f>
        <v>0</v>
      </c>
      <c r="L699" s="461">
        <f t="shared" si="247"/>
        <v>0</v>
      </c>
      <c r="M699" s="430"/>
      <c r="N699" s="430">
        <v>1</v>
      </c>
      <c r="O699" s="430">
        <f>SUMIFS(Data_Tech!$AM$3:$AM$67,Data_Tech!$E$3:$E$67,"1",Data_Tech!$G$3:$G$67,"3/12",Data_Tech!$F$3:$F$67,B704)</f>
        <v>0</v>
      </c>
      <c r="P699" s="375">
        <f>ROUND(M699*N699*O699,2)</f>
        <v>0</v>
      </c>
      <c r="Q699" s="354">
        <f>IF(D699&lt;=3,база!$L$4,
IF(D699=4,база!$L$5,
IF(D699=5,база!$L$6)))</f>
        <v>210.57480000000001</v>
      </c>
      <c r="R699" s="355">
        <v>1</v>
      </c>
      <c r="S699" s="364">
        <f>SUMIFS(Таблица1[Столбец1],Таблица1[коэф],"1",Таблица1[р/р],"3/16",Таблица1[Ф. И. О.],B704)</f>
        <v>0</v>
      </c>
      <c r="T699" s="467">
        <f t="shared" si="248"/>
        <v>0</v>
      </c>
      <c r="U699" s="460">
        <f>IF(D699&lt;=3,база!$M$4,
IF(D699=4,база!$M$5,
IF(D699=5,база!$M$6)))</f>
        <v>225.09719999999999</v>
      </c>
      <c r="V699" s="394">
        <v>1</v>
      </c>
      <c r="W699" s="432">
        <f>SUMIFS(Таблица1[Столбец1],Таблица1[коэф],"1",Таблица1[р/р],"3/24",Таблица1[Ф. И. О.],B704)</f>
        <v>0</v>
      </c>
      <c r="X699" s="467">
        <f t="shared" si="249"/>
        <v>0</v>
      </c>
      <c r="Y699" s="748">
        <f t="shared" ref="Y699" si="250">SUM(G699:G709,K699:K709,O699:O709,S699:S709,W699:W709)</f>
        <v>0</v>
      </c>
      <c r="Z699" s="750">
        <f t="shared" ref="Z699" si="251">IFERROR(SUM(H699:H709,L699:L709,T699:T709,X699:X709),"")</f>
        <v>0</v>
      </c>
      <c r="AA699" s="740"/>
    </row>
    <row r="700" spans="1:29" ht="18.75">
      <c r="A700" s="740"/>
      <c r="B700" s="201"/>
      <c r="C700" s="743"/>
      <c r="D700" s="746"/>
      <c r="E700" s="366">
        <f>IF(D699&lt;=3,база!$I$4,
IF(D699=4,база!$I$5,
IF(D699=5,база!$I$6)))</f>
        <v>188.7912</v>
      </c>
      <c r="F700" s="367">
        <v>1</v>
      </c>
      <c r="G700" s="377">
        <f>SUMIFS(Таблица1[Столбец1],Таблица1[коэф],"1",Таблица1[р/р],"3/4",Таблица1[Ф. И. О.],B704)</f>
        <v>0</v>
      </c>
      <c r="H700" s="369">
        <f t="shared" si="246"/>
        <v>0</v>
      </c>
      <c r="I700" s="409">
        <f>IF(D699&lt;=3,база!$J$4,
IF(D699=4,база!$J$5,
IF(D699=5,база!$J$6)))</f>
        <v>196.05240000000001</v>
      </c>
      <c r="J700" s="410">
        <v>1</v>
      </c>
      <c r="K700" s="411">
        <f>SUMIFS(Таблица1[Столбец1],Таблица1[коэф],"1",Таблица1[р/р],"3/8",Таблица1[Ф. И. О.],B704)</f>
        <v>0</v>
      </c>
      <c r="L700" s="461">
        <f t="shared" si="247"/>
        <v>0</v>
      </c>
      <c r="M700" s="411"/>
      <c r="N700" s="411">
        <v>1</v>
      </c>
      <c r="O700" s="411">
        <f>SUMIFS(Data_Tech!$AM$3:$AM$67,Data_Tech!$E$3:$E$67,"1",Data_Tech!$G$3:$G$67,"4/12",Data_Tech!$F$3:$F$67,B704)</f>
        <v>0</v>
      </c>
      <c r="P700" s="383">
        <f>ROUND(M700*O700,2)</f>
        <v>0</v>
      </c>
      <c r="Q700" s="366">
        <f>база!$L$5</f>
        <v>231.45480000000001</v>
      </c>
      <c r="R700" s="367">
        <v>1</v>
      </c>
      <c r="S700" s="377">
        <f>SUMIFS(Таблица1[Столбец1],Таблица1[коэф],"1",Таблица1[р/р],"4/16",Таблица1[Ф. И. О.],B704)</f>
        <v>0</v>
      </c>
      <c r="T700" s="469">
        <f t="shared" si="248"/>
        <v>0</v>
      </c>
      <c r="U700" s="455">
        <f>база!$M$5</f>
        <v>247.41720000000001</v>
      </c>
      <c r="V700" s="367">
        <v>1</v>
      </c>
      <c r="W700" s="389">
        <f>SUMIFS(Таблица1[Столбец1],Таблица1[коэф],"1",Таблица1[р/р],"4/24",Таблица1[Ф. И. О.],B704)</f>
        <v>0</v>
      </c>
      <c r="X700" s="469">
        <f t="shared" si="249"/>
        <v>0</v>
      </c>
      <c r="Y700" s="748"/>
      <c r="Z700" s="750"/>
      <c r="AA700" s="740"/>
    </row>
    <row r="701" spans="1:29" ht="18.75">
      <c r="A701" s="740"/>
      <c r="B701" s="201"/>
      <c r="C701" s="743"/>
      <c r="D701" s="746"/>
      <c r="E701" s="366"/>
      <c r="F701" s="367"/>
      <c r="G701" s="377"/>
      <c r="H701" s="369">
        <f t="shared" si="246"/>
        <v>0</v>
      </c>
      <c r="I701" s="409"/>
      <c r="J701" s="410"/>
      <c r="K701" s="411"/>
      <c r="L701" s="461">
        <f t="shared" si="247"/>
        <v>0</v>
      </c>
      <c r="M701" s="411"/>
      <c r="N701" s="411"/>
      <c r="O701" s="411"/>
      <c r="P701" s="383"/>
      <c r="Q701" s="366">
        <f>база!$L$6</f>
        <v>261.04640000000001</v>
      </c>
      <c r="R701" s="367">
        <v>1</v>
      </c>
      <c r="S701" s="377">
        <f>SUMIFS(Таблица1[Столбец1],Таблица1[коэф],"1",Таблица1[р/р],"5/16",Таблица1[Ф. И. О.],B704)</f>
        <v>0</v>
      </c>
      <c r="T701" s="469">
        <f t="shared" si="248"/>
        <v>0</v>
      </c>
      <c r="U701" s="455">
        <f>база!$M$6</f>
        <v>279.0496</v>
      </c>
      <c r="V701" s="367">
        <v>1</v>
      </c>
      <c r="W701" s="389">
        <f>SUMIFS(Таблица1[Столбец1],Таблица1[коэф],"1",Таблица1[р/р],"5/24",Таблица1[Ф. И. О.],B704)</f>
        <v>0</v>
      </c>
      <c r="X701" s="469">
        <f t="shared" si="249"/>
        <v>0</v>
      </c>
      <c r="Y701" s="748"/>
      <c r="Z701" s="750"/>
      <c r="AA701" s="740"/>
    </row>
    <row r="702" spans="1:29" ht="18.75">
      <c r="A702" s="740"/>
      <c r="B702" s="201"/>
      <c r="C702" s="743"/>
      <c r="D702" s="746"/>
      <c r="E702" s="366"/>
      <c r="F702" s="367"/>
      <c r="G702" s="377"/>
      <c r="H702" s="369">
        <f t="shared" si="246"/>
        <v>0</v>
      </c>
      <c r="I702" s="409">
        <f>база!$J$5</f>
        <v>215.4924</v>
      </c>
      <c r="J702" s="410">
        <v>1.5</v>
      </c>
      <c r="K702" s="411">
        <f>SUMIFS(Таблица1[Столбец1],Таблица1[коэф],"1,5",Таблица1[р/р],"4/8",Таблица1[Ф. И. О.],B704)</f>
        <v>0</v>
      </c>
      <c r="L702" s="461">
        <f t="shared" si="247"/>
        <v>0</v>
      </c>
      <c r="M702" s="411"/>
      <c r="N702" s="411"/>
      <c r="O702" s="411"/>
      <c r="P702" s="383"/>
      <c r="Q702" s="366">
        <f>IF(D699&lt;=3,база!$L$4,
IF(D699=4,база!$L$5,
IF(D699=5,база!$L$6)))</f>
        <v>210.57480000000001</v>
      </c>
      <c r="R702" s="367">
        <v>1.2</v>
      </c>
      <c r="S702" s="377">
        <f>SUMIFS(Таблица1[Столбец1],Таблица1[коэф],"1,2",Таблица1[р/р],"3/16",Таблица1[Ф. И. О.],B704)</f>
        <v>0</v>
      </c>
      <c r="T702" s="469">
        <f t="shared" si="248"/>
        <v>0</v>
      </c>
      <c r="U702" s="455">
        <f>IF(D699&lt;=3,база!$M$4,
IF(D699=4,база!$M$5,
IF(D699=5,база!$M$6)))</f>
        <v>225.09719999999999</v>
      </c>
      <c r="V702" s="367">
        <v>1.2</v>
      </c>
      <c r="W702" s="389">
        <f>SUMIFS(Таблица1[Столбец1],Таблица1[коэф],"1,2",Таблица1[р/р],"3/24",Таблица1[Ф. И. О.],B704)</f>
        <v>0</v>
      </c>
      <c r="X702" s="469">
        <f t="shared" si="249"/>
        <v>0</v>
      </c>
      <c r="Y702" s="748"/>
      <c r="Z702" s="750"/>
      <c r="AA702" s="740"/>
    </row>
    <row r="703" spans="1:29" ht="18.75">
      <c r="A703" s="740"/>
      <c r="B703" s="201"/>
      <c r="C703" s="743"/>
      <c r="D703" s="746"/>
      <c r="E703" s="366"/>
      <c r="F703" s="367"/>
      <c r="G703" s="377"/>
      <c r="H703" s="369">
        <f t="shared" si="246"/>
        <v>0</v>
      </c>
      <c r="I703" s="409">
        <f>база!$J$6</f>
        <v>243.04319999999998</v>
      </c>
      <c r="J703" s="410">
        <v>1.5</v>
      </c>
      <c r="K703" s="411">
        <f>SUMIFS(Таблица1[Столбец1],Таблица1[коэф],"1,5",Таблица1[р/р],"5/8",Таблица1[Ф. И. О.],B704)</f>
        <v>0</v>
      </c>
      <c r="L703" s="461">
        <f t="shared" si="247"/>
        <v>0</v>
      </c>
      <c r="M703" s="411"/>
      <c r="N703" s="411"/>
      <c r="O703" s="411"/>
      <c r="P703" s="383"/>
      <c r="Q703" s="366">
        <f>база!$L$5</f>
        <v>231.45480000000001</v>
      </c>
      <c r="R703" s="367">
        <v>1.2</v>
      </c>
      <c r="S703" s="377">
        <f>SUMIFS(Таблица1[Столбец1],Таблица1[коэф],"1,2",Таблица1[р/р],"4/16",Таблица1[Ф. И. О.],B704)</f>
        <v>0</v>
      </c>
      <c r="T703" s="469">
        <f t="shared" si="248"/>
        <v>0</v>
      </c>
      <c r="U703" s="455">
        <f>база!$M$5</f>
        <v>247.41720000000001</v>
      </c>
      <c r="V703" s="367">
        <v>1.2</v>
      </c>
      <c r="W703" s="389">
        <f>SUMIFS(Таблица1[Столбец1],Таблица1[коэф],"1,2",Таблица1[р/р],"4/24",Таблица1[Ф. И. О.],B704)</f>
        <v>0</v>
      </c>
      <c r="X703" s="469">
        <f t="shared" si="249"/>
        <v>0</v>
      </c>
      <c r="Y703" s="748"/>
      <c r="Z703" s="750"/>
      <c r="AA703" s="740"/>
    </row>
    <row r="704" spans="1:29" ht="18.75">
      <c r="A704" s="740"/>
      <c r="B704" s="201" t="str">
        <f>база!B65</f>
        <v>Саидова Ольга Владимировна</v>
      </c>
      <c r="C704" s="743"/>
      <c r="D704" s="746"/>
      <c r="E704" s="366"/>
      <c r="F704" s="367"/>
      <c r="G704" s="377"/>
      <c r="H704" s="369">
        <f t="shared" si="246"/>
        <v>0</v>
      </c>
      <c r="I704" s="409"/>
      <c r="J704" s="410"/>
      <c r="K704" s="411"/>
      <c r="L704" s="461">
        <f t="shared" si="247"/>
        <v>0</v>
      </c>
      <c r="M704" s="411"/>
      <c r="N704" s="411"/>
      <c r="O704" s="411"/>
      <c r="P704" s="383"/>
      <c r="Q704" s="366">
        <f>база!$L$6</f>
        <v>261.04640000000001</v>
      </c>
      <c r="R704" s="367">
        <v>1.2</v>
      </c>
      <c r="S704" s="377">
        <f>SUMIFS(Таблица1[Столбец1],Таблица1[коэф],"1,2",Таблица1[р/р],"5/16",Таблица1[Ф. И. О.],B704)</f>
        <v>0</v>
      </c>
      <c r="T704" s="469">
        <f t="shared" si="248"/>
        <v>0</v>
      </c>
      <c r="U704" s="455">
        <f>база!$M$6</f>
        <v>279.0496</v>
      </c>
      <c r="V704" s="367">
        <v>1.2</v>
      </c>
      <c r="W704" s="389">
        <f>SUMIFS(Таблица1[Столбец1],Таблица1[коэф],"1,2",Таблица1[р/р],"5/24",Таблица1[Ф. И. О.],B704)</f>
        <v>0</v>
      </c>
      <c r="X704" s="469">
        <f t="shared" si="249"/>
        <v>0</v>
      </c>
      <c r="Y704" s="748"/>
      <c r="Z704" s="750"/>
      <c r="AA704" s="740"/>
      <c r="AC704" s="693" t="str">
        <f>IF(SUMIFS(Таблица1[Столбец3],Таблица1[Ф. И. О.],B704)-Z699=0,"",SUMIFS(Таблица1[Столбец3],Таблица1[Ф. И. О.],B704)-Z699)</f>
        <v/>
      </c>
    </row>
    <row r="705" spans="1:29" ht="18.75">
      <c r="A705" s="740"/>
      <c r="B705" s="201"/>
      <c r="C705" s="743"/>
      <c r="D705" s="746"/>
      <c r="E705" s="366"/>
      <c r="F705" s="367"/>
      <c r="G705" s="377"/>
      <c r="H705" s="369">
        <f t="shared" si="246"/>
        <v>0</v>
      </c>
      <c r="I705" s="409"/>
      <c r="J705" s="410"/>
      <c r="K705" s="411"/>
      <c r="L705" s="461">
        <f t="shared" si="247"/>
        <v>0</v>
      </c>
      <c r="M705" s="411"/>
      <c r="N705" s="411"/>
      <c r="O705" s="411"/>
      <c r="P705" s="383"/>
      <c r="Q705" s="366">
        <f>IF($D$6&lt;=3,база!$L$4,
IF($D$6=4,база!$L$5,
IF($D$6=5,база!$L$6)))</f>
        <v>231.45480000000001</v>
      </c>
      <c r="R705" s="367">
        <v>1.3</v>
      </c>
      <c r="S705" s="377">
        <f>SUMIFS(Таблица1[Столбец1],Таблица1[коэф],"1,3",Таблица1[р/р],"3/16",Таблица1[Ф. И. О.],B704)</f>
        <v>0</v>
      </c>
      <c r="T705" s="469">
        <f t="shared" si="248"/>
        <v>0</v>
      </c>
      <c r="U705" s="455">
        <f>IF(D699&lt;=3,база!$M$4,
IF(D699=4,база!$M$5,
IF(D699=5,база!$M$6)))</f>
        <v>225.09719999999999</v>
      </c>
      <c r="V705" s="367">
        <v>1.3</v>
      </c>
      <c r="W705" s="389">
        <f>SUMIFS(Таблица1[Столбец1],Таблица1[коэф],"1,3",Таблица1[р/р],"3/24",Таблица1[Ф. И. О.],B704)</f>
        <v>0</v>
      </c>
      <c r="X705" s="469">
        <f t="shared" si="249"/>
        <v>0</v>
      </c>
      <c r="Y705" s="748"/>
      <c r="Z705" s="750"/>
      <c r="AA705" s="740"/>
      <c r="AC705" s="693" t="str">
        <f>IF(SUMIFS(Таблица1[Столбец1],Таблица1[Ф. И. О.],B704)=Y699,"",B704&amp;"  часы не верны")</f>
        <v/>
      </c>
    </row>
    <row r="706" spans="1:29" ht="18.75">
      <c r="A706" s="740"/>
      <c r="B706" s="201"/>
      <c r="C706" s="743"/>
      <c r="D706" s="746"/>
      <c r="E706" s="366"/>
      <c r="F706" s="367"/>
      <c r="G706" s="377"/>
      <c r="H706" s="369">
        <f t="shared" si="246"/>
        <v>0</v>
      </c>
      <c r="I706" s="409"/>
      <c r="J706" s="410"/>
      <c r="K706" s="411"/>
      <c r="L706" s="461">
        <f t="shared" si="247"/>
        <v>0</v>
      </c>
      <c r="M706" s="411"/>
      <c r="N706" s="411"/>
      <c r="O706" s="411"/>
      <c r="P706" s="383"/>
      <c r="Q706" s="366">
        <f>база!$L$5</f>
        <v>231.45480000000001</v>
      </c>
      <c r="R706" s="367">
        <v>1.3</v>
      </c>
      <c r="S706" s="377">
        <f>SUMIFS(Таблица1[Столбец1],Таблица1[коэф],"1,3",Таблица1[р/р],"4/16",Таблица1[Ф. И. О.],B704)</f>
        <v>0</v>
      </c>
      <c r="T706" s="469">
        <f t="shared" si="248"/>
        <v>0</v>
      </c>
      <c r="U706" s="455">
        <f>база!$M$5</f>
        <v>247.41720000000001</v>
      </c>
      <c r="V706" s="367">
        <v>1.3</v>
      </c>
      <c r="W706" s="389">
        <f>SUMIFS(Таблица1[Столбец1],Таблица1[коэф],"1,3",Таблица1[р/р],"4/24",Таблица1[Ф. И. О.],B704)</f>
        <v>0</v>
      </c>
      <c r="X706" s="469">
        <f t="shared" si="249"/>
        <v>0</v>
      </c>
      <c r="Y706" s="748"/>
      <c r="Z706" s="750"/>
      <c r="AA706" s="740"/>
    </row>
    <row r="707" spans="1:29" ht="18.75">
      <c r="A707" s="740"/>
      <c r="B707" s="201"/>
      <c r="C707" s="743"/>
      <c r="D707" s="746"/>
      <c r="E707" s="366"/>
      <c r="F707" s="367"/>
      <c r="G707" s="377"/>
      <c r="H707" s="369">
        <f t="shared" si="246"/>
        <v>0</v>
      </c>
      <c r="I707" s="409"/>
      <c r="J707" s="410"/>
      <c r="K707" s="411"/>
      <c r="L707" s="461">
        <f t="shared" si="247"/>
        <v>0</v>
      </c>
      <c r="M707" s="411"/>
      <c r="N707" s="411"/>
      <c r="O707" s="411"/>
      <c r="P707" s="383"/>
      <c r="Q707" s="366">
        <f>IF(D699&lt;=3,база!$L$4,
IF(D699=4,база!$L$5,
IF(D699=5,база!$L$6)))</f>
        <v>210.57480000000001</v>
      </c>
      <c r="R707" s="367">
        <v>1.4</v>
      </c>
      <c r="S707" s="377">
        <f>SUMIFS(Таблица1[Столбец1],Таблица1[коэф],"1,4",Таблица1[р/р],"3/16",Таблица1[Ф. И. О.],B704)</f>
        <v>0</v>
      </c>
      <c r="T707" s="469">
        <f t="shared" si="248"/>
        <v>0</v>
      </c>
      <c r="U707" s="455">
        <f>IF(D699&lt;=3,база!$M$4,
IF(D699=4,база!$M$5,
IF(D699=5,база!$M$6)))</f>
        <v>225.09719999999999</v>
      </c>
      <c r="V707" s="367">
        <v>1.4</v>
      </c>
      <c r="W707" s="389">
        <f>SUMIFS(Таблица1[Столбец1],Таблица1[коэф],"1,4",Таблица1[р/р],"3/24",Таблица1[Ф. И. О.],B704)</f>
        <v>0</v>
      </c>
      <c r="X707" s="469">
        <f t="shared" si="249"/>
        <v>0</v>
      </c>
      <c r="Y707" s="748"/>
      <c r="Z707" s="750"/>
      <c r="AA707" s="740"/>
    </row>
    <row r="708" spans="1:29" ht="18.75">
      <c r="A708" s="740"/>
      <c r="B708" s="201"/>
      <c r="C708" s="743"/>
      <c r="D708" s="746"/>
      <c r="E708" s="366"/>
      <c r="F708" s="367"/>
      <c r="G708" s="377"/>
      <c r="H708" s="369">
        <f t="shared" si="246"/>
        <v>0</v>
      </c>
      <c r="I708" s="409"/>
      <c r="J708" s="410"/>
      <c r="K708" s="411"/>
      <c r="L708" s="461">
        <f t="shared" si="247"/>
        <v>0</v>
      </c>
      <c r="M708" s="411"/>
      <c r="N708" s="411"/>
      <c r="O708" s="411"/>
      <c r="P708" s="383"/>
      <c r="Q708" s="366">
        <f>база!$L$5</f>
        <v>231.45480000000001</v>
      </c>
      <c r="R708" s="367">
        <v>1.4</v>
      </c>
      <c r="S708" s="377">
        <f>SUMIFS(Таблица1[Столбец1],Таблица1[коэф],"1,4",Таблица1[р/р],"4/16",Таблица1[Ф. И. О.],B704)</f>
        <v>0</v>
      </c>
      <c r="T708" s="469">
        <f t="shared" si="248"/>
        <v>0</v>
      </c>
      <c r="U708" s="455">
        <f>база!$M$5</f>
        <v>247.41720000000001</v>
      </c>
      <c r="V708" s="367">
        <v>1.4</v>
      </c>
      <c r="W708" s="389">
        <f>SUMIFS(Таблица1[Столбец1],Таблица1[коэф],"1,4",Таблица1[р/р],"4/24",Таблица1[Ф. И. О.],B704)</f>
        <v>0</v>
      </c>
      <c r="X708" s="469">
        <f t="shared" si="249"/>
        <v>0</v>
      </c>
      <c r="Y708" s="748"/>
      <c r="Z708" s="750"/>
      <c r="AA708" s="740"/>
    </row>
    <row r="709" spans="1:29" ht="19.5" thickBot="1">
      <c r="A709" s="741"/>
      <c r="B709" s="329"/>
      <c r="C709" s="744"/>
      <c r="D709" s="747"/>
      <c r="E709" s="458"/>
      <c r="F709" s="394"/>
      <c r="G709" s="463"/>
      <c r="H709" s="445">
        <f t="shared" si="246"/>
        <v>0</v>
      </c>
      <c r="I709" s="622"/>
      <c r="J709" s="433"/>
      <c r="K709" s="623"/>
      <c r="L709" s="435">
        <f t="shared" si="247"/>
        <v>0</v>
      </c>
      <c r="M709" s="622"/>
      <c r="N709" s="623"/>
      <c r="O709" s="623"/>
      <c r="P709" s="453"/>
      <c r="Q709" s="629">
        <f>база!$L$6</f>
        <v>261.04640000000001</v>
      </c>
      <c r="R709" s="441">
        <v>1.4</v>
      </c>
      <c r="S709" s="442">
        <f>SUMIFS(Таблица1[Столбец1],Таблица1[коэф],"1,4",Таблица1[р/р],"5/16",Таблица1[Ф. И. О.],B704)</f>
        <v>0</v>
      </c>
      <c r="T709" s="490">
        <f t="shared" si="248"/>
        <v>0</v>
      </c>
      <c r="U709" s="440">
        <f>база!$M$6</f>
        <v>279.0496</v>
      </c>
      <c r="V709" s="441">
        <v>1.4</v>
      </c>
      <c r="W709" s="442">
        <f>SUMIFS(Таблица1[Столбец1],Таблица1[коэф],"1,4",Таблица1[р/р],"5/24",Таблица1[Ф. И. О.],B704)</f>
        <v>0</v>
      </c>
      <c r="X709" s="490">
        <f t="shared" si="249"/>
        <v>0</v>
      </c>
      <c r="Y709" s="749"/>
      <c r="Z709" s="751"/>
      <c r="AA709" s="741"/>
    </row>
    <row r="710" spans="1:29" ht="18.75">
      <c r="A710" s="739">
        <v>65</v>
      </c>
      <c r="B710" s="201"/>
      <c r="C710" s="742">
        <f>INDEX(база!$E$2:$E$181, MATCH(B715,база!$B$2:$B$160,0))</f>
        <v>17102</v>
      </c>
      <c r="D710" s="745">
        <f>INDEX(база!$D$2:$D$189, MATCH(B715,база!$B$2:$B$160,0))</f>
        <v>3</v>
      </c>
      <c r="E710" s="354">
        <f>IF(D710&lt;=3,база!$I$4,
IF(D710=4,база!$I$5,
IF(D710=5,база!$I$6)))</f>
        <v>188.7912</v>
      </c>
      <c r="F710" s="355">
        <v>1</v>
      </c>
      <c r="G710" s="364">
        <f>SUMIFS(Таблица1[Столбец1],Таблица1[коэф],"1",Таблица1[р/р],"2/4",Таблица1[Ф. И. О.],B715)</f>
        <v>0</v>
      </c>
      <c r="H710" s="379">
        <f t="shared" si="246"/>
        <v>0</v>
      </c>
      <c r="I710" s="429">
        <f>IF(D710&lt;=3,база!$J$4,
IF(D710=4,база!$J$5,
IF(D710=5,база!$J$6)))</f>
        <v>196.05240000000001</v>
      </c>
      <c r="J710" s="452">
        <v>1</v>
      </c>
      <c r="K710" s="430">
        <f>SUMIFS(Таблица1[Столбец1],Таблица1[коэф],"1",Таблица1[р/р],"2/8",Таблица1[Ф. И. О.],B715)</f>
        <v>0</v>
      </c>
      <c r="L710" s="461">
        <f t="shared" si="247"/>
        <v>0</v>
      </c>
      <c r="M710" s="430"/>
      <c r="N710" s="430">
        <v>1</v>
      </c>
      <c r="O710" s="430">
        <f>SUMIFS(Data_Tech!$AM$3:$AM$67,Data_Tech!$E$3:$E$67,"1",Data_Tech!$G$3:$G$67,"3/12",Data_Tech!$F$3:$F$67,B715)</f>
        <v>0</v>
      </c>
      <c r="P710" s="375">
        <f>ROUND(M710*N710*O710,2)</f>
        <v>0</v>
      </c>
      <c r="Q710" s="458">
        <f>IF(D710&lt;=3,база!$L$4,
IF(D710=4,база!$L$5,
IF(D710=5,база!$L$6)))</f>
        <v>210.57480000000001</v>
      </c>
      <c r="R710" s="394">
        <v>1</v>
      </c>
      <c r="S710" s="395">
        <f>SUMIFS(Таблица1[Столбец1],Таблица1[коэф],"1",Таблица1[р/р],"3/16",Таблица1[Ф. И. О.],B715)</f>
        <v>0</v>
      </c>
      <c r="T710" s="469">
        <f t="shared" si="248"/>
        <v>0</v>
      </c>
      <c r="U710" s="460">
        <f>IF(D710&lt;=3,база!$M$4,
IF(D710=4,база!$M$5,
IF(D710=5,база!$M$6)))</f>
        <v>225.09719999999999</v>
      </c>
      <c r="V710" s="394">
        <v>1</v>
      </c>
      <c r="W710" s="432">
        <f>SUMIFS(Таблица1[Столбец1],Таблица1[коэф],"1",Таблица1[р/р],"3/24",Таблица1[Ф. И. О.],B715)</f>
        <v>0</v>
      </c>
      <c r="X710" s="469">
        <f t="shared" si="249"/>
        <v>0</v>
      </c>
      <c r="Y710" s="748">
        <f t="shared" ref="Y710" si="252">SUM(G710:G720,K710:K720,O710:O720,S710:S720,W710:W720)</f>
        <v>0</v>
      </c>
      <c r="Z710" s="750">
        <f t="shared" ref="Z710" si="253">IFERROR(SUM(H710:H720,L710:L720,T710:T720,X710:X720),"")</f>
        <v>0</v>
      </c>
      <c r="AA710" s="740"/>
    </row>
    <row r="711" spans="1:29" ht="18.75">
      <c r="A711" s="740"/>
      <c r="B711" s="201"/>
      <c r="C711" s="743"/>
      <c r="D711" s="746"/>
      <c r="E711" s="366">
        <f>IF(D710&lt;=3,база!$I$4,
IF(D710=4,база!$I$5,
IF(D710=5,база!$I$6)))</f>
        <v>188.7912</v>
      </c>
      <c r="F711" s="367">
        <v>1</v>
      </c>
      <c r="G711" s="377">
        <f>SUMIFS(Таблица1[Столбец1],Таблица1[коэф],"1",Таблица1[р/р],"3/4",Таблица1[Ф. И. О.],B715)</f>
        <v>0</v>
      </c>
      <c r="H711" s="369">
        <f t="shared" si="246"/>
        <v>0</v>
      </c>
      <c r="I711" s="409">
        <f>IF(D710&lt;=3,база!$J$4,
IF(D710=4,база!$J$5,
IF(D710=5,база!$J$6)))</f>
        <v>196.05240000000001</v>
      </c>
      <c r="J711" s="410">
        <v>1</v>
      </c>
      <c r="K711" s="411">
        <f>SUMIFS(Таблица1[Столбец1],Таблица1[коэф],"1",Таблица1[р/р],"3/8",Таблица1[Ф. И. О.],B715)</f>
        <v>0</v>
      </c>
      <c r="L711" s="461">
        <f t="shared" si="247"/>
        <v>0</v>
      </c>
      <c r="M711" s="411"/>
      <c r="N711" s="411">
        <v>1</v>
      </c>
      <c r="O711" s="411">
        <f>SUMIFS(Data_Tech!$AM$3:$AM$67,Data_Tech!$E$3:$E$67,"1",Data_Tech!$G$3:$G$67,"4/12",Data_Tech!$F$3:$F$67,B715)</f>
        <v>0</v>
      </c>
      <c r="P711" s="383">
        <f>ROUND(M711*O711,2)</f>
        <v>0</v>
      </c>
      <c r="Q711" s="366">
        <f>база!$L$5</f>
        <v>231.45480000000001</v>
      </c>
      <c r="R711" s="367">
        <v>1</v>
      </c>
      <c r="S711" s="377">
        <f>SUMIFS(Таблица1[Столбец1],Таблица1[коэф],"1",Таблица1[р/р],"4/16",Таблица1[Ф. И. О.],B715)</f>
        <v>0</v>
      </c>
      <c r="T711" s="469">
        <f t="shared" si="248"/>
        <v>0</v>
      </c>
      <c r="U711" s="455">
        <f>база!$M$5</f>
        <v>247.41720000000001</v>
      </c>
      <c r="V711" s="367">
        <v>1</v>
      </c>
      <c r="W711" s="389">
        <f>SUMIFS(Таблица1[Столбец1],Таблица1[коэф],"1",Таблица1[р/р],"4/24",Таблица1[Ф. И. О.],B715)</f>
        <v>0</v>
      </c>
      <c r="X711" s="469">
        <f t="shared" si="249"/>
        <v>0</v>
      </c>
      <c r="Y711" s="748"/>
      <c r="Z711" s="750"/>
      <c r="AA711" s="740"/>
    </row>
    <row r="712" spans="1:29" ht="18.75">
      <c r="A712" s="740"/>
      <c r="B712" s="201"/>
      <c r="C712" s="743"/>
      <c r="D712" s="746"/>
      <c r="E712" s="366"/>
      <c r="F712" s="367"/>
      <c r="G712" s="377"/>
      <c r="H712" s="369">
        <f t="shared" si="246"/>
        <v>0</v>
      </c>
      <c r="I712" s="409"/>
      <c r="J712" s="410"/>
      <c r="K712" s="411"/>
      <c r="L712" s="461">
        <f t="shared" si="247"/>
        <v>0</v>
      </c>
      <c r="M712" s="411"/>
      <c r="N712" s="411"/>
      <c r="O712" s="411"/>
      <c r="P712" s="383"/>
      <c r="Q712" s="366">
        <f>база!$L$6</f>
        <v>261.04640000000001</v>
      </c>
      <c r="R712" s="367">
        <v>1</v>
      </c>
      <c r="S712" s="377">
        <f>SUMIFS(Таблица1[Столбец1],Таблица1[коэф],"1",Таблица1[р/р],"5/16",Таблица1[Ф. И. О.],B715)</f>
        <v>0</v>
      </c>
      <c r="T712" s="469">
        <f t="shared" si="248"/>
        <v>0</v>
      </c>
      <c r="U712" s="455">
        <f>база!$M$6</f>
        <v>279.0496</v>
      </c>
      <c r="V712" s="367">
        <v>1</v>
      </c>
      <c r="W712" s="389">
        <f>SUMIFS(Таблица1[Столбец1],Таблица1[коэф],"1",Таблица1[р/р],"5/24",Таблица1[Ф. И. О.],B715)</f>
        <v>0</v>
      </c>
      <c r="X712" s="469">
        <f t="shared" si="249"/>
        <v>0</v>
      </c>
      <c r="Y712" s="748"/>
      <c r="Z712" s="750"/>
      <c r="AA712" s="740"/>
    </row>
    <row r="713" spans="1:29" ht="18.75">
      <c r="A713" s="740"/>
      <c r="B713" s="201"/>
      <c r="C713" s="743"/>
      <c r="D713" s="746"/>
      <c r="E713" s="366"/>
      <c r="F713" s="367"/>
      <c r="G713" s="377"/>
      <c r="H713" s="369">
        <f t="shared" si="246"/>
        <v>0</v>
      </c>
      <c r="I713" s="409">
        <f>база!$J$5</f>
        <v>215.4924</v>
      </c>
      <c r="J713" s="410">
        <v>1.5</v>
      </c>
      <c r="K713" s="411">
        <f>SUMIFS(Таблица1[Столбец1],Таблица1[коэф],"1,5",Таблица1[р/р],"4/8",Таблица1[Ф. И. О.],B715)</f>
        <v>0</v>
      </c>
      <c r="L713" s="461">
        <f t="shared" si="247"/>
        <v>0</v>
      </c>
      <c r="M713" s="411"/>
      <c r="N713" s="411"/>
      <c r="O713" s="411"/>
      <c r="P713" s="383"/>
      <c r="Q713" s="366">
        <f>IF(D710&lt;=3,база!$L$4,
IF(D710=4,база!$L$5,
IF(D710=5,база!$L$6)))</f>
        <v>210.57480000000001</v>
      </c>
      <c r="R713" s="367">
        <v>1.2</v>
      </c>
      <c r="S713" s="377">
        <f>SUMIFS(Таблица1[Столбец1],Таблица1[коэф],"1,2",Таблица1[р/р],"3/16",Таблица1[Ф. И. О.],B715)</f>
        <v>0</v>
      </c>
      <c r="T713" s="469">
        <f t="shared" si="248"/>
        <v>0</v>
      </c>
      <c r="U713" s="455">
        <f>IF(D710&lt;=3,база!$M$4,
IF(D710=4,база!$M$5,
IF(D710=5,база!$M$6)))</f>
        <v>225.09719999999999</v>
      </c>
      <c r="V713" s="367">
        <v>1.2</v>
      </c>
      <c r="W713" s="389">
        <f>SUMIFS(Таблица1[Столбец1],Таблица1[коэф],"1,2",Таблица1[р/р],"3/24",Таблица1[Ф. И. О.],B715)</f>
        <v>0</v>
      </c>
      <c r="X713" s="469">
        <f t="shared" si="249"/>
        <v>0</v>
      </c>
      <c r="Y713" s="748"/>
      <c r="Z713" s="750"/>
      <c r="AA713" s="740"/>
    </row>
    <row r="714" spans="1:29" ht="18.75">
      <c r="A714" s="740"/>
      <c r="B714" s="201"/>
      <c r="C714" s="743"/>
      <c r="D714" s="746"/>
      <c r="E714" s="366"/>
      <c r="F714" s="367"/>
      <c r="G714" s="377"/>
      <c r="H714" s="369">
        <f t="shared" si="246"/>
        <v>0</v>
      </c>
      <c r="I714" s="409">
        <f>база!$J$6</f>
        <v>243.04319999999998</v>
      </c>
      <c r="J714" s="410">
        <v>1.5</v>
      </c>
      <c r="K714" s="411">
        <f>SUMIFS(Таблица1[Столбец1],Таблица1[коэф],"1,5",Таблица1[р/р],"5/8",Таблица1[Ф. И. О.],B715)</f>
        <v>0</v>
      </c>
      <c r="L714" s="461">
        <f t="shared" si="247"/>
        <v>0</v>
      </c>
      <c r="M714" s="411"/>
      <c r="N714" s="411"/>
      <c r="O714" s="411"/>
      <c r="P714" s="383"/>
      <c r="Q714" s="366">
        <f>база!$L$5</f>
        <v>231.45480000000001</v>
      </c>
      <c r="R714" s="367">
        <v>1.2</v>
      </c>
      <c r="S714" s="377">
        <f>SUMIFS(Таблица1[Столбец1],Таблица1[коэф],"1,2",Таблица1[р/р],"4/16",Таблица1[Ф. И. О.],B715)</f>
        <v>0</v>
      </c>
      <c r="T714" s="469">
        <f t="shared" si="248"/>
        <v>0</v>
      </c>
      <c r="U714" s="455">
        <f>база!$M$5</f>
        <v>247.41720000000001</v>
      </c>
      <c r="V714" s="367">
        <v>1.2</v>
      </c>
      <c r="W714" s="389">
        <f>SUMIFS(Таблица1[Столбец1],Таблица1[коэф],"1,2",Таблица1[р/р],"4/24",Таблица1[Ф. И. О.],B715)</f>
        <v>0</v>
      </c>
      <c r="X714" s="469">
        <f t="shared" si="249"/>
        <v>0</v>
      </c>
      <c r="Y714" s="748"/>
      <c r="Z714" s="750"/>
      <c r="AA714" s="740"/>
    </row>
    <row r="715" spans="1:29" ht="18.75">
      <c r="A715" s="740"/>
      <c r="B715" s="201" t="str">
        <f>база!B66</f>
        <v>Сайпулаева Феодосия Андреевна</v>
      </c>
      <c r="C715" s="743"/>
      <c r="D715" s="746"/>
      <c r="E715" s="366"/>
      <c r="F715" s="367"/>
      <c r="G715" s="377"/>
      <c r="H715" s="369">
        <f t="shared" si="246"/>
        <v>0</v>
      </c>
      <c r="I715" s="409"/>
      <c r="J715" s="410"/>
      <c r="K715" s="411"/>
      <c r="L715" s="461">
        <f t="shared" si="247"/>
        <v>0</v>
      </c>
      <c r="M715" s="411"/>
      <c r="N715" s="411"/>
      <c r="O715" s="411"/>
      <c r="P715" s="383"/>
      <c r="Q715" s="366">
        <f>база!$L$6</f>
        <v>261.04640000000001</v>
      </c>
      <c r="R715" s="367">
        <v>1.2</v>
      </c>
      <c r="S715" s="377">
        <f>SUMIFS(Таблица1[Столбец1],Таблица1[коэф],"1,2",Таблица1[р/р],"5/16",Таблица1[Ф. И. О.],B715)</f>
        <v>0</v>
      </c>
      <c r="T715" s="469">
        <f t="shared" si="248"/>
        <v>0</v>
      </c>
      <c r="U715" s="455">
        <f>база!$M$6</f>
        <v>279.0496</v>
      </c>
      <c r="V715" s="367">
        <v>1.2</v>
      </c>
      <c r="W715" s="389">
        <f>SUMIFS(Таблица1[Столбец1],Таблица1[коэф],"1,2",Таблица1[р/р],"5/24",Таблица1[Ф. И. О.],B715)</f>
        <v>0</v>
      </c>
      <c r="X715" s="469">
        <f t="shared" si="249"/>
        <v>0</v>
      </c>
      <c r="Y715" s="748"/>
      <c r="Z715" s="750"/>
      <c r="AA715" s="740"/>
      <c r="AC715" s="693" t="str">
        <f>IF(SUMIFS(Таблица1[Столбец3],Таблица1[Ф. И. О.],B715)-Z710=0,"",SUMIFS(Таблица1[Столбец3],Таблица1[Ф. И. О.],B715)-Z710)</f>
        <v/>
      </c>
    </row>
    <row r="716" spans="1:29" ht="18.75">
      <c r="A716" s="740"/>
      <c r="B716" s="201"/>
      <c r="C716" s="743"/>
      <c r="D716" s="746"/>
      <c r="E716" s="366"/>
      <c r="F716" s="367"/>
      <c r="G716" s="377"/>
      <c r="H716" s="369">
        <f t="shared" si="246"/>
        <v>0</v>
      </c>
      <c r="I716" s="409"/>
      <c r="J716" s="410"/>
      <c r="K716" s="411"/>
      <c r="L716" s="461">
        <f t="shared" si="247"/>
        <v>0</v>
      </c>
      <c r="M716" s="411"/>
      <c r="N716" s="411"/>
      <c r="O716" s="411"/>
      <c r="P716" s="383"/>
      <c r="Q716" s="366">
        <f>IF($D$6&lt;=3,база!$L$4,
IF($D$6=4,база!$L$5,
IF($D$6=5,база!$L$6)))</f>
        <v>231.45480000000001</v>
      </c>
      <c r="R716" s="367">
        <v>1.3</v>
      </c>
      <c r="S716" s="377">
        <f>SUMIFS(Таблица1[Столбец1],Таблица1[коэф],"1,3",Таблица1[р/р],"3/16",Таблица1[Ф. И. О.],B715)</f>
        <v>0</v>
      </c>
      <c r="T716" s="469">
        <f t="shared" si="248"/>
        <v>0</v>
      </c>
      <c r="U716" s="455">
        <f>IF(D710&lt;=3,база!$M$4,
IF(D710=4,база!$M$5,
IF(D710=5,база!$M$6)))</f>
        <v>225.09719999999999</v>
      </c>
      <c r="V716" s="367">
        <v>1.3</v>
      </c>
      <c r="W716" s="389">
        <f>SUMIFS(Таблица1[Столбец1],Таблица1[коэф],"1,3",Таблица1[р/р],"3/24",Таблица1[Ф. И. О.],B715)</f>
        <v>0</v>
      </c>
      <c r="X716" s="469">
        <f t="shared" si="249"/>
        <v>0</v>
      </c>
      <c r="Y716" s="748"/>
      <c r="Z716" s="750"/>
      <c r="AA716" s="740"/>
      <c r="AC716" s="693" t="str">
        <f>IF(SUMIFS(Таблица1[Столбец1],Таблица1[Ф. И. О.],B715)=Y710,"",B715&amp;"  часы не верны")</f>
        <v/>
      </c>
    </row>
    <row r="717" spans="1:29" ht="18.75">
      <c r="A717" s="740"/>
      <c r="B717" s="201"/>
      <c r="C717" s="743"/>
      <c r="D717" s="746"/>
      <c r="E717" s="366"/>
      <c r="F717" s="367"/>
      <c r="G717" s="377"/>
      <c r="H717" s="369">
        <f t="shared" si="246"/>
        <v>0</v>
      </c>
      <c r="I717" s="409"/>
      <c r="J717" s="410"/>
      <c r="K717" s="411"/>
      <c r="L717" s="461">
        <f t="shared" si="247"/>
        <v>0</v>
      </c>
      <c r="M717" s="411"/>
      <c r="N717" s="411"/>
      <c r="O717" s="411"/>
      <c r="P717" s="383"/>
      <c r="Q717" s="366">
        <f>база!$L$5</f>
        <v>231.45480000000001</v>
      </c>
      <c r="R717" s="367">
        <v>1.3</v>
      </c>
      <c r="S717" s="377">
        <f>SUMIFS(Таблица1[Столбец1],Таблица1[коэф],"1,3",Таблица1[р/р],"4/16",Таблица1[Ф. И. О.],B715)</f>
        <v>0</v>
      </c>
      <c r="T717" s="469">
        <f t="shared" si="248"/>
        <v>0</v>
      </c>
      <c r="U717" s="455">
        <f>база!$M$5</f>
        <v>247.41720000000001</v>
      </c>
      <c r="V717" s="367">
        <v>1.3</v>
      </c>
      <c r="W717" s="389">
        <f>SUMIFS(Таблица1[Столбец1],Таблица1[коэф],"1,3",Таблица1[р/р],"4/24",Таблица1[Ф. И. О.],B715)</f>
        <v>0</v>
      </c>
      <c r="X717" s="469">
        <f t="shared" si="249"/>
        <v>0</v>
      </c>
      <c r="Y717" s="748"/>
      <c r="Z717" s="750"/>
      <c r="AA717" s="740"/>
    </row>
    <row r="718" spans="1:29" ht="18.75">
      <c r="A718" s="740"/>
      <c r="B718" s="201"/>
      <c r="C718" s="743"/>
      <c r="D718" s="746"/>
      <c r="E718" s="366"/>
      <c r="F718" s="367"/>
      <c r="G718" s="377"/>
      <c r="H718" s="369">
        <f t="shared" si="246"/>
        <v>0</v>
      </c>
      <c r="I718" s="409"/>
      <c r="J718" s="410"/>
      <c r="K718" s="411"/>
      <c r="L718" s="461">
        <f t="shared" si="247"/>
        <v>0</v>
      </c>
      <c r="M718" s="411"/>
      <c r="N718" s="411"/>
      <c r="O718" s="411"/>
      <c r="P718" s="383"/>
      <c r="Q718" s="366">
        <f>IF(D710&lt;=3,база!$L$4,
IF(D710=4,база!$L$5,
IF(D710=5,база!$L$6)))</f>
        <v>210.57480000000001</v>
      </c>
      <c r="R718" s="367">
        <v>1.4</v>
      </c>
      <c r="S718" s="377">
        <f>SUMIFS(Таблица1[Столбец1],Таблица1[коэф],"1,4",Таблица1[р/р],"3/16",Таблица1[Ф. И. О.],B715)</f>
        <v>0</v>
      </c>
      <c r="T718" s="469">
        <f t="shared" si="248"/>
        <v>0</v>
      </c>
      <c r="U718" s="455">
        <f>IF(D710&lt;=3,база!$M$4,
IF(D710=4,база!$M$5,
IF(D710=5,база!$M$6)))</f>
        <v>225.09719999999999</v>
      </c>
      <c r="V718" s="367">
        <v>1.4</v>
      </c>
      <c r="W718" s="389">
        <f>SUMIFS(Таблица1[Столбец1],Таблица1[коэф],"1,4",Таблица1[р/р],"3/24",Таблица1[Ф. И. О.],B715)</f>
        <v>0</v>
      </c>
      <c r="X718" s="469">
        <f t="shared" si="249"/>
        <v>0</v>
      </c>
      <c r="Y718" s="748"/>
      <c r="Z718" s="750"/>
      <c r="AA718" s="740"/>
    </row>
    <row r="719" spans="1:29" ht="18.75">
      <c r="A719" s="740"/>
      <c r="B719" s="201"/>
      <c r="C719" s="743"/>
      <c r="D719" s="746"/>
      <c r="E719" s="366"/>
      <c r="F719" s="367"/>
      <c r="G719" s="377"/>
      <c r="H719" s="369">
        <f t="shared" si="246"/>
        <v>0</v>
      </c>
      <c r="I719" s="409"/>
      <c r="J719" s="410"/>
      <c r="K719" s="411"/>
      <c r="L719" s="461">
        <f t="shared" si="247"/>
        <v>0</v>
      </c>
      <c r="M719" s="411"/>
      <c r="N719" s="411"/>
      <c r="O719" s="411"/>
      <c r="P719" s="383"/>
      <c r="Q719" s="366">
        <f>база!$L$5</f>
        <v>231.45480000000001</v>
      </c>
      <c r="R719" s="367">
        <v>1.4</v>
      </c>
      <c r="S719" s="377">
        <f>SUMIFS(Таблица1[Столбец1],Таблица1[коэф],"1,4",Таблица1[р/р],"4/16",Таблица1[Ф. И. О.],B715)</f>
        <v>0</v>
      </c>
      <c r="T719" s="469">
        <f t="shared" si="248"/>
        <v>0</v>
      </c>
      <c r="U719" s="455">
        <f>база!$M$5</f>
        <v>247.41720000000001</v>
      </c>
      <c r="V719" s="367">
        <v>1.4</v>
      </c>
      <c r="W719" s="389">
        <f>SUMIFS(Таблица1[Столбец1],Таблица1[коэф],"1,4",Таблица1[р/р],"4/24",Таблица1[Ф. И. О.],B715)</f>
        <v>0</v>
      </c>
      <c r="X719" s="469">
        <f t="shared" si="249"/>
        <v>0</v>
      </c>
      <c r="Y719" s="748"/>
      <c r="Z719" s="750"/>
      <c r="AA719" s="740"/>
    </row>
    <row r="720" spans="1:29" ht="19.5" thickBot="1">
      <c r="A720" s="741"/>
      <c r="B720" s="329"/>
      <c r="C720" s="744"/>
      <c r="D720" s="747"/>
      <c r="E720" s="458"/>
      <c r="F720" s="394"/>
      <c r="G720" s="463"/>
      <c r="H720" s="445">
        <f t="shared" si="246"/>
        <v>0</v>
      </c>
      <c r="I720" s="622"/>
      <c r="J720" s="433"/>
      <c r="K720" s="623"/>
      <c r="L720" s="435">
        <f t="shared" si="247"/>
        <v>0</v>
      </c>
      <c r="M720" s="622"/>
      <c r="N720" s="623"/>
      <c r="O720" s="623"/>
      <c r="P720" s="453"/>
      <c r="Q720" s="629">
        <f>база!$L$6</f>
        <v>261.04640000000001</v>
      </c>
      <c r="R720" s="441">
        <v>1.4</v>
      </c>
      <c r="S720" s="442">
        <f>SUMIFS(Таблица1[Столбец1],Таблица1[коэф],"1,4",Таблица1[р/р],"5/16",Таблица1[Ф. И. О.],B715)</f>
        <v>0</v>
      </c>
      <c r="T720" s="490">
        <f t="shared" si="248"/>
        <v>0</v>
      </c>
      <c r="U720" s="440">
        <f>база!$M$6</f>
        <v>279.0496</v>
      </c>
      <c r="V720" s="441">
        <v>1.4</v>
      </c>
      <c r="W720" s="442">
        <f>SUMIFS(Таблица1[Столбец1],Таблица1[коэф],"1,4",Таблица1[р/р],"5/24",Таблица1[Ф. И. О.],B715)</f>
        <v>0</v>
      </c>
      <c r="X720" s="490">
        <f t="shared" si="249"/>
        <v>0</v>
      </c>
      <c r="Y720" s="749"/>
      <c r="Z720" s="751"/>
      <c r="AA720" s="741"/>
    </row>
    <row r="721" spans="1:29" ht="18.75">
      <c r="A721" s="739">
        <v>66</v>
      </c>
      <c r="B721" s="201"/>
      <c r="C721" s="742">
        <f>INDEX(база!$E$2:$E$181, MATCH(B726,база!$B$2:$B$160,0))</f>
        <v>17289</v>
      </c>
      <c r="D721" s="745">
        <f>INDEX(база!$D$2:$D$189, MATCH(B726,база!$B$2:$B$160,0))</f>
        <v>3</v>
      </c>
      <c r="E721" s="354">
        <f>IF(D721&lt;=3,база!$I$4,
IF(D721=4,база!$I$5,
IF(D721=5,база!$I$6)))</f>
        <v>188.7912</v>
      </c>
      <c r="F721" s="355">
        <v>1</v>
      </c>
      <c r="G721" s="364">
        <f>SUMIFS(Таблица1[Столбец1],Таблица1[коэф],"1",Таблица1[р/р],"2/4",Таблица1[Ф. И. О.],B726)</f>
        <v>0</v>
      </c>
      <c r="H721" s="379">
        <f t="shared" si="246"/>
        <v>0</v>
      </c>
      <c r="I721" s="429">
        <f>IF(D721&lt;=3,база!$J$4,
IF(D721=4,база!$J$5,
IF(D721=5,база!$J$6)))</f>
        <v>196.05240000000001</v>
      </c>
      <c r="J721" s="452">
        <v>1</v>
      </c>
      <c r="K721" s="430">
        <f>SUMIFS(Таблица1[Столбец1],Таблица1[коэф],"1",Таблица1[р/р],"2/8",Таблица1[Ф. И. О.],B726)</f>
        <v>0</v>
      </c>
      <c r="L721" s="461">
        <f t="shared" si="247"/>
        <v>0</v>
      </c>
      <c r="M721" s="430"/>
      <c r="N721" s="430">
        <v>1</v>
      </c>
      <c r="O721" s="430">
        <f>SUMIFS(Data_Tech!$AM$3:$AM$67,Data_Tech!$E$3:$E$67,"1",Data_Tech!$G$3:$G$67,"3/12",Data_Tech!$F$3:$F$67,B726)</f>
        <v>0</v>
      </c>
      <c r="P721" s="375">
        <f>ROUND(M721*N721*O721,2)</f>
        <v>0</v>
      </c>
      <c r="Q721" s="458">
        <f>IF(D721&lt;=3,база!$L$4,
IF(D721=4,база!$L$5,
IF(D721=5,база!$L$6)))</f>
        <v>210.57480000000001</v>
      </c>
      <c r="R721" s="394">
        <v>1</v>
      </c>
      <c r="S721" s="395">
        <f>SUMIFS(Таблица1[Столбец1],Таблица1[коэф],"1",Таблица1[р/р],"3/16",Таблица1[Ф. И. О.],B726)</f>
        <v>0</v>
      </c>
      <c r="T721" s="469">
        <f t="shared" si="248"/>
        <v>0</v>
      </c>
      <c r="U721" s="460">
        <f>IF(D721&lt;=3,база!$M$4,
IF(D721=4,база!$M$5,
IF(D721=5,база!$M$6)))</f>
        <v>225.09719999999999</v>
      </c>
      <c r="V721" s="394">
        <v>1</v>
      </c>
      <c r="W721" s="432">
        <f>SUMIFS(Таблица1[Столбец1],Таблица1[коэф],"1",Таблица1[р/р],"3/24",Таблица1[Ф. И. О.],B726)</f>
        <v>0</v>
      </c>
      <c r="X721" s="469">
        <f t="shared" si="249"/>
        <v>0</v>
      </c>
      <c r="Y721" s="748">
        <f t="shared" ref="Y721" si="254">SUM(G721:G731,K721:K731,O721:O731,S721:S731,W721:W731)</f>
        <v>0</v>
      </c>
      <c r="Z721" s="750">
        <f t="shared" ref="Z721" si="255">IFERROR(SUM(H721:H731,L721:L731,T721:T731,X721:X731),"")</f>
        <v>0</v>
      </c>
      <c r="AA721" s="740"/>
    </row>
    <row r="722" spans="1:29" ht="18.75">
      <c r="A722" s="740"/>
      <c r="B722" s="201"/>
      <c r="C722" s="743"/>
      <c r="D722" s="746"/>
      <c r="E722" s="366">
        <f>IF(D721&lt;=3,база!$I$4,
IF(D721=4,база!$I$5,
IF(D721=5,база!$I$6)))</f>
        <v>188.7912</v>
      </c>
      <c r="F722" s="367">
        <v>1</v>
      </c>
      <c r="G722" s="377">
        <f>SUMIFS(Таблица1[Столбец1],Таблица1[коэф],"1",Таблица1[р/р],"3/4",Таблица1[Ф. И. О.],B726)</f>
        <v>0</v>
      </c>
      <c r="H722" s="369">
        <f t="shared" si="246"/>
        <v>0</v>
      </c>
      <c r="I722" s="409">
        <f>IF(D721&lt;=3,база!$J$4,
IF(D721=4,база!$J$5,
IF(D721=5,база!$J$6)))</f>
        <v>196.05240000000001</v>
      </c>
      <c r="J722" s="410">
        <v>1</v>
      </c>
      <c r="K722" s="411">
        <f>SUMIFS(Таблица1[Столбец1],Таблица1[коэф],"1",Таблица1[р/р],"3/8",Таблица1[Ф. И. О.],B726)</f>
        <v>0</v>
      </c>
      <c r="L722" s="461">
        <f t="shared" si="247"/>
        <v>0</v>
      </c>
      <c r="M722" s="411"/>
      <c r="N722" s="411">
        <v>1</v>
      </c>
      <c r="O722" s="411">
        <f>SUMIFS(Data_Tech!$AM$3:$AM$67,Data_Tech!$E$3:$E$67,"1",Data_Tech!$G$3:$G$67,"4/12",Data_Tech!$F$3:$F$67,B726)</f>
        <v>0</v>
      </c>
      <c r="P722" s="383">
        <f>ROUND(M722*O722,2)</f>
        <v>0</v>
      </c>
      <c r="Q722" s="366">
        <f>база!$L$5</f>
        <v>231.45480000000001</v>
      </c>
      <c r="R722" s="367">
        <v>1</v>
      </c>
      <c r="S722" s="377">
        <f>SUMIFS(Таблица1[Столбец1],Таблица1[коэф],"1",Таблица1[р/р],"4/16",Таблица1[Ф. И. О.],B726)</f>
        <v>0</v>
      </c>
      <c r="T722" s="469">
        <f t="shared" si="248"/>
        <v>0</v>
      </c>
      <c r="U722" s="455">
        <f>база!$M$5</f>
        <v>247.41720000000001</v>
      </c>
      <c r="V722" s="367">
        <v>1</v>
      </c>
      <c r="W722" s="389">
        <f>SUMIFS(Таблица1[Столбец1],Таблица1[коэф],"1",Таблица1[р/р],"4/24",Таблица1[Ф. И. О.],B726)</f>
        <v>0</v>
      </c>
      <c r="X722" s="469">
        <f t="shared" si="249"/>
        <v>0</v>
      </c>
      <c r="Y722" s="748"/>
      <c r="Z722" s="750"/>
      <c r="AA722" s="740"/>
    </row>
    <row r="723" spans="1:29" ht="18.75">
      <c r="A723" s="740"/>
      <c r="B723" s="201"/>
      <c r="C723" s="743"/>
      <c r="D723" s="746"/>
      <c r="E723" s="366"/>
      <c r="F723" s="367"/>
      <c r="G723" s="377"/>
      <c r="H723" s="369">
        <f t="shared" si="246"/>
        <v>0</v>
      </c>
      <c r="I723" s="409"/>
      <c r="J723" s="410"/>
      <c r="K723" s="411"/>
      <c r="L723" s="461">
        <f t="shared" si="247"/>
        <v>0</v>
      </c>
      <c r="M723" s="411"/>
      <c r="N723" s="411"/>
      <c r="O723" s="411"/>
      <c r="P723" s="383"/>
      <c r="Q723" s="366">
        <f>база!$L$6</f>
        <v>261.04640000000001</v>
      </c>
      <c r="R723" s="367">
        <v>1</v>
      </c>
      <c r="S723" s="377">
        <f>SUMIFS(Таблица1[Столбец1],Таблица1[коэф],"1",Таблица1[р/р],"5/16",Таблица1[Ф. И. О.],B726)</f>
        <v>0</v>
      </c>
      <c r="T723" s="469">
        <f t="shared" si="248"/>
        <v>0</v>
      </c>
      <c r="U723" s="455">
        <f>база!$M$6</f>
        <v>279.0496</v>
      </c>
      <c r="V723" s="367">
        <v>1</v>
      </c>
      <c r="W723" s="389">
        <f>SUMIFS(Таблица1[Столбец1],Таблица1[коэф],"1",Таблица1[р/р],"5/24",Таблица1[Ф. И. О.],B726)</f>
        <v>0</v>
      </c>
      <c r="X723" s="469">
        <f t="shared" si="249"/>
        <v>0</v>
      </c>
      <c r="Y723" s="748"/>
      <c r="Z723" s="750"/>
      <c r="AA723" s="740"/>
    </row>
    <row r="724" spans="1:29" ht="18.75">
      <c r="A724" s="740"/>
      <c r="B724" s="201"/>
      <c r="C724" s="743"/>
      <c r="D724" s="746"/>
      <c r="E724" s="366"/>
      <c r="F724" s="367"/>
      <c r="G724" s="377"/>
      <c r="H724" s="369">
        <f t="shared" si="246"/>
        <v>0</v>
      </c>
      <c r="I724" s="409">
        <f>база!$J$5</f>
        <v>215.4924</v>
      </c>
      <c r="J724" s="410">
        <v>1.5</v>
      </c>
      <c r="K724" s="411">
        <f>SUMIFS(Таблица1[Столбец1],Таблица1[коэф],"1,5",Таблица1[р/р],"4/8",Таблица1[Ф. И. О.],B726)</f>
        <v>0</v>
      </c>
      <c r="L724" s="461">
        <f t="shared" si="247"/>
        <v>0</v>
      </c>
      <c r="M724" s="411"/>
      <c r="N724" s="411"/>
      <c r="O724" s="411"/>
      <c r="P724" s="383"/>
      <c r="Q724" s="366">
        <f>IF(D721&lt;=3,база!$L$4,
IF(D721=4,база!$L$5,
IF(D721=5,база!$L$6)))</f>
        <v>210.57480000000001</v>
      </c>
      <c r="R724" s="367">
        <v>1.2</v>
      </c>
      <c r="S724" s="377">
        <f>SUMIFS(Таблица1[Столбец1],Таблица1[коэф],"1,2",Таблица1[р/р],"3/16",Таблица1[Ф. И. О.],B726)</f>
        <v>0</v>
      </c>
      <c r="T724" s="469">
        <f t="shared" si="248"/>
        <v>0</v>
      </c>
      <c r="U724" s="455">
        <f>IF(D721&lt;=3,база!$M$4,
IF(D721=4,база!$M$5,
IF(D721=5,база!$M$6)))</f>
        <v>225.09719999999999</v>
      </c>
      <c r="V724" s="367">
        <v>1.2</v>
      </c>
      <c r="W724" s="389">
        <f>SUMIFS(Таблица1[Столбец1],Таблица1[коэф],"1,2",Таблица1[р/р],"3/24",Таблица1[Ф. И. О.],B726)</f>
        <v>0</v>
      </c>
      <c r="X724" s="469">
        <f t="shared" si="249"/>
        <v>0</v>
      </c>
      <c r="Y724" s="748"/>
      <c r="Z724" s="750"/>
      <c r="AA724" s="740"/>
    </row>
    <row r="725" spans="1:29" ht="18.75">
      <c r="A725" s="740"/>
      <c r="B725" s="201"/>
      <c r="C725" s="743"/>
      <c r="D725" s="746"/>
      <c r="E725" s="366"/>
      <c r="F725" s="367"/>
      <c r="G725" s="377"/>
      <c r="H725" s="369">
        <f t="shared" si="246"/>
        <v>0</v>
      </c>
      <c r="I725" s="409">
        <f>база!$J$6</f>
        <v>243.04319999999998</v>
      </c>
      <c r="J725" s="410">
        <v>1.5</v>
      </c>
      <c r="K725" s="411">
        <f>SUMIFS(Таблица1[Столбец1],Таблица1[коэф],"1,5",Таблица1[р/р],"5/8",Таблица1[Ф. И. О.],B726)</f>
        <v>0</v>
      </c>
      <c r="L725" s="461">
        <f t="shared" si="247"/>
        <v>0</v>
      </c>
      <c r="M725" s="411"/>
      <c r="N725" s="411"/>
      <c r="O725" s="411"/>
      <c r="P725" s="383"/>
      <c r="Q725" s="366">
        <f>база!$L$5</f>
        <v>231.45480000000001</v>
      </c>
      <c r="R725" s="367">
        <v>1.2</v>
      </c>
      <c r="S725" s="377">
        <f>SUMIFS(Таблица1[Столбец1],Таблица1[коэф],"1,2",Таблица1[р/р],"4/16",Таблица1[Ф. И. О.],B726)</f>
        <v>0</v>
      </c>
      <c r="T725" s="469">
        <f t="shared" si="248"/>
        <v>0</v>
      </c>
      <c r="U725" s="455">
        <f>база!$M$5</f>
        <v>247.41720000000001</v>
      </c>
      <c r="V725" s="367">
        <v>1.2</v>
      </c>
      <c r="W725" s="389">
        <f>SUMIFS(Таблица1[Столбец1],Таблица1[коэф],"1,2",Таблица1[р/р],"4/24",Таблица1[Ф. И. О.],B726)</f>
        <v>0</v>
      </c>
      <c r="X725" s="469">
        <f t="shared" si="249"/>
        <v>0</v>
      </c>
      <c r="Y725" s="748"/>
      <c r="Z725" s="750"/>
      <c r="AA725" s="740"/>
    </row>
    <row r="726" spans="1:29" ht="18.75">
      <c r="A726" s="740"/>
      <c r="B726" s="201" t="str">
        <f>база!B67</f>
        <v>Скрынникова Виктория Геннадьевна</v>
      </c>
      <c r="C726" s="743"/>
      <c r="D726" s="746"/>
      <c r="E726" s="366"/>
      <c r="F726" s="367"/>
      <c r="G726" s="377"/>
      <c r="H726" s="369">
        <f t="shared" si="246"/>
        <v>0</v>
      </c>
      <c r="I726" s="409"/>
      <c r="J726" s="410"/>
      <c r="K726" s="411"/>
      <c r="L726" s="461">
        <f t="shared" si="247"/>
        <v>0</v>
      </c>
      <c r="M726" s="411"/>
      <c r="N726" s="411"/>
      <c r="O726" s="411"/>
      <c r="P726" s="383"/>
      <c r="Q726" s="366">
        <f>база!$L$6</f>
        <v>261.04640000000001</v>
      </c>
      <c r="R726" s="367">
        <v>1.2</v>
      </c>
      <c r="S726" s="377">
        <f>SUMIFS(Таблица1[Столбец1],Таблица1[коэф],"1,2",Таблица1[р/р],"5/16",Таблица1[Ф. И. О.],B726)</f>
        <v>0</v>
      </c>
      <c r="T726" s="469">
        <f t="shared" si="248"/>
        <v>0</v>
      </c>
      <c r="U726" s="455">
        <f>база!$M$6</f>
        <v>279.0496</v>
      </c>
      <c r="V726" s="367">
        <v>1.2</v>
      </c>
      <c r="W726" s="389">
        <f>SUMIFS(Таблица1[Столбец1],Таблица1[коэф],"1,2",Таблица1[р/р],"5/24",Таблица1[Ф. И. О.],B726)</f>
        <v>0</v>
      </c>
      <c r="X726" s="469">
        <f t="shared" si="249"/>
        <v>0</v>
      </c>
      <c r="Y726" s="748"/>
      <c r="Z726" s="750"/>
      <c r="AA726" s="740"/>
      <c r="AC726" s="693" t="str">
        <f>IF(SUMIFS(Таблица1[Столбец3],Таблица1[Ф. И. О.],B726)-Z721=0,"",SUMIFS(Таблица1[Столбец3],Таблица1[Ф. И. О.],B726)-Z721)</f>
        <v/>
      </c>
    </row>
    <row r="727" spans="1:29" ht="18.75">
      <c r="A727" s="740"/>
      <c r="B727" s="201"/>
      <c r="C727" s="743"/>
      <c r="D727" s="746"/>
      <c r="E727" s="366"/>
      <c r="F727" s="367"/>
      <c r="G727" s="377"/>
      <c r="H727" s="369">
        <f t="shared" si="246"/>
        <v>0</v>
      </c>
      <c r="I727" s="409"/>
      <c r="J727" s="410"/>
      <c r="K727" s="411"/>
      <c r="L727" s="461">
        <f t="shared" si="247"/>
        <v>0</v>
      </c>
      <c r="M727" s="411"/>
      <c r="N727" s="411"/>
      <c r="O727" s="411"/>
      <c r="P727" s="383"/>
      <c r="Q727" s="366">
        <f>IF($D$6&lt;=3,база!$L$4,
IF($D$6=4,база!$L$5,
IF($D$6=5,база!$L$6)))</f>
        <v>231.45480000000001</v>
      </c>
      <c r="R727" s="367">
        <v>1.3</v>
      </c>
      <c r="S727" s="377">
        <f>SUMIFS(Таблица1[Столбец1],Таблица1[коэф],"1,3",Таблица1[р/р],"3/16",Таблица1[Ф. И. О.],B726)</f>
        <v>0</v>
      </c>
      <c r="T727" s="469">
        <f t="shared" si="248"/>
        <v>0</v>
      </c>
      <c r="U727" s="455">
        <f>IF(D721&lt;=3,база!$M$4,
IF(D721=4,база!$M$5,
IF(D721=5,база!$M$6)))</f>
        <v>225.09719999999999</v>
      </c>
      <c r="V727" s="367">
        <v>1.3</v>
      </c>
      <c r="W727" s="389">
        <f>SUMIFS(Таблица1[Столбец1],Таблица1[коэф],"1,3",Таблица1[р/р],"3/24",Таблица1[Ф. И. О.],B726)</f>
        <v>0</v>
      </c>
      <c r="X727" s="469">
        <f t="shared" si="249"/>
        <v>0</v>
      </c>
      <c r="Y727" s="748"/>
      <c r="Z727" s="750"/>
      <c r="AA727" s="740"/>
      <c r="AC727" s="693" t="str">
        <f>IF(SUMIFS(Таблица1[Столбец1],Таблица1[Ф. И. О.],B726)=Y721,"",B726&amp;"  часы не верны")</f>
        <v/>
      </c>
    </row>
    <row r="728" spans="1:29" ht="18.75">
      <c r="A728" s="740"/>
      <c r="B728" s="201"/>
      <c r="C728" s="743"/>
      <c r="D728" s="746"/>
      <c r="E728" s="366"/>
      <c r="F728" s="367"/>
      <c r="G728" s="377"/>
      <c r="H728" s="369">
        <f t="shared" si="246"/>
        <v>0</v>
      </c>
      <c r="I728" s="409"/>
      <c r="J728" s="410"/>
      <c r="K728" s="411"/>
      <c r="L728" s="461">
        <f t="shared" si="247"/>
        <v>0</v>
      </c>
      <c r="M728" s="411"/>
      <c r="N728" s="411"/>
      <c r="O728" s="411"/>
      <c r="P728" s="383"/>
      <c r="Q728" s="366">
        <f>база!$L$5</f>
        <v>231.45480000000001</v>
      </c>
      <c r="R728" s="367">
        <v>1.3</v>
      </c>
      <c r="S728" s="377">
        <f>SUMIFS(Таблица1[Столбец1],Таблица1[коэф],"1,3",Таблица1[р/р],"4/16",Таблица1[Ф. И. О.],B726)</f>
        <v>0</v>
      </c>
      <c r="T728" s="469">
        <f t="shared" si="248"/>
        <v>0</v>
      </c>
      <c r="U728" s="455">
        <f>база!$M$5</f>
        <v>247.41720000000001</v>
      </c>
      <c r="V728" s="367">
        <v>1.3</v>
      </c>
      <c r="W728" s="389">
        <f>SUMIFS(Таблица1[Столбец1],Таблица1[коэф],"1,3",Таблица1[р/р],"4/24",Таблица1[Ф. И. О.],B726)</f>
        <v>0</v>
      </c>
      <c r="X728" s="469">
        <f t="shared" si="249"/>
        <v>0</v>
      </c>
      <c r="Y728" s="748"/>
      <c r="Z728" s="750"/>
      <c r="AA728" s="740"/>
    </row>
    <row r="729" spans="1:29" ht="18.75">
      <c r="A729" s="740"/>
      <c r="B729" s="201"/>
      <c r="C729" s="743"/>
      <c r="D729" s="746"/>
      <c r="E729" s="366"/>
      <c r="F729" s="367"/>
      <c r="G729" s="377"/>
      <c r="H729" s="369">
        <f t="shared" si="246"/>
        <v>0</v>
      </c>
      <c r="I729" s="409"/>
      <c r="J729" s="410"/>
      <c r="K729" s="411"/>
      <c r="L729" s="461">
        <f t="shared" si="247"/>
        <v>0</v>
      </c>
      <c r="M729" s="411"/>
      <c r="N729" s="411"/>
      <c r="O729" s="411"/>
      <c r="P729" s="383"/>
      <c r="Q729" s="366">
        <f>IF(D721&lt;=3,база!$L$4,
IF(D721=4,база!$L$5,
IF(D721=5,база!$L$6)))</f>
        <v>210.57480000000001</v>
      </c>
      <c r="R729" s="367">
        <v>1.4</v>
      </c>
      <c r="S729" s="377">
        <f>SUMIFS(Таблица1[Столбец1],Таблица1[коэф],"1,4",Таблица1[р/р],"3/16",Таблица1[Ф. И. О.],B726)</f>
        <v>0</v>
      </c>
      <c r="T729" s="469">
        <f t="shared" si="248"/>
        <v>0</v>
      </c>
      <c r="U729" s="455">
        <f>IF(D721&lt;=3,база!$M$4,
IF(D721=4,база!$M$5,
IF(D721=5,база!$M$6)))</f>
        <v>225.09719999999999</v>
      </c>
      <c r="V729" s="367">
        <v>1.4</v>
      </c>
      <c r="W729" s="389">
        <f>SUMIFS(Таблица1[Столбец1],Таблица1[коэф],"1,4",Таблица1[р/р],"3/24",Таблица1[Ф. И. О.],B726)</f>
        <v>0</v>
      </c>
      <c r="X729" s="469">
        <f t="shared" si="249"/>
        <v>0</v>
      </c>
      <c r="Y729" s="748"/>
      <c r="Z729" s="750"/>
      <c r="AA729" s="740"/>
    </row>
    <row r="730" spans="1:29" ht="18.75">
      <c r="A730" s="740"/>
      <c r="B730" s="201"/>
      <c r="C730" s="743"/>
      <c r="D730" s="746"/>
      <c r="E730" s="366"/>
      <c r="F730" s="367"/>
      <c r="G730" s="377"/>
      <c r="H730" s="369">
        <f t="shared" si="246"/>
        <v>0</v>
      </c>
      <c r="I730" s="409"/>
      <c r="J730" s="410"/>
      <c r="K730" s="411"/>
      <c r="L730" s="461">
        <f t="shared" si="247"/>
        <v>0</v>
      </c>
      <c r="M730" s="411"/>
      <c r="N730" s="411"/>
      <c r="O730" s="411"/>
      <c r="P730" s="383"/>
      <c r="Q730" s="366">
        <f>база!$L$5</f>
        <v>231.45480000000001</v>
      </c>
      <c r="R730" s="367">
        <v>1.4</v>
      </c>
      <c r="S730" s="377">
        <f>SUMIFS(Таблица1[Столбец1],Таблица1[коэф],"1,4",Таблица1[р/р],"4/16",Таблица1[Ф. И. О.],B726)</f>
        <v>0</v>
      </c>
      <c r="T730" s="469">
        <f t="shared" si="248"/>
        <v>0</v>
      </c>
      <c r="U730" s="455">
        <f>база!$M$5</f>
        <v>247.41720000000001</v>
      </c>
      <c r="V730" s="367">
        <v>1.4</v>
      </c>
      <c r="W730" s="389">
        <f>SUMIFS(Таблица1[Столбец1],Таблица1[коэф],"1,4",Таблица1[р/р],"4/24",Таблица1[Ф. И. О.],B726)</f>
        <v>0</v>
      </c>
      <c r="X730" s="469">
        <f t="shared" si="249"/>
        <v>0</v>
      </c>
      <c r="Y730" s="748"/>
      <c r="Z730" s="750"/>
      <c r="AA730" s="740"/>
    </row>
    <row r="731" spans="1:29" ht="19.5" thickBot="1">
      <c r="A731" s="741"/>
      <c r="B731" s="329"/>
      <c r="C731" s="744"/>
      <c r="D731" s="747"/>
      <c r="E731" s="458"/>
      <c r="F731" s="394"/>
      <c r="G731" s="463"/>
      <c r="H731" s="445">
        <f t="shared" si="246"/>
        <v>0</v>
      </c>
      <c r="I731" s="622"/>
      <c r="J731" s="433"/>
      <c r="K731" s="623"/>
      <c r="L731" s="435">
        <f t="shared" si="247"/>
        <v>0</v>
      </c>
      <c r="M731" s="373"/>
      <c r="N731" s="374"/>
      <c r="O731" s="374"/>
      <c r="P731" s="375"/>
      <c r="Q731" s="464">
        <f>база!$L$6</f>
        <v>261.04640000000001</v>
      </c>
      <c r="R731" s="394">
        <v>1.4</v>
      </c>
      <c r="S731" s="395">
        <f>SUMIFS(Таблица1[Столбец1],Таблица1[коэф],"1,4",Таблица1[р/р],"5/16",Таблица1[Ф. И. О.],B726)</f>
        <v>0</v>
      </c>
      <c r="T731" s="469">
        <f t="shared" si="248"/>
        <v>0</v>
      </c>
      <c r="U731" s="450">
        <f>база!$M$6</f>
        <v>279.0496</v>
      </c>
      <c r="V731" s="441">
        <v>1.4</v>
      </c>
      <c r="W731" s="442">
        <f>SUMIFS(Таблица1[Столбец1],Таблица1[коэф],"1,4",Таблица1[р/р],"5/24",Таблица1[Ф. И. О.],B726)</f>
        <v>0</v>
      </c>
      <c r="X731" s="490">
        <f t="shared" si="249"/>
        <v>0</v>
      </c>
      <c r="Y731" s="749"/>
      <c r="Z731" s="751"/>
      <c r="AA731" s="741"/>
    </row>
    <row r="732" spans="1:29" ht="18.75">
      <c r="A732" s="739">
        <v>67</v>
      </c>
      <c r="B732" s="201"/>
      <c r="C732" s="742">
        <f>INDEX(база!$E$2:$E$181, MATCH(B737,база!$B$2:$B$160,0))</f>
        <v>14639</v>
      </c>
      <c r="D732" s="745">
        <f>INDEX(база!$D$2:$D$189, MATCH(B737,база!$B$2:$B$160,0))</f>
        <v>4</v>
      </c>
      <c r="E732" s="354">
        <f>IF(D732&lt;=3,база!$I$4,
IF(D732=4,база!$I$5,
IF(D732=5,база!$I$6)))</f>
        <v>207.5112</v>
      </c>
      <c r="F732" s="355">
        <v>1</v>
      </c>
      <c r="G732" s="364">
        <f>SUMIFS(Таблица1[Столбец1],Таблица1[коэф],"1",Таблица1[р/р],"2/4",Таблица1[Ф. И. О.],B737)</f>
        <v>0</v>
      </c>
      <c r="H732" s="379">
        <f t="shared" si="246"/>
        <v>0</v>
      </c>
      <c r="I732" s="429">
        <f>IF(D732&lt;=3,база!$J$4,
IF(D732=4,база!$J$5,
IF(D732=5,база!$J$6)))</f>
        <v>215.4924</v>
      </c>
      <c r="J732" s="452">
        <v>1</v>
      </c>
      <c r="K732" s="430">
        <f>SUMIFS(Таблица1[Столбец1],Таблица1[коэф],"1",Таблица1[р/р],"2/8",Таблица1[Ф. И. О.],B737)</f>
        <v>0</v>
      </c>
      <c r="L732" s="461">
        <f t="shared" si="247"/>
        <v>0</v>
      </c>
      <c r="M732" s="430"/>
      <c r="N732" s="430">
        <v>1</v>
      </c>
      <c r="O732" s="430">
        <f>SUMIFS(Data_Tech!$AM$3:$AM$67,Data_Tech!$E$3:$E$67,"1",Data_Tech!$G$3:$G$67,"3/12",Data_Tech!$F$3:$F$67,B737)</f>
        <v>0</v>
      </c>
      <c r="P732" s="375">
        <f>ROUND(M732*N732*O732,2)</f>
        <v>0</v>
      </c>
      <c r="Q732" s="354">
        <f>IF(D732&lt;=3,база!$L$4,
IF(D732=4,база!$L$5,
IF(D732=5,база!$L$6)))</f>
        <v>231.45480000000001</v>
      </c>
      <c r="R732" s="355">
        <v>1</v>
      </c>
      <c r="S732" s="364">
        <f>SUMIFS(Таблица1[Столбец1],Таблица1[коэф],"1",Таблица1[р/р],"3/16",Таблица1[Ф. И. О.],B737)</f>
        <v>0</v>
      </c>
      <c r="T732" s="467">
        <f t="shared" si="248"/>
        <v>0</v>
      </c>
      <c r="U732" s="460">
        <f>IF(D732&lt;=3,база!$M$4,
IF(D732=4,база!$M$5,
IF(D732=5,база!$M$6)))</f>
        <v>247.41720000000001</v>
      </c>
      <c r="V732" s="394">
        <v>1</v>
      </c>
      <c r="W732" s="432">
        <f>SUMIFS(Таблица1[Столбец1],Таблица1[коэф],"1",Таблица1[р/р],"3/24",Таблица1[Ф. И. О.],B737)</f>
        <v>0</v>
      </c>
      <c r="X732" s="469">
        <f t="shared" si="249"/>
        <v>0</v>
      </c>
      <c r="Y732" s="748">
        <f t="shared" ref="Y732" si="256">SUM(G732:G742,K732:K742,O732:O742,S732:S742,W732:W742)</f>
        <v>0</v>
      </c>
      <c r="Z732" s="750">
        <f t="shared" ref="Z732" si="257">IFERROR(SUM(H732:H742,L732:L742,T732:T742,X732:X742),"")</f>
        <v>0</v>
      </c>
      <c r="AA732" s="740"/>
    </row>
    <row r="733" spans="1:29" ht="18.75">
      <c r="A733" s="740"/>
      <c r="B733" s="201"/>
      <c r="C733" s="743"/>
      <c r="D733" s="746"/>
      <c r="E733" s="366">
        <f>IF(D732&lt;=3,база!$I$4,
IF(D732=4,база!$I$5,
IF(D732=5,база!$I$6)))</f>
        <v>207.5112</v>
      </c>
      <c r="F733" s="367">
        <v>1</v>
      </c>
      <c r="G733" s="377">
        <f>SUMIFS(Таблица1[Столбец1],Таблица1[коэф],"1",Таблица1[р/р],"3/4",Таблица1[Ф. И. О.],B737)</f>
        <v>0</v>
      </c>
      <c r="H733" s="369">
        <f t="shared" si="246"/>
        <v>0</v>
      </c>
      <c r="I733" s="409">
        <f>IF(D732&lt;=3,база!$J$4,
IF(D732=4,база!$J$5,
IF(D732=5,база!$J$6)))</f>
        <v>215.4924</v>
      </c>
      <c r="J733" s="410">
        <v>1</v>
      </c>
      <c r="K733" s="411">
        <f>SUMIFS(Таблица1[Столбец1],Таблица1[коэф],"1",Таблица1[р/р],"3/8",Таблица1[Ф. И. О.],B737)</f>
        <v>0</v>
      </c>
      <c r="L733" s="461">
        <f t="shared" si="247"/>
        <v>0</v>
      </c>
      <c r="M733" s="411"/>
      <c r="N733" s="411">
        <v>1</v>
      </c>
      <c r="O733" s="411">
        <f>SUMIFS(Data_Tech!$AM$3:$AM$67,Data_Tech!$E$3:$E$67,"1",Data_Tech!$G$3:$G$67,"4/12",Data_Tech!$F$3:$F$67,B737)</f>
        <v>0</v>
      </c>
      <c r="P733" s="383">
        <f>ROUND(M733*O733,2)</f>
        <v>0</v>
      </c>
      <c r="Q733" s="366">
        <f>база!$L$5</f>
        <v>231.45480000000001</v>
      </c>
      <c r="R733" s="367">
        <v>1</v>
      </c>
      <c r="S733" s="377">
        <f>SUMIFS(Таблица1[Столбец1],Таблица1[коэф],"1",Таблица1[р/р],"4/16",Таблица1[Ф. И. О.],B737)</f>
        <v>0</v>
      </c>
      <c r="T733" s="469">
        <f t="shared" si="248"/>
        <v>0</v>
      </c>
      <c r="U733" s="455">
        <f>база!$M$5</f>
        <v>247.41720000000001</v>
      </c>
      <c r="V733" s="367">
        <v>1</v>
      </c>
      <c r="W733" s="389">
        <f>SUMIFS(Таблица1[Столбец1],Таблица1[коэф],"1",Таблица1[р/р],"4/24",Таблица1[Ф. И. О.],B737)</f>
        <v>0</v>
      </c>
      <c r="X733" s="469">
        <f t="shared" si="249"/>
        <v>0</v>
      </c>
      <c r="Y733" s="748"/>
      <c r="Z733" s="750"/>
      <c r="AA733" s="740"/>
    </row>
    <row r="734" spans="1:29" ht="18.75">
      <c r="A734" s="740"/>
      <c r="B734" s="201"/>
      <c r="C734" s="743"/>
      <c r="D734" s="746"/>
      <c r="E734" s="366"/>
      <c r="F734" s="367"/>
      <c r="G734" s="377"/>
      <c r="H734" s="369">
        <f t="shared" si="246"/>
        <v>0</v>
      </c>
      <c r="I734" s="409"/>
      <c r="J734" s="410"/>
      <c r="K734" s="411"/>
      <c r="L734" s="461">
        <f t="shared" si="247"/>
        <v>0</v>
      </c>
      <c r="M734" s="411"/>
      <c r="N734" s="411"/>
      <c r="O734" s="411"/>
      <c r="P734" s="383"/>
      <c r="Q734" s="366">
        <f>база!$L$6</f>
        <v>261.04640000000001</v>
      </c>
      <c r="R734" s="367">
        <v>1</v>
      </c>
      <c r="S734" s="377">
        <f>SUMIFS(Таблица1[Столбец1],Таблица1[коэф],"1",Таблица1[р/р],"5/16",Таблица1[Ф. И. О.],B737)</f>
        <v>0</v>
      </c>
      <c r="T734" s="469">
        <f t="shared" si="248"/>
        <v>0</v>
      </c>
      <c r="U734" s="455">
        <f>база!$M$6</f>
        <v>279.0496</v>
      </c>
      <c r="V734" s="367">
        <v>1</v>
      </c>
      <c r="W734" s="389">
        <f>SUMIFS(Таблица1[Столбец1],Таблица1[коэф],"1",Таблица1[р/р],"5/24",Таблица1[Ф. И. О.],B737)</f>
        <v>0</v>
      </c>
      <c r="X734" s="469">
        <f t="shared" si="249"/>
        <v>0</v>
      </c>
      <c r="Y734" s="748"/>
      <c r="Z734" s="750"/>
      <c r="AA734" s="740"/>
    </row>
    <row r="735" spans="1:29" ht="18.75">
      <c r="A735" s="740"/>
      <c r="B735" s="201"/>
      <c r="C735" s="743"/>
      <c r="D735" s="746"/>
      <c r="E735" s="366"/>
      <c r="F735" s="367"/>
      <c r="G735" s="377"/>
      <c r="H735" s="369">
        <f t="shared" si="246"/>
        <v>0</v>
      </c>
      <c r="I735" s="409">
        <f>база!$J$5</f>
        <v>215.4924</v>
      </c>
      <c r="J735" s="410">
        <v>1.5</v>
      </c>
      <c r="K735" s="411">
        <f>SUMIFS(Таблица1[Столбец1],Таблица1[коэф],"1,5",Таблица1[р/р],"4/8",Таблица1[Ф. И. О.],B737)</f>
        <v>0</v>
      </c>
      <c r="L735" s="461">
        <f t="shared" si="247"/>
        <v>0</v>
      </c>
      <c r="M735" s="411"/>
      <c r="N735" s="411"/>
      <c r="O735" s="411"/>
      <c r="P735" s="383"/>
      <c r="Q735" s="366">
        <f>IF(D732&lt;=3,база!$L$4,
IF(D732=4,база!$L$5,
IF(D732=5,база!$L$6)))</f>
        <v>231.45480000000001</v>
      </c>
      <c r="R735" s="367">
        <v>1.2</v>
      </c>
      <c r="S735" s="377">
        <f>SUMIFS(Таблица1[Столбец1],Таблица1[коэф],"1,2",Таблица1[р/р],"3/16",Таблица1[Ф. И. О.],B737)</f>
        <v>0</v>
      </c>
      <c r="T735" s="469">
        <f t="shared" si="248"/>
        <v>0</v>
      </c>
      <c r="U735" s="455">
        <f>IF(D732&lt;=3,база!$M$4,
IF(D732=4,база!$M$5,
IF(D732=5,база!$M$6)))</f>
        <v>247.41720000000001</v>
      </c>
      <c r="V735" s="367">
        <v>1.2</v>
      </c>
      <c r="W735" s="389">
        <f>SUMIFS(Таблица1[Столбец1],Таблица1[коэф],"1,2",Таблица1[р/р],"3/24",Таблица1[Ф. И. О.],B737)</f>
        <v>0</v>
      </c>
      <c r="X735" s="469">
        <f t="shared" si="249"/>
        <v>0</v>
      </c>
      <c r="Y735" s="748"/>
      <c r="Z735" s="750"/>
      <c r="AA735" s="740"/>
    </row>
    <row r="736" spans="1:29" ht="18.75">
      <c r="A736" s="740"/>
      <c r="B736" s="201"/>
      <c r="C736" s="743"/>
      <c r="D736" s="746"/>
      <c r="E736" s="366"/>
      <c r="F736" s="367"/>
      <c r="G736" s="377"/>
      <c r="H736" s="369">
        <f t="shared" si="246"/>
        <v>0</v>
      </c>
      <c r="I736" s="409">
        <f>база!$J$6</f>
        <v>243.04319999999998</v>
      </c>
      <c r="J736" s="410">
        <v>1.5</v>
      </c>
      <c r="K736" s="411">
        <f>SUMIFS(Таблица1[Столбец1],Таблица1[коэф],"1,5",Таблица1[р/р],"5/8",Таблица1[Ф. И. О.],B737)</f>
        <v>0</v>
      </c>
      <c r="L736" s="461">
        <f t="shared" si="247"/>
        <v>0</v>
      </c>
      <c r="M736" s="411"/>
      <c r="N736" s="411"/>
      <c r="O736" s="411"/>
      <c r="P736" s="383"/>
      <c r="Q736" s="366">
        <f>база!$L$5</f>
        <v>231.45480000000001</v>
      </c>
      <c r="R736" s="367">
        <v>1.2</v>
      </c>
      <c r="S736" s="377">
        <f>SUMIFS(Таблица1[Столбец1],Таблица1[коэф],"1,2",Таблица1[р/р],"4/16",Таблица1[Ф. И. О.],B737)</f>
        <v>0</v>
      </c>
      <c r="T736" s="469">
        <f t="shared" si="248"/>
        <v>0</v>
      </c>
      <c r="U736" s="455">
        <f>база!$M$5</f>
        <v>247.41720000000001</v>
      </c>
      <c r="V736" s="367">
        <v>1.2</v>
      </c>
      <c r="W736" s="389">
        <f>SUMIFS(Таблица1[Столбец1],Таблица1[коэф],"1,2",Таблица1[р/р],"4/24",Таблица1[Ф. И. О.],B737)</f>
        <v>0</v>
      </c>
      <c r="X736" s="469">
        <f t="shared" si="249"/>
        <v>0</v>
      </c>
      <c r="Y736" s="748"/>
      <c r="Z736" s="750"/>
      <c r="AA736" s="740"/>
    </row>
    <row r="737" spans="1:29" ht="18.75">
      <c r="A737" s="740"/>
      <c r="B737" s="201" t="str">
        <f>база!B68</f>
        <v>Смирнова Елена Евгеньевна</v>
      </c>
      <c r="C737" s="743"/>
      <c r="D737" s="746"/>
      <c r="E737" s="366"/>
      <c r="F737" s="367"/>
      <c r="G737" s="377"/>
      <c r="H737" s="369">
        <f t="shared" si="246"/>
        <v>0</v>
      </c>
      <c r="I737" s="409"/>
      <c r="J737" s="410"/>
      <c r="K737" s="411"/>
      <c r="L737" s="461">
        <f t="shared" si="247"/>
        <v>0</v>
      </c>
      <c r="M737" s="411"/>
      <c r="N737" s="411"/>
      <c r="O737" s="411"/>
      <c r="P737" s="383"/>
      <c r="Q737" s="366">
        <f>база!$L$6</f>
        <v>261.04640000000001</v>
      </c>
      <c r="R737" s="367">
        <v>1.2</v>
      </c>
      <c r="S737" s="377">
        <f>SUMIFS(Таблица1[Столбец1],Таблица1[коэф],"1,2",Таблица1[р/р],"5/16",Таблица1[Ф. И. О.],B737)</f>
        <v>0</v>
      </c>
      <c r="T737" s="469">
        <f t="shared" si="248"/>
        <v>0</v>
      </c>
      <c r="U737" s="455">
        <f>база!$M$6</f>
        <v>279.0496</v>
      </c>
      <c r="V737" s="367">
        <v>1.2</v>
      </c>
      <c r="W737" s="389">
        <f>SUMIFS(Таблица1[Столбец1],Таблица1[коэф],"1,2",Таблица1[р/р],"5/24",Таблица1[Ф. И. О.],B737)</f>
        <v>0</v>
      </c>
      <c r="X737" s="469">
        <f t="shared" si="249"/>
        <v>0</v>
      </c>
      <c r="Y737" s="748"/>
      <c r="Z737" s="750"/>
      <c r="AA737" s="740"/>
      <c r="AC737" s="693" t="str">
        <f>IF(SUMIFS(Таблица1[Столбец3],Таблица1[Ф. И. О.],B737)-Z732=0,"",SUMIFS(Таблица1[Столбец3],Таблица1[Ф. И. О.],B737)-Z732)</f>
        <v/>
      </c>
    </row>
    <row r="738" spans="1:29" ht="18.75">
      <c r="A738" s="740"/>
      <c r="B738" s="201"/>
      <c r="C738" s="743"/>
      <c r="D738" s="746"/>
      <c r="E738" s="366"/>
      <c r="F738" s="367"/>
      <c r="G738" s="377"/>
      <c r="H738" s="369">
        <f t="shared" si="246"/>
        <v>0</v>
      </c>
      <c r="I738" s="409"/>
      <c r="J738" s="410"/>
      <c r="K738" s="411"/>
      <c r="L738" s="461">
        <f t="shared" si="247"/>
        <v>0</v>
      </c>
      <c r="M738" s="411"/>
      <c r="N738" s="411"/>
      <c r="O738" s="411"/>
      <c r="P738" s="383"/>
      <c r="Q738" s="366">
        <f>IF($D$6&lt;=3,база!$L$4,
IF($D$6=4,база!$L$5,
IF($D$6=5,база!$L$6)))</f>
        <v>231.45480000000001</v>
      </c>
      <c r="R738" s="367">
        <v>1.3</v>
      </c>
      <c r="S738" s="377">
        <f>SUMIFS(Таблица1[Столбец1],Таблица1[коэф],"1,3",Таблица1[р/р],"3/16",Таблица1[Ф. И. О.],B737)</f>
        <v>0</v>
      </c>
      <c r="T738" s="469">
        <f t="shared" si="248"/>
        <v>0</v>
      </c>
      <c r="U738" s="455">
        <f>IF(D732&lt;=3,база!$M$4,
IF(D732=4,база!$M$5,
IF(D732=5,база!$M$6)))</f>
        <v>247.41720000000001</v>
      </c>
      <c r="V738" s="367">
        <v>1.3</v>
      </c>
      <c r="W738" s="389">
        <f>SUMIFS(Таблица1[Столбец1],Таблица1[коэф],"1,3",Таблица1[р/р],"3/24",Таблица1[Ф. И. О.],B737)</f>
        <v>0</v>
      </c>
      <c r="X738" s="469">
        <f t="shared" si="249"/>
        <v>0</v>
      </c>
      <c r="Y738" s="748"/>
      <c r="Z738" s="750"/>
      <c r="AA738" s="740"/>
      <c r="AC738" s="693" t="str">
        <f>IF(SUMIFS(Таблица1[Столбец1],Таблица1[Ф. И. О.],B737)=Y732,"",B737&amp;"  часы не верны")</f>
        <v/>
      </c>
    </row>
    <row r="739" spans="1:29" ht="18.75">
      <c r="A739" s="740"/>
      <c r="B739" s="201"/>
      <c r="C739" s="743"/>
      <c r="D739" s="746"/>
      <c r="E739" s="366"/>
      <c r="F739" s="367"/>
      <c r="G739" s="377"/>
      <c r="H739" s="369">
        <f t="shared" si="246"/>
        <v>0</v>
      </c>
      <c r="I739" s="409"/>
      <c r="J739" s="410"/>
      <c r="K739" s="411"/>
      <c r="L739" s="461">
        <f t="shared" si="247"/>
        <v>0</v>
      </c>
      <c r="M739" s="411"/>
      <c r="N739" s="411"/>
      <c r="O739" s="411"/>
      <c r="P739" s="383"/>
      <c r="Q739" s="366">
        <f>база!$L$5</f>
        <v>231.45480000000001</v>
      </c>
      <c r="R739" s="367">
        <v>1.3</v>
      </c>
      <c r="S739" s="377">
        <f>SUMIFS(Таблица1[Столбец1],Таблица1[коэф],"1,3",Таблица1[р/р],"4/16",Таблица1[Ф. И. О.],B737)</f>
        <v>0</v>
      </c>
      <c r="T739" s="469">
        <f t="shared" si="248"/>
        <v>0</v>
      </c>
      <c r="U739" s="455">
        <f>база!$M$5</f>
        <v>247.41720000000001</v>
      </c>
      <c r="V739" s="367">
        <v>1.3</v>
      </c>
      <c r="W739" s="389">
        <f>SUMIFS(Таблица1[Столбец1],Таблица1[коэф],"1,3",Таблица1[р/р],"4/24",Таблица1[Ф. И. О.],B737)</f>
        <v>0</v>
      </c>
      <c r="X739" s="469">
        <f t="shared" si="249"/>
        <v>0</v>
      </c>
      <c r="Y739" s="748"/>
      <c r="Z739" s="750"/>
      <c r="AA739" s="740"/>
    </row>
    <row r="740" spans="1:29" ht="18.75">
      <c r="A740" s="740"/>
      <c r="B740" s="201"/>
      <c r="C740" s="743"/>
      <c r="D740" s="746"/>
      <c r="E740" s="366"/>
      <c r="F740" s="367"/>
      <c r="G740" s="377"/>
      <c r="H740" s="369">
        <f t="shared" si="246"/>
        <v>0</v>
      </c>
      <c r="I740" s="409"/>
      <c r="J740" s="410"/>
      <c r="K740" s="411"/>
      <c r="L740" s="461">
        <f t="shared" si="247"/>
        <v>0</v>
      </c>
      <c r="M740" s="411"/>
      <c r="N740" s="411"/>
      <c r="O740" s="411"/>
      <c r="P740" s="383"/>
      <c r="Q740" s="366">
        <f>IF(D732&lt;=3,база!$L$4,
IF(D732=4,база!$L$5,
IF(D732=5,база!$L$6)))</f>
        <v>231.45480000000001</v>
      </c>
      <c r="R740" s="367">
        <v>1.4</v>
      </c>
      <c r="S740" s="377">
        <f>SUMIFS(Таблица1[Столбец1],Таблица1[коэф],"1,4",Таблица1[р/р],"3/16",Таблица1[Ф. И. О.],B737)</f>
        <v>0</v>
      </c>
      <c r="T740" s="469">
        <f t="shared" si="248"/>
        <v>0</v>
      </c>
      <c r="U740" s="455">
        <f>IF(D732&lt;=3,база!$M$4,
IF(D732=4,база!$M$5,
IF(D732=5,база!$M$6)))</f>
        <v>247.41720000000001</v>
      </c>
      <c r="V740" s="367">
        <v>1.4</v>
      </c>
      <c r="W740" s="389">
        <f>SUMIFS(Таблица1[Столбец1],Таблица1[коэф],"1,4",Таблица1[р/р],"3/24",Таблица1[Ф. И. О.],B737)</f>
        <v>0</v>
      </c>
      <c r="X740" s="469">
        <f t="shared" si="249"/>
        <v>0</v>
      </c>
      <c r="Y740" s="748"/>
      <c r="Z740" s="750"/>
      <c r="AA740" s="740"/>
    </row>
    <row r="741" spans="1:29" ht="18.75">
      <c r="A741" s="740"/>
      <c r="B741" s="201"/>
      <c r="C741" s="743"/>
      <c r="D741" s="746"/>
      <c r="E741" s="366"/>
      <c r="F741" s="367"/>
      <c r="G741" s="377"/>
      <c r="H741" s="369">
        <f t="shared" si="246"/>
        <v>0</v>
      </c>
      <c r="I741" s="409"/>
      <c r="J741" s="410"/>
      <c r="K741" s="411"/>
      <c r="L741" s="461">
        <f t="shared" si="247"/>
        <v>0</v>
      </c>
      <c r="M741" s="411"/>
      <c r="N741" s="411"/>
      <c r="O741" s="411"/>
      <c r="P741" s="383"/>
      <c r="Q741" s="366">
        <f>база!$L$5</f>
        <v>231.45480000000001</v>
      </c>
      <c r="R741" s="367">
        <v>1.4</v>
      </c>
      <c r="S741" s="377">
        <f>SUMIFS(Таблица1[Столбец1],Таблица1[коэф],"1,4",Таблица1[р/р],"4/16",Таблица1[Ф. И. О.],B737)</f>
        <v>0</v>
      </c>
      <c r="T741" s="469">
        <f t="shared" si="248"/>
        <v>0</v>
      </c>
      <c r="U741" s="455">
        <f>база!$M$5</f>
        <v>247.41720000000001</v>
      </c>
      <c r="V741" s="367">
        <v>1.4</v>
      </c>
      <c r="W741" s="389">
        <f>SUMIFS(Таблица1[Столбец1],Таблица1[коэф],"1,4",Таблица1[р/р],"4/24",Таблица1[Ф. И. О.],B737)</f>
        <v>0</v>
      </c>
      <c r="X741" s="469">
        <f t="shared" si="249"/>
        <v>0</v>
      </c>
      <c r="Y741" s="748"/>
      <c r="Z741" s="750"/>
      <c r="AA741" s="740"/>
    </row>
    <row r="742" spans="1:29" ht="19.5" thickBot="1">
      <c r="A742" s="741"/>
      <c r="B742" s="329"/>
      <c r="C742" s="744"/>
      <c r="D742" s="747"/>
      <c r="E742" s="458"/>
      <c r="F742" s="394"/>
      <c r="G742" s="463"/>
      <c r="H742" s="445">
        <f t="shared" si="246"/>
        <v>0</v>
      </c>
      <c r="I742" s="622"/>
      <c r="J742" s="433"/>
      <c r="K742" s="623"/>
      <c r="L742" s="435">
        <f t="shared" si="247"/>
        <v>0</v>
      </c>
      <c r="M742" s="622"/>
      <c r="N742" s="623"/>
      <c r="O742" s="623"/>
      <c r="P742" s="453"/>
      <c r="Q742" s="629">
        <f>база!$L$6</f>
        <v>261.04640000000001</v>
      </c>
      <c r="R742" s="441">
        <v>1.4</v>
      </c>
      <c r="S742" s="442">
        <f>SUMIFS(Таблица1[Столбец1],Таблица1[коэф],"1,4",Таблица1[р/р],"5/16",Таблица1[Ф. И. О.],B737)</f>
        <v>0</v>
      </c>
      <c r="T742" s="490">
        <f t="shared" si="248"/>
        <v>0</v>
      </c>
      <c r="U742" s="440">
        <f>база!$M$6</f>
        <v>279.0496</v>
      </c>
      <c r="V742" s="441">
        <v>1.4</v>
      </c>
      <c r="W742" s="442">
        <f>SUMIFS(Таблица1[Столбец1],Таблица1[коэф],"1,4",Таблица1[р/р],"5/24",Таблица1[Ф. И. О.],B737)</f>
        <v>0</v>
      </c>
      <c r="X742" s="490">
        <f t="shared" si="249"/>
        <v>0</v>
      </c>
      <c r="Y742" s="749"/>
      <c r="Z742" s="751"/>
      <c r="AA742" s="741"/>
    </row>
    <row r="743" spans="1:29" ht="18.75">
      <c r="A743" s="739">
        <v>68</v>
      </c>
      <c r="B743" s="201"/>
      <c r="C743" s="742">
        <f>INDEX(база!$E$2:$E$181, MATCH(B748,база!$B$2:$B$160,0))</f>
        <v>17076</v>
      </c>
      <c r="D743" s="745">
        <f>INDEX(база!$D$2:$D$189, MATCH(B748,база!$B$2:$B$160,0))</f>
        <v>3</v>
      </c>
      <c r="E743" s="354">
        <f>IF(D743&lt;=3,база!$I$4,
IF(D743=4,база!$I$5,
IF(D743=5,база!$I$6)))</f>
        <v>188.7912</v>
      </c>
      <c r="F743" s="355">
        <v>1</v>
      </c>
      <c r="G743" s="364">
        <f>SUMIFS(Таблица1[Столбец1],Таблица1[коэф],"1",Таблица1[р/р],"2/4",Таблица1[Ф. И. О.],B748)</f>
        <v>0</v>
      </c>
      <c r="H743" s="379">
        <f t="shared" si="246"/>
        <v>0</v>
      </c>
      <c r="I743" s="429">
        <f>IF(D743&lt;=3,база!$J$4,
IF(D743=4,база!$J$5,
IF(D743=5,база!$J$6)))</f>
        <v>196.05240000000001</v>
      </c>
      <c r="J743" s="452">
        <v>1</v>
      </c>
      <c r="K743" s="430">
        <f>SUMIFS(Таблица1[Столбец1],Таблица1[коэф],"1",Таблица1[р/р],"2/8",Таблица1[Ф. И. О.],B748)</f>
        <v>0</v>
      </c>
      <c r="L743" s="461">
        <f t="shared" si="247"/>
        <v>0</v>
      </c>
      <c r="M743" s="430"/>
      <c r="N743" s="430">
        <v>1</v>
      </c>
      <c r="O743" s="430">
        <f>SUMIFS(Data_Tech!$AM$3:$AM$67,Data_Tech!$E$3:$E$67,"1",Data_Tech!$G$3:$G$67,"3/12",Data_Tech!$F$3:$F$67,B748)</f>
        <v>0</v>
      </c>
      <c r="P743" s="375">
        <f>ROUND(M743*N743*O743,2)</f>
        <v>0</v>
      </c>
      <c r="Q743" s="458">
        <f>IF(D743&lt;=3,база!$L$4,
IF(D743=4,база!$L$5,
IF(D743=5,база!$L$6)))</f>
        <v>210.57480000000001</v>
      </c>
      <c r="R743" s="394">
        <v>1</v>
      </c>
      <c r="S743" s="395">
        <f>SUMIFS(Таблица1[Столбец1],Таблица1[коэф],"1",Таблица1[р/р],"3/16",Таблица1[Ф. И. О.],B748)</f>
        <v>0</v>
      </c>
      <c r="T743" s="469">
        <f t="shared" si="248"/>
        <v>0</v>
      </c>
      <c r="U743" s="460">
        <f>IF(D743&lt;=3,база!$M$4,
IF(D743=4,база!$M$5,
IF(D743=5,база!$M$6)))</f>
        <v>225.09719999999999</v>
      </c>
      <c r="V743" s="394">
        <v>1</v>
      </c>
      <c r="W743" s="432">
        <f>SUMIFS(Таблица1[Столбец1],Таблица1[коэф],"1",Таблица1[р/р],"3/24",Таблица1[Ф. И. О.],B748)</f>
        <v>0</v>
      </c>
      <c r="X743" s="469">
        <f t="shared" si="249"/>
        <v>0</v>
      </c>
      <c r="Y743" s="748">
        <f>SUM(G743:G753,K743:K753,O743:O753,S743:S753,W743:W753)</f>
        <v>0</v>
      </c>
      <c r="Z743" s="750">
        <f t="shared" ref="Z743" si="258">IFERROR(SUM(H743:H753,L743:L753,T743:T753,X743:X753),"")</f>
        <v>0</v>
      </c>
      <c r="AA743" s="740"/>
    </row>
    <row r="744" spans="1:29" ht="18.75">
      <c r="A744" s="740"/>
      <c r="B744" s="201"/>
      <c r="C744" s="743"/>
      <c r="D744" s="746"/>
      <c r="E744" s="366">
        <f>IF(D743&lt;=3,база!$I$4,
IF(D743=4,база!$I$5,
IF(D743=5,база!$I$6)))</f>
        <v>188.7912</v>
      </c>
      <c r="F744" s="367">
        <v>1</v>
      </c>
      <c r="G744" s="377">
        <f>SUMIFS(Таблица1[Столбец1],Таблица1[коэф],"1",Таблица1[р/р],"3/4",Таблица1[Ф. И. О.],B748)</f>
        <v>0</v>
      </c>
      <c r="H744" s="369">
        <f>ROUND(E744*F744*G744*2,2)</f>
        <v>0</v>
      </c>
      <c r="I744" s="409">
        <f>IF(D743&lt;=3,база!$J$4,
IF(D743=4,база!$J$5,
IF(D743=5,база!$J$6)))</f>
        <v>196.05240000000001</v>
      </c>
      <c r="J744" s="410">
        <v>1</v>
      </c>
      <c r="K744" s="411">
        <f>SUMIFS(Таблица1[Столбец1],Таблица1[коэф],"1",Таблица1[р/р],"3/8",Таблица1[Ф. И. О.],B748)</f>
        <v>0</v>
      </c>
      <c r="L744" s="461">
        <f t="shared" si="247"/>
        <v>0</v>
      </c>
      <c r="M744" s="411"/>
      <c r="N744" s="411">
        <v>1</v>
      </c>
      <c r="O744" s="411">
        <f>SUMIFS(Data_Tech!$AM$3:$AM$67,Data_Tech!$E$3:$E$67,"1",Data_Tech!$G$3:$G$67,"4/12",Data_Tech!$F$3:$F$67,B748)</f>
        <v>0</v>
      </c>
      <c r="P744" s="383">
        <f>ROUND(M744*O744,2)</f>
        <v>0</v>
      </c>
      <c r="Q744" s="366">
        <f>база!$L$5</f>
        <v>231.45480000000001</v>
      </c>
      <c r="R744" s="367">
        <v>1</v>
      </c>
      <c r="S744" s="377">
        <f>SUMIFS(Таблица1[Столбец1],Таблица1[коэф],"1",Таблица1[р/р],"4/16",Таблица1[Ф. И. О.],B748)</f>
        <v>0</v>
      </c>
      <c r="T744" s="469">
        <f t="shared" si="248"/>
        <v>0</v>
      </c>
      <c r="U744" s="455">
        <f>база!$M$5</f>
        <v>247.41720000000001</v>
      </c>
      <c r="V744" s="367">
        <v>1</v>
      </c>
      <c r="W744" s="389">
        <f>SUMIFS(Таблица1[Столбец1],Таблица1[коэф],"1",Таблица1[р/р],"4/24",Таблица1[Ф. И. О.],B748)</f>
        <v>0</v>
      </c>
      <c r="X744" s="469">
        <f t="shared" si="249"/>
        <v>0</v>
      </c>
      <c r="Y744" s="748"/>
      <c r="Z744" s="750"/>
      <c r="AA744" s="740"/>
    </row>
    <row r="745" spans="1:29" ht="18.75">
      <c r="A745" s="740"/>
      <c r="B745" s="201"/>
      <c r="C745" s="743"/>
      <c r="D745" s="746"/>
      <c r="E745" s="366"/>
      <c r="F745" s="367"/>
      <c r="G745" s="377"/>
      <c r="H745" s="369">
        <f t="shared" si="246"/>
        <v>0</v>
      </c>
      <c r="I745" s="409"/>
      <c r="J745" s="410"/>
      <c r="K745" s="411"/>
      <c r="L745" s="461">
        <f t="shared" si="247"/>
        <v>0</v>
      </c>
      <c r="M745" s="411"/>
      <c r="N745" s="411"/>
      <c r="O745" s="411"/>
      <c r="P745" s="383"/>
      <c r="Q745" s="366">
        <f>база!$L$6</f>
        <v>261.04640000000001</v>
      </c>
      <c r="R745" s="367">
        <v>1</v>
      </c>
      <c r="S745" s="377">
        <f>SUMIFS(Таблица1[Столбец1],Таблица1[коэф],"1",Таблица1[р/р],"5/16",Таблица1[Ф. И. О.],B748)</f>
        <v>0</v>
      </c>
      <c r="T745" s="469">
        <f t="shared" si="248"/>
        <v>0</v>
      </c>
      <c r="U745" s="455">
        <f>база!$M$6</f>
        <v>279.0496</v>
      </c>
      <c r="V745" s="367">
        <v>1</v>
      </c>
      <c r="W745" s="389">
        <f>SUMIFS(Таблица1[Столбец1],Таблица1[коэф],"1",Таблица1[р/р],"5/24",Таблица1[Ф. И. О.],B748)</f>
        <v>0</v>
      </c>
      <c r="X745" s="469">
        <f t="shared" si="249"/>
        <v>0</v>
      </c>
      <c r="Y745" s="748"/>
      <c r="Z745" s="750"/>
      <c r="AA745" s="740"/>
    </row>
    <row r="746" spans="1:29" ht="18.75">
      <c r="A746" s="740"/>
      <c r="B746" s="201"/>
      <c r="C746" s="743"/>
      <c r="D746" s="746"/>
      <c r="E746" s="366"/>
      <c r="F746" s="367"/>
      <c r="G746" s="377"/>
      <c r="H746" s="369">
        <f t="shared" si="246"/>
        <v>0</v>
      </c>
      <c r="I746" s="409">
        <f>база!$J$5</f>
        <v>215.4924</v>
      </c>
      <c r="J746" s="410">
        <v>1.5</v>
      </c>
      <c r="K746" s="411">
        <f>SUMIFS(Таблица1[Столбец1],Таблица1[коэф],"1,5",Таблица1[р/р],"4/8",Таблица1[Ф. И. О.],B748)</f>
        <v>0</v>
      </c>
      <c r="L746" s="461">
        <f t="shared" si="247"/>
        <v>0</v>
      </c>
      <c r="M746" s="411"/>
      <c r="N746" s="411"/>
      <c r="O746" s="411"/>
      <c r="P746" s="383"/>
      <c r="Q746" s="366">
        <f>IF(D743&lt;=3,база!$L$4,
IF(D743=4,база!$L$5,
IF(D743=5,база!$L$6)))</f>
        <v>210.57480000000001</v>
      </c>
      <c r="R746" s="367">
        <v>1.2</v>
      </c>
      <c r="S746" s="377">
        <f>SUMIFS(Таблица1[Столбец1],Таблица1[коэф],"1,2",Таблица1[р/р],"3/16",Таблица1[Ф. И. О.],B748)</f>
        <v>0</v>
      </c>
      <c r="T746" s="469">
        <f t="shared" si="248"/>
        <v>0</v>
      </c>
      <c r="U746" s="455">
        <f>IF(D743&lt;=3,база!$M$4,
IF(D743=4,база!$M$5,
IF(D743=5,база!$M$6)))</f>
        <v>225.09719999999999</v>
      </c>
      <c r="V746" s="367">
        <v>1.2</v>
      </c>
      <c r="W746" s="389">
        <f>SUMIFS(Таблица1[Столбец1],Таблица1[коэф],"1,2",Таблица1[р/р],"3/24",Таблица1[Ф. И. О.],B748)</f>
        <v>0</v>
      </c>
      <c r="X746" s="469">
        <f t="shared" si="249"/>
        <v>0</v>
      </c>
      <c r="Y746" s="748"/>
      <c r="Z746" s="750"/>
      <c r="AA746" s="740"/>
    </row>
    <row r="747" spans="1:29" ht="18.75">
      <c r="A747" s="740"/>
      <c r="B747" s="201"/>
      <c r="C747" s="743"/>
      <c r="D747" s="746"/>
      <c r="E747" s="366"/>
      <c r="F747" s="367"/>
      <c r="G747" s="377"/>
      <c r="H747" s="369">
        <f t="shared" si="246"/>
        <v>0</v>
      </c>
      <c r="I747" s="409">
        <f>база!$J$6</f>
        <v>243.04319999999998</v>
      </c>
      <c r="J747" s="410">
        <v>1.5</v>
      </c>
      <c r="K747" s="411">
        <f>SUMIFS(Таблица1[Столбец1],Таблица1[коэф],"1,5",Таблица1[р/р],"5/8",Таблица1[Ф. И. О.],B748)</f>
        <v>0</v>
      </c>
      <c r="L747" s="461">
        <f t="shared" si="247"/>
        <v>0</v>
      </c>
      <c r="M747" s="411"/>
      <c r="N747" s="411"/>
      <c r="O747" s="411"/>
      <c r="P747" s="383"/>
      <c r="Q747" s="366">
        <f>база!$L$5</f>
        <v>231.45480000000001</v>
      </c>
      <c r="R747" s="367">
        <v>1.2</v>
      </c>
      <c r="S747" s="377">
        <f>SUMIFS(Таблица1[Столбец1],Таблица1[коэф],"1,2",Таблица1[р/р],"4/16",Таблица1[Ф. И. О.],B748)</f>
        <v>0</v>
      </c>
      <c r="T747" s="469">
        <f t="shared" si="248"/>
        <v>0</v>
      </c>
      <c r="U747" s="455">
        <f>база!$M$5</f>
        <v>247.41720000000001</v>
      </c>
      <c r="V747" s="367">
        <v>1.2</v>
      </c>
      <c r="W747" s="389">
        <f>SUMIFS(Таблица1[Столбец1],Таблица1[коэф],"1,2",Таблица1[р/р],"4/24",Таблица1[Ф. И. О.],B748)</f>
        <v>0</v>
      </c>
      <c r="X747" s="469">
        <f t="shared" si="249"/>
        <v>0</v>
      </c>
      <c r="Y747" s="748"/>
      <c r="Z747" s="750"/>
      <c r="AA747" s="740"/>
    </row>
    <row r="748" spans="1:29" ht="18.75">
      <c r="A748" s="740"/>
      <c r="B748" s="201" t="str">
        <f>база!B69</f>
        <v>Соболева Наталья Александровна</v>
      </c>
      <c r="C748" s="743"/>
      <c r="D748" s="746"/>
      <c r="E748" s="366"/>
      <c r="F748" s="367"/>
      <c r="G748" s="377"/>
      <c r="H748" s="369">
        <f t="shared" si="246"/>
        <v>0</v>
      </c>
      <c r="I748" s="409"/>
      <c r="J748" s="410"/>
      <c r="K748" s="411"/>
      <c r="L748" s="461">
        <f t="shared" si="247"/>
        <v>0</v>
      </c>
      <c r="M748" s="411"/>
      <c r="N748" s="411"/>
      <c r="O748" s="411"/>
      <c r="P748" s="383"/>
      <c r="Q748" s="366">
        <f>база!$L$6</f>
        <v>261.04640000000001</v>
      </c>
      <c r="R748" s="367">
        <v>1.2</v>
      </c>
      <c r="S748" s="377">
        <f>SUMIFS(Таблица1[Столбец1],Таблица1[коэф],"1,2",Таблица1[р/р],"5/16",Таблица1[Ф. И. О.],B748)</f>
        <v>0</v>
      </c>
      <c r="T748" s="469">
        <f t="shared" si="248"/>
        <v>0</v>
      </c>
      <c r="U748" s="455">
        <f>база!$M$6</f>
        <v>279.0496</v>
      </c>
      <c r="V748" s="367">
        <v>1.2</v>
      </c>
      <c r="W748" s="389">
        <f>SUMIFS(Таблица1[Столбец1],Таблица1[коэф],"1,2",Таблица1[р/р],"5/24",Таблица1[Ф. И. О.],B748)</f>
        <v>0</v>
      </c>
      <c r="X748" s="469">
        <f t="shared" si="249"/>
        <v>0</v>
      </c>
      <c r="Y748" s="748"/>
      <c r="Z748" s="750"/>
      <c r="AA748" s="740"/>
      <c r="AC748" s="693" t="str">
        <f>IF(SUMIFS(Таблица1[Столбец3],Таблица1[Ф. И. О.],B748)-Z743=0,"",SUMIFS(Таблица1[Столбец3],Таблица1[Ф. И. О.],B748)-Z743)</f>
        <v/>
      </c>
    </row>
    <row r="749" spans="1:29" ht="18.75">
      <c r="A749" s="740"/>
      <c r="B749" s="201"/>
      <c r="C749" s="743"/>
      <c r="D749" s="746"/>
      <c r="E749" s="366"/>
      <c r="F749" s="367"/>
      <c r="G749" s="377"/>
      <c r="H749" s="369">
        <f t="shared" si="246"/>
        <v>0</v>
      </c>
      <c r="I749" s="409"/>
      <c r="J749" s="410"/>
      <c r="K749" s="411"/>
      <c r="L749" s="461">
        <f t="shared" si="247"/>
        <v>0</v>
      </c>
      <c r="M749" s="411"/>
      <c r="N749" s="411"/>
      <c r="O749" s="411"/>
      <c r="P749" s="383"/>
      <c r="Q749" s="366">
        <f>IF($D$6&lt;=3,база!$L$4,
IF($D$6=4,база!$L$5,
IF($D$6=5,база!$L$6)))</f>
        <v>231.45480000000001</v>
      </c>
      <c r="R749" s="367">
        <v>1.3</v>
      </c>
      <c r="S749" s="377">
        <f>SUMIFS(Таблица1[Столбец1],Таблица1[коэф],"1,3",Таблица1[р/р],"3/16",Таблица1[Ф. И. О.],B748)</f>
        <v>0</v>
      </c>
      <c r="T749" s="469">
        <f t="shared" si="248"/>
        <v>0</v>
      </c>
      <c r="U749" s="455">
        <f>IF(D743&lt;=3,база!$M$4,
IF(D743=4,база!$M$5,
IF(D743=5,база!$M$6)))</f>
        <v>225.09719999999999</v>
      </c>
      <c r="V749" s="367">
        <v>1.3</v>
      </c>
      <c r="W749" s="389">
        <f>SUMIFS(Таблица1[Столбец1],Таблица1[коэф],"1,3",Таблица1[р/р],"3/24",Таблица1[Ф. И. О.],B748)</f>
        <v>0</v>
      </c>
      <c r="X749" s="469">
        <f t="shared" si="249"/>
        <v>0</v>
      </c>
      <c r="Y749" s="748"/>
      <c r="Z749" s="750"/>
      <c r="AA749" s="740"/>
      <c r="AC749" s="693" t="str">
        <f>IF(SUMIFS(Таблица1[Столбец1],Таблица1[Ф. И. О.],B748)=Y743,"",B748&amp;"  часы не верны")</f>
        <v/>
      </c>
    </row>
    <row r="750" spans="1:29" ht="18.75">
      <c r="A750" s="740"/>
      <c r="B750" s="201"/>
      <c r="C750" s="743"/>
      <c r="D750" s="746"/>
      <c r="E750" s="366"/>
      <c r="F750" s="367"/>
      <c r="G750" s="377"/>
      <c r="H750" s="369">
        <f t="shared" si="246"/>
        <v>0</v>
      </c>
      <c r="I750" s="409"/>
      <c r="J750" s="410"/>
      <c r="K750" s="411"/>
      <c r="L750" s="461">
        <f t="shared" si="247"/>
        <v>0</v>
      </c>
      <c r="M750" s="411"/>
      <c r="N750" s="411"/>
      <c r="O750" s="411"/>
      <c r="P750" s="383"/>
      <c r="Q750" s="366">
        <f>база!$L$5</f>
        <v>231.45480000000001</v>
      </c>
      <c r="R750" s="367">
        <v>1.3</v>
      </c>
      <c r="S750" s="377">
        <f>SUMIFS(Таблица1[Столбец1],Таблица1[коэф],"1,3",Таблица1[р/р],"4/16",Таблица1[Ф. И. О.],B748)</f>
        <v>0</v>
      </c>
      <c r="T750" s="469">
        <f t="shared" si="248"/>
        <v>0</v>
      </c>
      <c r="U750" s="455">
        <f>база!$M$5</f>
        <v>247.41720000000001</v>
      </c>
      <c r="V750" s="367">
        <v>1.3</v>
      </c>
      <c r="W750" s="389">
        <f>SUMIFS(Таблица1[Столбец1],Таблица1[коэф],"1,3",Таблица1[р/р],"4/24",Таблица1[Ф. И. О.],B748)</f>
        <v>0</v>
      </c>
      <c r="X750" s="469">
        <f t="shared" si="249"/>
        <v>0</v>
      </c>
      <c r="Y750" s="748"/>
      <c r="Z750" s="750"/>
      <c r="AA750" s="740"/>
    </row>
    <row r="751" spans="1:29" ht="18.75">
      <c r="A751" s="740"/>
      <c r="B751" s="201"/>
      <c r="C751" s="743"/>
      <c r="D751" s="746"/>
      <c r="E751" s="366"/>
      <c r="F751" s="367"/>
      <c r="G751" s="377"/>
      <c r="H751" s="369">
        <f t="shared" si="246"/>
        <v>0</v>
      </c>
      <c r="I751" s="409"/>
      <c r="J751" s="410"/>
      <c r="K751" s="411"/>
      <c r="L751" s="461">
        <f t="shared" si="247"/>
        <v>0</v>
      </c>
      <c r="M751" s="411"/>
      <c r="N751" s="411"/>
      <c r="O751" s="411"/>
      <c r="P751" s="383"/>
      <c r="Q751" s="366">
        <f>IF(D743&lt;=3,база!$L$4,
IF(D743=4,база!$L$5,
IF(D743=5,база!$L$6)))</f>
        <v>210.57480000000001</v>
      </c>
      <c r="R751" s="367">
        <v>1.4</v>
      </c>
      <c r="S751" s="377">
        <f>SUMIFS(Таблица1[Столбец1],Таблица1[коэф],"1,4",Таблица1[р/р],"3/16",Таблица1[Ф. И. О.],B748)</f>
        <v>0</v>
      </c>
      <c r="T751" s="469">
        <f t="shared" si="248"/>
        <v>0</v>
      </c>
      <c r="U751" s="455">
        <f>IF(D743&lt;=3,база!$M$4,
IF(D743=4,база!$M$5,
IF(D743=5,база!$M$6)))</f>
        <v>225.09719999999999</v>
      </c>
      <c r="V751" s="367">
        <v>1.4</v>
      </c>
      <c r="W751" s="389">
        <f>SUMIFS(Таблица1[Столбец1],Таблица1[коэф],"1,4",Таблица1[р/р],"3/24",Таблица1[Ф. И. О.],B748)</f>
        <v>0</v>
      </c>
      <c r="X751" s="469">
        <f t="shared" si="249"/>
        <v>0</v>
      </c>
      <c r="Y751" s="748"/>
      <c r="Z751" s="750"/>
      <c r="AA751" s="740"/>
    </row>
    <row r="752" spans="1:29" ht="18.75">
      <c r="A752" s="740"/>
      <c r="B752" s="201"/>
      <c r="C752" s="743"/>
      <c r="D752" s="746"/>
      <c r="E752" s="366"/>
      <c r="F752" s="367"/>
      <c r="G752" s="377"/>
      <c r="H752" s="369">
        <f t="shared" si="246"/>
        <v>0</v>
      </c>
      <c r="I752" s="409"/>
      <c r="J752" s="410"/>
      <c r="K752" s="411"/>
      <c r="L752" s="461">
        <f t="shared" si="247"/>
        <v>0</v>
      </c>
      <c r="M752" s="411"/>
      <c r="N752" s="411"/>
      <c r="O752" s="411"/>
      <c r="P752" s="383"/>
      <c r="Q752" s="366">
        <f>база!$L$5</f>
        <v>231.45480000000001</v>
      </c>
      <c r="R752" s="367">
        <v>1.4</v>
      </c>
      <c r="S752" s="377">
        <f>SUMIFS(Таблица1[Столбец1],Таблица1[коэф],"1,4",Таблица1[р/р],"4/16",Таблица1[Ф. И. О.],B748)</f>
        <v>0</v>
      </c>
      <c r="T752" s="469">
        <f t="shared" si="248"/>
        <v>0</v>
      </c>
      <c r="U752" s="455">
        <f>база!$M$5</f>
        <v>247.41720000000001</v>
      </c>
      <c r="V752" s="367">
        <v>1.4</v>
      </c>
      <c r="W752" s="389">
        <f>SUMIFS(Таблица1[Столбец1],Таблица1[коэф],"1,4",Таблица1[р/р],"4/24",Таблица1[Ф. И. О.],B748)</f>
        <v>0</v>
      </c>
      <c r="X752" s="469">
        <f t="shared" si="249"/>
        <v>0</v>
      </c>
      <c r="Y752" s="748"/>
      <c r="Z752" s="750"/>
      <c r="AA752" s="740"/>
    </row>
    <row r="753" spans="1:29" ht="19.5" thickBot="1">
      <c r="A753" s="741"/>
      <c r="B753" s="329"/>
      <c r="C753" s="744"/>
      <c r="D753" s="747"/>
      <c r="E753" s="458"/>
      <c r="F753" s="394"/>
      <c r="G753" s="463"/>
      <c r="H753" s="445">
        <f t="shared" si="246"/>
        <v>0</v>
      </c>
      <c r="I753" s="622"/>
      <c r="J753" s="433"/>
      <c r="K753" s="623"/>
      <c r="L753" s="435">
        <f t="shared" si="247"/>
        <v>0</v>
      </c>
      <c r="M753" s="622"/>
      <c r="N753" s="623"/>
      <c r="O753" s="623"/>
      <c r="P753" s="453"/>
      <c r="Q753" s="629">
        <f>база!$L$6</f>
        <v>261.04640000000001</v>
      </c>
      <c r="R753" s="441">
        <v>1.4</v>
      </c>
      <c r="S753" s="442">
        <f>SUMIFS(Таблица1[Столбец1],Таблица1[коэф],"1,4",Таблица1[р/р],"5/16",Таблица1[Ф. И. О.],B748)</f>
        <v>0</v>
      </c>
      <c r="T753" s="490">
        <f t="shared" si="248"/>
        <v>0</v>
      </c>
      <c r="U753" s="440">
        <f>база!$M$6</f>
        <v>279.0496</v>
      </c>
      <c r="V753" s="441">
        <v>1.4</v>
      </c>
      <c r="W753" s="442">
        <f>SUMIFS(Таблица1[Столбец1],Таблица1[коэф],"1,4",Таблица1[р/р],"5/24",Таблица1[Ф. И. О.],B748)</f>
        <v>0</v>
      </c>
      <c r="X753" s="490">
        <f t="shared" si="249"/>
        <v>0</v>
      </c>
      <c r="Y753" s="749"/>
      <c r="Z753" s="751"/>
      <c r="AA753" s="741"/>
    </row>
    <row r="754" spans="1:29" ht="18.75" customHeight="1">
      <c r="A754" s="739">
        <v>69</v>
      </c>
      <c r="B754" s="201"/>
      <c r="C754" s="742">
        <f>INDEX(база!$E$2:$E$181, MATCH(B759,база!$B$2:$B$160,0))</f>
        <v>17196</v>
      </c>
      <c r="D754" s="745">
        <f>INDEX(база!$D$2:$D$189, MATCH(B759,база!$B$2:$B$160,0))</f>
        <v>3</v>
      </c>
      <c r="E754" s="354">
        <f>IF(D754&lt;=3,база!$I$4,
IF(D754=4,база!$I$5,
IF(D754=5,база!$I$6)))</f>
        <v>188.7912</v>
      </c>
      <c r="F754" s="355">
        <v>1</v>
      </c>
      <c r="G754" s="364">
        <f>SUMIFS(Таблица1[Столбец1],Таблица1[коэф],"1",Таблица1[р/р],"2/4",Таблица1[Ф. И. О.],B759)</f>
        <v>0</v>
      </c>
      <c r="H754" s="379">
        <f t="shared" ref="H754" si="259">ROUND(E754*F754*G754*2,2)</f>
        <v>0</v>
      </c>
      <c r="I754" s="429">
        <f>IF(D754&lt;=3,база!$J$4,
IF(D754=4,база!$J$5,
IF(D754=5,база!$J$6)))</f>
        <v>196.05240000000001</v>
      </c>
      <c r="J754" s="452">
        <v>1</v>
      </c>
      <c r="K754" s="430">
        <f>SUMIFS(Таблица1[Столбец1],Таблица1[коэф],"1",Таблица1[р/р],"2/8",Таблица1[Ф. И. О.],B759)</f>
        <v>0</v>
      </c>
      <c r="L754" s="461">
        <f t="shared" ref="L754:L797" si="260">ROUND(I754*J754*K754*2,2)</f>
        <v>0</v>
      </c>
      <c r="M754" s="430"/>
      <c r="N754" s="430">
        <v>1</v>
      </c>
      <c r="O754" s="430">
        <f>SUMIFS(Data_Tech!$AM$3:$AM$67,Data_Tech!$E$3:$E$67,"1",Data_Tech!$G$3:$G$67,"3/12",Data_Tech!$F$3:$F$67,B759)</f>
        <v>0</v>
      </c>
      <c r="P754" s="375">
        <f>ROUND(M754*N754*O754,2)</f>
        <v>0</v>
      </c>
      <c r="Q754" s="458">
        <f>IF(D754&lt;=3,база!$L$4,
IF(D754=4,база!$L$5,
IF(D754=5,база!$L$6)))</f>
        <v>210.57480000000001</v>
      </c>
      <c r="R754" s="394">
        <v>1</v>
      </c>
      <c r="S754" s="395">
        <f>SUMIFS(Таблица1[Столбец1],Таблица1[коэф],"1",Таблица1[р/р],"3/16",Таблица1[Ф. И. О.],B759)</f>
        <v>0</v>
      </c>
      <c r="T754" s="469">
        <f t="shared" ref="T754:T797" si="261">ROUND(Q754*R754*S754*2,2)</f>
        <v>0</v>
      </c>
      <c r="U754" s="460">
        <f>IF(D754&lt;=3,база!$M$4,
IF(D754=4,база!$M$5,
IF(D754=5,база!$M$6)))</f>
        <v>225.09719999999999</v>
      </c>
      <c r="V754" s="394">
        <v>1</v>
      </c>
      <c r="W754" s="432">
        <f>SUMIFS(Таблица1[Столбец1],Таблица1[коэф],"1",Таблица1[р/р],"3/24",Таблица1[Ф. И. О.],B759)</f>
        <v>0</v>
      </c>
      <c r="X754" s="469">
        <f t="shared" ref="X754:X797" si="262">ROUND(U754*V754*W754*2,2)</f>
        <v>0</v>
      </c>
      <c r="Y754" s="748">
        <f t="shared" ref="Y754" si="263">SUM(G754:G764,K754:K764,O754:O764,S754:S764,W754:W764)</f>
        <v>0</v>
      </c>
      <c r="Z754" s="750">
        <f t="shared" ref="Z754:Z787" si="264">IFERROR(SUM(H754:H764,L754:L764,T754:T764,X754:X764),"")</f>
        <v>0</v>
      </c>
      <c r="AA754" s="740"/>
    </row>
    <row r="755" spans="1:29" ht="18.75" customHeight="1">
      <c r="A755" s="740"/>
      <c r="B755" s="201"/>
      <c r="C755" s="743"/>
      <c r="D755" s="746"/>
      <c r="E755" s="366">
        <f>IF(D754&lt;=3,база!$I$4,
IF(D754=4,база!$I$5,
IF(D754=5,база!$I$6)))</f>
        <v>188.7912</v>
      </c>
      <c r="F755" s="367">
        <v>1</v>
      </c>
      <c r="G755" s="377">
        <f>SUMIFS(Таблица1[Столбец1],Таблица1[коэф],"1",Таблица1[р/р],"3/4",Таблица1[Ф. И. О.],B759)</f>
        <v>0</v>
      </c>
      <c r="H755" s="369">
        <f>ROUND(E755*F755*G755*2,2)</f>
        <v>0</v>
      </c>
      <c r="I755" s="409">
        <f>IF(D754&lt;=3,база!$J$4,
IF(D754=4,база!$J$5,
IF(D754=5,база!$J$6)))</f>
        <v>196.05240000000001</v>
      </c>
      <c r="J755" s="410">
        <v>1</v>
      </c>
      <c r="K755" s="411">
        <f>SUMIFS(Таблица1[Столбец1],Таблица1[коэф],"1",Таблица1[р/р],"3/8",Таблица1[Ф. И. О.],B759)</f>
        <v>0</v>
      </c>
      <c r="L755" s="461">
        <f t="shared" si="260"/>
        <v>0</v>
      </c>
      <c r="M755" s="411"/>
      <c r="N755" s="411">
        <v>1</v>
      </c>
      <c r="O755" s="411">
        <f>SUMIFS(Data_Tech!$AM$3:$AM$67,Data_Tech!$E$3:$E$67,"1",Data_Tech!$G$3:$G$67,"4/12",Data_Tech!$F$3:$F$67,B759)</f>
        <v>0</v>
      </c>
      <c r="P755" s="383">
        <f>ROUND(M755*O755,2)</f>
        <v>0</v>
      </c>
      <c r="Q755" s="366">
        <f>база!$L$5</f>
        <v>231.45480000000001</v>
      </c>
      <c r="R755" s="367">
        <v>1</v>
      </c>
      <c r="S755" s="377">
        <f>SUMIFS(Таблица1[Столбец1],Таблица1[коэф],"1",Таблица1[р/р],"4/16",Таблица1[Ф. И. О.],B759)</f>
        <v>0</v>
      </c>
      <c r="T755" s="469">
        <f t="shared" si="261"/>
        <v>0</v>
      </c>
      <c r="U755" s="455">
        <f>база!$M$5</f>
        <v>247.41720000000001</v>
      </c>
      <c r="V755" s="367">
        <v>1</v>
      </c>
      <c r="W755" s="389">
        <f>SUMIFS(Таблица1[Столбец1],Таблица1[коэф],"1",Таблица1[р/р],"4/24",Таблица1[Ф. И. О.],B759)</f>
        <v>0</v>
      </c>
      <c r="X755" s="469">
        <f t="shared" si="262"/>
        <v>0</v>
      </c>
      <c r="Y755" s="748"/>
      <c r="Z755" s="750"/>
      <c r="AA755" s="740"/>
    </row>
    <row r="756" spans="1:29" ht="18.75" customHeight="1">
      <c r="A756" s="740"/>
      <c r="B756" s="201"/>
      <c r="C756" s="743"/>
      <c r="D756" s="746"/>
      <c r="E756" s="366"/>
      <c r="F756" s="367"/>
      <c r="G756" s="377"/>
      <c r="H756" s="369">
        <f t="shared" ref="H756:H765" si="265">ROUND(E756*F756*G756*2,2)</f>
        <v>0</v>
      </c>
      <c r="I756" s="409"/>
      <c r="J756" s="410"/>
      <c r="K756" s="411"/>
      <c r="L756" s="461">
        <f t="shared" si="260"/>
        <v>0</v>
      </c>
      <c r="M756" s="411"/>
      <c r="N756" s="411"/>
      <c r="O756" s="411"/>
      <c r="P756" s="383"/>
      <c r="Q756" s="366">
        <f>база!$L$6</f>
        <v>261.04640000000001</v>
      </c>
      <c r="R756" s="367">
        <v>1</v>
      </c>
      <c r="S756" s="377">
        <f>SUMIFS(Таблица1[Столбец1],Таблица1[коэф],"1",Таблица1[р/р],"5/16",Таблица1[Ф. И. О.],B759)</f>
        <v>0</v>
      </c>
      <c r="T756" s="469">
        <f t="shared" si="261"/>
        <v>0</v>
      </c>
      <c r="U756" s="455">
        <f>база!$M$6</f>
        <v>279.0496</v>
      </c>
      <c r="V756" s="367">
        <v>1</v>
      </c>
      <c r="W756" s="389">
        <f>SUMIFS(Таблица1[Столбец1],Таблица1[коэф],"1",Таблица1[р/р],"5/24",Таблица1[Ф. И. О.],B759)</f>
        <v>0</v>
      </c>
      <c r="X756" s="469">
        <f t="shared" si="262"/>
        <v>0</v>
      </c>
      <c r="Y756" s="748"/>
      <c r="Z756" s="750"/>
      <c r="AA756" s="740"/>
    </row>
    <row r="757" spans="1:29" ht="18.75" customHeight="1">
      <c r="A757" s="740"/>
      <c r="B757" s="201"/>
      <c r="C757" s="743"/>
      <c r="D757" s="746"/>
      <c r="E757" s="366"/>
      <c r="F757" s="367"/>
      <c r="G757" s="377"/>
      <c r="H757" s="369">
        <f t="shared" si="265"/>
        <v>0</v>
      </c>
      <c r="I757" s="409">
        <f>база!$J$5</f>
        <v>215.4924</v>
      </c>
      <c r="J757" s="410">
        <v>1.5</v>
      </c>
      <c r="K757" s="411">
        <f>SUMIFS(Таблица1[Столбец1],Таблица1[коэф],"1,5",Таблица1[р/р],"4/8",Таблица1[Ф. И. О.],B759)</f>
        <v>0</v>
      </c>
      <c r="L757" s="461">
        <f t="shared" si="260"/>
        <v>0</v>
      </c>
      <c r="M757" s="411"/>
      <c r="N757" s="411"/>
      <c r="O757" s="411"/>
      <c r="P757" s="383"/>
      <c r="Q757" s="366">
        <f>IF(D754&lt;=3,база!$L$4,
IF(D754=4,база!$L$5,
IF(D754=5,база!$L$6)))</f>
        <v>210.57480000000001</v>
      </c>
      <c r="R757" s="367">
        <v>1.2</v>
      </c>
      <c r="S757" s="377">
        <f>SUMIFS(Таблица1[Столбец1],Таблица1[коэф],"1,2",Таблица1[р/р],"3/16",Таблица1[Ф. И. О.],B759)</f>
        <v>0</v>
      </c>
      <c r="T757" s="469">
        <f t="shared" si="261"/>
        <v>0</v>
      </c>
      <c r="U757" s="455">
        <f>IF(D754&lt;=3,база!$M$4,
IF(D754=4,база!$M$5,
IF(D754=5,база!$M$6)))</f>
        <v>225.09719999999999</v>
      </c>
      <c r="V757" s="367">
        <v>1.2</v>
      </c>
      <c r="W757" s="389">
        <f>SUMIFS(Таблица1[Столбец1],Таблица1[коэф],"1,2",Таблица1[р/р],"3/24",Таблица1[Ф. И. О.],B759)</f>
        <v>0</v>
      </c>
      <c r="X757" s="469">
        <f t="shared" si="262"/>
        <v>0</v>
      </c>
      <c r="Y757" s="748"/>
      <c r="Z757" s="750"/>
      <c r="AA757" s="740"/>
    </row>
    <row r="758" spans="1:29" ht="18.75" customHeight="1">
      <c r="A758" s="740"/>
      <c r="B758" s="201"/>
      <c r="C758" s="743"/>
      <c r="D758" s="746"/>
      <c r="E758" s="366"/>
      <c r="F758" s="367"/>
      <c r="G758" s="377"/>
      <c r="H758" s="369">
        <f t="shared" si="265"/>
        <v>0</v>
      </c>
      <c r="I758" s="409">
        <f>база!$J$6</f>
        <v>243.04319999999998</v>
      </c>
      <c r="J758" s="410">
        <v>1.5</v>
      </c>
      <c r="K758" s="411">
        <f>SUMIFS(Таблица1[Столбец1],Таблица1[коэф],"1,5",Таблица1[р/р],"5/8",Таблица1[Ф. И. О.],B759)</f>
        <v>0</v>
      </c>
      <c r="L758" s="461">
        <f t="shared" si="260"/>
        <v>0</v>
      </c>
      <c r="M758" s="411"/>
      <c r="N758" s="411"/>
      <c r="O758" s="411"/>
      <c r="P758" s="383"/>
      <c r="Q758" s="366">
        <f>база!$L$5</f>
        <v>231.45480000000001</v>
      </c>
      <c r="R758" s="367">
        <v>1.2</v>
      </c>
      <c r="S758" s="377">
        <f>SUMIFS(Таблица1[Столбец1],Таблица1[коэф],"1,2",Таблица1[р/р],"4/16",Таблица1[Ф. И. О.],B759)</f>
        <v>0</v>
      </c>
      <c r="T758" s="469">
        <f t="shared" si="261"/>
        <v>0</v>
      </c>
      <c r="U758" s="455">
        <f>база!$M$5</f>
        <v>247.41720000000001</v>
      </c>
      <c r="V758" s="367">
        <v>1.2</v>
      </c>
      <c r="W758" s="389">
        <f>SUMIFS(Таблица1[Столбец1],Таблица1[коэф],"1,2",Таблица1[р/р],"4/24",Таблица1[Ф. И. О.],B759)</f>
        <v>0</v>
      </c>
      <c r="X758" s="469">
        <f t="shared" si="262"/>
        <v>0</v>
      </c>
      <c r="Y758" s="748"/>
      <c r="Z758" s="750"/>
      <c r="AA758" s="740"/>
    </row>
    <row r="759" spans="1:29" ht="18.75" customHeight="1">
      <c r="A759" s="740"/>
      <c r="B759" s="201" t="str">
        <f>база!B70</f>
        <v>Старичкова Полина Анатольевна</v>
      </c>
      <c r="C759" s="743"/>
      <c r="D759" s="746"/>
      <c r="E759" s="366"/>
      <c r="F759" s="367"/>
      <c r="G759" s="377"/>
      <c r="H759" s="369">
        <f t="shared" si="265"/>
        <v>0</v>
      </c>
      <c r="I759" s="409"/>
      <c r="J759" s="410"/>
      <c r="K759" s="411"/>
      <c r="L759" s="461">
        <f t="shared" si="260"/>
        <v>0</v>
      </c>
      <c r="M759" s="411"/>
      <c r="N759" s="411"/>
      <c r="O759" s="411"/>
      <c r="P759" s="383"/>
      <c r="Q759" s="366">
        <f>база!$L$6</f>
        <v>261.04640000000001</v>
      </c>
      <c r="R759" s="367">
        <v>1.2</v>
      </c>
      <c r="S759" s="377">
        <f>SUMIFS(Таблица1[Столбец1],Таблица1[коэф],"1,2",Таблица1[р/р],"5/16",Таблица1[Ф. И. О.],B759)</f>
        <v>0</v>
      </c>
      <c r="T759" s="469">
        <f t="shared" si="261"/>
        <v>0</v>
      </c>
      <c r="U759" s="455">
        <f>база!$M$6</f>
        <v>279.0496</v>
      </c>
      <c r="V759" s="367">
        <v>1.2</v>
      </c>
      <c r="W759" s="389">
        <f>SUMIFS(Таблица1[Столбец1],Таблица1[коэф],"1,2",Таблица1[р/р],"5/24",Таблица1[Ф. И. О.],B759)</f>
        <v>0</v>
      </c>
      <c r="X759" s="469">
        <f t="shared" si="262"/>
        <v>0</v>
      </c>
      <c r="Y759" s="748"/>
      <c r="Z759" s="750"/>
      <c r="AA759" s="740"/>
      <c r="AC759" s="693" t="str">
        <f>IF(SUMIFS(Таблица1[Столбец3],Таблица1[Ф. И. О.],B759)-Z754=0,"",SUMIFS(Таблица1[Столбец3],Таблица1[Ф. И. О.],B759)-Z754)</f>
        <v/>
      </c>
    </row>
    <row r="760" spans="1:29" ht="18.75" customHeight="1">
      <c r="A760" s="740"/>
      <c r="B760" s="201"/>
      <c r="C760" s="743"/>
      <c r="D760" s="746"/>
      <c r="E760" s="366"/>
      <c r="F760" s="367"/>
      <c r="G760" s="377"/>
      <c r="H760" s="369">
        <f t="shared" si="265"/>
        <v>0</v>
      </c>
      <c r="I760" s="409"/>
      <c r="J760" s="410"/>
      <c r="K760" s="411"/>
      <c r="L760" s="461">
        <f t="shared" si="260"/>
        <v>0</v>
      </c>
      <c r="M760" s="411"/>
      <c r="N760" s="411"/>
      <c r="O760" s="411"/>
      <c r="P760" s="383"/>
      <c r="Q760" s="366">
        <f>IF($D$6&lt;=3,база!$L$4,
IF($D$6=4,база!$L$5,
IF($D$6=5,база!$L$6)))</f>
        <v>231.45480000000001</v>
      </c>
      <c r="R760" s="367">
        <v>1.3</v>
      </c>
      <c r="S760" s="377">
        <f>SUMIFS(Таблица1[Столбец1],Таблица1[коэф],"1,3",Таблица1[р/р],"3/16",Таблица1[Ф. И. О.],B759)</f>
        <v>0</v>
      </c>
      <c r="T760" s="469">
        <f t="shared" si="261"/>
        <v>0</v>
      </c>
      <c r="U760" s="455">
        <f>IF(D754&lt;=3,база!$M$4,
IF(D754=4,база!$M$5,
IF(D754=5,база!$M$6)))</f>
        <v>225.09719999999999</v>
      </c>
      <c r="V760" s="367">
        <v>1.3</v>
      </c>
      <c r="W760" s="389">
        <f>SUMIFS(Таблица1[Столбец1],Таблица1[коэф],"1,3",Таблица1[р/р],"3/24",Таблица1[Ф. И. О.],B759)</f>
        <v>0</v>
      </c>
      <c r="X760" s="469">
        <f t="shared" si="262"/>
        <v>0</v>
      </c>
      <c r="Y760" s="748"/>
      <c r="Z760" s="750"/>
      <c r="AA760" s="740"/>
      <c r="AC760" s="693" t="str">
        <f>IF(SUMIFS(Таблица1[Столбец1],Таблица1[Ф. И. О.],B759)=Y754,"",B759&amp;"  часы не верны")</f>
        <v/>
      </c>
    </row>
    <row r="761" spans="1:29" ht="18.75" customHeight="1">
      <c r="A761" s="740"/>
      <c r="B761" s="201"/>
      <c r="C761" s="743"/>
      <c r="D761" s="746"/>
      <c r="E761" s="366"/>
      <c r="F761" s="367"/>
      <c r="G761" s="377"/>
      <c r="H761" s="369">
        <f t="shared" si="265"/>
        <v>0</v>
      </c>
      <c r="I761" s="409"/>
      <c r="J761" s="410"/>
      <c r="K761" s="411"/>
      <c r="L761" s="461">
        <f t="shared" si="260"/>
        <v>0</v>
      </c>
      <c r="M761" s="411"/>
      <c r="N761" s="411"/>
      <c r="O761" s="411"/>
      <c r="P761" s="383"/>
      <c r="Q761" s="366">
        <f>база!$L$5</f>
        <v>231.45480000000001</v>
      </c>
      <c r="R761" s="367">
        <v>1.3</v>
      </c>
      <c r="S761" s="377">
        <f>SUMIFS(Таблица1[Столбец1],Таблица1[коэф],"1,3",Таблица1[р/р],"4/16",Таблица1[Ф. И. О.],B759)</f>
        <v>0</v>
      </c>
      <c r="T761" s="469">
        <f t="shared" si="261"/>
        <v>0</v>
      </c>
      <c r="U761" s="455">
        <f>база!$M$5</f>
        <v>247.41720000000001</v>
      </c>
      <c r="V761" s="367">
        <v>1.3</v>
      </c>
      <c r="W761" s="389">
        <f>SUMIFS(Таблица1[Столбец1],Таблица1[коэф],"1,3",Таблица1[р/р],"4/24",Таблица1[Ф. И. О.],B759)</f>
        <v>0</v>
      </c>
      <c r="X761" s="469">
        <f t="shared" si="262"/>
        <v>0</v>
      </c>
      <c r="Y761" s="748"/>
      <c r="Z761" s="750"/>
      <c r="AA761" s="740"/>
    </row>
    <row r="762" spans="1:29" ht="18.75" customHeight="1">
      <c r="A762" s="740"/>
      <c r="B762" s="201"/>
      <c r="C762" s="743"/>
      <c r="D762" s="746"/>
      <c r="E762" s="366"/>
      <c r="F762" s="367"/>
      <c r="G762" s="377"/>
      <c r="H762" s="369">
        <f t="shared" si="265"/>
        <v>0</v>
      </c>
      <c r="I762" s="409"/>
      <c r="J762" s="410"/>
      <c r="K762" s="411"/>
      <c r="L762" s="461">
        <f t="shared" si="260"/>
        <v>0</v>
      </c>
      <c r="M762" s="411"/>
      <c r="N762" s="411"/>
      <c r="O762" s="411"/>
      <c r="P762" s="383"/>
      <c r="Q762" s="366">
        <f>IF(D754&lt;=3,база!$L$4,
IF(D754=4,база!$L$5,
IF(D754=5,база!$L$6)))</f>
        <v>210.57480000000001</v>
      </c>
      <c r="R762" s="367">
        <v>1.4</v>
      </c>
      <c r="S762" s="377">
        <f>SUMIFS(Таблица1[Столбец1],Таблица1[коэф],"1,4",Таблица1[р/р],"3/16",Таблица1[Ф. И. О.],B759)</f>
        <v>0</v>
      </c>
      <c r="T762" s="469">
        <f t="shared" si="261"/>
        <v>0</v>
      </c>
      <c r="U762" s="455">
        <f>IF(D754&lt;=3,база!$M$4,
IF(D754=4,база!$M$5,
IF(D754=5,база!$M$6)))</f>
        <v>225.09719999999999</v>
      </c>
      <c r="V762" s="367">
        <v>1.4</v>
      </c>
      <c r="W762" s="389">
        <f>SUMIFS(Таблица1[Столбец1],Таблица1[коэф],"1,4",Таблица1[р/р],"3/24",Таблица1[Ф. И. О.],B759)</f>
        <v>0</v>
      </c>
      <c r="X762" s="469">
        <f t="shared" si="262"/>
        <v>0</v>
      </c>
      <c r="Y762" s="748"/>
      <c r="Z762" s="750"/>
      <c r="AA762" s="740"/>
    </row>
    <row r="763" spans="1:29" ht="18.75" customHeight="1">
      <c r="A763" s="740"/>
      <c r="B763" s="201"/>
      <c r="C763" s="743"/>
      <c r="D763" s="746"/>
      <c r="E763" s="366"/>
      <c r="F763" s="367"/>
      <c r="G763" s="377"/>
      <c r="H763" s="369">
        <f t="shared" si="265"/>
        <v>0</v>
      </c>
      <c r="I763" s="409"/>
      <c r="J763" s="410"/>
      <c r="K763" s="411"/>
      <c r="L763" s="461">
        <f t="shared" si="260"/>
        <v>0</v>
      </c>
      <c r="M763" s="411"/>
      <c r="N763" s="411"/>
      <c r="O763" s="411"/>
      <c r="P763" s="383"/>
      <c r="Q763" s="366">
        <f>база!$L$5</f>
        <v>231.45480000000001</v>
      </c>
      <c r="R763" s="367">
        <v>1.4</v>
      </c>
      <c r="S763" s="377">
        <f>SUMIFS(Таблица1[Столбец1],Таблица1[коэф],"1,4",Таблица1[р/р],"4/16",Таблица1[Ф. И. О.],B759)</f>
        <v>0</v>
      </c>
      <c r="T763" s="469">
        <f t="shared" si="261"/>
        <v>0</v>
      </c>
      <c r="U763" s="455">
        <f>база!$M$5</f>
        <v>247.41720000000001</v>
      </c>
      <c r="V763" s="367">
        <v>1.4</v>
      </c>
      <c r="W763" s="389">
        <f>SUMIFS(Таблица1[Столбец1],Таблица1[коэф],"1,4",Таблица1[р/р],"4/24",Таблица1[Ф. И. О.],B759)</f>
        <v>0</v>
      </c>
      <c r="X763" s="469">
        <f t="shared" si="262"/>
        <v>0</v>
      </c>
      <c r="Y763" s="748"/>
      <c r="Z763" s="750"/>
      <c r="AA763" s="740"/>
    </row>
    <row r="764" spans="1:29" ht="19.5" customHeight="1" thickBot="1">
      <c r="A764" s="741"/>
      <c r="B764" s="329"/>
      <c r="C764" s="744"/>
      <c r="D764" s="747"/>
      <c r="E764" s="458"/>
      <c r="F764" s="394"/>
      <c r="G764" s="463"/>
      <c r="H764" s="445">
        <f t="shared" si="265"/>
        <v>0</v>
      </c>
      <c r="I764" s="622"/>
      <c r="J764" s="433"/>
      <c r="K764" s="623"/>
      <c r="L764" s="435">
        <f t="shared" si="260"/>
        <v>0</v>
      </c>
      <c r="M764" s="622"/>
      <c r="N764" s="623"/>
      <c r="O764" s="623"/>
      <c r="P764" s="453"/>
      <c r="Q764" s="629">
        <f>база!$L$6</f>
        <v>261.04640000000001</v>
      </c>
      <c r="R764" s="441">
        <v>1.4</v>
      </c>
      <c r="S764" s="442">
        <f>SUMIFS(Таблица1[Столбец1],Таблица1[коэф],"1,4",Таблица1[р/р],"5/16",Таблица1[Ф. И. О.],B759)</f>
        <v>0</v>
      </c>
      <c r="T764" s="490">
        <f t="shared" si="261"/>
        <v>0</v>
      </c>
      <c r="U764" s="440">
        <f>база!$M$6</f>
        <v>279.0496</v>
      </c>
      <c r="V764" s="441">
        <v>1.4</v>
      </c>
      <c r="W764" s="442">
        <f>SUMIFS(Таблица1[Столбец1],Таблица1[коэф],"1,4",Таблица1[р/р],"5/24",Таблица1[Ф. И. О.],B759)</f>
        <v>0</v>
      </c>
      <c r="X764" s="490">
        <f t="shared" si="262"/>
        <v>0</v>
      </c>
      <c r="Y764" s="749"/>
      <c r="Z764" s="751"/>
      <c r="AA764" s="741"/>
    </row>
    <row r="765" spans="1:29" ht="18.75" customHeight="1">
      <c r="A765" s="739">
        <v>70</v>
      </c>
      <c r="B765" s="201"/>
      <c r="C765" s="742">
        <f>INDEX(база!$E$2:$E$181, MATCH(B770,база!$B$2:$B$160,0))</f>
        <v>17266</v>
      </c>
      <c r="D765" s="745">
        <f>INDEX(база!$D$2:$D$189, MATCH(B770,база!$B$2:$B$160,0))</f>
        <v>3</v>
      </c>
      <c r="E765" s="354">
        <f>IF(D765&lt;=3,база!$I$4,
IF(D765=4,база!$I$5,
IF(D765=5,база!$I$6)))</f>
        <v>188.7912</v>
      </c>
      <c r="F765" s="355">
        <v>1</v>
      </c>
      <c r="G765" s="364">
        <f>SUMIFS(Таблица1[Столбец1],Таблица1[коэф],"1",Таблица1[р/р],"2/4",Таблица1[Ф. И. О.],B770)</f>
        <v>0</v>
      </c>
      <c r="H765" s="379">
        <f t="shared" si="265"/>
        <v>0</v>
      </c>
      <c r="I765" s="429">
        <f>IF(D765&lt;=3,база!$J$4,
IF(D765=4,база!$J$5,
IF(D765=5,база!$J$6)))</f>
        <v>196.05240000000001</v>
      </c>
      <c r="J765" s="452">
        <v>1</v>
      </c>
      <c r="K765" s="430">
        <f>SUMIFS(Таблица1[Столбец1],Таблица1[коэф],"1",Таблица1[р/р],"2/8",Таблица1[Ф. И. О.],B770)</f>
        <v>0</v>
      </c>
      <c r="L765" s="461">
        <f t="shared" si="260"/>
        <v>0</v>
      </c>
      <c r="M765" s="430"/>
      <c r="N765" s="430">
        <v>1</v>
      </c>
      <c r="O765" s="430">
        <f>SUMIFS(Data_Tech!$AM$3:$AM$67,Data_Tech!$E$3:$E$67,"1",Data_Tech!$G$3:$G$67,"3/12",Data_Tech!$F$3:$F$67,B770)</f>
        <v>0</v>
      </c>
      <c r="P765" s="375">
        <f>ROUND(M765*N765*O765,2)</f>
        <v>0</v>
      </c>
      <c r="Q765" s="458">
        <f>IF(D765&lt;=3,база!$L$4,
IF(D765=4,база!$L$5,
IF(D765=5,база!$L$6)))</f>
        <v>210.57480000000001</v>
      </c>
      <c r="R765" s="394">
        <v>1</v>
      </c>
      <c r="S765" s="395">
        <f>SUMIFS(Таблица1[Столбец1],Таблица1[коэф],"1",Таблица1[р/р],"3/16",Таблица1[Ф. И. О.],B770)</f>
        <v>0</v>
      </c>
      <c r="T765" s="469">
        <f t="shared" si="261"/>
        <v>0</v>
      </c>
      <c r="U765" s="460">
        <f>IF(D765&lt;=3,база!$M$4,
IF(D765=4,база!$M$5,
IF(D765=5,база!$M$6)))</f>
        <v>225.09719999999999</v>
      </c>
      <c r="V765" s="394">
        <v>1</v>
      </c>
      <c r="W765" s="432">
        <f>SUMIFS(Таблица1[Столбец1],Таблица1[коэф],"1",Таблица1[р/р],"3/24",Таблица1[Ф. И. О.],B770)</f>
        <v>0</v>
      </c>
      <c r="X765" s="469">
        <f t="shared" si="262"/>
        <v>0</v>
      </c>
      <c r="Y765" s="748">
        <f t="shared" ref="Y765" si="266">SUM(G765:G775,K765:K775,O765:O775,S765:S775,W765:W775)</f>
        <v>0</v>
      </c>
      <c r="Z765" s="750">
        <f t="shared" si="264"/>
        <v>0</v>
      </c>
      <c r="AA765" s="740"/>
    </row>
    <row r="766" spans="1:29" ht="18.75" customHeight="1">
      <c r="A766" s="740"/>
      <c r="B766" s="201"/>
      <c r="C766" s="743"/>
      <c r="D766" s="746"/>
      <c r="E766" s="366">
        <f>IF(D765&lt;=3,база!$I$4,
IF(D765=4,база!$I$5,
IF(D765=5,база!$I$6)))</f>
        <v>188.7912</v>
      </c>
      <c r="F766" s="367">
        <v>1</v>
      </c>
      <c r="G766" s="377">
        <f>SUMIFS(Таблица1[Столбец1],Таблица1[коэф],"1",Таблица1[р/р],"3/4",Таблица1[Ф. И. О.],B770)</f>
        <v>0</v>
      </c>
      <c r="H766" s="369">
        <f>ROUND(E766*F766*G766*2,2)</f>
        <v>0</v>
      </c>
      <c r="I766" s="409">
        <f>IF(D765&lt;=3,база!$J$4,
IF(D765=4,база!$J$5,
IF(D765=5,база!$J$6)))</f>
        <v>196.05240000000001</v>
      </c>
      <c r="J766" s="410">
        <v>1</v>
      </c>
      <c r="K766" s="411">
        <f>SUMIFS(Таблица1[Столбец1],Таблица1[коэф],"1",Таблица1[р/р],"3/8",Таблица1[Ф. И. О.],B770)</f>
        <v>0</v>
      </c>
      <c r="L766" s="461">
        <f t="shared" si="260"/>
        <v>0</v>
      </c>
      <c r="M766" s="411"/>
      <c r="N766" s="411">
        <v>1</v>
      </c>
      <c r="O766" s="411">
        <f>SUMIFS(Data_Tech!$AM$3:$AM$67,Data_Tech!$E$3:$E$67,"1",Data_Tech!$G$3:$G$67,"4/12",Data_Tech!$F$3:$F$67,B770)</f>
        <v>0</v>
      </c>
      <c r="P766" s="383">
        <f>ROUND(M766*O766,2)</f>
        <v>0</v>
      </c>
      <c r="Q766" s="366">
        <f>база!$L$5</f>
        <v>231.45480000000001</v>
      </c>
      <c r="R766" s="367">
        <v>1</v>
      </c>
      <c r="S766" s="377">
        <f>SUMIFS(Таблица1[Столбец1],Таблица1[коэф],"1",Таблица1[р/р],"4/16",Таблица1[Ф. И. О.],B770)</f>
        <v>0</v>
      </c>
      <c r="T766" s="469">
        <f t="shared" si="261"/>
        <v>0</v>
      </c>
      <c r="U766" s="455">
        <f>база!$M$5</f>
        <v>247.41720000000001</v>
      </c>
      <c r="V766" s="367">
        <v>1</v>
      </c>
      <c r="W766" s="389">
        <f>SUMIFS(Таблица1[Столбец1],Таблица1[коэф],"1",Таблица1[р/р],"4/24",Таблица1[Ф. И. О.],B770)</f>
        <v>0</v>
      </c>
      <c r="X766" s="469">
        <f t="shared" si="262"/>
        <v>0</v>
      </c>
      <c r="Y766" s="748"/>
      <c r="Z766" s="750"/>
      <c r="AA766" s="740"/>
    </row>
    <row r="767" spans="1:29" ht="18.75" customHeight="1">
      <c r="A767" s="740"/>
      <c r="B767" s="201"/>
      <c r="C767" s="743"/>
      <c r="D767" s="746"/>
      <c r="E767" s="366"/>
      <c r="F767" s="367"/>
      <c r="G767" s="377"/>
      <c r="H767" s="369">
        <f t="shared" ref="H767:H776" si="267">ROUND(E767*F767*G767*2,2)</f>
        <v>0</v>
      </c>
      <c r="I767" s="409"/>
      <c r="J767" s="410"/>
      <c r="K767" s="411"/>
      <c r="L767" s="461">
        <f t="shared" si="260"/>
        <v>0</v>
      </c>
      <c r="M767" s="411"/>
      <c r="N767" s="411"/>
      <c r="O767" s="411"/>
      <c r="P767" s="383"/>
      <c r="Q767" s="366">
        <f>база!$L$6</f>
        <v>261.04640000000001</v>
      </c>
      <c r="R767" s="367">
        <v>1</v>
      </c>
      <c r="S767" s="377">
        <f>SUMIFS(Таблица1[Столбец1],Таблица1[коэф],"1",Таблица1[р/р],"5/16",Таблица1[Ф. И. О.],B770)</f>
        <v>0</v>
      </c>
      <c r="T767" s="469">
        <f t="shared" si="261"/>
        <v>0</v>
      </c>
      <c r="U767" s="455">
        <f>база!$M$6</f>
        <v>279.0496</v>
      </c>
      <c r="V767" s="367">
        <v>1</v>
      </c>
      <c r="W767" s="389">
        <f>SUMIFS(Таблица1[Столбец1],Таблица1[коэф],"1",Таблица1[р/р],"5/24",Таблица1[Ф. И. О.],B770)</f>
        <v>0</v>
      </c>
      <c r="X767" s="469">
        <f t="shared" si="262"/>
        <v>0</v>
      </c>
      <c r="Y767" s="748"/>
      <c r="Z767" s="750"/>
      <c r="AA767" s="740"/>
    </row>
    <row r="768" spans="1:29" ht="18.75" customHeight="1">
      <c r="A768" s="740"/>
      <c r="B768" s="201"/>
      <c r="C768" s="743"/>
      <c r="D768" s="746"/>
      <c r="E768" s="366"/>
      <c r="F768" s="367"/>
      <c r="G768" s="377"/>
      <c r="H768" s="369">
        <f t="shared" si="267"/>
        <v>0</v>
      </c>
      <c r="I768" s="409">
        <f>база!$J$5</f>
        <v>215.4924</v>
      </c>
      <c r="J768" s="410">
        <v>1.5</v>
      </c>
      <c r="K768" s="411">
        <f>SUMIFS(Таблица1[Столбец1],Таблица1[коэф],"1,5",Таблица1[р/р],"4/8",Таблица1[Ф. И. О.],B770)</f>
        <v>0</v>
      </c>
      <c r="L768" s="461">
        <f t="shared" si="260"/>
        <v>0</v>
      </c>
      <c r="M768" s="411"/>
      <c r="N768" s="411"/>
      <c r="O768" s="411"/>
      <c r="P768" s="383"/>
      <c r="Q768" s="366">
        <f>IF(D765&lt;=3,база!$L$4,
IF(D765=4,база!$L$5,
IF(D765=5,база!$L$6)))</f>
        <v>210.57480000000001</v>
      </c>
      <c r="R768" s="367">
        <v>1.2</v>
      </c>
      <c r="S768" s="377">
        <f>SUMIFS(Таблица1[Столбец1],Таблица1[коэф],"1,2",Таблица1[р/р],"3/16",Таблица1[Ф. И. О.],B770)</f>
        <v>0</v>
      </c>
      <c r="T768" s="469">
        <f t="shared" si="261"/>
        <v>0</v>
      </c>
      <c r="U768" s="455">
        <f>IF(D765&lt;=3,база!$M$4,
IF(D765=4,база!$M$5,
IF(D765=5,база!$M$6)))</f>
        <v>225.09719999999999</v>
      </c>
      <c r="V768" s="367">
        <v>1.2</v>
      </c>
      <c r="W768" s="389">
        <f>SUMIFS(Таблица1[Столбец1],Таблица1[коэф],"1,2",Таблица1[р/р],"3/24",Таблица1[Ф. И. О.],B770)</f>
        <v>0</v>
      </c>
      <c r="X768" s="469">
        <f t="shared" si="262"/>
        <v>0</v>
      </c>
      <c r="Y768" s="748"/>
      <c r="Z768" s="750"/>
      <c r="AA768" s="740"/>
    </row>
    <row r="769" spans="1:29" ht="18.75" customHeight="1">
      <c r="A769" s="740"/>
      <c r="B769" s="201"/>
      <c r="C769" s="743"/>
      <c r="D769" s="746"/>
      <c r="E769" s="366"/>
      <c r="F769" s="367"/>
      <c r="G769" s="377"/>
      <c r="H769" s="369">
        <f t="shared" si="267"/>
        <v>0</v>
      </c>
      <c r="I769" s="409">
        <f>база!$J$6</f>
        <v>243.04319999999998</v>
      </c>
      <c r="J769" s="410">
        <v>1.5</v>
      </c>
      <c r="K769" s="411">
        <f>SUMIFS(Таблица1[Столбец1],Таблица1[коэф],"1,5",Таблица1[р/р],"5/8",Таблица1[Ф. И. О.],B770)</f>
        <v>0</v>
      </c>
      <c r="L769" s="461">
        <f t="shared" si="260"/>
        <v>0</v>
      </c>
      <c r="M769" s="411"/>
      <c r="N769" s="411"/>
      <c r="O769" s="411"/>
      <c r="P769" s="383"/>
      <c r="Q769" s="366">
        <f>база!$L$5</f>
        <v>231.45480000000001</v>
      </c>
      <c r="R769" s="367">
        <v>1.2</v>
      </c>
      <c r="S769" s="377">
        <f>SUMIFS(Таблица1[Столбец1],Таблица1[коэф],"1,2",Таблица1[р/р],"4/16",Таблица1[Ф. И. О.],B770)</f>
        <v>0</v>
      </c>
      <c r="T769" s="469">
        <f t="shared" si="261"/>
        <v>0</v>
      </c>
      <c r="U769" s="455">
        <f>база!$M$5</f>
        <v>247.41720000000001</v>
      </c>
      <c r="V769" s="367">
        <v>1.2</v>
      </c>
      <c r="W769" s="389">
        <f>SUMIFS(Таблица1[Столбец1],Таблица1[коэф],"1,2",Таблица1[р/р],"4/24",Таблица1[Ф. И. О.],B770)</f>
        <v>0</v>
      </c>
      <c r="X769" s="469">
        <f t="shared" si="262"/>
        <v>0</v>
      </c>
      <c r="Y769" s="748"/>
      <c r="Z769" s="750"/>
      <c r="AA769" s="740"/>
    </row>
    <row r="770" spans="1:29" ht="18.75" customHeight="1">
      <c r="A770" s="740"/>
      <c r="B770" s="201" t="str">
        <f>база!B71</f>
        <v>Степанова Ольга Юрьевна</v>
      </c>
      <c r="C770" s="743"/>
      <c r="D770" s="746"/>
      <c r="E770" s="366"/>
      <c r="F770" s="367"/>
      <c r="G770" s="377"/>
      <c r="H770" s="369">
        <f t="shared" si="267"/>
        <v>0</v>
      </c>
      <c r="I770" s="409"/>
      <c r="J770" s="410"/>
      <c r="K770" s="411"/>
      <c r="L770" s="461">
        <f t="shared" si="260"/>
        <v>0</v>
      </c>
      <c r="M770" s="411"/>
      <c r="N770" s="411"/>
      <c r="O770" s="411"/>
      <c r="P770" s="383"/>
      <c r="Q770" s="366">
        <f>база!$L$6</f>
        <v>261.04640000000001</v>
      </c>
      <c r="R770" s="367">
        <v>1.2</v>
      </c>
      <c r="S770" s="377">
        <f>SUMIFS(Таблица1[Столбец1],Таблица1[коэф],"1,2",Таблица1[р/р],"5/16",Таблица1[Ф. И. О.],B770)</f>
        <v>0</v>
      </c>
      <c r="T770" s="469">
        <f t="shared" si="261"/>
        <v>0</v>
      </c>
      <c r="U770" s="455">
        <f>база!$M$6</f>
        <v>279.0496</v>
      </c>
      <c r="V770" s="367">
        <v>1.2</v>
      </c>
      <c r="W770" s="389">
        <f>SUMIFS(Таблица1[Столбец1],Таблица1[коэф],"1,2",Таблица1[р/р],"5/24",Таблица1[Ф. И. О.],B770)</f>
        <v>0</v>
      </c>
      <c r="X770" s="469">
        <f t="shared" si="262"/>
        <v>0</v>
      </c>
      <c r="Y770" s="748"/>
      <c r="Z770" s="750"/>
      <c r="AA770" s="740"/>
      <c r="AC770" s="693" t="str">
        <f>IF(SUMIFS(Таблица1[Столбец3],Таблица1[Ф. И. О.],B770)-Z765=0,"",SUMIFS(Таблица1[Столбец3],Таблица1[Ф. И. О.],B770)-Z765)</f>
        <v/>
      </c>
    </row>
    <row r="771" spans="1:29" ht="18.75" customHeight="1">
      <c r="A771" s="740"/>
      <c r="B771" s="201"/>
      <c r="C771" s="743"/>
      <c r="D771" s="746"/>
      <c r="E771" s="366"/>
      <c r="F771" s="367"/>
      <c r="G771" s="377"/>
      <c r="H771" s="369">
        <f t="shared" si="267"/>
        <v>0</v>
      </c>
      <c r="I771" s="409"/>
      <c r="J771" s="410"/>
      <c r="K771" s="411"/>
      <c r="L771" s="461">
        <f t="shared" si="260"/>
        <v>0</v>
      </c>
      <c r="M771" s="411"/>
      <c r="N771" s="411"/>
      <c r="O771" s="411"/>
      <c r="P771" s="383"/>
      <c r="Q771" s="366">
        <f>IF($D$6&lt;=3,база!$L$4,
IF($D$6=4,база!$L$5,
IF($D$6=5,база!$L$6)))</f>
        <v>231.45480000000001</v>
      </c>
      <c r="R771" s="367">
        <v>1.3</v>
      </c>
      <c r="S771" s="377">
        <f>SUMIFS(Таблица1[Столбец1],Таблица1[коэф],"1,3",Таблица1[р/р],"3/16",Таблица1[Ф. И. О.],B770)</f>
        <v>0</v>
      </c>
      <c r="T771" s="469">
        <f t="shared" si="261"/>
        <v>0</v>
      </c>
      <c r="U771" s="455">
        <f>IF(D765&lt;=3,база!$M$4,
IF(D765=4,база!$M$5,
IF(D765=5,база!$M$6)))</f>
        <v>225.09719999999999</v>
      </c>
      <c r="V771" s="367">
        <v>1.3</v>
      </c>
      <c r="W771" s="389">
        <f>SUMIFS(Таблица1[Столбец1],Таблица1[коэф],"1,3",Таблица1[р/р],"3/24",Таблица1[Ф. И. О.],B770)</f>
        <v>0</v>
      </c>
      <c r="X771" s="469">
        <f t="shared" si="262"/>
        <v>0</v>
      </c>
      <c r="Y771" s="748"/>
      <c r="Z771" s="750"/>
      <c r="AA771" s="740"/>
      <c r="AC771" s="693" t="str">
        <f>IF(SUMIFS(Таблица1[Столбец1],Таблица1[Ф. И. О.],B770)=Y765,"",B770&amp;"  часы не верны")</f>
        <v/>
      </c>
    </row>
    <row r="772" spans="1:29" ht="18.75" customHeight="1">
      <c r="A772" s="740"/>
      <c r="B772" s="201"/>
      <c r="C772" s="743"/>
      <c r="D772" s="746"/>
      <c r="E772" s="366"/>
      <c r="F772" s="367"/>
      <c r="G772" s="377"/>
      <c r="H772" s="369">
        <f t="shared" si="267"/>
        <v>0</v>
      </c>
      <c r="I772" s="409"/>
      <c r="J772" s="410"/>
      <c r="K772" s="411"/>
      <c r="L772" s="461">
        <f t="shared" si="260"/>
        <v>0</v>
      </c>
      <c r="M772" s="411"/>
      <c r="N772" s="411"/>
      <c r="O772" s="411"/>
      <c r="P772" s="383"/>
      <c r="Q772" s="366">
        <f>база!$L$5</f>
        <v>231.45480000000001</v>
      </c>
      <c r="R772" s="367">
        <v>1.3</v>
      </c>
      <c r="S772" s="377">
        <f>SUMIFS(Таблица1[Столбец1],Таблица1[коэф],"1,3",Таблица1[р/р],"4/16",Таблица1[Ф. И. О.],B770)</f>
        <v>0</v>
      </c>
      <c r="T772" s="469">
        <f t="shared" si="261"/>
        <v>0</v>
      </c>
      <c r="U772" s="455">
        <f>база!$M$5</f>
        <v>247.41720000000001</v>
      </c>
      <c r="V772" s="367">
        <v>1.3</v>
      </c>
      <c r="W772" s="389">
        <f>SUMIFS(Таблица1[Столбец1],Таблица1[коэф],"1,3",Таблица1[р/р],"4/24",Таблица1[Ф. И. О.],B770)</f>
        <v>0</v>
      </c>
      <c r="X772" s="469">
        <f t="shared" si="262"/>
        <v>0</v>
      </c>
      <c r="Y772" s="748"/>
      <c r="Z772" s="750"/>
      <c r="AA772" s="740"/>
    </row>
    <row r="773" spans="1:29" ht="18.75" customHeight="1">
      <c r="A773" s="740"/>
      <c r="B773" s="201"/>
      <c r="C773" s="743"/>
      <c r="D773" s="746"/>
      <c r="E773" s="366"/>
      <c r="F773" s="367"/>
      <c r="G773" s="377"/>
      <c r="H773" s="369">
        <f t="shared" si="267"/>
        <v>0</v>
      </c>
      <c r="I773" s="409"/>
      <c r="J773" s="410"/>
      <c r="K773" s="411"/>
      <c r="L773" s="461">
        <f t="shared" si="260"/>
        <v>0</v>
      </c>
      <c r="M773" s="411"/>
      <c r="N773" s="411"/>
      <c r="O773" s="411"/>
      <c r="P773" s="383"/>
      <c r="Q773" s="366">
        <f>IF(D765&lt;=3,база!$L$4,
IF(D765=4,база!$L$5,
IF(D765=5,база!$L$6)))</f>
        <v>210.57480000000001</v>
      </c>
      <c r="R773" s="367">
        <v>1.4</v>
      </c>
      <c r="S773" s="377">
        <f>SUMIFS(Таблица1[Столбец1],Таблица1[коэф],"1,4",Таблица1[р/р],"3/16",Таблица1[Ф. И. О.],B770)</f>
        <v>0</v>
      </c>
      <c r="T773" s="469">
        <f t="shared" si="261"/>
        <v>0</v>
      </c>
      <c r="U773" s="455">
        <f>IF(D765&lt;=3,база!$M$4,
IF(D765=4,база!$M$5,
IF(D765=5,база!$M$6)))</f>
        <v>225.09719999999999</v>
      </c>
      <c r="V773" s="367">
        <v>1.4</v>
      </c>
      <c r="W773" s="389">
        <f>SUMIFS(Таблица1[Столбец1],Таблица1[коэф],"1,4",Таблица1[р/р],"3/24",Таблица1[Ф. И. О.],B770)</f>
        <v>0</v>
      </c>
      <c r="X773" s="469">
        <f t="shared" si="262"/>
        <v>0</v>
      </c>
      <c r="Y773" s="748"/>
      <c r="Z773" s="750"/>
      <c r="AA773" s="740"/>
    </row>
    <row r="774" spans="1:29" ht="18.75" customHeight="1">
      <c r="A774" s="740"/>
      <c r="B774" s="201"/>
      <c r="C774" s="743"/>
      <c r="D774" s="746"/>
      <c r="E774" s="366"/>
      <c r="F774" s="367"/>
      <c r="G774" s="377"/>
      <c r="H774" s="369">
        <f t="shared" si="267"/>
        <v>0</v>
      </c>
      <c r="I774" s="409"/>
      <c r="J774" s="410"/>
      <c r="K774" s="411"/>
      <c r="L774" s="461">
        <f t="shared" si="260"/>
        <v>0</v>
      </c>
      <c r="M774" s="411"/>
      <c r="N774" s="411"/>
      <c r="O774" s="411"/>
      <c r="P774" s="383"/>
      <c r="Q774" s="366">
        <f>база!$L$5</f>
        <v>231.45480000000001</v>
      </c>
      <c r="R774" s="367">
        <v>1.4</v>
      </c>
      <c r="S774" s="377">
        <f>SUMIFS(Таблица1[Столбец1],Таблица1[коэф],"1,4",Таблица1[р/р],"4/16",Таблица1[Ф. И. О.],B770)</f>
        <v>0</v>
      </c>
      <c r="T774" s="469">
        <f t="shared" si="261"/>
        <v>0</v>
      </c>
      <c r="U774" s="455">
        <f>база!$M$5</f>
        <v>247.41720000000001</v>
      </c>
      <c r="V774" s="367">
        <v>1.4</v>
      </c>
      <c r="W774" s="389">
        <f>SUMIFS(Таблица1[Столбец1],Таблица1[коэф],"1,4",Таблица1[р/р],"4/24",Таблица1[Ф. И. О.],B770)</f>
        <v>0</v>
      </c>
      <c r="X774" s="469">
        <f t="shared" si="262"/>
        <v>0</v>
      </c>
      <c r="Y774" s="748"/>
      <c r="Z774" s="750"/>
      <c r="AA774" s="740"/>
    </row>
    <row r="775" spans="1:29" ht="19.5" customHeight="1" thickBot="1">
      <c r="A775" s="741"/>
      <c r="B775" s="329"/>
      <c r="C775" s="744"/>
      <c r="D775" s="747"/>
      <c r="E775" s="458"/>
      <c r="F775" s="394"/>
      <c r="G775" s="463"/>
      <c r="H775" s="445">
        <f t="shared" si="267"/>
        <v>0</v>
      </c>
      <c r="I775" s="622"/>
      <c r="J775" s="433"/>
      <c r="K775" s="623"/>
      <c r="L775" s="435">
        <f t="shared" si="260"/>
        <v>0</v>
      </c>
      <c r="M775" s="622"/>
      <c r="N775" s="623"/>
      <c r="O775" s="623"/>
      <c r="P775" s="453"/>
      <c r="Q775" s="629">
        <f>база!$L$6</f>
        <v>261.04640000000001</v>
      </c>
      <c r="R775" s="441">
        <v>1.4</v>
      </c>
      <c r="S775" s="442">
        <f>SUMIFS(Таблица1[Столбец1],Таблица1[коэф],"1,4",Таблица1[р/р],"5/16",Таблица1[Ф. И. О.],B770)</f>
        <v>0</v>
      </c>
      <c r="T775" s="490">
        <f t="shared" si="261"/>
        <v>0</v>
      </c>
      <c r="U775" s="440">
        <f>база!$M$6</f>
        <v>279.0496</v>
      </c>
      <c r="V775" s="441">
        <v>1.4</v>
      </c>
      <c r="W775" s="442">
        <f>SUMIFS(Таблица1[Столбец1],Таблица1[коэф],"1,4",Таблица1[р/р],"5/24",Таблица1[Ф. И. О.],B770)</f>
        <v>0</v>
      </c>
      <c r="X775" s="490">
        <f t="shared" si="262"/>
        <v>0</v>
      </c>
      <c r="Y775" s="749"/>
      <c r="Z775" s="751"/>
      <c r="AA775" s="741"/>
    </row>
    <row r="776" spans="1:29" ht="18.75" customHeight="1">
      <c r="A776" s="739">
        <v>71</v>
      </c>
      <c r="B776" s="201"/>
      <c r="C776" s="742">
        <f>INDEX(база!$E$2:$E$181, MATCH(B781,база!$B$2:$B$160,0))</f>
        <v>17062</v>
      </c>
      <c r="D776" s="745">
        <f>INDEX(база!$D$2:$D$189, MATCH(B781,база!$B$2:$B$160,0))</f>
        <v>3</v>
      </c>
      <c r="E776" s="354">
        <f>IF(D776&lt;=3,база!$I$4,
IF(D776=4,база!$I$5,
IF(D776=5,база!$I$6)))</f>
        <v>188.7912</v>
      </c>
      <c r="F776" s="355">
        <v>1</v>
      </c>
      <c r="G776" s="364">
        <f>SUMIFS(Таблица1[Столбец1],Таблица1[коэф],"1",Таблица1[р/р],"2/4",Таблица1[Ф. И. О.],B781)</f>
        <v>0</v>
      </c>
      <c r="H776" s="379">
        <f t="shared" si="267"/>
        <v>0</v>
      </c>
      <c r="I776" s="429">
        <f>IF(D776&lt;=3,база!$J$4,
IF(D776=4,база!$J$5,
IF(D776=5,база!$J$6)))</f>
        <v>196.05240000000001</v>
      </c>
      <c r="J776" s="452">
        <v>1</v>
      </c>
      <c r="K776" s="430">
        <f>SUMIFS(Таблица1[Столбец1],Таблица1[коэф],"1",Таблица1[р/р],"2/8",Таблица1[Ф. И. О.],B781)</f>
        <v>0</v>
      </c>
      <c r="L776" s="461">
        <f t="shared" si="260"/>
        <v>0</v>
      </c>
      <c r="M776" s="430"/>
      <c r="N776" s="430">
        <v>1</v>
      </c>
      <c r="O776" s="430">
        <f>SUMIFS(Data_Tech!$AM$3:$AM$67,Data_Tech!$E$3:$E$67,"1",Data_Tech!$G$3:$G$67,"3/12",Data_Tech!$F$3:$F$67,B781)</f>
        <v>0</v>
      </c>
      <c r="P776" s="375">
        <f>ROUND(M776*N776*O776,2)</f>
        <v>0</v>
      </c>
      <c r="Q776" s="458">
        <f>IF(D776&lt;=3,база!$L$4,
IF(D776=4,база!$L$5,
IF(D776=5,база!$L$6)))</f>
        <v>210.57480000000001</v>
      </c>
      <c r="R776" s="394">
        <v>1</v>
      </c>
      <c r="S776" s="395">
        <f>SUMIFS(Таблица1[Столбец1],Таблица1[коэф],"1",Таблица1[р/р],"3/16",Таблица1[Ф. И. О.],B781)</f>
        <v>0</v>
      </c>
      <c r="T776" s="469">
        <f t="shared" si="261"/>
        <v>0</v>
      </c>
      <c r="U776" s="460">
        <f>IF(D776&lt;=3,база!$M$4,
IF(D776=4,база!$M$5,
IF(D776=5,база!$M$6)))</f>
        <v>225.09719999999999</v>
      </c>
      <c r="V776" s="394">
        <v>1</v>
      </c>
      <c r="W776" s="432">
        <f>SUMIFS(Таблица1[Столбец1],Таблица1[коэф],"1",Таблица1[р/р],"3/24",Таблица1[Ф. И. О.],B781)</f>
        <v>0</v>
      </c>
      <c r="X776" s="469">
        <f t="shared" si="262"/>
        <v>0</v>
      </c>
      <c r="Y776" s="748">
        <f t="shared" ref="Y776" si="268">SUM(G776:G786,K776:K786,O776:O786,S776:S786,W776:W786)</f>
        <v>0</v>
      </c>
      <c r="Z776" s="750">
        <f t="shared" si="264"/>
        <v>0</v>
      </c>
      <c r="AA776" s="740"/>
    </row>
    <row r="777" spans="1:29" ht="18.75" customHeight="1">
      <c r="A777" s="740"/>
      <c r="B777" s="201"/>
      <c r="C777" s="743"/>
      <c r="D777" s="746"/>
      <c r="E777" s="366">
        <f>IF(D776&lt;=3,база!$I$4,
IF(D776=4,база!$I$5,
IF(D776=5,база!$I$6)))</f>
        <v>188.7912</v>
      </c>
      <c r="F777" s="367">
        <v>1</v>
      </c>
      <c r="G777" s="377">
        <f>SUMIFS(Таблица1[Столбец1],Таблица1[коэф],"1",Таблица1[р/р],"3/4",Таблица1[Ф. И. О.],B781)</f>
        <v>0</v>
      </c>
      <c r="H777" s="369">
        <f>ROUND(E777*F777*G777*2,2)</f>
        <v>0</v>
      </c>
      <c r="I777" s="409">
        <f>IF(D776&lt;=3,база!$J$4,
IF(D776=4,база!$J$5,
IF(D776=5,база!$J$6)))</f>
        <v>196.05240000000001</v>
      </c>
      <c r="J777" s="410">
        <v>1</v>
      </c>
      <c r="K777" s="411">
        <f>SUMIFS(Таблица1[Столбец1],Таблица1[коэф],"1",Таблица1[р/р],"3/8",Таблица1[Ф. И. О.],B781)</f>
        <v>0</v>
      </c>
      <c r="L777" s="461">
        <f t="shared" si="260"/>
        <v>0</v>
      </c>
      <c r="M777" s="411"/>
      <c r="N777" s="411">
        <v>1</v>
      </c>
      <c r="O777" s="411">
        <f>SUMIFS(Data_Tech!$AM$3:$AM$67,Data_Tech!$E$3:$E$67,"1",Data_Tech!$G$3:$G$67,"4/12",Data_Tech!$F$3:$F$67,B781)</f>
        <v>0</v>
      </c>
      <c r="P777" s="383">
        <f>ROUND(M777*O777,2)</f>
        <v>0</v>
      </c>
      <c r="Q777" s="366">
        <f>база!$L$5</f>
        <v>231.45480000000001</v>
      </c>
      <c r="R777" s="367">
        <v>1</v>
      </c>
      <c r="S777" s="377">
        <f>SUMIFS(Таблица1[Столбец1],Таблица1[коэф],"1",Таблица1[р/р],"4/16",Таблица1[Ф. И. О.],B781)</f>
        <v>0</v>
      </c>
      <c r="T777" s="469">
        <f t="shared" si="261"/>
        <v>0</v>
      </c>
      <c r="U777" s="455">
        <f>база!$M$5</f>
        <v>247.41720000000001</v>
      </c>
      <c r="V777" s="367">
        <v>1</v>
      </c>
      <c r="W777" s="389">
        <f>SUMIFS(Таблица1[Столбец1],Таблица1[коэф],"1",Таблица1[р/р],"4/24",Таблица1[Ф. И. О.],B781)</f>
        <v>0</v>
      </c>
      <c r="X777" s="469">
        <f t="shared" si="262"/>
        <v>0</v>
      </c>
      <c r="Y777" s="748"/>
      <c r="Z777" s="750"/>
      <c r="AA777" s="740"/>
    </row>
    <row r="778" spans="1:29" ht="18.75" customHeight="1">
      <c r="A778" s="740"/>
      <c r="B778" s="201"/>
      <c r="C778" s="743"/>
      <c r="D778" s="746"/>
      <c r="E778" s="366"/>
      <c r="F778" s="367"/>
      <c r="G778" s="377"/>
      <c r="H778" s="369">
        <f t="shared" ref="H778:H787" si="269">ROUND(E778*F778*G778*2,2)</f>
        <v>0</v>
      </c>
      <c r="I778" s="409"/>
      <c r="J778" s="410"/>
      <c r="K778" s="411"/>
      <c r="L778" s="461">
        <f t="shared" si="260"/>
        <v>0</v>
      </c>
      <c r="M778" s="411"/>
      <c r="N778" s="411"/>
      <c r="O778" s="411"/>
      <c r="P778" s="383"/>
      <c r="Q778" s="366">
        <f>база!$L$6</f>
        <v>261.04640000000001</v>
      </c>
      <c r="R778" s="367">
        <v>1</v>
      </c>
      <c r="S778" s="377">
        <f>SUMIFS(Таблица1[Столбец1],Таблица1[коэф],"1",Таблица1[р/р],"5/16",Таблица1[Ф. И. О.],B781)</f>
        <v>0</v>
      </c>
      <c r="T778" s="469">
        <f t="shared" si="261"/>
        <v>0</v>
      </c>
      <c r="U778" s="455">
        <f>база!$M$6</f>
        <v>279.0496</v>
      </c>
      <c r="V778" s="367">
        <v>1</v>
      </c>
      <c r="W778" s="389">
        <f>SUMIFS(Таблица1[Столбец1],Таблица1[коэф],"1",Таблица1[р/р],"5/24",Таблица1[Ф. И. О.],B781)</f>
        <v>0</v>
      </c>
      <c r="X778" s="469">
        <f t="shared" si="262"/>
        <v>0</v>
      </c>
      <c r="Y778" s="748"/>
      <c r="Z778" s="750"/>
      <c r="AA778" s="740"/>
    </row>
    <row r="779" spans="1:29" ht="18.75" customHeight="1">
      <c r="A779" s="740"/>
      <c r="B779" s="201"/>
      <c r="C779" s="743"/>
      <c r="D779" s="746"/>
      <c r="E779" s="366"/>
      <c r="F779" s="367"/>
      <c r="G779" s="377"/>
      <c r="H779" s="369">
        <f t="shared" si="269"/>
        <v>0</v>
      </c>
      <c r="I779" s="409">
        <f>база!$J$5</f>
        <v>215.4924</v>
      </c>
      <c r="J779" s="410">
        <v>1.5</v>
      </c>
      <c r="K779" s="411">
        <f>SUMIFS(Таблица1[Столбец1],Таблица1[коэф],"1,5",Таблица1[р/р],"4/8",Таблица1[Ф. И. О.],B781)</f>
        <v>0</v>
      </c>
      <c r="L779" s="461">
        <f t="shared" si="260"/>
        <v>0</v>
      </c>
      <c r="M779" s="411"/>
      <c r="N779" s="411"/>
      <c r="O779" s="411"/>
      <c r="P779" s="383"/>
      <c r="Q779" s="366">
        <f>IF(D776&lt;=3,база!$L$4,
IF(D776=4,база!$L$5,
IF(D776=5,база!$L$6)))</f>
        <v>210.57480000000001</v>
      </c>
      <c r="R779" s="367">
        <v>1.2</v>
      </c>
      <c r="S779" s="377">
        <f>SUMIFS(Таблица1[Столбец1],Таблица1[коэф],"1,2",Таблица1[р/р],"3/16",Таблица1[Ф. И. О.],B781)</f>
        <v>0</v>
      </c>
      <c r="T779" s="469">
        <f t="shared" si="261"/>
        <v>0</v>
      </c>
      <c r="U779" s="455">
        <f>IF(D776&lt;=3,база!$M$4,
IF(D776=4,база!$M$5,
IF(D776=5,база!$M$6)))</f>
        <v>225.09719999999999</v>
      </c>
      <c r="V779" s="367">
        <v>1.2</v>
      </c>
      <c r="W779" s="389">
        <f>SUMIFS(Таблица1[Столбец1],Таблица1[коэф],"1,2",Таблица1[р/р],"3/24",Таблица1[Ф. И. О.],B781)</f>
        <v>0</v>
      </c>
      <c r="X779" s="469">
        <f t="shared" si="262"/>
        <v>0</v>
      </c>
      <c r="Y779" s="748"/>
      <c r="Z779" s="750"/>
      <c r="AA779" s="740"/>
    </row>
    <row r="780" spans="1:29" ht="18.75" customHeight="1">
      <c r="A780" s="740"/>
      <c r="B780" s="201"/>
      <c r="C780" s="743"/>
      <c r="D780" s="746"/>
      <c r="E780" s="366"/>
      <c r="F780" s="367"/>
      <c r="G780" s="377"/>
      <c r="H780" s="369">
        <f t="shared" si="269"/>
        <v>0</v>
      </c>
      <c r="I780" s="409">
        <f>база!$J$6</f>
        <v>243.04319999999998</v>
      </c>
      <c r="J780" s="410">
        <v>1.5</v>
      </c>
      <c r="K780" s="411">
        <f>SUMIFS(Таблица1[Столбец1],Таблица1[коэф],"1,5",Таблица1[р/р],"5/8",Таблица1[Ф. И. О.],B781)</f>
        <v>0</v>
      </c>
      <c r="L780" s="461">
        <f t="shared" si="260"/>
        <v>0</v>
      </c>
      <c r="M780" s="411"/>
      <c r="N780" s="411"/>
      <c r="O780" s="411"/>
      <c r="P780" s="383"/>
      <c r="Q780" s="366">
        <f>база!$L$5</f>
        <v>231.45480000000001</v>
      </c>
      <c r="R780" s="367">
        <v>1.2</v>
      </c>
      <c r="S780" s="377">
        <f>SUMIFS(Таблица1[Столбец1],Таблица1[коэф],"1,2",Таблица1[р/р],"4/16",Таблица1[Ф. И. О.],B781)</f>
        <v>0</v>
      </c>
      <c r="T780" s="469">
        <f t="shared" si="261"/>
        <v>0</v>
      </c>
      <c r="U780" s="455">
        <f>база!$M$5</f>
        <v>247.41720000000001</v>
      </c>
      <c r="V780" s="367">
        <v>1.2</v>
      </c>
      <c r="W780" s="389">
        <f>SUMIFS(Таблица1[Столбец1],Таблица1[коэф],"1,2",Таблица1[р/р],"4/24",Таблица1[Ф. И. О.],B781)</f>
        <v>0</v>
      </c>
      <c r="X780" s="469">
        <f t="shared" si="262"/>
        <v>0</v>
      </c>
      <c r="Y780" s="748"/>
      <c r="Z780" s="750"/>
      <c r="AA780" s="740"/>
    </row>
    <row r="781" spans="1:29" ht="18.75" customHeight="1">
      <c r="A781" s="740"/>
      <c r="B781" s="201" t="str">
        <f>база!B72</f>
        <v>Терещенко Виктория Евгеньевна</v>
      </c>
      <c r="C781" s="743"/>
      <c r="D781" s="746"/>
      <c r="E781" s="366"/>
      <c r="F781" s="367"/>
      <c r="G781" s="377"/>
      <c r="H781" s="369">
        <f t="shared" si="269"/>
        <v>0</v>
      </c>
      <c r="I781" s="409"/>
      <c r="J781" s="410"/>
      <c r="K781" s="411"/>
      <c r="L781" s="461">
        <f t="shared" si="260"/>
        <v>0</v>
      </c>
      <c r="M781" s="411"/>
      <c r="N781" s="411"/>
      <c r="O781" s="411"/>
      <c r="P781" s="383"/>
      <c r="Q781" s="366">
        <f>база!$L$6</f>
        <v>261.04640000000001</v>
      </c>
      <c r="R781" s="367">
        <v>1.2</v>
      </c>
      <c r="S781" s="377">
        <f>SUMIFS(Таблица1[Столбец1],Таблица1[коэф],"1,2",Таблица1[р/р],"5/16",Таблица1[Ф. И. О.],B781)</f>
        <v>0</v>
      </c>
      <c r="T781" s="469">
        <f t="shared" si="261"/>
        <v>0</v>
      </c>
      <c r="U781" s="455">
        <f>база!$M$6</f>
        <v>279.0496</v>
      </c>
      <c r="V781" s="367">
        <v>1.2</v>
      </c>
      <c r="W781" s="389">
        <f>SUMIFS(Таблица1[Столбец1],Таблица1[коэф],"1,2",Таблица1[р/р],"5/24",Таблица1[Ф. И. О.],B781)</f>
        <v>0</v>
      </c>
      <c r="X781" s="469">
        <f t="shared" si="262"/>
        <v>0</v>
      </c>
      <c r="Y781" s="748"/>
      <c r="Z781" s="750"/>
      <c r="AA781" s="740"/>
      <c r="AC781" s="693" t="str">
        <f>IF(SUMIFS(Таблица1[Столбец3],Таблица1[Ф. И. О.],B781)-Z776=0,"",SUMIFS(Таблица1[Столбец3],Таблица1[Ф. И. О.],B781)-Z776)</f>
        <v/>
      </c>
    </row>
    <row r="782" spans="1:29" ht="18.75" customHeight="1">
      <c r="A782" s="740"/>
      <c r="B782" s="201"/>
      <c r="C782" s="743"/>
      <c r="D782" s="746"/>
      <c r="E782" s="366"/>
      <c r="F782" s="367"/>
      <c r="G782" s="377"/>
      <c r="H782" s="369">
        <f t="shared" si="269"/>
        <v>0</v>
      </c>
      <c r="I782" s="409"/>
      <c r="J782" s="410"/>
      <c r="K782" s="411"/>
      <c r="L782" s="461">
        <f t="shared" si="260"/>
        <v>0</v>
      </c>
      <c r="M782" s="411"/>
      <c r="N782" s="411"/>
      <c r="O782" s="411"/>
      <c r="P782" s="383"/>
      <c r="Q782" s="366">
        <f>IF($D$6&lt;=3,база!$L$4,
IF($D$6=4,база!$L$5,
IF($D$6=5,база!$L$6)))</f>
        <v>231.45480000000001</v>
      </c>
      <c r="R782" s="367">
        <v>1.3</v>
      </c>
      <c r="S782" s="377">
        <f>SUMIFS(Таблица1[Столбец1],Таблица1[коэф],"1,3",Таблица1[р/р],"3/16",Таблица1[Ф. И. О.],B781)</f>
        <v>0</v>
      </c>
      <c r="T782" s="469">
        <f t="shared" si="261"/>
        <v>0</v>
      </c>
      <c r="U782" s="455">
        <f>IF(D776&lt;=3,база!$M$4,
IF(D776=4,база!$M$5,
IF(D776=5,база!$M$6)))</f>
        <v>225.09719999999999</v>
      </c>
      <c r="V782" s="367">
        <v>1.3</v>
      </c>
      <c r="W782" s="389">
        <f>SUMIFS(Таблица1[Столбец1],Таблица1[коэф],"1,3",Таблица1[р/р],"3/24",Таблица1[Ф. И. О.],B781)</f>
        <v>0</v>
      </c>
      <c r="X782" s="469">
        <f t="shared" si="262"/>
        <v>0</v>
      </c>
      <c r="Y782" s="748"/>
      <c r="Z782" s="750"/>
      <c r="AA782" s="740"/>
      <c r="AC782" s="693" t="str">
        <f>IF(SUMIFS(Таблица1[Столбец1],Таблица1[Ф. И. О.],B781)=Y776,"",B781&amp;"  часы не верны")</f>
        <v/>
      </c>
    </row>
    <row r="783" spans="1:29" ht="18.75" customHeight="1">
      <c r="A783" s="740"/>
      <c r="B783" s="201"/>
      <c r="C783" s="743"/>
      <c r="D783" s="746"/>
      <c r="E783" s="366"/>
      <c r="F783" s="367"/>
      <c r="G783" s="377"/>
      <c r="H783" s="369">
        <f t="shared" si="269"/>
        <v>0</v>
      </c>
      <c r="I783" s="409"/>
      <c r="J783" s="410"/>
      <c r="K783" s="411"/>
      <c r="L783" s="461">
        <f t="shared" si="260"/>
        <v>0</v>
      </c>
      <c r="M783" s="411"/>
      <c r="N783" s="411"/>
      <c r="O783" s="411"/>
      <c r="P783" s="383"/>
      <c r="Q783" s="366">
        <f>база!$L$5</f>
        <v>231.45480000000001</v>
      </c>
      <c r="R783" s="367">
        <v>1.3</v>
      </c>
      <c r="S783" s="377">
        <f>SUMIFS(Таблица1[Столбец1],Таблица1[коэф],"1,3",Таблица1[р/р],"4/16",Таблица1[Ф. И. О.],B781)</f>
        <v>0</v>
      </c>
      <c r="T783" s="469">
        <f t="shared" si="261"/>
        <v>0</v>
      </c>
      <c r="U783" s="455">
        <f>база!$M$5</f>
        <v>247.41720000000001</v>
      </c>
      <c r="V783" s="367">
        <v>1.3</v>
      </c>
      <c r="W783" s="389">
        <f>SUMIFS(Таблица1[Столбец1],Таблица1[коэф],"1,3",Таблица1[р/р],"4/24",Таблица1[Ф. И. О.],B781)</f>
        <v>0</v>
      </c>
      <c r="X783" s="469">
        <f t="shared" si="262"/>
        <v>0</v>
      </c>
      <c r="Y783" s="748"/>
      <c r="Z783" s="750"/>
      <c r="AA783" s="740"/>
    </row>
    <row r="784" spans="1:29" ht="18.75" customHeight="1">
      <c r="A784" s="740"/>
      <c r="B784" s="201"/>
      <c r="C784" s="743"/>
      <c r="D784" s="746"/>
      <c r="E784" s="366"/>
      <c r="F784" s="367"/>
      <c r="G784" s="377"/>
      <c r="H784" s="369">
        <f t="shared" si="269"/>
        <v>0</v>
      </c>
      <c r="I784" s="409"/>
      <c r="J784" s="410"/>
      <c r="K784" s="411"/>
      <c r="L784" s="461">
        <f t="shared" si="260"/>
        <v>0</v>
      </c>
      <c r="M784" s="411"/>
      <c r="N784" s="411"/>
      <c r="O784" s="411"/>
      <c r="P784" s="383"/>
      <c r="Q784" s="366">
        <f>IF(D776&lt;=3,база!$L$4,
IF(D776=4,база!$L$5,
IF(D776=5,база!$L$6)))</f>
        <v>210.57480000000001</v>
      </c>
      <c r="R784" s="367">
        <v>1.4</v>
      </c>
      <c r="S784" s="377">
        <f>SUMIFS(Таблица1[Столбец1],Таблица1[коэф],"1,4",Таблица1[р/р],"3/16",Таблица1[Ф. И. О.],B781)</f>
        <v>0</v>
      </c>
      <c r="T784" s="469">
        <f t="shared" si="261"/>
        <v>0</v>
      </c>
      <c r="U784" s="455">
        <f>IF(D776&lt;=3,база!$M$4,
IF(D776=4,база!$M$5,
IF(D776=5,база!$M$6)))</f>
        <v>225.09719999999999</v>
      </c>
      <c r="V784" s="367">
        <v>1.4</v>
      </c>
      <c r="W784" s="389">
        <f>SUMIFS(Таблица1[Столбец1],Таблица1[коэф],"1,4",Таблица1[р/р],"3/24",Таблица1[Ф. И. О.],B781)</f>
        <v>0</v>
      </c>
      <c r="X784" s="469">
        <f t="shared" si="262"/>
        <v>0</v>
      </c>
      <c r="Y784" s="748"/>
      <c r="Z784" s="750"/>
      <c r="AA784" s="740"/>
    </row>
    <row r="785" spans="1:29" ht="18.75" customHeight="1">
      <c r="A785" s="740"/>
      <c r="B785" s="201"/>
      <c r="C785" s="743"/>
      <c r="D785" s="746"/>
      <c r="E785" s="366"/>
      <c r="F785" s="367"/>
      <c r="G785" s="377"/>
      <c r="H785" s="369">
        <f t="shared" si="269"/>
        <v>0</v>
      </c>
      <c r="I785" s="409"/>
      <c r="J785" s="410"/>
      <c r="K785" s="411"/>
      <c r="L785" s="461">
        <f t="shared" si="260"/>
        <v>0</v>
      </c>
      <c r="M785" s="411"/>
      <c r="N785" s="411"/>
      <c r="O785" s="411"/>
      <c r="P785" s="383"/>
      <c r="Q785" s="366">
        <f>база!$L$5</f>
        <v>231.45480000000001</v>
      </c>
      <c r="R785" s="367">
        <v>1.4</v>
      </c>
      <c r="S785" s="377">
        <f>SUMIFS(Таблица1[Столбец1],Таблица1[коэф],"1,4",Таблица1[р/р],"4/16",Таблица1[Ф. И. О.],B781)</f>
        <v>0</v>
      </c>
      <c r="T785" s="469">
        <f t="shared" si="261"/>
        <v>0</v>
      </c>
      <c r="U785" s="455">
        <f>база!$M$5</f>
        <v>247.41720000000001</v>
      </c>
      <c r="V785" s="367">
        <v>1.4</v>
      </c>
      <c r="W785" s="389">
        <f>SUMIFS(Таблица1[Столбец1],Таблица1[коэф],"1,4",Таблица1[р/р],"4/24",Таблица1[Ф. И. О.],B781)</f>
        <v>0</v>
      </c>
      <c r="X785" s="469">
        <f t="shared" si="262"/>
        <v>0</v>
      </c>
      <c r="Y785" s="748"/>
      <c r="Z785" s="750"/>
      <c r="AA785" s="740"/>
    </row>
    <row r="786" spans="1:29" ht="19.5" customHeight="1" thickBot="1">
      <c r="A786" s="741"/>
      <c r="B786" s="329"/>
      <c r="C786" s="744"/>
      <c r="D786" s="747"/>
      <c r="E786" s="458"/>
      <c r="F786" s="394"/>
      <c r="G786" s="463"/>
      <c r="H786" s="417">
        <f t="shared" si="269"/>
        <v>0</v>
      </c>
      <c r="I786" s="390"/>
      <c r="J786" s="575"/>
      <c r="K786" s="391"/>
      <c r="L786" s="508">
        <f t="shared" si="260"/>
        <v>0</v>
      </c>
      <c r="M786" s="390"/>
      <c r="N786" s="391"/>
      <c r="O786" s="391"/>
      <c r="P786" s="392"/>
      <c r="Q786" s="659">
        <f>база!$L$6</f>
        <v>261.04640000000001</v>
      </c>
      <c r="R786" s="415">
        <v>1.4</v>
      </c>
      <c r="S786" s="416">
        <f>SUMIFS(Таблица1[Столбец1],Таблица1[коэф],"1,4",Таблица1[р/р],"5/16",Таблица1[Ф. И. О.],B781)</f>
        <v>0</v>
      </c>
      <c r="T786" s="487">
        <f t="shared" si="261"/>
        <v>0</v>
      </c>
      <c r="U786" s="492">
        <f>база!$M$6</f>
        <v>279.0496</v>
      </c>
      <c r="V786" s="380">
        <v>1.4</v>
      </c>
      <c r="W786" s="416">
        <f>SUMIFS(Таблица1[Столбец1],Таблица1[коэф],"1,4",Таблица1[р/р],"5/24",Таблица1[Ф. И. О.],B781)</f>
        <v>0</v>
      </c>
      <c r="X786" s="487">
        <f t="shared" si="262"/>
        <v>0</v>
      </c>
      <c r="Y786" s="748"/>
      <c r="Z786" s="751"/>
      <c r="AA786" s="741"/>
    </row>
    <row r="787" spans="1:29" ht="18.75" customHeight="1">
      <c r="A787" s="739">
        <v>72</v>
      </c>
      <c r="B787" s="201"/>
      <c r="C787" s="742">
        <f>INDEX(база!$E$2:$E$181, MATCH(B792,база!$B$2:$B$160,0))</f>
        <v>14988</v>
      </c>
      <c r="D787" s="745">
        <f>INDEX(база!$D$2:$D$189, MATCH(B792,база!$B$2:$B$160,0))</f>
        <v>4</v>
      </c>
      <c r="E787" s="354">
        <f>IF(D787&lt;=3,база!$I$4,
IF(D787=4,база!$I$5,
IF(D787=5,база!$I$6)))</f>
        <v>207.5112</v>
      </c>
      <c r="F787" s="355">
        <v>1</v>
      </c>
      <c r="G787" s="524">
        <f>SUMIFS(Таблица1[Столбец1],Таблица1[коэф],"1",Таблица1[р/р],"2/4",Таблица1[Ф. И. О.],B792)</f>
        <v>0</v>
      </c>
      <c r="H787" s="660">
        <f t="shared" si="269"/>
        <v>0</v>
      </c>
      <c r="I787" s="403">
        <f>IF(D787&lt;=3,база!$J$4,
IF(D787=4,база!$J$5,
IF(D787=5,база!$J$6)))</f>
        <v>215.4924</v>
      </c>
      <c r="J787" s="404">
        <v>1</v>
      </c>
      <c r="K787" s="405">
        <f>SUMIFS(Таблица1[Столбец1],Таблица1[коэф],"1",Таблица1[р/р],"2/8",Таблица1[Ф. И. О.],B792)</f>
        <v>0</v>
      </c>
      <c r="L787" s="360">
        <f t="shared" si="260"/>
        <v>0</v>
      </c>
      <c r="M787" s="405"/>
      <c r="N787" s="405">
        <v>1</v>
      </c>
      <c r="O787" s="405">
        <f>SUMIFS(Data_Tech!$AM$3:$AM$67,Data_Tech!$E$3:$E$67,"1",Data_Tech!$G$3:$G$67,"3/12",Data_Tech!$F$3:$F$67,B792)</f>
        <v>0</v>
      </c>
      <c r="P787" s="362">
        <f>ROUND(M787*N787*O787,2)</f>
        <v>0</v>
      </c>
      <c r="Q787" s="354">
        <f>IF(D787&lt;=3,база!$L$4,
IF(D787=4,база!$L$5,
IF(D787=5,база!$L$6)))</f>
        <v>231.45480000000001</v>
      </c>
      <c r="R787" s="355">
        <v>1</v>
      </c>
      <c r="S787" s="364">
        <f>SUMIFS(Таблица1[Столбец1],Таблица1[коэф],"1",Таблица1[р/р],"3/16",Таблица1[Ф. И. О.],B792)</f>
        <v>0</v>
      </c>
      <c r="T787" s="467">
        <f t="shared" si="261"/>
        <v>0</v>
      </c>
      <c r="U787" s="454">
        <f>IF(D787&lt;=3,база!$M$4,
IF(D787=4,база!$M$5,
IF(D787=5,база!$M$6)))</f>
        <v>247.41720000000001</v>
      </c>
      <c r="V787" s="355">
        <v>1</v>
      </c>
      <c r="W787" s="407">
        <f>SUMIFS(Таблица1[Столбец1],Таблица1[коэф],"1",Таблица1[р/р],"3/24",Таблица1[Ф. И. О.],B792)</f>
        <v>0</v>
      </c>
      <c r="X787" s="467">
        <f t="shared" si="262"/>
        <v>0</v>
      </c>
      <c r="Y787" s="777">
        <f t="shared" ref="Y787" si="270">SUM(G787:G797,K787:K797,O787:O797,S787:S797,W787:W797)</f>
        <v>0</v>
      </c>
      <c r="Z787" s="750">
        <f t="shared" si="264"/>
        <v>0</v>
      </c>
      <c r="AA787" s="740"/>
    </row>
    <row r="788" spans="1:29" ht="18.75" customHeight="1">
      <c r="A788" s="740"/>
      <c r="B788" s="201"/>
      <c r="C788" s="743"/>
      <c r="D788" s="746"/>
      <c r="E788" s="366">
        <f>IF(D787&lt;=3,база!$I$4,
IF(D787=4,база!$I$5,
IF(D787=5,база!$I$6)))</f>
        <v>207.5112</v>
      </c>
      <c r="F788" s="367">
        <v>1</v>
      </c>
      <c r="G788" s="520">
        <f>SUMIFS(Таблица1[Столбец1],Таблица1[коэф],"1",Таблица1[р/р],"3/4",Таблица1[Ф. И. О.],B792)</f>
        <v>0</v>
      </c>
      <c r="H788" s="661">
        <f>ROUND(E788*F788*G788*2,2)</f>
        <v>0</v>
      </c>
      <c r="I788" s="409">
        <f>IF(D787&lt;=3,база!$J$4,
IF(D787=4,база!$J$5,
IF(D787=5,база!$J$6)))</f>
        <v>215.4924</v>
      </c>
      <c r="J788" s="410">
        <v>1</v>
      </c>
      <c r="K788" s="411">
        <f>SUMIFS(Таблица1[Столбец1],Таблица1[коэф],"1",Таблица1[р/р],"3/8",Таблица1[Ф. И. О.],B792)</f>
        <v>0</v>
      </c>
      <c r="L788" s="461">
        <f t="shared" si="260"/>
        <v>0</v>
      </c>
      <c r="M788" s="411"/>
      <c r="N788" s="411">
        <v>1</v>
      </c>
      <c r="O788" s="411">
        <f>SUMIFS(Data_Tech!$AM$3:$AM$67,Data_Tech!$E$3:$E$67,"1",Data_Tech!$G$3:$G$67,"4/12",Data_Tech!$F$3:$F$67,B792)</f>
        <v>0</v>
      </c>
      <c r="P788" s="383">
        <f>ROUND(M788*O788,2)</f>
        <v>0</v>
      </c>
      <c r="Q788" s="366">
        <f>база!$L$5</f>
        <v>231.45480000000001</v>
      </c>
      <c r="R788" s="367">
        <v>1</v>
      </c>
      <c r="S788" s="377">
        <f>SUMIFS(Таблица1[Столбец1],Таблица1[коэф],"1",Таблица1[р/р],"4/16",Таблица1[Ф. И. О.],B792)</f>
        <v>0</v>
      </c>
      <c r="T788" s="469">
        <f t="shared" si="261"/>
        <v>0</v>
      </c>
      <c r="U788" s="455">
        <f>база!$M$5</f>
        <v>247.41720000000001</v>
      </c>
      <c r="V788" s="367">
        <v>1</v>
      </c>
      <c r="W788" s="389">
        <f>SUMIFS(Таблица1[Столбец1],Таблица1[коэф],"1",Таблица1[р/р],"4/24",Таблица1[Ф. И. О.],B792)</f>
        <v>0</v>
      </c>
      <c r="X788" s="469">
        <f t="shared" si="262"/>
        <v>0</v>
      </c>
      <c r="Y788" s="748"/>
      <c r="Z788" s="750"/>
      <c r="AA788" s="740"/>
    </row>
    <row r="789" spans="1:29" ht="18.75" customHeight="1">
      <c r="A789" s="740"/>
      <c r="B789" s="201"/>
      <c r="C789" s="743"/>
      <c r="D789" s="746"/>
      <c r="E789" s="366"/>
      <c r="F789" s="367"/>
      <c r="G789" s="520"/>
      <c r="H789" s="661">
        <f t="shared" ref="H789:H797" si="271">ROUND(E789*F789*G789*2,2)</f>
        <v>0</v>
      </c>
      <c r="I789" s="409"/>
      <c r="J789" s="410"/>
      <c r="K789" s="411"/>
      <c r="L789" s="461">
        <f t="shared" si="260"/>
        <v>0</v>
      </c>
      <c r="M789" s="411"/>
      <c r="N789" s="411"/>
      <c r="O789" s="411"/>
      <c r="P789" s="383"/>
      <c r="Q789" s="366">
        <f>база!$L$6</f>
        <v>261.04640000000001</v>
      </c>
      <c r="R789" s="367">
        <v>1</v>
      </c>
      <c r="S789" s="377">
        <f>SUMIFS(Таблица1[Столбец1],Таблица1[коэф],"1",Таблица1[р/р],"5/16",Таблица1[Ф. И. О.],B792)</f>
        <v>0</v>
      </c>
      <c r="T789" s="469">
        <f t="shared" si="261"/>
        <v>0</v>
      </c>
      <c r="U789" s="455">
        <f>база!$M$6</f>
        <v>279.0496</v>
      </c>
      <c r="V789" s="367">
        <v>1</v>
      </c>
      <c r="W789" s="389">
        <f>SUMIFS(Таблица1[Столбец1],Таблица1[коэф],"1",Таблица1[р/р],"5/24",Таблица1[Ф. И. О.],B792)</f>
        <v>0</v>
      </c>
      <c r="X789" s="469">
        <f t="shared" si="262"/>
        <v>0</v>
      </c>
      <c r="Y789" s="748"/>
      <c r="Z789" s="750"/>
      <c r="AA789" s="740"/>
    </row>
    <row r="790" spans="1:29" ht="18.75" customHeight="1">
      <c r="A790" s="740"/>
      <c r="B790" s="201"/>
      <c r="C790" s="743"/>
      <c r="D790" s="746"/>
      <c r="E790" s="366"/>
      <c r="F790" s="367"/>
      <c r="G790" s="520"/>
      <c r="H790" s="661">
        <f t="shared" si="271"/>
        <v>0</v>
      </c>
      <c r="I790" s="409">
        <f>база!$J$5</f>
        <v>215.4924</v>
      </c>
      <c r="J790" s="410">
        <v>1.5</v>
      </c>
      <c r="K790" s="411">
        <f>SUMIFS(Таблица1[Столбец1],Таблица1[коэф],"1,5",Таблица1[р/р],"4/8",Таблица1[Ф. И. О.],B792)</f>
        <v>0</v>
      </c>
      <c r="L790" s="461">
        <f t="shared" si="260"/>
        <v>0</v>
      </c>
      <c r="M790" s="411"/>
      <c r="N790" s="411"/>
      <c r="O790" s="411"/>
      <c r="P790" s="383"/>
      <c r="Q790" s="366">
        <f>IF(D787&lt;=3,база!$L$4,
IF(D787=4,база!$L$5,
IF(D787=5,база!$L$6)))</f>
        <v>231.45480000000001</v>
      </c>
      <c r="R790" s="367">
        <v>1.2</v>
      </c>
      <c r="S790" s="377">
        <f>SUMIFS(Таблица1[Столбец1],Таблица1[коэф],"1,2",Таблица1[р/р],"3/16",Таблица1[Ф. И. О.],B792)</f>
        <v>0</v>
      </c>
      <c r="T790" s="469">
        <f t="shared" si="261"/>
        <v>0</v>
      </c>
      <c r="U790" s="455">
        <f>IF(D787&lt;=3,база!$M$4,
IF(D787=4,база!$M$5,
IF(D787=5,база!$M$6)))</f>
        <v>247.41720000000001</v>
      </c>
      <c r="V790" s="367">
        <v>1.2</v>
      </c>
      <c r="W790" s="389">
        <f>SUMIFS(Таблица1[Столбец1],Таблица1[коэф],"1,2",Таблица1[р/р],"3/24",Таблица1[Ф. И. О.],B792)</f>
        <v>0</v>
      </c>
      <c r="X790" s="469">
        <f t="shared" si="262"/>
        <v>0</v>
      </c>
      <c r="Y790" s="748"/>
      <c r="Z790" s="750"/>
      <c r="AA790" s="740"/>
    </row>
    <row r="791" spans="1:29" ht="18.75" customHeight="1">
      <c r="A791" s="740"/>
      <c r="B791" s="201"/>
      <c r="C791" s="743"/>
      <c r="D791" s="746"/>
      <c r="E791" s="366"/>
      <c r="F791" s="367"/>
      <c r="G791" s="520"/>
      <c r="H791" s="661">
        <f t="shared" si="271"/>
        <v>0</v>
      </c>
      <c r="I791" s="409">
        <f>база!$J$6</f>
        <v>243.04319999999998</v>
      </c>
      <c r="J791" s="410">
        <v>1.5</v>
      </c>
      <c r="K791" s="411">
        <f>SUMIFS(Таблица1[Столбец1],Таблица1[коэф],"1,5",Таблица1[р/р],"5/8",Таблица1[Ф. И. О.],B792)</f>
        <v>0</v>
      </c>
      <c r="L791" s="461">
        <f t="shared" si="260"/>
        <v>0</v>
      </c>
      <c r="M791" s="411"/>
      <c r="N791" s="411"/>
      <c r="O791" s="411"/>
      <c r="P791" s="383"/>
      <c r="Q791" s="366">
        <f>база!$L$5</f>
        <v>231.45480000000001</v>
      </c>
      <c r="R791" s="367">
        <v>1.2</v>
      </c>
      <c r="S791" s="377">
        <f>SUMIFS(Таблица1[Столбец1],Таблица1[коэф],"1,2",Таблица1[р/р],"4/16",Таблица1[Ф. И. О.],B792)</f>
        <v>0</v>
      </c>
      <c r="T791" s="469">
        <f t="shared" si="261"/>
        <v>0</v>
      </c>
      <c r="U791" s="455">
        <f>база!$M$5</f>
        <v>247.41720000000001</v>
      </c>
      <c r="V791" s="367">
        <v>1.2</v>
      </c>
      <c r="W791" s="389">
        <f>SUMIFS(Таблица1[Столбец1],Таблица1[коэф],"1,2",Таблица1[р/р],"4/24",Таблица1[Ф. И. О.],B792)</f>
        <v>0</v>
      </c>
      <c r="X791" s="469">
        <f t="shared" si="262"/>
        <v>0</v>
      </c>
      <c r="Y791" s="748"/>
      <c r="Z791" s="750"/>
      <c r="AA791" s="740"/>
    </row>
    <row r="792" spans="1:29" ht="18.75" customHeight="1">
      <c r="A792" s="740"/>
      <c r="B792" s="201" t="str">
        <f>база!B73</f>
        <v>Томилова Антонина Викторовна</v>
      </c>
      <c r="C792" s="743"/>
      <c r="D792" s="746"/>
      <c r="E792" s="366"/>
      <c r="F792" s="367"/>
      <c r="G792" s="520"/>
      <c r="H792" s="661">
        <f t="shared" si="271"/>
        <v>0</v>
      </c>
      <c r="I792" s="409"/>
      <c r="J792" s="410"/>
      <c r="K792" s="411"/>
      <c r="L792" s="461">
        <f t="shared" si="260"/>
        <v>0</v>
      </c>
      <c r="M792" s="411"/>
      <c r="N792" s="411"/>
      <c r="O792" s="411"/>
      <c r="P792" s="383"/>
      <c r="Q792" s="366">
        <f>база!$L$6</f>
        <v>261.04640000000001</v>
      </c>
      <c r="R792" s="367">
        <v>1.2</v>
      </c>
      <c r="S792" s="377">
        <f>SUMIFS(Таблица1[Столбец1],Таблица1[коэф],"1,2",Таблица1[р/р],"5/16",Таблица1[Ф. И. О.],B792)</f>
        <v>0</v>
      </c>
      <c r="T792" s="469">
        <f t="shared" si="261"/>
        <v>0</v>
      </c>
      <c r="U792" s="455">
        <f>база!$M$6</f>
        <v>279.0496</v>
      </c>
      <c r="V792" s="367">
        <v>1.2</v>
      </c>
      <c r="W792" s="389">
        <f>SUMIFS(Таблица1[Столбец1],Таблица1[коэф],"1,2",Таблица1[р/р],"5/24",Таблица1[Ф. И. О.],B792)</f>
        <v>0</v>
      </c>
      <c r="X792" s="469">
        <f t="shared" si="262"/>
        <v>0</v>
      </c>
      <c r="Y792" s="748"/>
      <c r="Z792" s="750"/>
      <c r="AA792" s="740"/>
      <c r="AC792" s="693" t="str">
        <f>IF(SUMIFS(Таблица1[Столбец3],Таблица1[Ф. И. О.],B792)-Z787=0,"",SUMIFS(Таблица1[Столбец3],Таблица1[Ф. И. О.],B792)-Z787)</f>
        <v/>
      </c>
    </row>
    <row r="793" spans="1:29" ht="18.75" customHeight="1">
      <c r="A793" s="740"/>
      <c r="B793" s="201"/>
      <c r="C793" s="743"/>
      <c r="D793" s="746"/>
      <c r="E793" s="366"/>
      <c r="F793" s="367"/>
      <c r="G793" s="520"/>
      <c r="H793" s="661">
        <f t="shared" si="271"/>
        <v>0</v>
      </c>
      <c r="I793" s="409"/>
      <c r="J793" s="410"/>
      <c r="K793" s="411"/>
      <c r="L793" s="461">
        <f t="shared" si="260"/>
        <v>0</v>
      </c>
      <c r="M793" s="411"/>
      <c r="N793" s="411"/>
      <c r="O793" s="411"/>
      <c r="P793" s="383"/>
      <c r="Q793" s="366">
        <f>IF($D$6&lt;=3,база!$L$4,
IF($D$6=4,база!$L$5,
IF($D$6=5,база!$L$6)))</f>
        <v>231.45480000000001</v>
      </c>
      <c r="R793" s="367">
        <v>1.3</v>
      </c>
      <c r="S793" s="377">
        <f>SUMIFS(Таблица1[Столбец1],Таблица1[коэф],"1,3",Таблица1[р/р],"3/16",Таблица1[Ф. И. О.],B792)</f>
        <v>0</v>
      </c>
      <c r="T793" s="469">
        <f t="shared" si="261"/>
        <v>0</v>
      </c>
      <c r="U793" s="455">
        <f>IF(D787&lt;=3,база!$M$4,
IF(D787=4,база!$M$5,
IF(D787=5,база!$M$6)))</f>
        <v>247.41720000000001</v>
      </c>
      <c r="V793" s="367">
        <v>1.3</v>
      </c>
      <c r="W793" s="389">
        <f>SUMIFS(Таблица1[Столбец1],Таблица1[коэф],"1,3",Таблица1[р/р],"3/24",Таблица1[Ф. И. О.],B792)</f>
        <v>0</v>
      </c>
      <c r="X793" s="469">
        <f t="shared" si="262"/>
        <v>0</v>
      </c>
      <c r="Y793" s="748"/>
      <c r="Z793" s="750"/>
      <c r="AA793" s="740"/>
      <c r="AC793" s="693" t="str">
        <f>IF(SUMIFS(Таблица1[Столбец1],Таблица1[Ф. И. О.],B792)=Y787,"",B792&amp;"  часы не верны")</f>
        <v/>
      </c>
    </row>
    <row r="794" spans="1:29" ht="18.75" customHeight="1">
      <c r="A794" s="740"/>
      <c r="B794" s="201"/>
      <c r="C794" s="743"/>
      <c r="D794" s="746"/>
      <c r="E794" s="366"/>
      <c r="F794" s="367"/>
      <c r="G794" s="520"/>
      <c r="H794" s="661">
        <f t="shared" si="271"/>
        <v>0</v>
      </c>
      <c r="I794" s="409"/>
      <c r="J794" s="410"/>
      <c r="K794" s="411"/>
      <c r="L794" s="461">
        <f t="shared" si="260"/>
        <v>0</v>
      </c>
      <c r="M794" s="411"/>
      <c r="N794" s="411"/>
      <c r="O794" s="411"/>
      <c r="P794" s="383"/>
      <c r="Q794" s="366">
        <f>база!$L$5</f>
        <v>231.45480000000001</v>
      </c>
      <c r="R794" s="367">
        <v>1.3</v>
      </c>
      <c r="S794" s="377">
        <f>SUMIFS(Таблица1[Столбец1],Таблица1[коэф],"1,3",Таблица1[р/р],"4/16",Таблица1[Ф. И. О.],B792)</f>
        <v>0</v>
      </c>
      <c r="T794" s="469">
        <f t="shared" si="261"/>
        <v>0</v>
      </c>
      <c r="U794" s="455">
        <f>база!$M$5</f>
        <v>247.41720000000001</v>
      </c>
      <c r="V794" s="367">
        <v>1.3</v>
      </c>
      <c r="W794" s="389">
        <f>SUMIFS(Таблица1[Столбец1],Таблица1[коэф],"1,3",Таблица1[р/р],"4/24",Таблица1[Ф. И. О.],B792)</f>
        <v>0</v>
      </c>
      <c r="X794" s="469">
        <f t="shared" si="262"/>
        <v>0</v>
      </c>
      <c r="Y794" s="748"/>
      <c r="Z794" s="750"/>
      <c r="AA794" s="740"/>
    </row>
    <row r="795" spans="1:29" ht="18.75" customHeight="1">
      <c r="A795" s="740"/>
      <c r="B795" s="201"/>
      <c r="C795" s="743"/>
      <c r="D795" s="746"/>
      <c r="E795" s="366"/>
      <c r="F795" s="367"/>
      <c r="G795" s="520"/>
      <c r="H795" s="661">
        <f t="shared" si="271"/>
        <v>0</v>
      </c>
      <c r="I795" s="409"/>
      <c r="J795" s="410"/>
      <c r="K795" s="411"/>
      <c r="L795" s="461">
        <f t="shared" si="260"/>
        <v>0</v>
      </c>
      <c r="M795" s="411"/>
      <c r="N795" s="411"/>
      <c r="O795" s="411"/>
      <c r="P795" s="383"/>
      <c r="Q795" s="366">
        <f>IF(D787&lt;=3,база!$L$4,
IF(D787=4,база!$L$5,
IF(D787=5,база!$L$6)))</f>
        <v>231.45480000000001</v>
      </c>
      <c r="R795" s="367">
        <v>1.4</v>
      </c>
      <c r="S795" s="377">
        <f>SUMIFS(Таблица1[Столбец1],Таблица1[коэф],"1,4",Таблица1[р/р],"3/16",Таблица1[Ф. И. О.],B792)</f>
        <v>0</v>
      </c>
      <c r="T795" s="469">
        <f t="shared" si="261"/>
        <v>0</v>
      </c>
      <c r="U795" s="455">
        <f>IF(D787&lt;=3,база!$M$4,
IF(D787=4,база!$M$5,
IF(D787=5,база!$M$6)))</f>
        <v>247.41720000000001</v>
      </c>
      <c r="V795" s="367">
        <v>1.4</v>
      </c>
      <c r="W795" s="389">
        <f>SUMIFS(Таблица1[Столбец1],Таблица1[коэф],"1,4",Таблица1[р/р],"3/24",Таблица1[Ф. И. О.],B792)</f>
        <v>0</v>
      </c>
      <c r="X795" s="469">
        <f t="shared" si="262"/>
        <v>0</v>
      </c>
      <c r="Y795" s="748"/>
      <c r="Z795" s="750"/>
      <c r="AA795" s="740"/>
    </row>
    <row r="796" spans="1:29" ht="18.75" customHeight="1">
      <c r="A796" s="740"/>
      <c r="B796" s="201"/>
      <c r="C796" s="743"/>
      <c r="D796" s="746"/>
      <c r="E796" s="366"/>
      <c r="F796" s="367"/>
      <c r="G796" s="520"/>
      <c r="H796" s="661">
        <f t="shared" si="271"/>
        <v>0</v>
      </c>
      <c r="I796" s="409"/>
      <c r="J796" s="410"/>
      <c r="K796" s="411"/>
      <c r="L796" s="461">
        <f t="shared" si="260"/>
        <v>0</v>
      </c>
      <c r="M796" s="411"/>
      <c r="N796" s="411"/>
      <c r="O796" s="411"/>
      <c r="P796" s="383"/>
      <c r="Q796" s="366">
        <f>база!$L$5</f>
        <v>231.45480000000001</v>
      </c>
      <c r="R796" s="367">
        <v>1.4</v>
      </c>
      <c r="S796" s="377">
        <f>SUMIFS(Таблица1[Столбец1],Таблица1[коэф],"1,4",Таблица1[р/р],"4/16",Таблица1[Ф. И. О.],B792)</f>
        <v>0</v>
      </c>
      <c r="T796" s="469">
        <f t="shared" si="261"/>
        <v>0</v>
      </c>
      <c r="U796" s="455">
        <f>база!$M$5</f>
        <v>247.41720000000001</v>
      </c>
      <c r="V796" s="367">
        <v>1.4</v>
      </c>
      <c r="W796" s="389">
        <f>SUMIFS(Таблица1[Столбец1],Таблица1[коэф],"1,4",Таблица1[р/р],"4/24",Таблица1[Ф. И. О.],B792)</f>
        <v>0</v>
      </c>
      <c r="X796" s="469">
        <f t="shared" si="262"/>
        <v>0</v>
      </c>
      <c r="Y796" s="748"/>
      <c r="Z796" s="750"/>
      <c r="AA796" s="740"/>
    </row>
    <row r="797" spans="1:29" ht="19.5" customHeight="1" thickBot="1">
      <c r="A797" s="741"/>
      <c r="B797" s="329"/>
      <c r="C797" s="744"/>
      <c r="D797" s="747"/>
      <c r="E797" s="458"/>
      <c r="F797" s="394"/>
      <c r="G797" s="658"/>
      <c r="H797" s="662">
        <f t="shared" si="271"/>
        <v>0</v>
      </c>
      <c r="I797" s="625"/>
      <c r="J797" s="588"/>
      <c r="K797" s="626"/>
      <c r="L797" s="513">
        <f t="shared" si="260"/>
        <v>0</v>
      </c>
      <c r="M797" s="625"/>
      <c r="N797" s="626"/>
      <c r="O797" s="626"/>
      <c r="P797" s="514"/>
      <c r="Q797" s="627">
        <f>база!$L$6</f>
        <v>261.04640000000001</v>
      </c>
      <c r="R797" s="423">
        <v>1.4</v>
      </c>
      <c r="S797" s="424">
        <f>SUMIFS(Таблица1[Столбец1],Таблица1[коэф],"1,4",Таблица1[р/р],"5/16",Таблица1[Ф. И. О.],B792)</f>
        <v>0</v>
      </c>
      <c r="T797" s="663">
        <f t="shared" si="261"/>
        <v>0</v>
      </c>
      <c r="U797" s="512">
        <f>база!$M$6</f>
        <v>279.0496</v>
      </c>
      <c r="V797" s="441">
        <v>1.4</v>
      </c>
      <c r="W797" s="424">
        <f>SUMIFS(Таблица1[Столбец1],Таблица1[коэф],"1,4",Таблица1[р/р],"5/24",Таблица1[Ф. И. О.],B792)</f>
        <v>0</v>
      </c>
      <c r="X797" s="663">
        <f t="shared" si="262"/>
        <v>0</v>
      </c>
      <c r="Y797" s="749"/>
      <c r="Z797" s="751"/>
      <c r="AA797" s="741"/>
    </row>
    <row r="798" spans="1:29" s="465" customFormat="1" ht="10.5" customHeight="1">
      <c r="A798" s="781"/>
      <c r="B798" s="782"/>
      <c r="C798" s="782"/>
      <c r="D798" s="782"/>
      <c r="E798" s="782"/>
      <c r="F798" s="782"/>
      <c r="G798" s="782"/>
      <c r="H798" s="782"/>
      <c r="I798" s="782"/>
      <c r="J798" s="782"/>
      <c r="K798" s="782"/>
      <c r="L798" s="782"/>
      <c r="M798" s="782"/>
      <c r="N798" s="782"/>
      <c r="O798" s="782"/>
      <c r="P798" s="782"/>
      <c r="Q798" s="782"/>
      <c r="R798" s="782"/>
      <c r="S798" s="782"/>
      <c r="T798" s="782"/>
      <c r="U798" s="782"/>
      <c r="V798" s="782"/>
      <c r="W798" s="782"/>
      <c r="X798" s="783"/>
      <c r="Y798" s="790">
        <f>SUM(Y6:Y797)</f>
        <v>0</v>
      </c>
      <c r="Z798" s="790">
        <f>SUM(Z6:Z797)</f>
        <v>0</v>
      </c>
      <c r="AA798" s="739"/>
      <c r="AC798" s="693"/>
    </row>
    <row r="799" spans="1:29" s="465" customFormat="1" ht="10.5" customHeight="1">
      <c r="A799" s="784"/>
      <c r="B799" s="785"/>
      <c r="C799" s="785"/>
      <c r="D799" s="785"/>
      <c r="E799" s="785"/>
      <c r="F799" s="785"/>
      <c r="G799" s="785"/>
      <c r="H799" s="785"/>
      <c r="I799" s="785"/>
      <c r="J799" s="785"/>
      <c r="K799" s="785"/>
      <c r="L799" s="785"/>
      <c r="M799" s="785"/>
      <c r="N799" s="785"/>
      <c r="O799" s="785"/>
      <c r="P799" s="785"/>
      <c r="Q799" s="785"/>
      <c r="R799" s="785"/>
      <c r="S799" s="785"/>
      <c r="T799" s="785"/>
      <c r="U799" s="785"/>
      <c r="V799" s="785"/>
      <c r="W799" s="785"/>
      <c r="X799" s="786"/>
      <c r="Y799" s="740"/>
      <c r="Z799" s="740"/>
      <c r="AA799" s="740"/>
      <c r="AC799" s="693"/>
    </row>
    <row r="800" spans="1:29" s="465" customFormat="1" ht="12.75" customHeight="1" thickBot="1">
      <c r="A800" s="787"/>
      <c r="B800" s="788"/>
      <c r="C800" s="788"/>
      <c r="D800" s="788"/>
      <c r="E800" s="788"/>
      <c r="F800" s="788"/>
      <c r="G800" s="788"/>
      <c r="H800" s="788"/>
      <c r="I800" s="788"/>
      <c r="J800" s="788"/>
      <c r="K800" s="788"/>
      <c r="L800" s="788"/>
      <c r="M800" s="788"/>
      <c r="N800" s="788"/>
      <c r="O800" s="788"/>
      <c r="P800" s="788"/>
      <c r="Q800" s="788"/>
      <c r="R800" s="788"/>
      <c r="S800" s="788"/>
      <c r="T800" s="788"/>
      <c r="U800" s="788"/>
      <c r="V800" s="788"/>
      <c r="W800" s="788"/>
      <c r="X800" s="789"/>
      <c r="Y800" s="741"/>
      <c r="Z800" s="741"/>
      <c r="AA800" s="741"/>
      <c r="AC800" s="693"/>
    </row>
    <row r="801" spans="5:18" ht="13.5" customHeight="1"/>
    <row r="802" spans="5:18" ht="13.5" customHeight="1">
      <c r="E802" s="175" t="s">
        <v>250</v>
      </c>
      <c r="F802" s="175"/>
      <c r="G802" s="168"/>
      <c r="H802" s="172"/>
      <c r="J802" s="171"/>
      <c r="L802" s="172"/>
      <c r="N802" s="171"/>
      <c r="P802" s="172"/>
      <c r="R802" s="171"/>
    </row>
    <row r="803" spans="5:18" ht="13.5" customHeight="1">
      <c r="E803" s="176"/>
      <c r="F803" s="177"/>
      <c r="I803" s="168"/>
      <c r="K803" s="175"/>
      <c r="L803" s="178"/>
      <c r="M803" s="179"/>
      <c r="N803" s="180"/>
      <c r="O803" s="180"/>
      <c r="P803" s="181"/>
      <c r="Q803" s="181"/>
      <c r="R803" s="171"/>
    </row>
    <row r="804" spans="5:18" ht="15" customHeight="1">
      <c r="E804" s="175" t="s">
        <v>72</v>
      </c>
      <c r="F804" s="175"/>
      <c r="I804" s="168"/>
      <c r="K804" s="182"/>
      <c r="L804" s="183"/>
      <c r="M804" s="183"/>
      <c r="N804" s="184"/>
      <c r="O804" s="184"/>
      <c r="P804" s="183"/>
      <c r="Q804" s="183"/>
      <c r="R804" s="171"/>
    </row>
    <row r="805" spans="5:18" ht="11.25" customHeight="1">
      <c r="E805" s="175"/>
      <c r="F805" s="175"/>
      <c r="I805" s="168"/>
      <c r="K805" s="175"/>
      <c r="L805" s="178"/>
      <c r="M805" s="185"/>
      <c r="N805" s="186"/>
      <c r="O805" s="186"/>
      <c r="P805" s="187"/>
      <c r="Q805" s="187"/>
      <c r="R805" s="171"/>
    </row>
    <row r="806" spans="5:18" ht="18.75">
      <c r="E806" s="175" t="s">
        <v>73</v>
      </c>
      <c r="F806" s="175"/>
      <c r="I806" s="168"/>
      <c r="K806" s="175"/>
      <c r="L806" s="178"/>
      <c r="M806" s="179"/>
      <c r="N806" s="180"/>
      <c r="O806" s="180"/>
      <c r="P806" s="181"/>
      <c r="Q806" s="181"/>
      <c r="R806" s="171"/>
    </row>
    <row r="825" spans="29:29">
      <c r="AC825" s="693" t="e">
        <f>IF(SUMIFS([1]!Таблица1[Столбец3],[1]!Таблица1[Ф. И. О.],B825)=Z820,"",B825&amp;"  СУММА не верна")</f>
        <v>#REF!</v>
      </c>
    </row>
    <row r="826" spans="29:29">
      <c r="AC826" s="693" t="e">
        <f>IF(SUMIFS([1]!Таблица1[Столбец1],[1]!Таблица1[Ф. И. О.],B825)=Y820,"",B825&amp;"  часы не верны")</f>
        <v>#REF!</v>
      </c>
    </row>
    <row r="836" spans="29:29">
      <c r="AC836" s="693" t="e">
        <f>IF(SUMIFS([1]!Таблица1[Столбец3],[1]!Таблица1[Ф. И. О.],B836)=Z831,"",B836&amp;"  СУММА не верна")</f>
        <v>#REF!</v>
      </c>
    </row>
    <row r="837" spans="29:29">
      <c r="AC837" s="693" t="e">
        <f>IF(SUMIFS([1]!Таблица1[Столбец1],[1]!Таблица1[Ф. И. О.],B836)=Y831,"",B836&amp;"  часы не верны")</f>
        <v>#REF!</v>
      </c>
    </row>
    <row r="842" spans="29:29">
      <c r="AC842" s="694"/>
    </row>
    <row r="843" spans="29:29">
      <c r="AC843" s="694"/>
    </row>
    <row r="844" spans="29:29">
      <c r="AC844" s="694"/>
    </row>
  </sheetData>
  <sheetProtection selectLockedCells="1" selectUnlockedCells="1"/>
  <mergeCells count="449">
    <mergeCell ref="A479:A489"/>
    <mergeCell ref="C479:C489"/>
    <mergeCell ref="D479:D489"/>
    <mergeCell ref="Y479:Y489"/>
    <mergeCell ref="Z479:Z489"/>
    <mergeCell ref="AA479:AA489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798:X800"/>
    <mergeCell ref="Y798:Y800"/>
    <mergeCell ref="Z798:Z800"/>
    <mergeCell ref="AA798:AA800"/>
    <mergeCell ref="A787:A797"/>
    <mergeCell ref="C787:C797"/>
    <mergeCell ref="D787:D797"/>
    <mergeCell ref="Y787:Y797"/>
    <mergeCell ref="Z787:Z797"/>
    <mergeCell ref="AA787:AA797"/>
    <mergeCell ref="A501:A511"/>
    <mergeCell ref="C501:C511"/>
    <mergeCell ref="D501:D511"/>
    <mergeCell ref="Y501:Y511"/>
    <mergeCell ref="Z501:Z511"/>
    <mergeCell ref="AA501:AA511"/>
    <mergeCell ref="A490:A500"/>
    <mergeCell ref="C490:C500"/>
    <mergeCell ref="D490:D500"/>
    <mergeCell ref="Y490:Y500"/>
    <mergeCell ref="Z490:Z500"/>
    <mergeCell ref="AA490:AA500"/>
    <mergeCell ref="A226:A236"/>
    <mergeCell ref="C226:C236"/>
    <mergeCell ref="D226:D236"/>
    <mergeCell ref="Y226:Y236"/>
    <mergeCell ref="Z226:Z236"/>
    <mergeCell ref="AA226:AA236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39:A49"/>
    <mergeCell ref="C39:C49"/>
    <mergeCell ref="D39:D49"/>
    <mergeCell ref="Y39:Y49"/>
    <mergeCell ref="Z39:Z49"/>
    <mergeCell ref="AA39:AA49"/>
    <mergeCell ref="AA6:AA16"/>
    <mergeCell ref="A28:A38"/>
    <mergeCell ref="C28:C38"/>
    <mergeCell ref="D28:D38"/>
    <mergeCell ref="Y28:Y38"/>
    <mergeCell ref="Z28:Z38"/>
    <mergeCell ref="AA28:AA38"/>
    <mergeCell ref="A17:A27"/>
    <mergeCell ref="C17:C27"/>
    <mergeCell ref="D17:D27"/>
    <mergeCell ref="Y17:Y27"/>
    <mergeCell ref="Z17:Z27"/>
    <mergeCell ref="AA17:AA27"/>
    <mergeCell ref="A259:A269"/>
    <mergeCell ref="C259:C269"/>
    <mergeCell ref="D259:D269"/>
    <mergeCell ref="Y259:Y269"/>
    <mergeCell ref="Z259:Z269"/>
    <mergeCell ref="AA259:AA269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270:A280"/>
    <mergeCell ref="C270:C280"/>
    <mergeCell ref="D270:D280"/>
    <mergeCell ref="Y270:Y280"/>
    <mergeCell ref="Z270:Z280"/>
    <mergeCell ref="AA270:AA280"/>
    <mergeCell ref="A292:A302"/>
    <mergeCell ref="C292:C302"/>
    <mergeCell ref="D292:D302"/>
    <mergeCell ref="Y292:Y302"/>
    <mergeCell ref="Z292:Z302"/>
    <mergeCell ref="AA292:AA302"/>
    <mergeCell ref="A281:A291"/>
    <mergeCell ref="C281:C291"/>
    <mergeCell ref="D281:D291"/>
    <mergeCell ref="Y281:Y291"/>
    <mergeCell ref="Z281:Z291"/>
    <mergeCell ref="AA281:AA291"/>
    <mergeCell ref="A314:A324"/>
    <mergeCell ref="C314:C324"/>
    <mergeCell ref="D314:D324"/>
    <mergeCell ref="Y314:Y324"/>
    <mergeCell ref="Z314:Z324"/>
    <mergeCell ref="AA314:AA324"/>
    <mergeCell ref="A303:A313"/>
    <mergeCell ref="C303:C313"/>
    <mergeCell ref="D303:D313"/>
    <mergeCell ref="Y303:Y313"/>
    <mergeCell ref="Z303:Z313"/>
    <mergeCell ref="AA303:AA313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25:Y335"/>
    <mergeCell ref="Z325:Z335"/>
    <mergeCell ref="AA325:AA335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Y347:Y357"/>
    <mergeCell ref="Z347:Z357"/>
    <mergeCell ref="AA347:AA357"/>
    <mergeCell ref="A380:A390"/>
    <mergeCell ref="C380:C390"/>
    <mergeCell ref="D380:D390"/>
    <mergeCell ref="Y380:Y390"/>
    <mergeCell ref="Z380:Z390"/>
    <mergeCell ref="AA380:AA390"/>
    <mergeCell ref="A369:A379"/>
    <mergeCell ref="C369:C379"/>
    <mergeCell ref="D369:D379"/>
    <mergeCell ref="Y369:Y379"/>
    <mergeCell ref="Z369:Z379"/>
    <mergeCell ref="AA369:AA379"/>
    <mergeCell ref="A402:A412"/>
    <mergeCell ref="C402:C412"/>
    <mergeCell ref="D402:D412"/>
    <mergeCell ref="Y402:Y412"/>
    <mergeCell ref="Z402:Z412"/>
    <mergeCell ref="AA402:AA412"/>
    <mergeCell ref="A391:A401"/>
    <mergeCell ref="C391:C401"/>
    <mergeCell ref="D391:D401"/>
    <mergeCell ref="Y391:Y401"/>
    <mergeCell ref="Z391:Z401"/>
    <mergeCell ref="AA391:AA401"/>
    <mergeCell ref="A424:A434"/>
    <mergeCell ref="C424:C434"/>
    <mergeCell ref="D424:D434"/>
    <mergeCell ref="Y424:Y434"/>
    <mergeCell ref="Z424:Z434"/>
    <mergeCell ref="AA424:AA434"/>
    <mergeCell ref="A413:A423"/>
    <mergeCell ref="C413:C423"/>
    <mergeCell ref="D413:D423"/>
    <mergeCell ref="Y413:Y423"/>
    <mergeCell ref="Z413:Z423"/>
    <mergeCell ref="AA413:AA423"/>
    <mergeCell ref="A446:A456"/>
    <mergeCell ref="C446:C456"/>
    <mergeCell ref="D446:D456"/>
    <mergeCell ref="Y446:Y456"/>
    <mergeCell ref="Z446:Z456"/>
    <mergeCell ref="AA446:AA456"/>
    <mergeCell ref="A435:A445"/>
    <mergeCell ref="C435:C445"/>
    <mergeCell ref="D435:D445"/>
    <mergeCell ref="Y435:Y445"/>
    <mergeCell ref="Z435:Z445"/>
    <mergeCell ref="AA435:AA445"/>
    <mergeCell ref="AA248:AA258"/>
    <mergeCell ref="Z248:Z258"/>
    <mergeCell ref="Y248:Y258"/>
    <mergeCell ref="D248:D258"/>
    <mergeCell ref="C248:C258"/>
    <mergeCell ref="A248:A258"/>
    <mergeCell ref="AA237:AA247"/>
    <mergeCell ref="Z237:Z247"/>
    <mergeCell ref="Y237:Y247"/>
    <mergeCell ref="D237:D247"/>
    <mergeCell ref="C237:C247"/>
    <mergeCell ref="A237:A247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</mergeCells>
  <conditionalFormatting sqref="W14:W15 U14:U15 E6:X6 V14:V236 E787:G796 V787:V797 U7:W11 E7:T16 T17:T27 M19:S27 M17:P18 E17:L27 I787:K796 M787:S796 E28:T236 X7:X236 X501:X511 T501:T511 L501:L511 H501:H511 H787:H797 L787:L797 T787:T797 X787:X797">
    <cfRule type="cellIs" dxfId="262" priority="78" operator="equal">
      <formula>0</formula>
    </cfRule>
  </conditionalFormatting>
  <conditionalFormatting sqref="E797:G797 W797 I797:K797 M797:S797 U797">
    <cfRule type="cellIs" dxfId="261" priority="77" operator="equal">
      <formula>0</formula>
    </cfRule>
  </conditionalFormatting>
  <conditionalFormatting sqref="V501:V511 E501:G511 I501:K511 M501:S511">
    <cfRule type="cellIs" dxfId="260" priority="75" operator="equal">
      <formula>0</formula>
    </cfRule>
  </conditionalFormatting>
  <conditionalFormatting sqref="V270:V280 E270:T280 X270:X280">
    <cfRule type="cellIs" dxfId="259" priority="71" operator="equal">
      <formula>0</formula>
    </cfRule>
  </conditionalFormatting>
  <conditionalFormatting sqref="V490:V500 E490:T500 X490:X500">
    <cfRule type="cellIs" dxfId="258" priority="59" operator="equal">
      <formula>0</formula>
    </cfRule>
  </conditionalFormatting>
  <conditionalFormatting sqref="V237:V247 E237:T247 X237:X247">
    <cfRule type="cellIs" dxfId="257" priority="74" operator="equal">
      <formula>0</formula>
    </cfRule>
  </conditionalFormatting>
  <conditionalFormatting sqref="V248:V258 E248:T258 X248:X258">
    <cfRule type="cellIs" dxfId="256" priority="73" operator="equal">
      <formula>0</formula>
    </cfRule>
  </conditionalFormatting>
  <conditionalFormatting sqref="V259:V269 E259:T269 X259:X269">
    <cfRule type="cellIs" dxfId="255" priority="72" operator="equal">
      <formula>0</formula>
    </cfRule>
  </conditionalFormatting>
  <conditionalFormatting sqref="V281:V291 E281:T291 X281:X291">
    <cfRule type="cellIs" dxfId="254" priority="70" operator="equal">
      <formula>0</formula>
    </cfRule>
  </conditionalFormatting>
  <conditionalFormatting sqref="V292:V302 E292:T302 X292:X302">
    <cfRule type="cellIs" dxfId="253" priority="69" operator="equal">
      <formula>0</formula>
    </cfRule>
  </conditionalFormatting>
  <conditionalFormatting sqref="V303:V313 E303:T313 X303:X313">
    <cfRule type="cellIs" dxfId="252" priority="68" operator="equal">
      <formula>0</formula>
    </cfRule>
  </conditionalFormatting>
  <conditionalFormatting sqref="V424:V434 E424:T434 X424:X434">
    <cfRule type="cellIs" dxfId="251" priority="55" operator="equal">
      <formula>0</formula>
    </cfRule>
  </conditionalFormatting>
  <conditionalFormatting sqref="V314:V324 E314:T324 X314:X324">
    <cfRule type="cellIs" dxfId="250" priority="67" operator="equal">
      <formula>0</formula>
    </cfRule>
  </conditionalFormatting>
  <conditionalFormatting sqref="V325:V335 E325:T335 X325:X335">
    <cfRule type="cellIs" dxfId="249" priority="66" operator="equal">
      <formula>0</formula>
    </cfRule>
  </conditionalFormatting>
  <conditionalFormatting sqref="V336:V346 E336:T346 X336:X346">
    <cfRule type="cellIs" dxfId="248" priority="65" operator="equal">
      <formula>0</formula>
    </cfRule>
  </conditionalFormatting>
  <conditionalFormatting sqref="V347:V357 E347:T357 X347:X357">
    <cfRule type="cellIs" dxfId="247" priority="64" operator="equal">
      <formula>0</formula>
    </cfRule>
  </conditionalFormatting>
  <conditionalFormatting sqref="V358:V368 E358:T368 X358:X368">
    <cfRule type="cellIs" dxfId="246" priority="63" operator="equal">
      <formula>0</formula>
    </cfRule>
  </conditionalFormatting>
  <conditionalFormatting sqref="V369:V379 E369:T379 X369:X379">
    <cfRule type="cellIs" dxfId="245" priority="62" operator="equal">
      <formula>0</formula>
    </cfRule>
  </conditionalFormatting>
  <conditionalFormatting sqref="V380:V390 E380:T390 X380:X390">
    <cfRule type="cellIs" dxfId="244" priority="61" operator="equal">
      <formula>0</formula>
    </cfRule>
  </conditionalFormatting>
  <conditionalFormatting sqref="V435:V445 E435:T445 X435:X445">
    <cfRule type="cellIs" dxfId="243" priority="60" operator="equal">
      <formula>0</formula>
    </cfRule>
  </conditionalFormatting>
  <conditionalFormatting sqref="V446:V456 E446:T456 X446:X456">
    <cfRule type="cellIs" dxfId="242" priority="54" operator="equal">
      <formula>0</formula>
    </cfRule>
  </conditionalFormatting>
  <conditionalFormatting sqref="V391:V401 E391:T401 X391:X401">
    <cfRule type="cellIs" dxfId="241" priority="58" operator="equal">
      <formula>0</formula>
    </cfRule>
  </conditionalFormatting>
  <conditionalFormatting sqref="V402:V412 E402:T412 X402:X412">
    <cfRule type="cellIs" dxfId="240" priority="57" operator="equal">
      <formula>0</formula>
    </cfRule>
  </conditionalFormatting>
  <conditionalFormatting sqref="V413:V423 E413:T423 X413:X423">
    <cfRule type="cellIs" dxfId="239" priority="56" operator="equal">
      <formula>0</formula>
    </cfRule>
  </conditionalFormatting>
  <conditionalFormatting sqref="V457:V467 E457:T467 X457:X467">
    <cfRule type="cellIs" dxfId="238" priority="53" operator="equal">
      <formula>0</formula>
    </cfRule>
  </conditionalFormatting>
  <conditionalFormatting sqref="V468:V478 E468:T478 X468:X478">
    <cfRule type="cellIs" dxfId="237" priority="52" operator="equal">
      <formula>0</formula>
    </cfRule>
  </conditionalFormatting>
  <conditionalFormatting sqref="V479:V489 E479:T489 X479:X489">
    <cfRule type="cellIs" dxfId="236" priority="51" operator="equal">
      <formula>0</formula>
    </cfRule>
  </conditionalFormatting>
  <conditionalFormatting sqref="X512:X522 T512:T522 L512:L522 H512:H522">
    <cfRule type="cellIs" dxfId="235" priority="50" operator="equal">
      <formula>0</formula>
    </cfRule>
  </conditionalFormatting>
  <conditionalFormatting sqref="V512:V522 E512:G522 I512:K522 M512:S522">
    <cfRule type="cellIs" dxfId="234" priority="49" operator="equal">
      <formula>0</formula>
    </cfRule>
  </conditionalFormatting>
  <conditionalFormatting sqref="X523:X533 T523:T533 L523:L533 H523:H533">
    <cfRule type="cellIs" dxfId="233" priority="48" operator="equal">
      <formula>0</formula>
    </cfRule>
  </conditionalFormatting>
  <conditionalFormatting sqref="V523:V533 E523:G533 I523:K533 M523:S533">
    <cfRule type="cellIs" dxfId="232" priority="47" operator="equal">
      <formula>0</formula>
    </cfRule>
  </conditionalFormatting>
  <conditionalFormatting sqref="X534:X544 T534:T544 L534:L544 H534:H544">
    <cfRule type="cellIs" dxfId="231" priority="46" operator="equal">
      <formula>0</formula>
    </cfRule>
  </conditionalFormatting>
  <conditionalFormatting sqref="V534:V544 E534:G544 I534:K544 M534:S544">
    <cfRule type="cellIs" dxfId="230" priority="45" operator="equal">
      <formula>0</formula>
    </cfRule>
  </conditionalFormatting>
  <conditionalFormatting sqref="X545:X555 T545:T555 L545:L555 H545:H555">
    <cfRule type="cellIs" dxfId="229" priority="44" operator="equal">
      <formula>0</formula>
    </cfRule>
  </conditionalFormatting>
  <conditionalFormatting sqref="V545:V555 E545:G555 I545:K555 M545:S555">
    <cfRule type="cellIs" dxfId="228" priority="43" operator="equal">
      <formula>0</formula>
    </cfRule>
  </conditionalFormatting>
  <conditionalFormatting sqref="X556:X566 T556:T566 L556:L566 H556:H566">
    <cfRule type="cellIs" dxfId="227" priority="42" operator="equal">
      <formula>0</formula>
    </cfRule>
  </conditionalFormatting>
  <conditionalFormatting sqref="V556:V566 E556:G566 I556:K566 M556:S566">
    <cfRule type="cellIs" dxfId="226" priority="41" operator="equal">
      <formula>0</formula>
    </cfRule>
  </conditionalFormatting>
  <conditionalFormatting sqref="X567:X577 T567:T577 L567:L577 H567:H577">
    <cfRule type="cellIs" dxfId="225" priority="40" operator="equal">
      <formula>0</formula>
    </cfRule>
  </conditionalFormatting>
  <conditionalFormatting sqref="V567:V577 E567:G577 I567:K577 M567:S577">
    <cfRule type="cellIs" dxfId="224" priority="39" operator="equal">
      <formula>0</formula>
    </cfRule>
  </conditionalFormatting>
  <conditionalFormatting sqref="X578:X588 T578:T588 L578:L588 H578:H588">
    <cfRule type="cellIs" dxfId="223" priority="38" operator="equal">
      <formula>0</formula>
    </cfRule>
  </conditionalFormatting>
  <conditionalFormatting sqref="V578:V588 E578:G588 I578:K588 M578:S588">
    <cfRule type="cellIs" dxfId="222" priority="37" operator="equal">
      <formula>0</formula>
    </cfRule>
  </conditionalFormatting>
  <conditionalFormatting sqref="X589:X599 T589:T599 L589:L599 H589:H599">
    <cfRule type="cellIs" dxfId="221" priority="36" operator="equal">
      <formula>0</formula>
    </cfRule>
  </conditionalFormatting>
  <conditionalFormatting sqref="V589:V599 E589:G599 I589:K599 M589:S599">
    <cfRule type="cellIs" dxfId="220" priority="35" operator="equal">
      <formula>0</formula>
    </cfRule>
  </conditionalFormatting>
  <conditionalFormatting sqref="X600:X610 T600:T610 L600:L610 H600:H610">
    <cfRule type="cellIs" dxfId="219" priority="34" operator="equal">
      <formula>0</formula>
    </cfRule>
  </conditionalFormatting>
  <conditionalFormatting sqref="V600:V610 E600:G610 I600:K610 M600:S610">
    <cfRule type="cellIs" dxfId="218" priority="33" operator="equal">
      <formula>0</formula>
    </cfRule>
  </conditionalFormatting>
  <conditionalFormatting sqref="X611:X621 T611:T621 L611:L621 H611:H621">
    <cfRule type="cellIs" dxfId="217" priority="32" operator="equal">
      <formula>0</formula>
    </cfRule>
  </conditionalFormatting>
  <conditionalFormatting sqref="V611:V621 E611:G621 I611:K621 M611:S621">
    <cfRule type="cellIs" dxfId="216" priority="31" operator="equal">
      <formula>0</formula>
    </cfRule>
  </conditionalFormatting>
  <conditionalFormatting sqref="X622:X632 T622:T632 L622:L632 H622:H632">
    <cfRule type="cellIs" dxfId="215" priority="30" operator="equal">
      <formula>0</formula>
    </cfRule>
  </conditionalFormatting>
  <conditionalFormatting sqref="V622:V632 E622:G632 I622:K632 M622:S632">
    <cfRule type="cellIs" dxfId="214" priority="29" operator="equal">
      <formula>0</formula>
    </cfRule>
  </conditionalFormatting>
  <conditionalFormatting sqref="X633:X643 T633:T643 L633:L643 H633:H643">
    <cfRule type="cellIs" dxfId="213" priority="28" operator="equal">
      <formula>0</formula>
    </cfRule>
  </conditionalFormatting>
  <conditionalFormatting sqref="V633:V643 E633:G643 I633:K643 M633:S643">
    <cfRule type="cellIs" dxfId="212" priority="27" operator="equal">
      <formula>0</formula>
    </cfRule>
  </conditionalFormatting>
  <conditionalFormatting sqref="E644:G653 V644:V654 I644:K653 M644:S653 H644:H654 L644:L654 T644:T654 X644:X654">
    <cfRule type="cellIs" dxfId="211" priority="26" operator="equal">
      <formula>0</formula>
    </cfRule>
  </conditionalFormatting>
  <conditionalFormatting sqref="E654:G654 W654 I654:K654 M654:S654 U654">
    <cfRule type="cellIs" dxfId="210" priority="25" operator="equal">
      <formula>0</formula>
    </cfRule>
  </conditionalFormatting>
  <conditionalFormatting sqref="E655:G664 V655:V665 I655:K664 M655:S664 H655:H665 L655:L665 T655:T665 X655:X665">
    <cfRule type="cellIs" dxfId="209" priority="24" operator="equal">
      <formula>0</formula>
    </cfRule>
  </conditionalFormatting>
  <conditionalFormatting sqref="E665:G665 W665 I665:K665 M665:S665 U665">
    <cfRule type="cellIs" dxfId="208" priority="23" operator="equal">
      <formula>0</formula>
    </cfRule>
  </conditionalFormatting>
  <conditionalFormatting sqref="E666:G675 V666:V676 I666:K675 M666:S675 H666:H676 L666:L676 T666:T676 X666:X676">
    <cfRule type="cellIs" dxfId="207" priority="22" operator="equal">
      <formula>0</formula>
    </cfRule>
  </conditionalFormatting>
  <conditionalFormatting sqref="E676:G676 W676 I676:K676 M676:S676 U676">
    <cfRule type="cellIs" dxfId="206" priority="21" operator="equal">
      <formula>0</formula>
    </cfRule>
  </conditionalFormatting>
  <conditionalFormatting sqref="E677:G686 V677:V687 I677:K686 M677:S686 H677:H687 L677:L687 T677:T687 X677:X687">
    <cfRule type="cellIs" dxfId="205" priority="20" operator="equal">
      <formula>0</formula>
    </cfRule>
  </conditionalFormatting>
  <conditionalFormatting sqref="E687:G687 W687 I687:K687 M687:S687 U687">
    <cfRule type="cellIs" dxfId="204" priority="19" operator="equal">
      <formula>0</formula>
    </cfRule>
  </conditionalFormatting>
  <conditionalFormatting sqref="E688:G697 V688:V698 I688:K697 M688:S697 H688:H698 L688:L698 T688:T698 X688:X698">
    <cfRule type="cellIs" dxfId="203" priority="18" operator="equal">
      <formula>0</formula>
    </cfRule>
  </conditionalFormatting>
  <conditionalFormatting sqref="E698:G698 W698 I698:K698 M698:S698 U698">
    <cfRule type="cellIs" dxfId="202" priority="17" operator="equal">
      <formula>0</formula>
    </cfRule>
  </conditionalFormatting>
  <conditionalFormatting sqref="E699:G708 V699:V709 I699:K708 M699:S708 H699:H709 L699:L709 T699:T709 X699:X709">
    <cfRule type="cellIs" dxfId="201" priority="16" operator="equal">
      <formula>0</formula>
    </cfRule>
  </conditionalFormatting>
  <conditionalFormatting sqref="E709:G709 W709 I709:K709 M709:S709 U709">
    <cfRule type="cellIs" dxfId="200" priority="15" operator="equal">
      <formula>0</formula>
    </cfRule>
  </conditionalFormatting>
  <conditionalFormatting sqref="E710:G719 V710:V720 I710:K719 M710:S719 H710:H720 L710:L720 T710:T720 X710:X720">
    <cfRule type="cellIs" dxfId="199" priority="14" operator="equal">
      <formula>0</formula>
    </cfRule>
  </conditionalFormatting>
  <conditionalFormatting sqref="E720:G720 W720 I720:K720 M720:S720 U720">
    <cfRule type="cellIs" dxfId="198" priority="13" operator="equal">
      <formula>0</formula>
    </cfRule>
  </conditionalFormatting>
  <conditionalFormatting sqref="E721:G730 V721:V731 I721:K730 M721:S730 H721:H731 L721:L731 T721:T731 X721:X731">
    <cfRule type="cellIs" dxfId="197" priority="12" operator="equal">
      <formula>0</formula>
    </cfRule>
  </conditionalFormatting>
  <conditionalFormatting sqref="E731:G731 W731 I731:K731 M731:S731 U731">
    <cfRule type="cellIs" dxfId="196" priority="11" operator="equal">
      <formula>0</formula>
    </cfRule>
  </conditionalFormatting>
  <conditionalFormatting sqref="E732:G741 V732:V742 I732:K741 M732:S741 H732:H742 L732:L742 T732:T742 X732:X742">
    <cfRule type="cellIs" dxfId="195" priority="10" operator="equal">
      <formula>0</formula>
    </cfRule>
  </conditionalFormatting>
  <conditionalFormatting sqref="E742:G742 W742 I742:K742 M742:S742 U742">
    <cfRule type="cellIs" dxfId="194" priority="9" operator="equal">
      <formula>0</formula>
    </cfRule>
  </conditionalFormatting>
  <conditionalFormatting sqref="E743:G752 V743:V753 I743:K752 M743:S752 H743:H753 L743:L753 T743:T753 X743:X753">
    <cfRule type="cellIs" dxfId="193" priority="8" operator="equal">
      <formula>0</formula>
    </cfRule>
  </conditionalFormatting>
  <conditionalFormatting sqref="E753:G753 W753 I753:K753 M753:S753 U753">
    <cfRule type="cellIs" dxfId="192" priority="7" operator="equal">
      <formula>0</formula>
    </cfRule>
  </conditionalFormatting>
  <conditionalFormatting sqref="E754:G763 V754:V764 I754:K763 M754:S763 H754:H764 L754:L764 T754:T764 X754:X764">
    <cfRule type="cellIs" dxfId="191" priority="6" operator="equal">
      <formula>0</formula>
    </cfRule>
  </conditionalFormatting>
  <conditionalFormatting sqref="E764:G764 W764 I764:K764 M764:S764 U764">
    <cfRule type="cellIs" dxfId="190" priority="5" operator="equal">
      <formula>0</formula>
    </cfRule>
  </conditionalFormatting>
  <conditionalFormatting sqref="E765:G774 V765:V775 I765:K774 M765:S774 H765:H775 L765:L775 T765:T775 X765:X775">
    <cfRule type="cellIs" dxfId="189" priority="4" operator="equal">
      <formula>0</formula>
    </cfRule>
  </conditionalFormatting>
  <conditionalFormatting sqref="E775:G775 W775 I775:K775 M775:S775 U775">
    <cfRule type="cellIs" dxfId="188" priority="3" operator="equal">
      <formula>0</formula>
    </cfRule>
  </conditionalFormatting>
  <conditionalFormatting sqref="E776:G785 V776:V786 I776:K785 M776:S785 H776:H786 L776:L786 T776:T786 X776:X786">
    <cfRule type="cellIs" dxfId="187" priority="2" operator="equal">
      <formula>0</formula>
    </cfRule>
  </conditionalFormatting>
  <conditionalFormatting sqref="E786:G786 W786 I786:K786 M786:S786 U786">
    <cfRule type="cellIs" dxfId="186" priority="1" operator="equal">
      <formula>0</formula>
    </cfRule>
  </conditionalFormatting>
  <pageMargins left="0.43307086614173229" right="3.937007874015748E-2" top="0.35433070866141736" bottom="0.35433070866141736" header="0" footer="0"/>
  <pageSetup paperSize="9" scale="54" fitToHeight="0" orientation="landscape" r:id="rId1"/>
  <rowBreaks count="9" manualBreakCount="9">
    <brk id="49" max="26" man="1"/>
    <brk id="93" max="26" man="1"/>
    <brk id="137" max="26" man="1"/>
    <brk id="181" max="26" man="1"/>
    <brk id="225" max="16383" man="1"/>
    <brk id="291" max="26" man="1"/>
    <brk id="456" max="26" man="1"/>
    <brk id="740" max="26" man="1"/>
    <brk id="797" max="26" man="1"/>
  </rowBreaks>
  <ignoredErrors>
    <ignoredError sqref="C6:R9 B11 H1 C15:R16 C13:P14 X13:Z14 X6:Z12 X15:Z16 B22:B33 E17:E38 G17:G31 H17:R22 X17:Z38 Y50:Z93 C28 D17:D38 C17 C18:C27 C29:C38 Z39:Z49 Y39:Y49 H36:P38 R219:R222 E213:P218 Z204:Z214 Y204:Y214 E188:P212 B164:B187 B198:B208 E182:P187 E166:P179 E158:P165 B154 B143 Y149:Z203 Z138:Z148 Y138:Y148 E146:P157 B120:B132 E136:P145 E124:P135 B99:B110 Y116:Z137 Z94:Z115 Y94:Y115 E114:P123 B77:B88 E81:P89 E90:P113 E39:P80 B44:B66 X50:X71 C11:R11 C10:J10 L10:R10 Y215:Z236 B220:B236 E219:L236 C39:D236 B210 C12:P12 R12 H24:R27 H23:P23 R23 H28:P35 R28:R35 R81:R89 E180:P181 R180:R181 R158:R165 R136:R145 R114:R123 R213:R218 R182:R187" unlockedFormula="1"/>
    <ignoredError sqref="Q13:R14 R36:R49 R188:R212 R166:R179 R146:R157 R124:R135 R94:R113 R72:R80 R223:R236 R90:R93" formula="1" unlockedFormula="1"/>
    <ignoredError sqref="V13:W14 S6:W7 S15:W35 V36:W38 V39:X49 S213:X222 V188:X212 S180:X187 V166:X179 S158:X165 V146:X157 S136:X145 V124:X135 S114:X123 V90:X113 S81:X89 V72:X80 R50:W57 R71:W71 V58:W70 V223:X236 S9:W9 S8 U8:W8 S11:W11 S10 U10:W10 S12 U12:W12" twoDigitTextYear="1" unlockedFormula="1"/>
    <ignoredError sqref="S14:U14 S36:U49 S188:U212 S166:U179 S146:U157 S124:U135 S90:U113 S72:U80 R58:U70 S223:U236 S13 U13" twoDigitTextYear="1" formula="1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база!$B:$B</xm:f>
          </x14:formula1>
          <xm:sqref>B9:B11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C921"/>
  <sheetViews>
    <sheetView showZeros="0" view="pageBreakPreview" zoomScale="60" zoomScaleNormal="60" workbookViewId="0">
      <selection activeCell="G9" sqref="G9"/>
    </sheetView>
  </sheetViews>
  <sheetFormatPr defaultColWidth="10.28515625" defaultRowHeight="23.25"/>
  <cols>
    <col min="1" max="1" customWidth="true" style="12" width="4.0"/>
    <col min="2" max="2" customWidth="true" style="12" width="47.5703125"/>
    <col min="3" max="3" customWidth="true" style="13" width="7.7109375"/>
    <col min="4" max="4" customWidth="true" style="14" width="6.7109375"/>
    <col min="5" max="5" customWidth="true" style="15" width="8.140625"/>
    <col min="6" max="6" customWidth="true" style="16" width="7.0"/>
    <col min="7" max="7" customWidth="true" style="16" width="9.140625"/>
    <col min="8" max="8" customWidth="true" style="15" width="13.140625"/>
    <col min="9" max="9" customWidth="true" style="15" width="8.0"/>
    <col min="10" max="10" customWidth="true" style="12" width="7.0"/>
    <col min="11" max="11" customWidth="true" style="16" width="10.0"/>
    <col min="12" max="12" customWidth="true" style="15" width="11.140625"/>
    <col min="13" max="13" customWidth="true" hidden="true" style="15" width="7.0"/>
    <col min="14" max="14" customWidth="true" hidden="true" style="16" width="7.0"/>
    <col min="15" max="15" customWidth="true" hidden="true" style="16" width="7.42578125"/>
    <col min="16" max="16" customWidth="true" hidden="true" style="15" width="8.85546875"/>
    <col min="17" max="17" customWidth="true" style="15" width="8.5703125"/>
    <col min="18" max="18" customWidth="true" style="16" width="7.0"/>
    <col min="19" max="19" bestFit="true" customWidth="true" style="16" width="9.42578125"/>
    <col min="20" max="20" bestFit="true" customWidth="true" style="15" width="13.0"/>
    <col min="21" max="21" bestFit="true" customWidth="true" style="15" width="8.140625"/>
    <col min="22" max="22" customWidth="true" style="16" width="7.0"/>
    <col min="23" max="23" bestFit="true" customWidth="true" style="16" width="9.42578125"/>
    <col min="24" max="24" bestFit="true" customWidth="true" style="17" width="13.0"/>
    <col min="25" max="25" customWidth="true" style="12" width="13.0"/>
    <col min="26" max="26" customWidth="true" style="15" width="15.28515625"/>
    <col min="27" max="27" customWidth="true" style="18" width="24.7109375"/>
    <col min="28" max="28" style="12" width="10.28515625"/>
    <col min="29" max="29" customWidth="true" style="688" width="25.42578125"/>
    <col min="30" max="16384" style="12" width="10.28515625"/>
  </cols>
  <sheetData>
    <row r="1" spans="1:29" s="9" customFormat="1" ht="27" customHeight="1">
      <c r="A1" s="276"/>
      <c r="B1" s="276"/>
      <c r="C1" s="276"/>
      <c r="D1" s="276"/>
      <c r="E1" s="276"/>
      <c r="F1" s="276"/>
      <c r="G1" s="276"/>
      <c r="H1" s="756" t="str">
        <f>INDEX(база!AO:AO, MATCH(Data_Tech!AU7,база!AN:AN,0))</f>
        <v>Производственный цех №3, мастерская 39</v>
      </c>
      <c r="I1" s="756"/>
      <c r="J1" s="756"/>
      <c r="K1" s="756"/>
      <c r="L1" s="756"/>
      <c r="M1" s="756"/>
      <c r="N1" s="756"/>
      <c r="O1" s="756"/>
      <c r="P1" s="756"/>
      <c r="Q1" s="756"/>
      <c r="R1" s="756"/>
      <c r="S1" s="756"/>
      <c r="T1" s="756"/>
      <c r="U1" s="756"/>
      <c r="V1" s="276"/>
      <c r="W1" s="276"/>
      <c r="X1" s="276"/>
      <c r="Y1" s="276"/>
      <c r="Z1" s="276"/>
      <c r="AA1" s="276"/>
      <c r="AC1" s="685"/>
    </row>
    <row r="2" spans="1:29" s="9" customFormat="1" ht="22.5">
      <c r="A2" s="156"/>
      <c r="B2" s="156"/>
      <c r="C2" s="156"/>
      <c r="D2" s="156"/>
      <c r="E2" s="157"/>
      <c r="F2" s="158"/>
      <c r="G2" s="158"/>
      <c r="H2" s="157"/>
      <c r="I2" s="157"/>
      <c r="J2" s="159"/>
      <c r="K2" s="159"/>
      <c r="L2" s="159" t="s">
        <v>43</v>
      </c>
      <c r="M2" s="159"/>
      <c r="N2" s="158" t="s">
        <v>43</v>
      </c>
      <c r="O2" s="159"/>
      <c r="P2" s="159"/>
      <c r="Q2" s="160" t="str">
        <f>Data_Tech!$A$3</f>
        <v>декабрь</v>
      </c>
      <c r="R2" s="158"/>
      <c r="S2" s="158"/>
      <c r="T2" s="161">
        <v>2023</v>
      </c>
      <c r="U2" s="157"/>
      <c r="V2" s="158"/>
      <c r="W2" s="158"/>
      <c r="X2" s="162"/>
      <c r="Y2" s="156"/>
      <c r="Z2" s="157"/>
      <c r="AA2" s="163"/>
      <c r="AC2" s="685"/>
    </row>
    <row r="3" spans="1:29" s="10" customFormat="1" ht="24" thickBot="1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6"/>
      <c r="N3" s="167"/>
      <c r="O3" s="167"/>
      <c r="P3" s="167"/>
      <c r="Q3" s="164"/>
      <c r="R3" s="165"/>
      <c r="S3" s="165"/>
      <c r="T3" s="165"/>
      <c r="U3" s="165"/>
      <c r="V3" s="165"/>
      <c r="W3" s="165"/>
      <c r="X3" s="165"/>
      <c r="Y3" s="165"/>
      <c r="Z3" s="165"/>
      <c r="AA3" s="165"/>
      <c r="AC3" s="686"/>
    </row>
    <row r="4" spans="1:29" s="11" customFormat="1" thickBot="1">
      <c r="A4" s="824"/>
      <c r="B4" s="826" t="s">
        <v>33</v>
      </c>
      <c r="C4" s="828" t="s">
        <v>34</v>
      </c>
      <c r="D4" s="830" t="s">
        <v>35</v>
      </c>
      <c r="E4" s="832">
        <v>0.04</v>
      </c>
      <c r="F4" s="833"/>
      <c r="G4" s="833"/>
      <c r="H4" s="834"/>
      <c r="I4" s="832">
        <v>0.08</v>
      </c>
      <c r="J4" s="833"/>
      <c r="K4" s="833"/>
      <c r="L4" s="834"/>
      <c r="M4" s="832">
        <v>0.12</v>
      </c>
      <c r="N4" s="833"/>
      <c r="O4" s="833"/>
      <c r="P4" s="834"/>
      <c r="Q4" s="841">
        <v>0.16</v>
      </c>
      <c r="R4" s="842"/>
      <c r="S4" s="842"/>
      <c r="T4" s="843"/>
      <c r="U4" s="841">
        <v>0.24</v>
      </c>
      <c r="V4" s="842"/>
      <c r="W4" s="842"/>
      <c r="X4" s="843"/>
      <c r="Y4" s="835" t="s">
        <v>36</v>
      </c>
      <c r="Z4" s="837" t="s">
        <v>37</v>
      </c>
      <c r="AA4" s="839" t="s">
        <v>38</v>
      </c>
      <c r="AC4" s="687"/>
    </row>
    <row r="5" spans="1:29" ht="49.5" thickBot="1">
      <c r="A5" s="825"/>
      <c r="B5" s="827"/>
      <c r="C5" s="829"/>
      <c r="D5" s="831"/>
      <c r="E5" s="265" t="s">
        <v>39</v>
      </c>
      <c r="F5" s="263" t="s">
        <v>40</v>
      </c>
      <c r="G5" s="263" t="s">
        <v>41</v>
      </c>
      <c r="H5" s="264" t="s">
        <v>42</v>
      </c>
      <c r="I5" s="262" t="s">
        <v>39</v>
      </c>
      <c r="J5" s="263" t="s">
        <v>40</v>
      </c>
      <c r="K5" s="263" t="s">
        <v>41</v>
      </c>
      <c r="L5" s="264" t="s">
        <v>42</v>
      </c>
      <c r="M5" s="262" t="s">
        <v>39</v>
      </c>
      <c r="N5" s="263" t="s">
        <v>40</v>
      </c>
      <c r="O5" s="263" t="s">
        <v>41</v>
      </c>
      <c r="P5" s="264" t="s">
        <v>42</v>
      </c>
      <c r="Q5" s="262" t="s">
        <v>39</v>
      </c>
      <c r="R5" s="263" t="s">
        <v>40</v>
      </c>
      <c r="S5" s="263" t="s">
        <v>41</v>
      </c>
      <c r="T5" s="264" t="s">
        <v>42</v>
      </c>
      <c r="U5" s="262" t="s">
        <v>39</v>
      </c>
      <c r="V5" s="263" t="s">
        <v>40</v>
      </c>
      <c r="W5" s="263" t="s">
        <v>41</v>
      </c>
      <c r="X5" s="298" t="s">
        <v>42</v>
      </c>
      <c r="Y5" s="836"/>
      <c r="Z5" s="838"/>
      <c r="AA5" s="840"/>
    </row>
    <row r="6" spans="1:29">
      <c r="A6" s="739">
        <v>1</v>
      </c>
      <c r="B6" s="844" t="str">
        <f>база!B2</f>
        <v>Авдокушина Елена Николаевна</v>
      </c>
      <c r="C6" s="805">
        <f>INDEX(база!$E$2:$E$150, MATCH(B6,база!$B$2:$B$150,0))</f>
        <v>15118</v>
      </c>
      <c r="D6" s="806">
        <f>INDEX(база!$D$2:$D$150, MATCH(B6,база!$B$2:$B$150,0))</f>
        <v>4</v>
      </c>
      <c r="E6" s="66">
        <f>IF(D6&lt;=3,база!$I$4,
IF(D6=4,база!$I$5,
IF(D6=5,база!$I$6)))</f>
        <v>207.5112</v>
      </c>
      <c r="F6" s="248">
        <v>1</v>
      </c>
      <c r="G6" s="80">
        <f>SUMIFS(Таблица1[сумма],Таблица1[коэф],"1",Таблица1[р/р],"2/4",Таблица1[Ф. И. О.],B6)</f>
        <v>14.4</v>
      </c>
      <c r="H6" s="81">
        <f>ROUND(E6*F6*G6,2)</f>
        <v>2988.16</v>
      </c>
      <c r="I6" s="288">
        <f>IF(D6&lt;=3,база!$J$4,
IF(D6=4,база!$J$5,
IF(D6=5,база!$J$6)))</f>
        <v>215.4924</v>
      </c>
      <c r="J6" s="248">
        <v>1</v>
      </c>
      <c r="K6" s="35">
        <f>SUMIFS(Таблица1[сумма],Таблица1[коэф],"1",Таблица1[р/р],"2/8",Таблица1[Ф. И. О.],B6)</f>
        <v>0</v>
      </c>
      <c r="L6" s="26">
        <f>ROUND(I6*J6*K6,2)</f>
        <v>0</v>
      </c>
      <c r="M6" s="36"/>
      <c r="N6" s="35">
        <v>1</v>
      </c>
      <c r="O6" s="35">
        <f>SUMIFS(Data_Tech!$AM$3:$AM$67,Data_Tech!$E$3:$E$67,"1",Data_Tech!$G$3:$G$67,"3/12",Data_Tech!$F$3:$F$67,B6)</f>
        <v>0</v>
      </c>
      <c r="P6" s="259">
        <f>ROUND(M6*N6*O6,2)</f>
        <v>0</v>
      </c>
      <c r="Q6" s="67">
        <f>IF(D6&lt;=3,база!$L$4,
IF(D6=4,база!$L$5,
IF(D6=5,база!$L$6)))</f>
        <v>231.45480000000001</v>
      </c>
      <c r="R6" s="248">
        <v>1</v>
      </c>
      <c r="S6" s="89">
        <f>SUMIFS(Таблица1[сумма],Таблица1[коэф],"1",Таблица1[р/р],"3/16",Таблица1[Ф. И. О.],B6)</f>
        <v>0</v>
      </c>
      <c r="T6" s="81">
        <f>ROUND(Q6*R6*S6,2)</f>
        <v>0</v>
      </c>
      <c r="U6" s="306">
        <f>IF(D6&lt;=3,база!$M$4,
IF(D6=4,база!$M$5,
IF(D6=5,база!$M$6)))</f>
        <v>247.41720000000001</v>
      </c>
      <c r="V6" s="248">
        <v>1</v>
      </c>
      <c r="W6" s="89">
        <f>SUMIFS(Таблица1[сумма],Таблица1[коэф],"1",Таблица1[р/р],"3/24",Таблица1[Ф. И. О.],B6)</f>
        <v>0</v>
      </c>
      <c r="X6" s="81">
        <f>ROUND(U6*V6*W6,2)</f>
        <v>0</v>
      </c>
      <c r="Y6" s="791">
        <f>SUM(G6:G16,K6:K16,O6:O16,S6:S16,W6:W16)</f>
        <v>14.4</v>
      </c>
      <c r="Z6" s="807">
        <f>IFERROR(SUM(H6:H16,L6:L16,T6:T16,X6:X16),"")</f>
        <v>2988.16</v>
      </c>
      <c r="AA6" s="796"/>
    </row>
    <row r="7" spans="1:29">
      <c r="A7" s="740"/>
      <c r="B7" s="845"/>
      <c r="C7" s="799"/>
      <c r="D7" s="801"/>
      <c r="E7" s="72">
        <f>IF(D6&lt;=3,база!$I$4,
IF(D6=4,база!$I$5,
IF(D6=5,база!$I$6)))</f>
        <v>207.5112</v>
      </c>
      <c r="F7" s="250">
        <v>1</v>
      </c>
      <c r="G7" s="85">
        <f>SUMIFS(Таблица1[сумма],Таблица1[коэф],"1",Таблица1[р/р],"3/4",Таблица1[Ф. И. О.],B6)</f>
        <v>0</v>
      </c>
      <c r="H7" s="88">
        <f>ROUND(E7*F7*G7,2)</f>
        <v>0</v>
      </c>
      <c r="I7" s="76">
        <f>IF(D6&lt;=3,база!$J$4,
IF(D6=4,база!$J$5,
IF(D6=5,база!$J$6)))</f>
        <v>215.4924</v>
      </c>
      <c r="J7" s="250">
        <v>1</v>
      </c>
      <c r="K7" s="61">
        <f>SUMIFS(Таблица1[сумма],Таблица1[коэф],"1",Таблица1[р/р],"3/8",Таблица1[Ф. И. О.],B6)</f>
        <v>0</v>
      </c>
      <c r="L7" s="27">
        <f>ROUND(I7*J7*K7,2)</f>
        <v>0</v>
      </c>
      <c r="M7" s="22"/>
      <c r="N7" s="20">
        <v>1</v>
      </c>
      <c r="O7" s="20">
        <f>SUMIFS(Data_Tech!$AM$3:$AM$67,Data_Tech!$E$3:$E$67,"1",Data_Tech!$G$3:$G$67,"4/12",Data_Tech!$F$3:$F$67,B6)</f>
        <v>0</v>
      </c>
      <c r="P7" s="260">
        <f>ROUND(M7*O7,2)</f>
        <v>0</v>
      </c>
      <c r="Q7" s="73">
        <f>база!$L$5</f>
        <v>231.45480000000001</v>
      </c>
      <c r="R7" s="250">
        <v>1</v>
      </c>
      <c r="S7" s="92">
        <f>SUMIFS(Таблица1[сумма],Таблица1[коэф],"1",Таблица1[р/р],"4/16",Таблица1[Ф. И. О.],B6)</f>
        <v>0</v>
      </c>
      <c r="T7" s="88">
        <f>ROUND(Q7*R7*S7,2)</f>
        <v>0</v>
      </c>
      <c r="U7" s="307">
        <f>база!$M$5</f>
        <v>247.41720000000001</v>
      </c>
      <c r="V7" s="250">
        <v>1</v>
      </c>
      <c r="W7" s="92">
        <f>SUMIFS(Таблица1[сумма],Таблица1[коэф],"1",Таблица1[р/р],"4/24",Таблица1[Ф. И. О.],B6)</f>
        <v>0</v>
      </c>
      <c r="X7" s="96">
        <f t="shared" ref="X7:X9" si="0">ROUND(U7*V7*W7,2)</f>
        <v>0</v>
      </c>
      <c r="Y7" s="792"/>
      <c r="Z7" s="794"/>
      <c r="AA7" s="797"/>
    </row>
    <row r="8" spans="1:29">
      <c r="A8" s="740"/>
      <c r="B8" s="845"/>
      <c r="C8" s="799"/>
      <c r="D8" s="801"/>
      <c r="E8" s="72"/>
      <c r="F8" s="250"/>
      <c r="G8" s="85"/>
      <c r="H8" s="88"/>
      <c r="I8" s="76"/>
      <c r="J8" s="250"/>
      <c r="K8" s="61"/>
      <c r="L8" s="27"/>
      <c r="M8" s="22"/>
      <c r="N8" s="20"/>
      <c r="O8" s="20"/>
      <c r="P8" s="260"/>
      <c r="Q8" s="73">
        <f>база!$L$6</f>
        <v>261.04640000000001</v>
      </c>
      <c r="R8" s="250">
        <v>1</v>
      </c>
      <c r="S8" s="92">
        <f>SUMIFS(Таблица1[сумма],Таблица1[коэф],"1",Таблица1[р/р],"5/16",Таблица1[Ф. И. О.],B6)</f>
        <v>0</v>
      </c>
      <c r="T8" s="88">
        <f>ROUND(Q8*R8*S8,2)</f>
        <v>0</v>
      </c>
      <c r="U8" s="307">
        <f>база!$M$6</f>
        <v>279.0496</v>
      </c>
      <c r="V8" s="250">
        <v>1</v>
      </c>
      <c r="W8" s="92">
        <f>SUMIFS(Таблица1[сумма],Таблица1[коэф],"1",Таблица1[р/р],"5/24",Таблица1[Ф. И. О.],B6)</f>
        <v>0</v>
      </c>
      <c r="X8" s="88">
        <f>ROUND(U8*V8*W8,2)</f>
        <v>0</v>
      </c>
      <c r="Y8" s="792"/>
      <c r="Z8" s="794"/>
      <c r="AA8" s="797"/>
    </row>
    <row r="9" spans="1:29">
      <c r="A9" s="740"/>
      <c r="B9" s="845"/>
      <c r="C9" s="799"/>
      <c r="D9" s="801"/>
      <c r="E9" s="72"/>
      <c r="F9" s="250"/>
      <c r="G9" s="85"/>
      <c r="H9" s="88"/>
      <c r="I9" s="76">
        <f>база!$J$5</f>
        <v>215.4924</v>
      </c>
      <c r="J9" s="250">
        <v>1.5</v>
      </c>
      <c r="K9" s="61">
        <f>SUMIFS(Таблица1[сумма],Таблица1[коэф],"1,5",Таблица1[р/р],"4/8",Таблица1[Ф. И. О.],B6)</f>
        <v>0</v>
      </c>
      <c r="L9" s="27">
        <f>ROUND(I9*J9*K9,2)</f>
        <v>0</v>
      </c>
      <c r="M9" s="22"/>
      <c r="N9" s="20"/>
      <c r="O9" s="20"/>
      <c r="P9" s="260"/>
      <c r="Q9" s="73">
        <f>IF(D6&lt;=3,база!$L$4,
IF(D6=4,база!$L$5,
IF(D6=5,база!$L$6)))</f>
        <v>231.45480000000001</v>
      </c>
      <c r="R9" s="250">
        <v>1.2</v>
      </c>
      <c r="S9" s="92">
        <f>SUMIFS(Таблица1[сумма],Таблица1[коэф],"1,2",Таблица1[р/р],"3/16",Таблица1[Ф. И. О.],B6)</f>
        <v>0</v>
      </c>
      <c r="T9" s="88">
        <f t="shared" ref="T9" si="1">ROUND(Q9*R9*S9,2)</f>
        <v>0</v>
      </c>
      <c r="U9" s="307">
        <f>IF(D6&lt;=3,база!$M$4,
IF(D6=4,база!$M$5,
IF(D6=5,база!$M$6)))</f>
        <v>247.41720000000001</v>
      </c>
      <c r="V9" s="250">
        <v>1.2</v>
      </c>
      <c r="W9" s="92">
        <f>SUMIFS(Таблица1[сумма],Таблица1[коэф],"1,2",Таблица1[р/р],"3/24",Таблица1[Ф. И. О.],B6)</f>
        <v>0</v>
      </c>
      <c r="X9" s="88">
        <f t="shared" si="0"/>
        <v>0</v>
      </c>
      <c r="Y9" s="792"/>
      <c r="Z9" s="794"/>
      <c r="AA9" s="797"/>
    </row>
    <row r="10" spans="1:29">
      <c r="A10" s="740"/>
      <c r="B10" s="845"/>
      <c r="C10" s="799"/>
      <c r="D10" s="801"/>
      <c r="E10" s="72"/>
      <c r="F10" s="250"/>
      <c r="G10" s="85"/>
      <c r="H10" s="88"/>
      <c r="I10" s="76">
        <f>база!$J$6</f>
        <v>243.04319999999998</v>
      </c>
      <c r="J10" s="250">
        <v>1.5</v>
      </c>
      <c r="K10" s="61">
        <f>SUMIFS(Таблица1[сумма],Таблица1[коэф],"1,5",Таблица1[р/р],"5/8",Таблица1[Ф. И. О.],B6)</f>
        <v>0</v>
      </c>
      <c r="L10" s="27">
        <f>ROUND(I10*J10*K10,2)</f>
        <v>0</v>
      </c>
      <c r="M10" s="22"/>
      <c r="N10" s="20"/>
      <c r="O10" s="20"/>
      <c r="P10" s="260"/>
      <c r="Q10" s="73">
        <f>база!$L$5</f>
        <v>231.45480000000001</v>
      </c>
      <c r="R10" s="253">
        <v>1.2</v>
      </c>
      <c r="S10" s="92">
        <f>SUMIFS(Таблица1[сумма],Таблица1[коэф],"1,2",Таблица1[р/р],"4/16",Таблица1[Ф. И. О.],B6)</f>
        <v>0</v>
      </c>
      <c r="T10" s="88">
        <f t="shared" ref="T10" si="2">ROUND(Q10*R10*S10,2)</f>
        <v>0</v>
      </c>
      <c r="U10" s="307">
        <f>база!$M$5</f>
        <v>247.41720000000001</v>
      </c>
      <c r="V10" s="253">
        <v>1.2</v>
      </c>
      <c r="W10" s="92">
        <f>SUMIFS(Таблица1[сумма],Таблица1[коэф],"1,2",Таблица1[р/р],"4/24",Таблица1[Ф. И. О.],B6)</f>
        <v>0</v>
      </c>
      <c r="X10" s="88">
        <f t="shared" ref="X10" si="3">ROUND(U10*V10*W10,2)</f>
        <v>0</v>
      </c>
      <c r="Y10" s="792"/>
      <c r="Z10" s="794"/>
      <c r="AA10" s="797"/>
      <c r="AC10" s="688">
        <f>IF(SUMIFS(Таблица1[Столбец2],Таблица1[Ф. И. О.],B6)-Z6=0,"",SUMIFS(Таблица1[Столбец2],Таблица1[Ф. И. О.],B6)-Z6)</f>
        <v>-269.5667199999998</v>
      </c>
    </row>
    <row r="11" spans="1:29" ht="21" customHeight="1">
      <c r="A11" s="740"/>
      <c r="B11" s="845"/>
      <c r="C11" s="799"/>
      <c r="D11" s="801"/>
      <c r="E11" s="72"/>
      <c r="F11" s="250"/>
      <c r="G11" s="85"/>
      <c r="H11" s="88"/>
      <c r="I11" s="76"/>
      <c r="J11" s="250"/>
      <c r="K11" s="61"/>
      <c r="L11" s="27"/>
      <c r="M11" s="22"/>
      <c r="N11" s="20"/>
      <c r="O11" s="20"/>
      <c r="P11" s="260"/>
      <c r="Q11" s="73">
        <f>база!$L$6</f>
        <v>261.04640000000001</v>
      </c>
      <c r="R11" s="250">
        <v>1.2</v>
      </c>
      <c r="S11" s="92">
        <f>SUMIFS(Таблица1[сумма],Таблица1[коэф],"1,2",Таблица1[р/р],"5/16",Таблица1[Ф. И. О.],B6)</f>
        <v>0</v>
      </c>
      <c r="T11" s="88">
        <f>ROUND(Q11*R11*S11,2)</f>
        <v>0</v>
      </c>
      <c r="U11" s="308">
        <f>база!$M$6</f>
        <v>279.0496</v>
      </c>
      <c r="V11" s="250">
        <v>1.2</v>
      </c>
      <c r="W11" s="283">
        <f>SUMIFS(Таблица1[сумма],Таблица1[коэф],"1,2",Таблица1[р/р],"5/24",Таблица1[Ф. И. О.],B6)</f>
        <v>0</v>
      </c>
      <c r="X11" s="88">
        <f>ROUND(U11*V11*W11,2)</f>
        <v>0</v>
      </c>
      <c r="Y11" s="792"/>
      <c r="Z11" s="794"/>
      <c r="AA11" s="797"/>
      <c r="AC11" s="688" t="str">
        <f>IF(SUMIFS(Таблица1[сумма],Таблица1[Ф. И. О.],B6)=Y6,"",B6&amp;"  часы не верны")</f>
        <v/>
      </c>
    </row>
    <row r="12" spans="1:29">
      <c r="A12" s="740"/>
      <c r="B12" s="845"/>
      <c r="C12" s="799"/>
      <c r="D12" s="801"/>
      <c r="E12" s="72"/>
      <c r="F12" s="250"/>
      <c r="G12" s="85"/>
      <c r="H12" s="88"/>
      <c r="I12" s="76"/>
      <c r="J12" s="250"/>
      <c r="K12" s="61"/>
      <c r="L12" s="27"/>
      <c r="M12" s="62"/>
      <c r="N12" s="61"/>
      <c r="O12" s="61"/>
      <c r="P12" s="28"/>
      <c r="Q12" s="100">
        <f>IF($D$6&lt;=3,база!$L$4,
IF($D$6=4,база!$L$5,
IF($D$6=5,база!$L$6)))</f>
        <v>231.45480000000001</v>
      </c>
      <c r="R12" s="253">
        <v>1.3</v>
      </c>
      <c r="S12" s="98">
        <f>SUMIFS(Таблица1[сумма],Таблица1[коэф],"1,3",Таблица1[р/р],"3/16",Таблица1[Ф. И. О.],B6)</f>
        <v>0</v>
      </c>
      <c r="T12" s="97">
        <f t="shared" ref="T12:T13" si="4">ROUND(Q12*R12*S12,2)</f>
        <v>0</v>
      </c>
      <c r="U12" s="330">
        <f>IF(D6&lt;=3,база!$M$4,
IF(D6=4,база!$M$5,
IF(D6=5,база!$M$6)))</f>
        <v>247.41720000000001</v>
      </c>
      <c r="V12" s="332">
        <v>1.3</v>
      </c>
      <c r="W12" s="285">
        <f>SUMIFS(Таблица1[сумма],Таблица1[коэф],"1,3",Таблица1[р/р],"3/24",Таблица1[Ф. И. О.],B6)</f>
        <v>0</v>
      </c>
      <c r="X12" s="291">
        <f t="shared" ref="X12:X13" si="5">ROUND(U12*V12*W12,2)</f>
        <v>0</v>
      </c>
      <c r="Y12" s="792"/>
      <c r="Z12" s="794"/>
      <c r="AA12" s="797"/>
    </row>
    <row r="13" spans="1:29">
      <c r="A13" s="740"/>
      <c r="B13" s="845"/>
      <c r="C13" s="799"/>
      <c r="D13" s="801"/>
      <c r="E13" s="72"/>
      <c r="F13" s="250"/>
      <c r="G13" s="85"/>
      <c r="H13" s="88"/>
      <c r="I13" s="76"/>
      <c r="J13" s="250"/>
      <c r="K13" s="61"/>
      <c r="L13" s="27"/>
      <c r="M13" s="60"/>
      <c r="N13" s="53"/>
      <c r="O13" s="53"/>
      <c r="P13" s="261"/>
      <c r="Q13" s="73">
        <f>база!$L$5</f>
        <v>231.45480000000001</v>
      </c>
      <c r="R13" s="250">
        <v>1.3</v>
      </c>
      <c r="S13" s="92">
        <f>SUMIFS(Таблица1[сумма],Таблица1[коэф],"1,3",Таблица1[р/р],"4/16",Таблица1[Ф. И. О.],B6)</f>
        <v>0</v>
      </c>
      <c r="T13" s="97">
        <f t="shared" si="4"/>
        <v>0</v>
      </c>
      <c r="U13" s="330">
        <f>база!$M$5</f>
        <v>247.41720000000001</v>
      </c>
      <c r="V13" s="332">
        <v>1.3</v>
      </c>
      <c r="W13" s="285">
        <f>SUMIFS(Таблица1[сумма],Таблица1[коэф],"1,3",Таблица1[р/р],"4/24",Таблица1[Ф. И. О.],B6)</f>
        <v>0</v>
      </c>
      <c r="X13" s="291">
        <f t="shared" si="5"/>
        <v>0</v>
      </c>
      <c r="Y13" s="792"/>
      <c r="Z13" s="794"/>
      <c r="AA13" s="797"/>
    </row>
    <row r="14" spans="1:29">
      <c r="A14" s="740"/>
      <c r="B14" s="845"/>
      <c r="C14" s="799"/>
      <c r="D14" s="801"/>
      <c r="E14" s="72"/>
      <c r="F14" s="250"/>
      <c r="G14" s="85"/>
      <c r="H14" s="88"/>
      <c r="I14" s="76"/>
      <c r="J14" s="250"/>
      <c r="K14" s="61"/>
      <c r="L14" s="27"/>
      <c r="M14" s="60"/>
      <c r="N14" s="53"/>
      <c r="O14" s="53"/>
      <c r="P14" s="261"/>
      <c r="Q14" s="69">
        <f>IF(D6&lt;=3,база!$L$4,
IF(D6=4,база!$L$5,
IF(D6=5,база!$L$6)))</f>
        <v>231.45480000000001</v>
      </c>
      <c r="R14" s="249">
        <v>1.4</v>
      </c>
      <c r="S14" s="90">
        <f>SUMIFS(Таблица1[сумма],Таблица1[коэф],"1,4",Таблица1[р/р],"3/16",Таблица1[Ф. И. О.],B6)</f>
        <v>0</v>
      </c>
      <c r="T14" s="88">
        <f t="shared" ref="T14:T19" si="6">ROUND(Q14*R14*S14,2)</f>
        <v>0</v>
      </c>
      <c r="U14" s="309">
        <f>IF(D6&lt;=3,база!$M$4,
IF(D6=4,база!$M$5,
IF(D6=5,база!$M$6)))</f>
        <v>247.41720000000001</v>
      </c>
      <c r="V14" s="249">
        <v>1.4</v>
      </c>
      <c r="W14" s="90">
        <f>SUMIFS(Таблица1[сумма],Таблица1[коэф],"1,4",Таблица1[р/р],"3/24",Таблица1[Ф. И. О.],B6)</f>
        <v>0</v>
      </c>
      <c r="X14" s="96">
        <f>ROUND(U14*V14*W14,2)</f>
        <v>0</v>
      </c>
      <c r="Y14" s="792"/>
      <c r="Z14" s="794"/>
      <c r="AA14" s="797"/>
    </row>
    <row r="15" spans="1:29">
      <c r="A15" s="740"/>
      <c r="B15" s="845"/>
      <c r="C15" s="799"/>
      <c r="D15" s="801"/>
      <c r="E15" s="203"/>
      <c r="F15" s="253"/>
      <c r="G15" s="220"/>
      <c r="H15" s="97"/>
      <c r="I15" s="281"/>
      <c r="J15" s="253"/>
      <c r="K15" s="204"/>
      <c r="L15" s="205"/>
      <c r="M15" s="60"/>
      <c r="N15" s="53"/>
      <c r="O15" s="53"/>
      <c r="P15" s="261"/>
      <c r="Q15" s="73">
        <f>база!$L$5</f>
        <v>231.45480000000001</v>
      </c>
      <c r="R15" s="250">
        <v>1.4</v>
      </c>
      <c r="S15" s="92">
        <f>SUMIFS(Таблица1[сумма],Таблица1[коэф],"1,4",Таблица1[р/р],"4/16",Таблица1[Ф. И. О.],B6)</f>
        <v>0</v>
      </c>
      <c r="T15" s="88">
        <f t="shared" si="6"/>
        <v>0</v>
      </c>
      <c r="U15" s="307">
        <f>база!$M$5</f>
        <v>247.41720000000001</v>
      </c>
      <c r="V15" s="250">
        <v>1.4</v>
      </c>
      <c r="W15" s="92">
        <f>SUMIFS(Таблица1[сумма],Таблица1[коэф],"1,4",Таблица1[р/р],"4/24",Таблица1[Ф. И. О.],B6)</f>
        <v>0</v>
      </c>
      <c r="X15" s="88">
        <f>ROUND(U15*V15*W15,2)</f>
        <v>0</v>
      </c>
      <c r="Y15" s="792"/>
      <c r="Z15" s="794"/>
      <c r="AA15" s="797"/>
    </row>
    <row r="16" spans="1:29" ht="24" thickBot="1">
      <c r="A16" s="741"/>
      <c r="B16" s="846"/>
      <c r="C16" s="800"/>
      <c r="D16" s="802"/>
      <c r="E16" s="203"/>
      <c r="F16" s="253"/>
      <c r="G16" s="220"/>
      <c r="H16" s="97"/>
      <c r="I16" s="281"/>
      <c r="J16" s="253"/>
      <c r="K16" s="204"/>
      <c r="L16" s="205"/>
      <c r="M16" s="60"/>
      <c r="N16" s="53"/>
      <c r="O16" s="53"/>
      <c r="P16" s="261"/>
      <c r="Q16" s="100">
        <f>база!$L$6</f>
        <v>261.04640000000001</v>
      </c>
      <c r="R16" s="253">
        <v>1.4</v>
      </c>
      <c r="S16" s="98">
        <f>SUMIFS(Таблица1[сумма],Таблица1[коэф],"1,4",Таблица1[р/р],"5/16",Таблица1[Ф. И. О.],B6)</f>
        <v>0</v>
      </c>
      <c r="T16" s="97">
        <f t="shared" si="6"/>
        <v>0</v>
      </c>
      <c r="U16" s="331">
        <f>база!$M$6</f>
        <v>279.0496</v>
      </c>
      <c r="V16" s="253">
        <v>1.4</v>
      </c>
      <c r="W16" s="310">
        <f>SUMIFS(Таблица1[сумма],Таблица1[коэф],"1,4",Таблица1[р/р],"5/24",Таблица1[Ф. И. О.],B6)</f>
        <v>0</v>
      </c>
      <c r="X16" s="313">
        <f>ROUND(U16*V16*W16,2)</f>
        <v>0</v>
      </c>
      <c r="Y16" s="793"/>
      <c r="Z16" s="795"/>
      <c r="AA16" s="798"/>
    </row>
    <row r="17" spans="1:29" ht="20.25" customHeight="1">
      <c r="A17" s="739">
        <v>2</v>
      </c>
      <c r="B17" s="844" t="str">
        <f>база!B3</f>
        <v>Аксенов Александр Юрьевич</v>
      </c>
      <c r="C17" s="805">
        <f>INDEX(база!$E$2:$E$150, MATCH(B17,база!$B$2:$B$150,0))</f>
        <v>15799</v>
      </c>
      <c r="D17" s="806">
        <f>INDEX(база!$D$2:$D$150, MATCH(B17,база!$B$2:$B$150,0))</f>
        <v>3</v>
      </c>
      <c r="E17" s="66">
        <f>IF(D17&lt;=3,база!$I$4,
IF(D17=4,база!$I$5,
IF(D17=5,база!$I$6)))</f>
        <v>188.7912</v>
      </c>
      <c r="F17" s="248">
        <v>1</v>
      </c>
      <c r="G17" s="89">
        <f>SUMIFS(Таблица1[сумма],Таблица1[коэф],"1",Таблица1[р/р],"2/4",Таблица1[Ф. И. О.],B17)</f>
        <v>0</v>
      </c>
      <c r="H17" s="81">
        <f>ROUND(E17*F17*G17,2)</f>
        <v>0</v>
      </c>
      <c r="I17" s="288">
        <f>IF(D17&lt;=3,база!$J$4,
IF(D17=4,база!$J$5,
IF(D17=5,база!$J$6)))</f>
        <v>196.05240000000001</v>
      </c>
      <c r="J17" s="248">
        <v>1</v>
      </c>
      <c r="K17" s="266">
        <f>SUMIFS(Таблица1[сумма],Таблица1[коэф],"1",Таблица1[р/р],"2/8",Таблица1[Ф. И. О.],B17)</f>
        <v>0</v>
      </c>
      <c r="L17" s="26">
        <f>ROUND(I17*J17*K17,2)</f>
        <v>0</v>
      </c>
      <c r="M17" s="315"/>
      <c r="N17" s="266">
        <v>1</v>
      </c>
      <c r="O17" s="266">
        <f>SUMIFS(Data_Tech!$AM$3:$AM$67,Data_Tech!$E$3:$E$67,"1",Data_Tech!$G$3:$G$67,"3/12",Data_Tech!$F$3:$F$67,B17)</f>
        <v>0</v>
      </c>
      <c r="P17" s="259">
        <f>ROUND(M17*N17*O17,2)</f>
        <v>0</v>
      </c>
      <c r="Q17" s="340">
        <f>IF(D17&lt;=3,база!$L$4,
IF(D17=4,база!$L$5,
IF(D17=5,база!$L$6)))</f>
        <v>210.57480000000001</v>
      </c>
      <c r="R17" s="340">
        <v>1</v>
      </c>
      <c r="S17" s="317">
        <f>SUMIFS(Таблица1[сумма],Таблица1[коэф],"1",Таблица1[р/р],"3/16",Таблица1[Ф. И. О.],B17)</f>
        <v>0</v>
      </c>
      <c r="T17" s="318">
        <f t="shared" si="6"/>
        <v>0</v>
      </c>
      <c r="U17" s="333">
        <f>IF(D17&lt;=3,база!$M$4,
IF(D17=4,база!$M$5,
IF(D17=5,база!$M$6)))</f>
        <v>225.09719999999999</v>
      </c>
      <c r="V17" s="248">
        <v>1</v>
      </c>
      <c r="W17" s="317">
        <f>SUMIFS(Таблица1[сумма],Таблица1[коэф],"1",Таблица1[р/р],"3/24",Таблица1[Ф. И. О.],B17)</f>
        <v>0</v>
      </c>
      <c r="X17" s="318">
        <f>ROUND(U17*V17*W17,2)</f>
        <v>0</v>
      </c>
      <c r="Y17" s="803">
        <f>SUM(G17:G27,K17:K27,O17:O27,S17:S27,W17:W27)</f>
        <v>0</v>
      </c>
      <c r="Z17" s="794">
        <f>IFERROR(SUM(H17:H27,L17:L27,T17:T27,X17:X27),"")</f>
        <v>0</v>
      </c>
      <c r="AA17" s="797"/>
    </row>
    <row r="18" spans="1:29" ht="20.25" customHeight="1">
      <c r="A18" s="740"/>
      <c r="B18" s="845"/>
      <c r="C18" s="799"/>
      <c r="D18" s="801"/>
      <c r="E18" s="72">
        <f>IF(D17&lt;=3,база!$I$4,
IF(D17=4,база!$I$5,
IF(D17=5,база!$I$6)))</f>
        <v>188.7912</v>
      </c>
      <c r="F18" s="250">
        <v>1</v>
      </c>
      <c r="G18" s="92">
        <f>SUMIFS(Таблица1[сумма],Таблица1[коэф],"1",Таблица1[р/р],"3/4",Таблица1[Ф. И. О.],B17)</f>
        <v>0</v>
      </c>
      <c r="H18" s="88">
        <f>ROUND(E18*F18*G18,2)</f>
        <v>0</v>
      </c>
      <c r="I18" s="76">
        <f>IF(D17&lt;=3,база!$J$4,
IF(D17=4,база!$J$5,
IF(D17=5,база!$J$6)))</f>
        <v>196.05240000000001</v>
      </c>
      <c r="J18" s="250">
        <v>1</v>
      </c>
      <c r="K18" s="202">
        <f>SUMIFS(Таблица1[сумма],Таблица1[коэф],"1",Таблица1[р/р],"3/8",Таблица1[Ф. И. О.],B17)</f>
        <v>0</v>
      </c>
      <c r="L18" s="27">
        <f>ROUND(I18*J18*K18,2)</f>
        <v>0</v>
      </c>
      <c r="M18" s="311"/>
      <c r="N18" s="202">
        <v>1</v>
      </c>
      <c r="O18" s="202">
        <f>SUMIFS(Data_Tech!$AM$3:$AM$67,Data_Tech!$E$3:$E$67,"1",Data_Tech!$G$3:$G$67,"4/12",Data_Tech!$F$3:$F$67,B17)</f>
        <v>0</v>
      </c>
      <c r="P18" s="28">
        <f>ROUND(M18*O18,2)</f>
        <v>0</v>
      </c>
      <c r="Q18" s="338">
        <f>база!$L$5</f>
        <v>231.45480000000001</v>
      </c>
      <c r="R18" s="338">
        <v>1</v>
      </c>
      <c r="S18" s="285">
        <f>SUMIFS(Таблица1[сумма],Таблица1[коэф],"1",Таблица1[р/р],"4/16",Таблица1[Ф. И. О.],B17)</f>
        <v>0</v>
      </c>
      <c r="T18" s="284">
        <f t="shared" si="6"/>
        <v>0</v>
      </c>
      <c r="U18" s="334">
        <f>база!$M$5</f>
        <v>247.41720000000001</v>
      </c>
      <c r="V18" s="250">
        <v>1</v>
      </c>
      <c r="W18" s="285">
        <f>SUMIFS(Таблица1[сумма],Таблица1[коэф],"1",Таблица1[р/р],"4/24",Таблица1[Ф. И. О.],B17)</f>
        <v>0</v>
      </c>
      <c r="X18" s="297">
        <f t="shared" ref="X18" si="7">ROUND(U18*V18*W18,2)</f>
        <v>0</v>
      </c>
      <c r="Y18" s="803"/>
      <c r="Z18" s="794"/>
      <c r="AA18" s="797"/>
    </row>
    <row r="19" spans="1:29" ht="20.25" customHeight="1">
      <c r="A19" s="740"/>
      <c r="B19" s="845"/>
      <c r="C19" s="799"/>
      <c r="D19" s="801"/>
      <c r="E19" s="72"/>
      <c r="F19" s="250"/>
      <c r="G19" s="92"/>
      <c r="H19" s="88"/>
      <c r="I19" s="76"/>
      <c r="J19" s="250"/>
      <c r="K19" s="202"/>
      <c r="L19" s="27"/>
      <c r="M19" s="311"/>
      <c r="N19" s="202"/>
      <c r="O19" s="202"/>
      <c r="P19" s="28"/>
      <c r="Q19" s="73">
        <f>база!$L$6</f>
        <v>261.04640000000001</v>
      </c>
      <c r="R19" s="250">
        <v>1</v>
      </c>
      <c r="S19" s="92">
        <f>SUMIFS(Таблица1[сумма],Таблица1[коэф],"1",Таблица1[р/р],"5/16",Таблица1[Ф. И. О.],B17)</f>
        <v>0</v>
      </c>
      <c r="T19" s="312">
        <f t="shared" si="6"/>
        <v>0</v>
      </c>
      <c r="U19" s="334">
        <f>база!$M$6</f>
        <v>279.0496</v>
      </c>
      <c r="V19" s="250">
        <v>1</v>
      </c>
      <c r="W19" s="285">
        <f>SUMIFS(Таблица1[сумма],Таблица1[коэф],"1",Таблица1[р/р],"5/24",Таблица1[Ф. И. О.],B17)</f>
        <v>0</v>
      </c>
      <c r="X19" s="284">
        <f>ROUND(U19*V19*W19,2)</f>
        <v>0</v>
      </c>
      <c r="Y19" s="803"/>
      <c r="Z19" s="794"/>
      <c r="AA19" s="797"/>
    </row>
    <row r="20" spans="1:29" ht="20.25" customHeight="1">
      <c r="A20" s="740"/>
      <c r="B20" s="845"/>
      <c r="C20" s="799"/>
      <c r="D20" s="801"/>
      <c r="E20" s="78"/>
      <c r="F20" s="251"/>
      <c r="G20" s="94"/>
      <c r="H20" s="83"/>
      <c r="I20" s="99">
        <f>база!$J$5</f>
        <v>215.4924</v>
      </c>
      <c r="J20" s="251">
        <v>1.5</v>
      </c>
      <c r="K20" s="302">
        <f>SUMIFS(Таблица1[сумма],Таблица1[коэф],"1,5",Таблица1[р/р],"4/8",Таблица1[Ф. И. О.],B17)</f>
        <v>0</v>
      </c>
      <c r="L20" s="23">
        <f>ROUND(I20*J20*K20,2)</f>
        <v>0</v>
      </c>
      <c r="M20" s="301"/>
      <c r="N20" s="302"/>
      <c r="O20" s="302"/>
      <c r="P20" s="261"/>
      <c r="Q20" s="79">
        <f>IF(D17&lt;=3,база!$L$4,
IF(D17=4,база!$L$5,
IF(D17=5,база!$L$6)))</f>
        <v>210.57480000000001</v>
      </c>
      <c r="R20" s="251">
        <v>1.2</v>
      </c>
      <c r="S20" s="94">
        <f>SUMIFS(Таблица1[сумма],Таблица1[коэф],"1,2",Таблица1[р/р],"3/16",Таблица1[Ф. И. О.],B17)</f>
        <v>0</v>
      </c>
      <c r="T20" s="83">
        <f t="shared" ref="T20:T21" si="8">ROUND(Q20*R20*S20,2)</f>
        <v>0</v>
      </c>
      <c r="U20" s="335">
        <f>IF(D17&lt;=3,база!$M$4,
IF(D17=4,база!$M$5,
IF(D17=5,база!$M$6)))</f>
        <v>225.09719999999999</v>
      </c>
      <c r="V20" s="251">
        <v>1.2</v>
      </c>
      <c r="W20" s="296">
        <f>SUMIFS(Таблица1[сумма],Таблица1[коэф],"1,2",Таблица1[р/р],"3/24",Таблица1[Ф. И. О.],B17)</f>
        <v>0</v>
      </c>
      <c r="X20" s="303">
        <f t="shared" ref="X20:X21" si="9">ROUND(U20*V20*W20,2)</f>
        <v>0</v>
      </c>
      <c r="Y20" s="803"/>
      <c r="Z20" s="794"/>
      <c r="AA20" s="797"/>
    </row>
    <row r="21" spans="1:29" ht="20.25" customHeight="1">
      <c r="A21" s="740"/>
      <c r="B21" s="845"/>
      <c r="C21" s="799"/>
      <c r="D21" s="801"/>
      <c r="E21" s="72"/>
      <c r="F21" s="250"/>
      <c r="G21" s="92"/>
      <c r="H21" s="88"/>
      <c r="I21" s="76">
        <f>база!$J$6</f>
        <v>243.04319999999998</v>
      </c>
      <c r="J21" s="250">
        <v>1.5</v>
      </c>
      <c r="K21" s="202">
        <f>SUMIFS(Таблица1[сумма],Таблица1[коэф],"1,5",Таблица1[р/р],"5/8",Таблица1[Ф. И. О.],B17)</f>
        <v>0</v>
      </c>
      <c r="L21" s="27">
        <f>ROUND(I21*J21*K21,2)</f>
        <v>0</v>
      </c>
      <c r="M21" s="311"/>
      <c r="N21" s="202"/>
      <c r="O21" s="202"/>
      <c r="P21" s="28"/>
      <c r="Q21" s="73">
        <f>база!$L$5</f>
        <v>231.45480000000001</v>
      </c>
      <c r="R21" s="250">
        <v>1.2</v>
      </c>
      <c r="S21" s="92">
        <f>SUMIFS(Таблица1[сумма],Таблица1[коэф],"1,2",Таблица1[р/р],"4/16",Таблица1[Ф. И. О.],B17)</f>
        <v>0</v>
      </c>
      <c r="T21" s="88">
        <f t="shared" si="8"/>
        <v>0</v>
      </c>
      <c r="U21" s="334">
        <f>база!$M$5</f>
        <v>247.41720000000001</v>
      </c>
      <c r="V21" s="250">
        <v>1.2</v>
      </c>
      <c r="W21" s="285">
        <f>SUMIFS(Таблица1[сумма],Таблица1[коэф],"1,2",Таблица1[р/р],"4/24",Таблица1[Ф. И. О.],B17)</f>
        <v>0</v>
      </c>
      <c r="X21" s="284">
        <f t="shared" si="9"/>
        <v>0</v>
      </c>
      <c r="Y21" s="803"/>
      <c r="Z21" s="794"/>
      <c r="AA21" s="797"/>
      <c r="AC21" s="688" t="str">
        <f>IF(SUMIFS(Таблица1[Столбец2],Таблица1[Ф. И. О.],B17)-Z17=0,"",SUMIFS(Таблица1[Столбец2],Таблица1[Ф. И. О.],B17)-Z17)</f>
        <v/>
      </c>
    </row>
    <row r="22" spans="1:29" ht="20.25" customHeight="1">
      <c r="A22" s="740"/>
      <c r="B22" s="845"/>
      <c r="C22" s="799"/>
      <c r="D22" s="801"/>
      <c r="E22" s="78"/>
      <c r="F22" s="251"/>
      <c r="G22" s="94"/>
      <c r="H22" s="83"/>
      <c r="I22" s="99"/>
      <c r="J22" s="251"/>
      <c r="K22" s="302"/>
      <c r="L22" s="23"/>
      <c r="M22" s="301"/>
      <c r="N22" s="302"/>
      <c r="O22" s="302"/>
      <c r="P22" s="261"/>
      <c r="Q22" s="79">
        <f>база!$L$6</f>
        <v>261.04640000000001</v>
      </c>
      <c r="R22" s="251">
        <v>1.2</v>
      </c>
      <c r="S22" s="94">
        <f>SUMIFS(Таблица1[сумма],Таблица1[коэф],"1,2",Таблица1[р/р],"5/16",Таблица1[Ф. И. О.],B17)</f>
        <v>0</v>
      </c>
      <c r="T22" s="83">
        <f>ROUND(Q22*R22*S22,2)</f>
        <v>0</v>
      </c>
      <c r="U22" s="335">
        <f>база!$M$6</f>
        <v>279.0496</v>
      </c>
      <c r="V22" s="251">
        <v>1.2</v>
      </c>
      <c r="W22" s="296">
        <f>SUMIFS(Таблица1[сумма],Таблица1[коэф],"1,2",Таблица1[р/р],"5/24",Таблица1[Ф. И. О.],B17)</f>
        <v>0</v>
      </c>
      <c r="X22" s="303">
        <f>ROUND(U22*V22*W22,2)</f>
        <v>0</v>
      </c>
      <c r="Y22" s="803"/>
      <c r="Z22" s="794"/>
      <c r="AA22" s="797"/>
      <c r="AC22" s="688" t="str">
        <f>IF(SUMIFS(Таблица1[сумма],Таблица1[Ф. И. О.],B17)=Y17,"",B17&amp;"  часы не верны")</f>
        <v/>
      </c>
    </row>
    <row r="23" spans="1:29" ht="20.25" customHeight="1">
      <c r="A23" s="740"/>
      <c r="B23" s="845"/>
      <c r="C23" s="799"/>
      <c r="D23" s="801"/>
      <c r="E23" s="72"/>
      <c r="F23" s="250"/>
      <c r="G23" s="92"/>
      <c r="H23" s="88"/>
      <c r="I23" s="76"/>
      <c r="J23" s="250"/>
      <c r="K23" s="202"/>
      <c r="L23" s="27"/>
      <c r="M23" s="311"/>
      <c r="N23" s="202"/>
      <c r="O23" s="202"/>
      <c r="P23" s="28"/>
      <c r="Q23" s="73">
        <f>IF($D$6&lt;=3,база!$L$4,
IF($D$6=4,база!$L$5,
IF($D$6=5,база!$L$6)))</f>
        <v>231.45480000000001</v>
      </c>
      <c r="R23" s="250">
        <v>1.3</v>
      </c>
      <c r="S23" s="92">
        <f>SUMIFS(Таблица1[сумма],Таблица1[коэф],"1,3",Таблица1[р/р],"3/16",Таблица1[Ф. И. О.],B17)</f>
        <v>0</v>
      </c>
      <c r="T23" s="88">
        <f t="shared" ref="T23:T24" si="10">ROUND(Q23*R23*S23,2)</f>
        <v>0</v>
      </c>
      <c r="U23" s="334">
        <f>IF(D17&lt;=3,база!$M$4,
IF(D17=4,база!$M$5,
IF(D17=5,база!$M$6)))</f>
        <v>225.09719999999999</v>
      </c>
      <c r="V23" s="250">
        <v>1.3</v>
      </c>
      <c r="W23" s="285">
        <f>SUMIFS(Таблица1[сумма],Таблица1[коэф],"1,3",Таблица1[р/р],"3/24",Таблица1[Ф. И. О.],B17)</f>
        <v>0</v>
      </c>
      <c r="X23" s="284">
        <f t="shared" ref="X23:X24" si="11">ROUND(U23*V23*W23,2)</f>
        <v>0</v>
      </c>
      <c r="Y23" s="803"/>
      <c r="Z23" s="794"/>
      <c r="AA23" s="797"/>
    </row>
    <row r="24" spans="1:29" ht="20.25" customHeight="1">
      <c r="A24" s="740"/>
      <c r="B24" s="845"/>
      <c r="C24" s="799"/>
      <c r="D24" s="801"/>
      <c r="E24" s="72"/>
      <c r="F24" s="250"/>
      <c r="G24" s="92"/>
      <c r="H24" s="88"/>
      <c r="I24" s="76"/>
      <c r="J24" s="250"/>
      <c r="K24" s="202"/>
      <c r="L24" s="27"/>
      <c r="M24" s="311"/>
      <c r="N24" s="202"/>
      <c r="O24" s="202"/>
      <c r="P24" s="28"/>
      <c r="Q24" s="73">
        <f>база!$L$5</f>
        <v>231.45480000000001</v>
      </c>
      <c r="R24" s="250">
        <v>1.3</v>
      </c>
      <c r="S24" s="92">
        <f>SUMIFS(Таблица1[сумма],Таблица1[коэф],"1,3",Таблица1[р/р],"4/16",Таблица1[Ф. И. О.],B17)</f>
        <v>0</v>
      </c>
      <c r="T24" s="88">
        <f t="shared" si="10"/>
        <v>0</v>
      </c>
      <c r="U24" s="334">
        <f>база!$M$5</f>
        <v>247.41720000000001</v>
      </c>
      <c r="V24" s="250">
        <v>1.3</v>
      </c>
      <c r="W24" s="285">
        <f>SUMIFS(Таблица1[сумма],Таблица1[коэф],"1,3",Таблица1[р/р],"4/24",Таблица1[Ф. И. О.],B17)</f>
        <v>0</v>
      </c>
      <c r="X24" s="284">
        <f t="shared" si="11"/>
        <v>0</v>
      </c>
      <c r="Y24" s="803"/>
      <c r="Z24" s="794"/>
      <c r="AA24" s="797"/>
    </row>
    <row r="25" spans="1:29" ht="20.25" customHeight="1">
      <c r="A25" s="740"/>
      <c r="B25" s="845"/>
      <c r="C25" s="799"/>
      <c r="D25" s="801"/>
      <c r="E25" s="78"/>
      <c r="F25" s="251"/>
      <c r="G25" s="94"/>
      <c r="H25" s="83"/>
      <c r="I25" s="99"/>
      <c r="J25" s="251"/>
      <c r="K25" s="302"/>
      <c r="L25" s="23"/>
      <c r="M25" s="301"/>
      <c r="N25" s="302"/>
      <c r="O25" s="302"/>
      <c r="P25" s="261"/>
      <c r="Q25" s="79">
        <f>IF(D17&lt;=3,база!$L$4,
IF(D17=4,база!$L$5,
IF(D17=5,база!$L$6)))</f>
        <v>210.57480000000001</v>
      </c>
      <c r="R25" s="251">
        <v>1.4</v>
      </c>
      <c r="S25" s="94">
        <f>SUMIFS(Таблица1[сумма],Таблица1[коэф],"1,4",Таблица1[р/р],"3/16",Таблица1[Ф. И. О.],B17)</f>
        <v>0</v>
      </c>
      <c r="T25" s="83">
        <f t="shared" ref="T25:T30" si="12">ROUND(Q25*R25*S25,2)</f>
        <v>0</v>
      </c>
      <c r="U25" s="335">
        <f>IF(D17&lt;=3,база!$M$4,
IF(D17=4,база!$M$5,
IF(D17=5,база!$M$6)))</f>
        <v>225.09719999999999</v>
      </c>
      <c r="V25" s="251">
        <v>1.4</v>
      </c>
      <c r="W25" s="296">
        <f>SUMIFS(Таблица1[сумма],Таблица1[коэф],"1,4",Таблица1[р/р],"3/24",Таблица1[Ф. И. О.],B17)</f>
        <v>0</v>
      </c>
      <c r="X25" s="303">
        <f>ROUND(U25*V25*W25,2)</f>
        <v>0</v>
      </c>
      <c r="Y25" s="803"/>
      <c r="Z25" s="794"/>
      <c r="AA25" s="797"/>
    </row>
    <row r="26" spans="1:29" ht="20.25" customHeight="1">
      <c r="A26" s="740"/>
      <c r="B26" s="845"/>
      <c r="C26" s="799"/>
      <c r="D26" s="801"/>
      <c r="E26" s="72"/>
      <c r="F26" s="250"/>
      <c r="G26" s="92"/>
      <c r="H26" s="88"/>
      <c r="I26" s="76"/>
      <c r="J26" s="250"/>
      <c r="K26" s="202"/>
      <c r="L26" s="27"/>
      <c r="M26" s="311"/>
      <c r="N26" s="202"/>
      <c r="O26" s="202"/>
      <c r="P26" s="28"/>
      <c r="Q26" s="73">
        <f>база!$L$5</f>
        <v>231.45480000000001</v>
      </c>
      <c r="R26" s="250">
        <v>1.4</v>
      </c>
      <c r="S26" s="92">
        <f>SUMIFS(Таблица1[сумма],Таблица1[коэф],"1,4",Таблица1[р/р],"4/16",Таблица1[Ф. И. О.],B17)</f>
        <v>0</v>
      </c>
      <c r="T26" s="88">
        <f t="shared" si="12"/>
        <v>0</v>
      </c>
      <c r="U26" s="334">
        <f>база!$M$5</f>
        <v>247.41720000000001</v>
      </c>
      <c r="V26" s="250">
        <v>1.4</v>
      </c>
      <c r="W26" s="285">
        <f>SUMIFS(Таблица1[сумма],Таблица1[коэф],"1,4",Таблица1[р/р],"4/24",Таблица1[Ф. И. О.],B17)</f>
        <v>0</v>
      </c>
      <c r="X26" s="284">
        <f>ROUND(U26*V26*W26,2)</f>
        <v>0</v>
      </c>
      <c r="Y26" s="803"/>
      <c r="Z26" s="794"/>
      <c r="AA26" s="797"/>
    </row>
    <row r="27" spans="1:29" ht="20.25" customHeight="1" thickBot="1">
      <c r="A27" s="741"/>
      <c r="B27" s="846"/>
      <c r="C27" s="800"/>
      <c r="D27" s="802"/>
      <c r="E27" s="70"/>
      <c r="F27" s="254"/>
      <c r="G27" s="93"/>
      <c r="H27" s="87"/>
      <c r="I27" s="77"/>
      <c r="J27" s="254"/>
      <c r="K27" s="305"/>
      <c r="L27" s="25"/>
      <c r="M27" s="304"/>
      <c r="N27" s="305"/>
      <c r="O27" s="305"/>
      <c r="P27" s="268"/>
      <c r="Q27" s="74">
        <f>база!$L$6</f>
        <v>261.04640000000001</v>
      </c>
      <c r="R27" s="254">
        <v>1.4</v>
      </c>
      <c r="S27" s="93">
        <f>SUMIFS(Таблица1[сумма],Таблица1[коэф],"1,4",Таблица1[р/р],"5/16",Таблица1[Ф. И. О.],B17)</f>
        <v>0</v>
      </c>
      <c r="T27" s="87">
        <f t="shared" si="12"/>
        <v>0</v>
      </c>
      <c r="U27" s="336">
        <f>база!$M$6</f>
        <v>279.0496</v>
      </c>
      <c r="V27" s="254">
        <v>1.4</v>
      </c>
      <c r="W27" s="299">
        <f>SUMIFS(Таблица1[сумма],Таблица1[коэф],"1,4",Таблица1[р/р],"5/24",Таблица1[Ф. И. О.],B17)</f>
        <v>0</v>
      </c>
      <c r="X27" s="300">
        <f>ROUND(U27*V27*W27,2)</f>
        <v>0</v>
      </c>
      <c r="Y27" s="804"/>
      <c r="Z27" s="795"/>
      <c r="AA27" s="798"/>
    </row>
    <row r="28" spans="1:29">
      <c r="A28" s="739">
        <v>3</v>
      </c>
      <c r="B28" s="201"/>
      <c r="C28" s="805">
        <f>INDEX(база!$E$2:$E$150, MATCH(B33,база!$B$2:$B$150,0))</f>
        <v>15791</v>
      </c>
      <c r="D28" s="806">
        <f>INDEX(база!$D$2:$D$150, MATCH(B33,база!$B$2:$B$150,0))</f>
        <v>4</v>
      </c>
      <c r="E28" s="75">
        <f>IF(D28&lt;=3,база!$I$4,
IF(D28=4,база!$I$5,
IF(D28=5,база!$I$6)))</f>
        <v>207.5112</v>
      </c>
      <c r="F28" s="249">
        <v>1</v>
      </c>
      <c r="G28" s="90">
        <f>SUMIFS(Таблица1[сумма],Таблица1[коэф],"1",Таблица1[р/р],"2/4",Таблица1[Ф. И. О.],B33)</f>
        <v>0</v>
      </c>
      <c r="H28" s="289">
        <f>ROUND(E28*F28*G28,2)</f>
        <v>0</v>
      </c>
      <c r="I28" s="66">
        <f>IF(D28&lt;=3,база!$J$4,
IF(D28=4,база!$J$5,
IF(D28=5,база!$J$6)))</f>
        <v>215.4924</v>
      </c>
      <c r="J28" s="248">
        <v>1</v>
      </c>
      <c r="K28" s="266">
        <f>SUMIFS(Таблица1[сумма],Таблица1[коэф],"1",Таблица1[р/р],"2/8",Таблица1[Ф. И. О.],B33)</f>
        <v>0</v>
      </c>
      <c r="L28" s="26">
        <f>ROUND(I28*J28*K28,2)</f>
        <v>0</v>
      </c>
      <c r="M28" s="321"/>
      <c r="N28" s="287">
        <v>1</v>
      </c>
      <c r="O28" s="287">
        <f>SUMIFS(Data_Tech!$AM$3:$AM$67,Data_Tech!$E$3:$E$67,"1",Data_Tech!$G$3:$G$67,"3/12",Data_Tech!$F$3:$F$67,B33)</f>
        <v>0</v>
      </c>
      <c r="P28" s="287">
        <f>ROUND(M28*N28*O28,2)</f>
        <v>0</v>
      </c>
      <c r="Q28" s="69">
        <f>IF(D28&lt;=3,база!$L$4,
IF(D28=4,база!$L$5,
IF(D28=5,база!$L$6)))</f>
        <v>231.45480000000001</v>
      </c>
      <c r="R28" s="249">
        <v>1</v>
      </c>
      <c r="S28" s="90">
        <f>SUMIFS(Таблица1[сумма],Таблица1[коэф],"1",Таблица1[р/р],"3/16",Таблица1[Ф. И. О.],B33)</f>
        <v>0</v>
      </c>
      <c r="T28" s="81">
        <f t="shared" si="12"/>
        <v>0</v>
      </c>
      <c r="U28" s="337">
        <f>IF(D28&lt;=3,база!$M$4,
IF(D28=4,база!$M$5,
IF(D28=5,база!$M$6)))</f>
        <v>247.41720000000001</v>
      </c>
      <c r="V28" s="249">
        <v>1</v>
      </c>
      <c r="W28" s="314">
        <f>SUMIFS(Таблица1[сумма],Таблица1[коэф],"1",Таблица1[р/р],"3/24",Таблица1[Ф. И. О.],B33)</f>
        <v>0</v>
      </c>
      <c r="X28" s="319">
        <f>ROUND(U28*V28*W28,2)</f>
        <v>0</v>
      </c>
      <c r="Y28" s="803">
        <f>SUM(G28:G38,K28:K38,O28:O38,S28:S38,W28:W38)</f>
        <v>0</v>
      </c>
      <c r="Z28" s="794">
        <f>IFERROR(SUM(H28:H38,L28:L38,T28:T38,X28:X38),"")</f>
        <v>0</v>
      </c>
      <c r="AA28" s="796"/>
    </row>
    <row r="29" spans="1:29">
      <c r="A29" s="740"/>
      <c r="B29" s="201"/>
      <c r="C29" s="799"/>
      <c r="D29" s="801"/>
      <c r="E29" s="76">
        <f>IF(D28&lt;=3,база!$I$4,
IF(D28=4,база!$I$5,
IF(D28=5,база!$I$6)))</f>
        <v>207.5112</v>
      </c>
      <c r="F29" s="250">
        <v>1</v>
      </c>
      <c r="G29" s="92">
        <f>SUMIFS(Таблица1[сумма],Таблица1[коэф],"1",Таблица1[р/р],"3/4",Таблица1[Ф. И. О.],B33)</f>
        <v>0</v>
      </c>
      <c r="H29" s="86">
        <f>ROUND(E29*F29*G29,2)</f>
        <v>0</v>
      </c>
      <c r="I29" s="72">
        <f>IF(D28&lt;=3,база!$J$4,
IF(D28=4,база!$J$5,
IF(D28=5,база!$J$6)))</f>
        <v>215.4924</v>
      </c>
      <c r="J29" s="250">
        <v>1</v>
      </c>
      <c r="K29" s="202">
        <f>SUMIFS(Таблица1[сумма],Таблица1[коэф],"1",Таблица1[р/р],"3/8",Таблица1[Ф. И. О.],B33)</f>
        <v>0</v>
      </c>
      <c r="L29" s="27">
        <f>ROUND(I29*J29*K29,2)</f>
        <v>0</v>
      </c>
      <c r="M29" s="311"/>
      <c r="N29" s="202">
        <v>1</v>
      </c>
      <c r="O29" s="202">
        <f>SUMIFS(Data_Tech!$AM$3:$AM$67,Data_Tech!$E$3:$E$67,"1",Data_Tech!$G$3:$G$67,"4/12",Data_Tech!$F$3:$F$67,B33)</f>
        <v>0</v>
      </c>
      <c r="P29" s="202">
        <f>ROUND(M29*O29,2)</f>
        <v>0</v>
      </c>
      <c r="Q29" s="73">
        <f>база!$L$5</f>
        <v>231.45480000000001</v>
      </c>
      <c r="R29" s="250">
        <v>1</v>
      </c>
      <c r="S29" s="92">
        <f>SUMIFS(Таблица1[сумма],Таблица1[коэф],"1",Таблица1[р/р],"4/16",Таблица1[Ф. И. О.],B33)</f>
        <v>0</v>
      </c>
      <c r="T29" s="88">
        <f t="shared" si="12"/>
        <v>0</v>
      </c>
      <c r="U29" s="330">
        <f>база!$M$5</f>
        <v>247.41720000000001</v>
      </c>
      <c r="V29" s="250">
        <v>1</v>
      </c>
      <c r="W29" s="285">
        <f>SUMIFS(Таблица1[сумма],Таблица1[коэф],"1",Таблица1[р/р],"4/24",Таблица1[Ф. И. О.],B33)</f>
        <v>0</v>
      </c>
      <c r="X29" s="291">
        <f t="shared" ref="X29" si="13">ROUND(U29*V29*W29,2)</f>
        <v>0</v>
      </c>
      <c r="Y29" s="803"/>
      <c r="Z29" s="794"/>
      <c r="AA29" s="797"/>
    </row>
    <row r="30" spans="1:29">
      <c r="A30" s="740"/>
      <c r="B30" s="201"/>
      <c r="C30" s="799"/>
      <c r="D30" s="801"/>
      <c r="E30" s="76"/>
      <c r="F30" s="250"/>
      <c r="G30" s="92"/>
      <c r="H30" s="86"/>
      <c r="I30" s="72"/>
      <c r="J30" s="250"/>
      <c r="K30" s="202"/>
      <c r="L30" s="27"/>
      <c r="M30" s="311"/>
      <c r="N30" s="202"/>
      <c r="O30" s="202"/>
      <c r="P30" s="202"/>
      <c r="Q30" s="73">
        <f>база!$L$6</f>
        <v>261.04640000000001</v>
      </c>
      <c r="R30" s="250">
        <v>1</v>
      </c>
      <c r="S30" s="92">
        <f>SUMIFS(Таблица1[сумма],Таблица1[коэф],"1",Таблица1[р/р],"5/16",Таблица1[Ф. И. О.],B33)</f>
        <v>0</v>
      </c>
      <c r="T30" s="88">
        <f t="shared" si="12"/>
        <v>0</v>
      </c>
      <c r="U30" s="330">
        <f>база!$M$6</f>
        <v>279.0496</v>
      </c>
      <c r="V30" s="250">
        <v>1</v>
      </c>
      <c r="W30" s="285">
        <f>SUMIFS(Таблица1[сумма],Таблица1[коэф],"1",Таблица1[р/р],"5/24",Таблица1[Ф. И. О.],B33)</f>
        <v>0</v>
      </c>
      <c r="X30" s="291">
        <f>ROUND(U30*V30*W30,2)</f>
        <v>0</v>
      </c>
      <c r="Y30" s="803"/>
      <c r="Z30" s="794"/>
      <c r="AA30" s="797"/>
    </row>
    <row r="31" spans="1:29">
      <c r="A31" s="740"/>
      <c r="B31" s="201"/>
      <c r="C31" s="799"/>
      <c r="D31" s="801"/>
      <c r="E31" s="76"/>
      <c r="F31" s="250"/>
      <c r="G31" s="92"/>
      <c r="H31" s="86"/>
      <c r="I31" s="72">
        <f>база!$J$5</f>
        <v>215.4924</v>
      </c>
      <c r="J31" s="250">
        <v>1.5</v>
      </c>
      <c r="K31" s="202">
        <f>SUMIFS(Таблица1[сумма],Таблица1[коэф],"1,5",Таблица1[р/р],"4/8",Таблица1[Ф. И. О.],B33)</f>
        <v>0</v>
      </c>
      <c r="L31" s="27">
        <f>ROUND(I31*J31*K31,2)</f>
        <v>0</v>
      </c>
      <c r="M31" s="311"/>
      <c r="N31" s="202"/>
      <c r="O31" s="202"/>
      <c r="P31" s="202"/>
      <c r="Q31" s="73">
        <f>IF(D28&lt;=3,база!$L$4,
IF(D28=4,база!$L$5,
IF(D28=5,база!$L$6)))</f>
        <v>231.45480000000001</v>
      </c>
      <c r="R31" s="250">
        <v>1.2</v>
      </c>
      <c r="S31" s="92">
        <f>SUMIFS(Таблица1[сумма],Таблица1[коэф],"1,2",Таблица1[р/р],"3/16",Таблица1[Ф. И. О.],B33)</f>
        <v>0</v>
      </c>
      <c r="T31" s="88">
        <f t="shared" ref="T31" si="14">ROUND(Q31*R31*S31,2)</f>
        <v>0</v>
      </c>
      <c r="U31" s="330">
        <f>IF(D28&lt;=3,база!$M$4,
IF(D28=4,база!$M$5,
IF(D28=5,база!$M$6)))</f>
        <v>247.41720000000001</v>
      </c>
      <c r="V31" s="250">
        <v>1.2</v>
      </c>
      <c r="W31" s="285">
        <f>SUMIFS(Таблица1[сумма],Таблица1[коэф],"1,2",Таблица1[р/р],"3/24",Таблица1[Ф. И. О.],B33)</f>
        <v>0</v>
      </c>
      <c r="X31" s="291">
        <f t="shared" ref="X31:X32" si="15">ROUND(U31*V31*W31,2)</f>
        <v>0</v>
      </c>
      <c r="Y31" s="803"/>
      <c r="Z31" s="794"/>
      <c r="AA31" s="797"/>
    </row>
    <row r="32" spans="1:29">
      <c r="A32" s="740"/>
      <c r="B32" s="201"/>
      <c r="C32" s="799"/>
      <c r="D32" s="801"/>
      <c r="E32" s="76"/>
      <c r="F32" s="250"/>
      <c r="G32" s="92"/>
      <c r="H32" s="86"/>
      <c r="I32" s="72">
        <f>база!$J$6</f>
        <v>243.04319999999998</v>
      </c>
      <c r="J32" s="250">
        <v>1.5</v>
      </c>
      <c r="K32" s="202">
        <f>SUMIFS(Таблица1[сумма],Таблица1[коэф],"1,5",Таблица1[р/р],"5/8",Таблица1[Ф. И. О.],B33)</f>
        <v>0</v>
      </c>
      <c r="L32" s="27">
        <f>ROUND(I32*J32*K32,2)</f>
        <v>0</v>
      </c>
      <c r="M32" s="311"/>
      <c r="N32" s="202"/>
      <c r="O32" s="202"/>
      <c r="P32" s="202"/>
      <c r="Q32" s="73">
        <f>база!$L$5</f>
        <v>231.45480000000001</v>
      </c>
      <c r="R32" s="250">
        <v>1.2</v>
      </c>
      <c r="S32" s="92">
        <f>SUMIFS(Таблица1[сумма],Таблица1[коэф],"1,2",Таблица1[р/р],"4/16",Таблица1[Ф. И. О.],B33)</f>
        <v>0</v>
      </c>
      <c r="T32" s="88"/>
      <c r="U32" s="330">
        <f>база!$M$5</f>
        <v>247.41720000000001</v>
      </c>
      <c r="V32" s="250">
        <v>1.2</v>
      </c>
      <c r="W32" s="285">
        <f>SUMIFS(Таблица1[сумма],Таблица1[коэф],"1,2",Таблица1[р/р],"4/24",Таблица1[Ф. И. О.],B33)</f>
        <v>0</v>
      </c>
      <c r="X32" s="291">
        <f t="shared" si="15"/>
        <v>0</v>
      </c>
      <c r="Y32" s="803"/>
      <c r="Z32" s="794"/>
      <c r="AA32" s="797"/>
      <c r="AC32" s="688" t="str">
        <f>IF(SUMIFS(Таблица1[Столбец2],Таблица1[Ф. И. О.],B33)-Z28=0,"",SUMIFS(Таблица1[Столбец2],Таблица1[Ф. И. О.],B33)-Z28)</f>
        <v/>
      </c>
    </row>
    <row r="33" spans="1:29" ht="20.25" customHeight="1">
      <c r="A33" s="740"/>
      <c r="B33" s="201" t="str">
        <f>база!B4</f>
        <v>Аксенова Диана Владимировна</v>
      </c>
      <c r="C33" s="799"/>
      <c r="D33" s="801"/>
      <c r="E33" s="76"/>
      <c r="F33" s="250"/>
      <c r="G33" s="92"/>
      <c r="H33" s="86"/>
      <c r="I33" s="72"/>
      <c r="J33" s="250"/>
      <c r="K33" s="202"/>
      <c r="L33" s="27"/>
      <c r="M33" s="311"/>
      <c r="N33" s="202"/>
      <c r="O33" s="202"/>
      <c r="P33" s="202"/>
      <c r="Q33" s="73">
        <f>база!$L$6</f>
        <v>261.04640000000001</v>
      </c>
      <c r="R33" s="250">
        <v>1.2</v>
      </c>
      <c r="S33" s="92">
        <f>SUMIFS(Таблица1[сумма],Таблица1[коэф],"1,2",Таблица1[р/р],"5/16",Таблица1[Ф. И. О.],B33)</f>
        <v>0</v>
      </c>
      <c r="T33" s="88">
        <f>ROUND(Q33*R33*S33,2)</f>
        <v>0</v>
      </c>
      <c r="U33" s="330">
        <f>база!$M$6</f>
        <v>279.0496</v>
      </c>
      <c r="V33" s="250">
        <v>1.2</v>
      </c>
      <c r="W33" s="285">
        <f>SUMIFS(Таблица1[сумма],Таблица1[коэф],"1,2",Таблица1[р/р],"5/24",Таблица1[Ф. И. О.],B33)</f>
        <v>0</v>
      </c>
      <c r="X33" s="291">
        <f>ROUND(U33*V33*W33,2)</f>
        <v>0</v>
      </c>
      <c r="Y33" s="803"/>
      <c r="Z33" s="794"/>
      <c r="AA33" s="797"/>
      <c r="AC33" s="688" t="str">
        <f>IF(SUMIFS(Таблица1[сумма],Таблица1[Ф. И. О.],B33)=Y28,"",B28&amp;"  часы не верны")</f>
        <v/>
      </c>
    </row>
    <row r="34" spans="1:29">
      <c r="A34" s="740"/>
      <c r="B34" s="201"/>
      <c r="C34" s="799"/>
      <c r="D34" s="801"/>
      <c r="E34" s="76"/>
      <c r="F34" s="250"/>
      <c r="G34" s="92"/>
      <c r="H34" s="86"/>
      <c r="I34" s="72"/>
      <c r="J34" s="250"/>
      <c r="K34" s="202"/>
      <c r="L34" s="27"/>
      <c r="M34" s="311"/>
      <c r="N34" s="202"/>
      <c r="O34" s="202"/>
      <c r="P34" s="202"/>
      <c r="Q34" s="73">
        <f>IF($D$6&lt;=3,база!$L$4,
IF($D$6=4,база!$L$5,
IF($D$6=5,база!$L$6)))</f>
        <v>231.45480000000001</v>
      </c>
      <c r="R34" s="250">
        <v>1.3</v>
      </c>
      <c r="S34" s="92">
        <f>SUMIFS(Таблица1[сумма],Таблица1[коэф],"1,3",Таблица1[р/р],"3/16",Таблица1[Ф. И. О.],B33)</f>
        <v>0</v>
      </c>
      <c r="T34" s="88">
        <f t="shared" ref="T34" si="16">ROUND(Q34*R34*S34,2)</f>
        <v>0</v>
      </c>
      <c r="U34" s="330">
        <f>IF(D28&lt;=3,база!$M$4,
IF(D28=4,база!$M$5,
IF(D28=5,база!$M$6)))</f>
        <v>247.41720000000001</v>
      </c>
      <c r="V34" s="250">
        <v>1.3</v>
      </c>
      <c r="W34" s="285">
        <f>SUMIFS(Таблица1[сумма],Таблица1[коэф],"1,3",Таблица1[р/р],"3/24",Таблица1[Ф. И. О.],B33)</f>
        <v>0</v>
      </c>
      <c r="X34" s="291">
        <f t="shared" ref="X34:X35" si="17">ROUND(U34*V34*W34,2)</f>
        <v>0</v>
      </c>
      <c r="Y34" s="803"/>
      <c r="Z34" s="794"/>
      <c r="AA34" s="797"/>
    </row>
    <row r="35" spans="1:29">
      <c r="A35" s="740"/>
      <c r="B35" s="201"/>
      <c r="C35" s="799"/>
      <c r="D35" s="801"/>
      <c r="E35" s="76"/>
      <c r="F35" s="250"/>
      <c r="G35" s="92"/>
      <c r="H35" s="86"/>
      <c r="I35" s="72"/>
      <c r="J35" s="250"/>
      <c r="K35" s="202"/>
      <c r="L35" s="27"/>
      <c r="M35" s="311"/>
      <c r="N35" s="202"/>
      <c r="O35" s="202"/>
      <c r="P35" s="202"/>
      <c r="Q35" s="73">
        <f>база!$L$5</f>
        <v>231.45480000000001</v>
      </c>
      <c r="R35" s="250">
        <v>1.3</v>
      </c>
      <c r="S35" s="92"/>
      <c r="T35" s="88"/>
      <c r="U35" s="330">
        <f>база!$M$5</f>
        <v>247.41720000000001</v>
      </c>
      <c r="V35" s="250">
        <v>1.3</v>
      </c>
      <c r="W35" s="285">
        <f>SUMIFS(Таблица1[сумма],Таблица1[коэф],"1,3",Таблица1[р/р],"4/24",Таблица1[Ф. И. О.],B33)</f>
        <v>0</v>
      </c>
      <c r="X35" s="291">
        <f t="shared" si="17"/>
        <v>0</v>
      </c>
      <c r="Y35" s="803"/>
      <c r="Z35" s="794"/>
      <c r="AA35" s="797"/>
    </row>
    <row r="36" spans="1:29">
      <c r="A36" s="740"/>
      <c r="B36" s="201"/>
      <c r="C36" s="799"/>
      <c r="D36" s="801"/>
      <c r="E36" s="76"/>
      <c r="F36" s="250"/>
      <c r="G36" s="92"/>
      <c r="H36" s="86"/>
      <c r="I36" s="72"/>
      <c r="J36" s="250"/>
      <c r="K36" s="202"/>
      <c r="L36" s="27"/>
      <c r="M36" s="311"/>
      <c r="N36" s="202"/>
      <c r="O36" s="202"/>
      <c r="P36" s="202"/>
      <c r="Q36" s="73">
        <f>IF(D28&lt;=3,база!$L$4,
IF(D28=4,база!$L$5,
IF(D28=5,база!$L$6)))</f>
        <v>231.45480000000001</v>
      </c>
      <c r="R36" s="250">
        <v>1.4</v>
      </c>
      <c r="S36" s="92">
        <f>SUMIFS(Таблица1[сумма],Таблица1[коэф],"1,4",Таблица1[р/р],"3/16",Таблица1[Ф. И. О.],B33)</f>
        <v>0</v>
      </c>
      <c r="T36" s="88">
        <f t="shared" ref="T36:T41" si="18">ROUND(Q36*R36*S36,2)</f>
        <v>0</v>
      </c>
      <c r="U36" s="330">
        <f>IF(D28&lt;=3,база!$M$4,
IF(D28=4,база!$M$5,
IF(D28=5,база!$M$6)))</f>
        <v>247.41720000000001</v>
      </c>
      <c r="V36" s="250">
        <v>1.4</v>
      </c>
      <c r="W36" s="285">
        <f>SUMIFS(Таблица1[сумма],Таблица1[коэф],"1,4",Таблица1[р/р],"3/24",Таблица1[Ф. И. О.],B33)</f>
        <v>0</v>
      </c>
      <c r="X36" s="291">
        <f>ROUND(U36*V36*W36,2)</f>
        <v>0</v>
      </c>
      <c r="Y36" s="803"/>
      <c r="Z36" s="794"/>
      <c r="AA36" s="797"/>
    </row>
    <row r="37" spans="1:29">
      <c r="A37" s="740"/>
      <c r="B37" s="201"/>
      <c r="C37" s="799"/>
      <c r="D37" s="801"/>
      <c r="E37" s="76"/>
      <c r="F37" s="250"/>
      <c r="G37" s="92"/>
      <c r="H37" s="86"/>
      <c r="I37" s="72"/>
      <c r="J37" s="250"/>
      <c r="K37" s="202"/>
      <c r="L37" s="27"/>
      <c r="M37" s="311"/>
      <c r="N37" s="202"/>
      <c r="O37" s="202"/>
      <c r="P37" s="202"/>
      <c r="Q37" s="73">
        <f>база!$L$5</f>
        <v>231.45480000000001</v>
      </c>
      <c r="R37" s="250">
        <v>1.4</v>
      </c>
      <c r="S37" s="92">
        <f>SUMIFS(Таблица1[сумма],Таблица1[коэф],"1,4",Таблица1[р/р],"4/16",Таблица1[Ф. И. О.],B33)</f>
        <v>0</v>
      </c>
      <c r="T37" s="88">
        <f t="shared" si="18"/>
        <v>0</v>
      </c>
      <c r="U37" s="338">
        <f>база!$M$5</f>
        <v>247.41720000000001</v>
      </c>
      <c r="V37" s="250">
        <v>1.4</v>
      </c>
      <c r="W37" s="285">
        <f>SUMIFS(Таблица1[сумма],Таблица1[коэф],"1,4",Таблица1[р/р],"4/24",Таблица1[Ф. И. О.],B33)</f>
        <v>0</v>
      </c>
      <c r="X37" s="291">
        <f>ROUND(U37*V37*W37,2)</f>
        <v>0</v>
      </c>
      <c r="Y37" s="803"/>
      <c r="Z37" s="794"/>
      <c r="AA37" s="797"/>
    </row>
    <row r="38" spans="1:29" ht="24" thickBot="1">
      <c r="A38" s="741"/>
      <c r="B38" s="201"/>
      <c r="C38" s="800"/>
      <c r="D38" s="802"/>
      <c r="E38" s="281"/>
      <c r="F38" s="253"/>
      <c r="G38" s="98"/>
      <c r="H38" s="294"/>
      <c r="I38" s="95"/>
      <c r="J38" s="252"/>
      <c r="K38" s="267"/>
      <c r="L38" s="24"/>
      <c r="M38" s="322"/>
      <c r="N38" s="280"/>
      <c r="O38" s="280"/>
      <c r="P38" s="280"/>
      <c r="Q38" s="100">
        <f>база!$L$6</f>
        <v>261.04640000000001</v>
      </c>
      <c r="R38" s="253">
        <v>1.4</v>
      </c>
      <c r="S38" s="98">
        <f>SUMIFS(Таблица1[сумма],Таблица1[коэф],"1,4",Таблица1[р/р],"5/16",Таблица1[Ф. И. О.],B33)</f>
        <v>0</v>
      </c>
      <c r="T38" s="97">
        <f t="shared" si="18"/>
        <v>0</v>
      </c>
      <c r="U38" s="339">
        <f>база!$M$6</f>
        <v>279.0496</v>
      </c>
      <c r="V38" s="253">
        <v>1.4</v>
      </c>
      <c r="W38" s="310">
        <f>SUMIFS(Таблица1[сумма],Таблица1[коэф],"1,4",Таблица1[р/р],"5/24",Таблица1[Ф. И. О.],B33)</f>
        <v>0</v>
      </c>
      <c r="X38" s="320">
        <f>ROUND(U38*V38*W38,2)</f>
        <v>0</v>
      </c>
      <c r="Y38" s="804"/>
      <c r="Z38" s="795"/>
      <c r="AA38" s="798"/>
    </row>
    <row r="39" spans="1:29">
      <c r="A39" s="739">
        <v>4</v>
      </c>
      <c r="B39" s="219"/>
      <c r="C39" s="805">
        <f>INDEX(база!$E$2:$E$181, MATCH(B44,база!$B$2:$B$150,0))</f>
        <v>15816</v>
      </c>
      <c r="D39" s="806">
        <f>INDEX(база!$D$2:$D$189, MATCH(B44,база!$B$2:$B$150,0))</f>
        <v>3</v>
      </c>
      <c r="E39" s="288">
        <f>IF(D39&lt;=3,база!$I$4,
IF(D39=4,база!$I$5,
IF(D39=5,база!$I$6)))</f>
        <v>188.7912</v>
      </c>
      <c r="F39" s="248">
        <v>1</v>
      </c>
      <c r="G39" s="89">
        <f>SUMIFS(Таблица1[сумма],Таблица1[коэф],"1",Таблица1[р/р],"2/4",Таблица1[Ф. И. О.],B44)</f>
        <v>0</v>
      </c>
      <c r="H39" s="295">
        <f>ROUND(E39*F39*G39,2)</f>
        <v>0</v>
      </c>
      <c r="I39" s="66">
        <f>IF(D39&lt;=3,база!$J$4,
IF(D39=4,база!$J$5,
IF(D39=5,база!$J$6)))</f>
        <v>196.05240000000001</v>
      </c>
      <c r="J39" s="248">
        <v>1</v>
      </c>
      <c r="K39" s="266">
        <f>SUMIFS(Таблица1[сумма],Таблица1[коэф],"1",Таблица1[р/р],"2/8",Таблица1[Ф. И. О.],B44)</f>
        <v>0</v>
      </c>
      <c r="L39" s="26">
        <f>ROUND(I39*J39*K39,2)</f>
        <v>0</v>
      </c>
      <c r="M39" s="315"/>
      <c r="N39" s="266">
        <v>1</v>
      </c>
      <c r="O39" s="266">
        <f>SUMIFS(Data_Tech!$AM$3:$AM$67,Data_Tech!$E$3:$E$67,"1",Data_Tech!$G$3:$G$67,"3/12",Data_Tech!$F$3:$F$67,B44)</f>
        <v>0</v>
      </c>
      <c r="P39" s="266">
        <f>ROUND(M39*N39*O39,2)</f>
        <v>0</v>
      </c>
      <c r="Q39" s="67">
        <f>IF(D39&lt;=3,база!$L$4,
IF(D39=4,база!$L$5,
IF(D39=5,база!$L$6)))</f>
        <v>210.57480000000001</v>
      </c>
      <c r="R39" s="248">
        <v>1</v>
      </c>
      <c r="S39" s="89">
        <f>SUMIFS(Таблица1[сумма],Таблица1[коэф],"1",Таблица1[р/р],"3/16",Таблица1[Ф. И. О.],B44)</f>
        <v>0</v>
      </c>
      <c r="T39" s="81">
        <f t="shared" si="18"/>
        <v>0</v>
      </c>
      <c r="U39" s="340">
        <f>IF(D39&lt;=3,база!$M$4,
IF(D39=4,база!$M$5,
IF(D39=5,база!$M$6)))</f>
        <v>225.09719999999999</v>
      </c>
      <c r="V39" s="248">
        <v>1</v>
      </c>
      <c r="W39" s="317">
        <f>SUMIFS(Таблица1[сумма],Таблица1[коэф],"1",Таблица1[р/р],"3/24",Таблица1[Ф. И. О.],B44)</f>
        <v>0</v>
      </c>
      <c r="X39" s="319">
        <f>ROUND(U39*V39*W39,2)</f>
        <v>0</v>
      </c>
      <c r="Y39" s="803">
        <f>SUM(G39:G49,K39:K49,O39:O49,S39:S49,W39:W49)</f>
        <v>0</v>
      </c>
      <c r="Z39" s="794">
        <f>IFERROR(SUM(H39:H49,L39:L49,T39:T49,X39:X49),"")</f>
        <v>0</v>
      </c>
      <c r="AA39" s="797"/>
    </row>
    <row r="40" spans="1:29">
      <c r="A40" s="740"/>
      <c r="B40" s="201"/>
      <c r="C40" s="799"/>
      <c r="D40" s="801"/>
      <c r="E40" s="76">
        <f>IF(D39&lt;=3,база!$I$4,
IF(D39=4,база!$I$5,
IF(D39=5,база!$I$6)))</f>
        <v>188.7912</v>
      </c>
      <c r="F40" s="250">
        <v>1</v>
      </c>
      <c r="G40" s="92">
        <f>SUMIFS(Таблица1[сумма],Таблица1[коэф],"1",Таблица1[р/р],"3/4",Таблица1[Ф. И. О.],B44)</f>
        <v>0</v>
      </c>
      <c r="H40" s="86">
        <f>ROUND(E40*F40*G40,2)</f>
        <v>0</v>
      </c>
      <c r="I40" s="72">
        <f>IF(D39&lt;=3,база!$J$4,
IF(D39=4,база!$J$5,
IF(D39=5,база!$J$6)))</f>
        <v>196.05240000000001</v>
      </c>
      <c r="J40" s="250">
        <v>1</v>
      </c>
      <c r="K40" s="202">
        <f>SUMIFS(Таблица1[сумма],Таблица1[коэф],"1",Таблица1[р/р],"3/8",Таблица1[Ф. И. О.],B44)</f>
        <v>0</v>
      </c>
      <c r="L40" s="27">
        <f>ROUND(I40*J40*K40,2)</f>
        <v>0</v>
      </c>
      <c r="M40" s="311"/>
      <c r="N40" s="202">
        <v>1</v>
      </c>
      <c r="O40" s="202">
        <f>SUMIFS(Data_Tech!$AM$3:$AM$67,Data_Tech!$E$3:$E$67,"1",Data_Tech!$G$3:$G$67,"4/12",Data_Tech!$F$3:$F$67,B44)</f>
        <v>0</v>
      </c>
      <c r="P40" s="202">
        <f>ROUND(M40*O40,2)</f>
        <v>0</v>
      </c>
      <c r="Q40" s="73">
        <f>база!$L$5</f>
        <v>231.45480000000001</v>
      </c>
      <c r="R40" s="250">
        <v>1</v>
      </c>
      <c r="S40" s="92">
        <f>SUMIFS(Таблица1[сумма],Таблица1[коэф],"1",Таблица1[р/р],"4/16",Таблица1[Ф. И. О.],B44)</f>
        <v>0</v>
      </c>
      <c r="T40" s="88">
        <f t="shared" si="18"/>
        <v>0</v>
      </c>
      <c r="U40" s="338">
        <f>база!$M$5</f>
        <v>247.41720000000001</v>
      </c>
      <c r="V40" s="250">
        <v>1</v>
      </c>
      <c r="W40" s="285">
        <f>SUMIFS(Таблица1[сумма],Таблица1[коэф],"1",Таблица1[р/р],"4/24",Таблица1[Ф. И. О.],B44)</f>
        <v>0</v>
      </c>
      <c r="X40" s="291">
        <f t="shared" ref="X40" si="19">ROUND(U40*V40*W40,2)</f>
        <v>0</v>
      </c>
      <c r="Y40" s="803"/>
      <c r="Z40" s="794"/>
      <c r="AA40" s="797"/>
    </row>
    <row r="41" spans="1:29">
      <c r="A41" s="740"/>
      <c r="B41" s="201"/>
      <c r="C41" s="799"/>
      <c r="D41" s="801"/>
      <c r="E41" s="76"/>
      <c r="F41" s="250"/>
      <c r="G41" s="92"/>
      <c r="H41" s="86"/>
      <c r="I41" s="72"/>
      <c r="J41" s="250"/>
      <c r="K41" s="202"/>
      <c r="L41" s="27"/>
      <c r="M41" s="311"/>
      <c r="N41" s="202"/>
      <c r="O41" s="202"/>
      <c r="P41" s="202"/>
      <c r="Q41" s="73">
        <f>база!$L$6</f>
        <v>261.04640000000001</v>
      </c>
      <c r="R41" s="250">
        <v>1</v>
      </c>
      <c r="S41" s="92">
        <f>SUMIFS(Таблица1[сумма],Таблица1[коэф],"1",Таблица1[р/р],"5/16",Таблица1[Ф. И. О.],B44)</f>
        <v>0</v>
      </c>
      <c r="T41" s="88">
        <f t="shared" si="18"/>
        <v>0</v>
      </c>
      <c r="U41" s="338">
        <f>база!$M$6</f>
        <v>279.0496</v>
      </c>
      <c r="V41" s="250">
        <v>1</v>
      </c>
      <c r="W41" s="285">
        <f>SUMIFS(Таблица1[сумма],Таблица1[коэф],"1",Таблица1[р/р],"5/24",Таблица1[Ф. И. О.],B44)</f>
        <v>0</v>
      </c>
      <c r="X41" s="291">
        <f>ROUND(U41*V41*W41,2)</f>
        <v>0</v>
      </c>
      <c r="Y41" s="803"/>
      <c r="Z41" s="794"/>
      <c r="AA41" s="797"/>
    </row>
    <row r="42" spans="1:29">
      <c r="A42" s="740"/>
      <c r="B42" s="201"/>
      <c r="C42" s="799"/>
      <c r="D42" s="801"/>
      <c r="E42" s="76"/>
      <c r="F42" s="250"/>
      <c r="G42" s="92"/>
      <c r="H42" s="86"/>
      <c r="I42" s="72">
        <f>база!$J$5</f>
        <v>215.4924</v>
      </c>
      <c r="J42" s="250">
        <v>1.5</v>
      </c>
      <c r="K42" s="202">
        <f>SUMIFS(Таблица1[сумма],Таблица1[коэф],"1,5",Таблица1[р/р],"4/8",Таблица1[Ф. И. О.],B44)</f>
        <v>0</v>
      </c>
      <c r="L42" s="27">
        <f>ROUND(I42*J42*K42,2)</f>
        <v>0</v>
      </c>
      <c r="M42" s="311"/>
      <c r="N42" s="202"/>
      <c r="O42" s="202"/>
      <c r="P42" s="202"/>
      <c r="Q42" s="73">
        <f>IF(D39&lt;=3,база!$L$4,
IF(D39=4,база!$L$5,
IF(D39=5,база!$L$6)))</f>
        <v>210.57480000000001</v>
      </c>
      <c r="R42" s="250">
        <v>1.2</v>
      </c>
      <c r="S42" s="92">
        <f>SUMIFS(Таблица1[сумма],Таблица1[коэф],"1,2",Таблица1[р/р],"3/16",Таблица1[Ф. И. О.],B44)</f>
        <v>0</v>
      </c>
      <c r="T42" s="88">
        <f t="shared" ref="T42:T43" si="20">ROUND(Q42*R42*S42,2)</f>
        <v>0</v>
      </c>
      <c r="U42" s="338">
        <f>IF(D39&lt;=3,база!$M$4,
IF(D39=4,база!$M$5,
IF(D39=5,база!$M$6)))</f>
        <v>225.09719999999999</v>
      </c>
      <c r="V42" s="250">
        <v>1.2</v>
      </c>
      <c r="W42" s="285">
        <f>SUMIFS(Таблица1[сумма],Таблица1[коэф],"1,2",Таблица1[р/р],"3/24",Таблица1[Ф. И. О.],B44)</f>
        <v>0</v>
      </c>
      <c r="X42" s="291">
        <f t="shared" ref="X42:X43" si="21">ROUND(U42*V42*W42,2)</f>
        <v>0</v>
      </c>
      <c r="Y42" s="803"/>
      <c r="Z42" s="794"/>
      <c r="AA42" s="797"/>
    </row>
    <row r="43" spans="1:29">
      <c r="A43" s="740"/>
      <c r="B43" s="201"/>
      <c r="C43" s="799"/>
      <c r="D43" s="801"/>
      <c r="E43" s="76"/>
      <c r="F43" s="250"/>
      <c r="G43" s="92"/>
      <c r="H43" s="86"/>
      <c r="I43" s="72">
        <f>база!$J$6</f>
        <v>243.04319999999998</v>
      </c>
      <c r="J43" s="250">
        <v>1.5</v>
      </c>
      <c r="K43" s="202">
        <f>SUMIFS(Таблица1[сумма],Таблица1[коэф],"1,5",Таблица1[р/р],"5/8",Таблица1[Ф. И. О.],B44)</f>
        <v>0</v>
      </c>
      <c r="L43" s="27">
        <f>ROUND(I43*J43*K43,2)</f>
        <v>0</v>
      </c>
      <c r="M43" s="311"/>
      <c r="N43" s="202"/>
      <c r="O43" s="202"/>
      <c r="P43" s="202"/>
      <c r="Q43" s="73">
        <f>база!$L$5</f>
        <v>231.45480000000001</v>
      </c>
      <c r="R43" s="250">
        <v>1.2</v>
      </c>
      <c r="S43" s="92">
        <f>SUMIFS(Таблица1[сумма],Таблица1[коэф],"1,2",Таблица1[р/р],"4/16",Таблица1[Ф. И. О.],B44)</f>
        <v>0</v>
      </c>
      <c r="T43" s="88">
        <f t="shared" si="20"/>
        <v>0</v>
      </c>
      <c r="U43" s="338">
        <f>база!$M$5</f>
        <v>247.41720000000001</v>
      </c>
      <c r="V43" s="250">
        <v>1.2</v>
      </c>
      <c r="W43" s="285">
        <f>SUMIFS(Таблица1[сумма],Таблица1[коэф],"1,2",Таблица1[р/р],"4/24",Таблица1[Ф. И. О.],B44)</f>
        <v>0</v>
      </c>
      <c r="X43" s="291">
        <f t="shared" si="21"/>
        <v>0</v>
      </c>
      <c r="Y43" s="803"/>
      <c r="Z43" s="794"/>
      <c r="AA43" s="797"/>
      <c r="AC43" s="688" t="str">
        <f>IF(SUMIFS(Таблица1[Столбец2],Таблица1[Ф. И. О.],B44)-Z39=0,"",SUMIFS(Таблица1[Столбец2],Таблица1[Ф. И. О.],B44)-Z39)</f>
        <v/>
      </c>
    </row>
    <row r="44" spans="1:29">
      <c r="A44" s="740"/>
      <c r="B44" s="201" t="str">
        <f>база!B5</f>
        <v>Александрович Екатерина Сергеевна</v>
      </c>
      <c r="C44" s="799"/>
      <c r="D44" s="801"/>
      <c r="E44" s="76"/>
      <c r="F44" s="250"/>
      <c r="G44" s="92"/>
      <c r="H44" s="86"/>
      <c r="I44" s="72"/>
      <c r="J44" s="250"/>
      <c r="K44" s="202"/>
      <c r="L44" s="27"/>
      <c r="M44" s="311"/>
      <c r="N44" s="202"/>
      <c r="O44" s="202"/>
      <c r="P44" s="202"/>
      <c r="Q44" s="73">
        <f>база!$L$6</f>
        <v>261.04640000000001</v>
      </c>
      <c r="R44" s="250">
        <v>1.2</v>
      </c>
      <c r="S44" s="92">
        <f>SUMIFS(Таблица1[сумма],Таблица1[коэф],"1,2",Таблица1[р/р],"5/16",Таблица1[Ф. И. О.],B44)</f>
        <v>0</v>
      </c>
      <c r="T44" s="88">
        <f>ROUND(Q44*R44*S44,2)</f>
        <v>0</v>
      </c>
      <c r="U44" s="338">
        <f>база!$M$6</f>
        <v>279.0496</v>
      </c>
      <c r="V44" s="250">
        <v>1.2</v>
      </c>
      <c r="W44" s="285">
        <f>SUMIFS(Таблица1[сумма],Таблица1[коэф],"1,2",Таблица1[р/р],"5/24",Таблица1[Ф. И. О.],B44)</f>
        <v>0</v>
      </c>
      <c r="X44" s="291">
        <f>ROUND(U44*V44*W44,2)</f>
        <v>0</v>
      </c>
      <c r="Y44" s="803"/>
      <c r="Z44" s="794"/>
      <c r="AA44" s="797"/>
      <c r="AC44" s="688" t="str">
        <f>IF(SUMIFS(Таблица1[сумма],Таблица1[Ф. И. О.],B44)=Y39,"",B39&amp;"  часы не верны")</f>
        <v/>
      </c>
    </row>
    <row r="45" spans="1:29">
      <c r="A45" s="740"/>
      <c r="B45" s="201"/>
      <c r="C45" s="799"/>
      <c r="D45" s="801"/>
      <c r="E45" s="76"/>
      <c r="F45" s="250"/>
      <c r="G45" s="92"/>
      <c r="H45" s="86"/>
      <c r="I45" s="72"/>
      <c r="J45" s="250"/>
      <c r="K45" s="202"/>
      <c r="L45" s="27"/>
      <c r="M45" s="311"/>
      <c r="N45" s="202"/>
      <c r="O45" s="202"/>
      <c r="P45" s="202"/>
      <c r="Q45" s="73">
        <f>IF($D$6&lt;=3,база!$L$4,
IF($D$6=4,база!$L$5,
IF($D$6=5,база!$L$6)))</f>
        <v>231.45480000000001</v>
      </c>
      <c r="R45" s="250">
        <v>1.3</v>
      </c>
      <c r="S45" s="92">
        <f>SUMIFS(Таблица1[сумма],Таблица1[коэф],"1,3",Таблица1[р/р],"3/16",Таблица1[Ф. И. О.],B44)</f>
        <v>0</v>
      </c>
      <c r="T45" s="88">
        <f t="shared" ref="T45:T46" si="22">ROUND(Q45*R45*S45,2)</f>
        <v>0</v>
      </c>
      <c r="U45" s="338">
        <f>IF(D39&lt;=3,база!$M$4,
IF(D39=4,база!$M$5,
IF(D39=5,база!$M$6)))</f>
        <v>225.09719999999999</v>
      </c>
      <c r="V45" s="250">
        <v>1.3</v>
      </c>
      <c r="W45" s="285">
        <f>SUMIFS(Таблица1[сумма],Таблица1[коэф],"1,3",Таблица1[р/р],"3/24",Таблица1[Ф. И. О.],B44)</f>
        <v>0</v>
      </c>
      <c r="X45" s="291">
        <f t="shared" ref="X45:X46" si="23">ROUND(U45*V45*W45,2)</f>
        <v>0</v>
      </c>
      <c r="Y45" s="803"/>
      <c r="Z45" s="794"/>
      <c r="AA45" s="797"/>
    </row>
    <row r="46" spans="1:29">
      <c r="A46" s="740"/>
      <c r="B46" s="201"/>
      <c r="C46" s="799"/>
      <c r="D46" s="801"/>
      <c r="E46" s="76"/>
      <c r="F46" s="250"/>
      <c r="G46" s="92"/>
      <c r="H46" s="86"/>
      <c r="I46" s="72"/>
      <c r="J46" s="250"/>
      <c r="K46" s="202"/>
      <c r="L46" s="27"/>
      <c r="M46" s="311"/>
      <c r="N46" s="202"/>
      <c r="O46" s="202"/>
      <c r="P46" s="202"/>
      <c r="Q46" s="73">
        <f>база!$L$5</f>
        <v>231.45480000000001</v>
      </c>
      <c r="R46" s="250">
        <v>1.3</v>
      </c>
      <c r="S46" s="92">
        <f>SUMIFS(Таблица1[сумма],Таблица1[коэф],"1,3",Таблица1[р/р],"4/16",Таблица1[Ф. И. О.],B44)</f>
        <v>0</v>
      </c>
      <c r="T46" s="88">
        <f t="shared" si="22"/>
        <v>0</v>
      </c>
      <c r="U46" s="338">
        <f>база!$M$5</f>
        <v>247.41720000000001</v>
      </c>
      <c r="V46" s="250">
        <v>1.3</v>
      </c>
      <c r="W46" s="285">
        <f>SUMIFS(Таблица1[сумма],Таблица1[коэф],"1,3",Таблица1[р/р],"4/24",Таблица1[Ф. И. О.],B44)</f>
        <v>0</v>
      </c>
      <c r="X46" s="291">
        <f t="shared" si="23"/>
        <v>0</v>
      </c>
      <c r="Y46" s="803"/>
      <c r="Z46" s="794"/>
      <c r="AA46" s="797"/>
    </row>
    <row r="47" spans="1:29">
      <c r="A47" s="740"/>
      <c r="B47" s="201"/>
      <c r="C47" s="799"/>
      <c r="D47" s="801"/>
      <c r="E47" s="76"/>
      <c r="F47" s="250"/>
      <c r="G47" s="92"/>
      <c r="H47" s="86"/>
      <c r="I47" s="72"/>
      <c r="J47" s="250"/>
      <c r="K47" s="202"/>
      <c r="L47" s="27"/>
      <c r="M47" s="311"/>
      <c r="N47" s="202"/>
      <c r="O47" s="202"/>
      <c r="P47" s="202"/>
      <c r="Q47" s="73">
        <f>IF(D39&lt;=3,база!$L$4,
IF(D39=4,база!$L$5,
IF(D39=5,база!$L$6)))</f>
        <v>210.57480000000001</v>
      </c>
      <c r="R47" s="250">
        <v>1.4</v>
      </c>
      <c r="S47" s="92">
        <f>SUMIFS(Таблица1[сумма],Таблица1[коэф],"1,4",Таблица1[р/р],"3/16",Таблица1[Ф. И. О.],B44)</f>
        <v>0</v>
      </c>
      <c r="T47" s="88">
        <f t="shared" ref="T47:T52" si="24">ROUND(Q47*R47*S47,2)</f>
        <v>0</v>
      </c>
      <c r="U47" s="338">
        <f>IF(D39&lt;=3,база!$M$4,
IF(D39=4,база!$M$5,
IF(D39=5,база!$M$6)))</f>
        <v>225.09719999999999</v>
      </c>
      <c r="V47" s="250">
        <v>1.4</v>
      </c>
      <c r="W47" s="285">
        <f>SUMIFS(Таблица1[сумма],Таблица1[коэф],"1,4",Таблица1[р/р],"3/24",Таблица1[Ф. И. О.],B44)</f>
        <v>0</v>
      </c>
      <c r="X47" s="291">
        <f>ROUND(U47*V47*W47,2)</f>
        <v>0</v>
      </c>
      <c r="Y47" s="803"/>
      <c r="Z47" s="794"/>
      <c r="AA47" s="797"/>
    </row>
    <row r="48" spans="1:29">
      <c r="A48" s="740"/>
      <c r="B48" s="201"/>
      <c r="C48" s="799"/>
      <c r="D48" s="801"/>
      <c r="E48" s="76"/>
      <c r="F48" s="250"/>
      <c r="G48" s="92"/>
      <c r="H48" s="86"/>
      <c r="I48" s="72"/>
      <c r="J48" s="250"/>
      <c r="K48" s="202"/>
      <c r="L48" s="27"/>
      <c r="M48" s="311"/>
      <c r="N48" s="202"/>
      <c r="O48" s="202"/>
      <c r="P48" s="202"/>
      <c r="Q48" s="73">
        <f>база!$L$5</f>
        <v>231.45480000000001</v>
      </c>
      <c r="R48" s="250">
        <v>1.4</v>
      </c>
      <c r="S48" s="92">
        <f>SUMIFS(Таблица1[сумма],Таблица1[коэф],"1,4",Таблица1[р/р],"4/16",Таблица1[Ф. И. О.],B44)</f>
        <v>0</v>
      </c>
      <c r="T48" s="88">
        <f t="shared" si="24"/>
        <v>0</v>
      </c>
      <c r="U48" s="338">
        <f>база!$M$5</f>
        <v>247.41720000000001</v>
      </c>
      <c r="V48" s="250">
        <v>1.4</v>
      </c>
      <c r="W48" s="285">
        <f>SUMIFS(Таблица1[сумма],Таблица1[коэф],"1,4",Таблица1[р/р],"4/24",Таблица1[Ф. И. О.],B44)</f>
        <v>0</v>
      </c>
      <c r="X48" s="291">
        <f>ROUND(U48*V48*W48,2)</f>
        <v>0</v>
      </c>
      <c r="Y48" s="803"/>
      <c r="Z48" s="794"/>
      <c r="AA48" s="797"/>
    </row>
    <row r="49" spans="1:29" ht="24" thickBot="1">
      <c r="A49" s="741"/>
      <c r="B49" s="188"/>
      <c r="C49" s="800"/>
      <c r="D49" s="802"/>
      <c r="E49" s="206"/>
      <c r="F49" s="252"/>
      <c r="G49" s="91"/>
      <c r="H49" s="222"/>
      <c r="I49" s="95"/>
      <c r="J49" s="252"/>
      <c r="K49" s="267"/>
      <c r="L49" s="24"/>
      <c r="M49" s="325"/>
      <c r="N49" s="267"/>
      <c r="O49" s="267"/>
      <c r="P49" s="267"/>
      <c r="Q49" s="71">
        <f>база!$L$6</f>
        <v>261.04640000000001</v>
      </c>
      <c r="R49" s="252">
        <v>1.4</v>
      </c>
      <c r="S49" s="91">
        <f>SUMIFS(Таблица1[сумма],Таблица1[коэф],"1,4",Таблица1[р/р],"5/16",Таблица1[Ф. И. О.],B44)</f>
        <v>0</v>
      </c>
      <c r="T49" s="84">
        <f t="shared" si="24"/>
        <v>0</v>
      </c>
      <c r="U49" s="341">
        <f>база!$M$6</f>
        <v>279.0496</v>
      </c>
      <c r="V49" s="252">
        <v>1.4</v>
      </c>
      <c r="W49" s="290">
        <f>SUMIFS(Таблица1[сумма],Таблица1[коэф],"1,4",Таблица1[р/р],"5/24",Таблица1[Ф. И. О.],B44)</f>
        <v>0</v>
      </c>
      <c r="X49" s="320">
        <f>ROUND(U49*V49*W49,2)</f>
        <v>0</v>
      </c>
      <c r="Y49" s="804"/>
      <c r="Z49" s="795"/>
      <c r="AA49" s="798"/>
    </row>
    <row r="50" spans="1:29">
      <c r="A50" s="739">
        <v>5</v>
      </c>
      <c r="B50" s="201"/>
      <c r="C50" s="808">
        <f>INDEX(база!$E$2:$E$181, MATCH(B55,база!$B$2:$B$150,0))</f>
        <v>16475</v>
      </c>
      <c r="D50" s="808">
        <f>INDEX(база!$D$2:$D$189, MATCH(B55,база!$B$2:$B$150,0))</f>
        <v>3</v>
      </c>
      <c r="E50" s="66">
        <f>IF(D50&lt;=3,база!$I$4,
IF(D50=4,база!$I$5,
IF(D50=5,база!$I$6)))</f>
        <v>188.7912</v>
      </c>
      <c r="F50" s="248">
        <v>1</v>
      </c>
      <c r="G50" s="89">
        <f>SUMIFS(Таблица1[сумма],Таблица1[коэф],"1",Таблица1[р/р],"2/4",Таблица1[Ф. И. О.],B55)</f>
        <v>0</v>
      </c>
      <c r="H50" s="81">
        <f>ROUND(E50*F50*G50,2)</f>
        <v>0</v>
      </c>
      <c r="I50" s="288">
        <f>IF(D50&lt;=3,база!$J$4,
IF(D50=4,база!$J$5,
IF(D50=5,база!$J$6)))</f>
        <v>196.05240000000001</v>
      </c>
      <c r="J50" s="248">
        <v>1</v>
      </c>
      <c r="K50" s="266">
        <f>SUMIFS(Таблица1[сумма],Таблица1[коэф],"1",Таблица1[р/р],"2/8",Таблица1[Ф. И. О.],B55)</f>
        <v>0</v>
      </c>
      <c r="L50" s="26">
        <f>ROUND(I50*J50*K50,2)</f>
        <v>0</v>
      </c>
      <c r="M50" s="315"/>
      <c r="N50" s="266">
        <v>1</v>
      </c>
      <c r="O50" s="266">
        <f>SUMIFS(Data_Tech!$AM$3:$AM$67,Data_Tech!$E$3:$E$67,"1",Data_Tech!$G$3:$G$67,"3/12",Data_Tech!$F$3:$F$67,B55)</f>
        <v>0</v>
      </c>
      <c r="P50" s="266">
        <f>ROUND(M50*N50*O50,2)</f>
        <v>0</v>
      </c>
      <c r="Q50" s="67">
        <f>IF(D50&lt;=3,база!$L$4,
IF(D50=4,база!$L$5,
IF(D50=5,база!$L$6)))</f>
        <v>210.57480000000001</v>
      </c>
      <c r="R50" s="248">
        <v>1</v>
      </c>
      <c r="S50" s="89">
        <f>SUMIFS(Таблица1[сумма],Таблица1[коэф],"1",Таблица1[р/р],"3/16",Таблица1[Ф. И. О.],B55)</f>
        <v>0</v>
      </c>
      <c r="T50" s="295">
        <f t="shared" si="24"/>
        <v>0</v>
      </c>
      <c r="U50" s="342">
        <f>IF(D50&lt;=3,база!$M$4,
IF(D50=4,база!$M$5,
IF(D50=5,база!$M$6)))</f>
        <v>225.09719999999999</v>
      </c>
      <c r="V50" s="248">
        <v>1</v>
      </c>
      <c r="W50" s="317">
        <f>SUMIFS(Таблица1[сумма],Таблица1[коэф],"1",Таблица1[р/р],"3/24",Таблица1[Ф. И. О.],B55)</f>
        <v>0</v>
      </c>
      <c r="X50" s="319">
        <f>ROUND(U50*V50*W50,2)</f>
        <v>0</v>
      </c>
      <c r="Y50" s="803">
        <f>SUM(G50:G60,K50:K60,O50:O60,S50:S60,W50:W60)</f>
        <v>0</v>
      </c>
      <c r="Z50" s="794">
        <f>IFERROR(SUM(H50:H60,L50:L60,T50:T60,X50:X60),"")</f>
        <v>0</v>
      </c>
      <c r="AA50" s="796"/>
    </row>
    <row r="51" spans="1:29">
      <c r="A51" s="740"/>
      <c r="B51" s="201"/>
      <c r="C51" s="809"/>
      <c r="D51" s="809"/>
      <c r="E51" s="72">
        <f>IF(D50&lt;=3,база!$I$4,
IF(D50=4,база!$I$5,
IF(D50=5,база!$I$6)))</f>
        <v>188.7912</v>
      </c>
      <c r="F51" s="250">
        <v>1</v>
      </c>
      <c r="G51" s="92">
        <f>SUMIFS(Таблица1[сумма],Таблица1[коэф],"1",Таблица1[р/р],"3/4",Таблица1[Ф. И. О.],B55)</f>
        <v>0</v>
      </c>
      <c r="H51" s="88">
        <f>ROUND(E51*F51*G51,2)</f>
        <v>0</v>
      </c>
      <c r="I51" s="76">
        <f>IF(D50&lt;=3,база!$J$4,
IF(D50=4,база!$J$5,
IF(D50=5,база!$J$6)))</f>
        <v>196.05240000000001</v>
      </c>
      <c r="J51" s="250">
        <v>1</v>
      </c>
      <c r="K51" s="202">
        <f>SUMIFS(Таблица1[сумма],Таблица1[коэф],"1",Таблица1[р/р],"3/8",Таблица1[Ф. И. О.],B55)</f>
        <v>0</v>
      </c>
      <c r="L51" s="27">
        <f>ROUND(I51*J51*K51,2)</f>
        <v>0</v>
      </c>
      <c r="M51" s="311"/>
      <c r="N51" s="202">
        <v>1</v>
      </c>
      <c r="O51" s="202">
        <f>SUMIFS(Data_Tech!$AM$3:$AM$67,Data_Tech!$E$3:$E$67,"1",Data_Tech!$G$3:$G$67,"4/12",Data_Tech!$F$3:$F$67,B55)</f>
        <v>0</v>
      </c>
      <c r="P51" s="202">
        <f>ROUND(M51*O51,2)</f>
        <v>0</v>
      </c>
      <c r="Q51" s="73">
        <f>база!$L$5</f>
        <v>231.45480000000001</v>
      </c>
      <c r="R51" s="250">
        <v>1</v>
      </c>
      <c r="S51" s="92">
        <f>SUMIFS(Таблица1[сумма],Таблица1[коэф],"1",Таблица1[р/р],"4/16",Таблица1[Ф. И. О.],B55)</f>
        <v>0</v>
      </c>
      <c r="T51" s="86">
        <f t="shared" si="24"/>
        <v>0</v>
      </c>
      <c r="U51" s="343">
        <f>база!$M$5</f>
        <v>247.41720000000001</v>
      </c>
      <c r="V51" s="250">
        <v>1</v>
      </c>
      <c r="W51" s="285">
        <f>SUMIFS(Таблица1[сумма],Таблица1[коэф],"1",Таблица1[р/р],"4/24",Таблица1[Ф. И. О.],B55)</f>
        <v>0</v>
      </c>
      <c r="X51" s="291">
        <f t="shared" ref="X51" si="25">ROUND(U51*V51*W51,2)</f>
        <v>0</v>
      </c>
      <c r="Y51" s="803"/>
      <c r="Z51" s="794"/>
      <c r="AA51" s="797"/>
    </row>
    <row r="52" spans="1:29">
      <c r="A52" s="740"/>
      <c r="B52" s="201"/>
      <c r="C52" s="809"/>
      <c r="D52" s="809"/>
      <c r="E52" s="72"/>
      <c r="F52" s="250"/>
      <c r="G52" s="92"/>
      <c r="H52" s="88"/>
      <c r="I52" s="76"/>
      <c r="J52" s="250"/>
      <c r="K52" s="202"/>
      <c r="L52" s="27"/>
      <c r="M52" s="311"/>
      <c r="N52" s="202"/>
      <c r="O52" s="202"/>
      <c r="P52" s="202"/>
      <c r="Q52" s="73">
        <f>база!$L$6</f>
        <v>261.04640000000001</v>
      </c>
      <c r="R52" s="250">
        <v>1</v>
      </c>
      <c r="S52" s="92">
        <f>SUMIFS(Таблица1[сумма],Таблица1[коэф],"1",Таблица1[р/р],"5/16",Таблица1[Ф. И. О.],B55)</f>
        <v>0</v>
      </c>
      <c r="T52" s="86">
        <f t="shared" si="24"/>
        <v>0</v>
      </c>
      <c r="U52" s="343">
        <f>база!$M$6</f>
        <v>279.0496</v>
      </c>
      <c r="V52" s="250">
        <v>1</v>
      </c>
      <c r="W52" s="285">
        <f>SUMIFS(Таблица1[сумма],Таблица1[коэф],"1",Таблица1[р/р],"5/24",Таблица1[Ф. И. О.],B55)</f>
        <v>0</v>
      </c>
      <c r="X52" s="291">
        <f>ROUND(U52*V52*W52,2)</f>
        <v>0</v>
      </c>
      <c r="Y52" s="803"/>
      <c r="Z52" s="794"/>
      <c r="AA52" s="797"/>
    </row>
    <row r="53" spans="1:29">
      <c r="A53" s="740"/>
      <c r="B53" s="201"/>
      <c r="C53" s="809"/>
      <c r="D53" s="809"/>
      <c r="E53" s="72"/>
      <c r="F53" s="250"/>
      <c r="G53" s="92"/>
      <c r="H53" s="88"/>
      <c r="I53" s="76">
        <f>база!$J$5</f>
        <v>215.4924</v>
      </c>
      <c r="J53" s="250">
        <v>1.5</v>
      </c>
      <c r="K53" s="202">
        <f>SUMIFS(Таблица1[сумма],Таблица1[коэф],"1,5",Таблица1[р/р],"4/8",Таблица1[Ф. И. О.],B55)</f>
        <v>0</v>
      </c>
      <c r="L53" s="27">
        <f>ROUND(I53*J53*K53,2)</f>
        <v>0</v>
      </c>
      <c r="M53" s="311"/>
      <c r="N53" s="202"/>
      <c r="O53" s="202"/>
      <c r="P53" s="202"/>
      <c r="Q53" s="73">
        <f>IF(D50&lt;=3,база!$L$4,
IF(D50=4,база!$L$5,
IF(D50=5,база!$L$6)))</f>
        <v>210.57480000000001</v>
      </c>
      <c r="R53" s="250">
        <v>1.2</v>
      </c>
      <c r="S53" s="92">
        <f>SUMIFS(Таблица1[сумма],Таблица1[коэф],"1,2",Таблица1[р/р],"3/16",Таблица1[Ф. И. О.],B55)</f>
        <v>0</v>
      </c>
      <c r="T53" s="86">
        <f t="shared" ref="T53:T54" si="26">ROUND(Q53*R53*S53,2)</f>
        <v>0</v>
      </c>
      <c r="U53" s="343">
        <f>IF(D50&lt;=3,база!$M$4,
IF(D50=4,база!$M$5,
IF(D50=5,база!$M$6)))</f>
        <v>225.09719999999999</v>
      </c>
      <c r="V53" s="250">
        <v>1.2</v>
      </c>
      <c r="W53" s="285">
        <f>SUMIFS(Таблица1[сумма],Таблица1[коэф],"1,2",Таблица1[р/р],"3/24",Таблица1[Ф. И. О.],B55)</f>
        <v>0</v>
      </c>
      <c r="X53" s="291">
        <f t="shared" ref="X53:X54" si="27">ROUND(U53*V53*W53,2)</f>
        <v>0</v>
      </c>
      <c r="Y53" s="803"/>
      <c r="Z53" s="794"/>
      <c r="AA53" s="797"/>
    </row>
    <row r="54" spans="1:29">
      <c r="A54" s="740"/>
      <c r="B54" s="201"/>
      <c r="C54" s="809"/>
      <c r="D54" s="809"/>
      <c r="E54" s="72"/>
      <c r="F54" s="250"/>
      <c r="G54" s="92"/>
      <c r="H54" s="88"/>
      <c r="I54" s="76">
        <f>база!$J$6</f>
        <v>243.04319999999998</v>
      </c>
      <c r="J54" s="250">
        <v>1.5</v>
      </c>
      <c r="K54" s="202">
        <f>SUMIFS(Таблица1[сумма],Таблица1[коэф],"1,5",Таблица1[р/р],"5/8",Таблица1[Ф. И. О.],B55)</f>
        <v>0</v>
      </c>
      <c r="L54" s="27">
        <f>ROUND(I54*J54*K54,2)</f>
        <v>0</v>
      </c>
      <c r="M54" s="311"/>
      <c r="N54" s="202"/>
      <c r="O54" s="202"/>
      <c r="P54" s="202"/>
      <c r="Q54" s="73">
        <f>база!$L$5</f>
        <v>231.45480000000001</v>
      </c>
      <c r="R54" s="250">
        <v>1.2</v>
      </c>
      <c r="S54" s="92">
        <f>SUMIFS(Таблица1[сумма],Таблица1[коэф],"1,2",Таблица1[р/р],"4/16",Таблица1[Ф. И. О.],B55)</f>
        <v>0</v>
      </c>
      <c r="T54" s="86">
        <f t="shared" si="26"/>
        <v>0</v>
      </c>
      <c r="U54" s="343">
        <f>база!$M$5</f>
        <v>247.41720000000001</v>
      </c>
      <c r="V54" s="250">
        <v>1.2</v>
      </c>
      <c r="W54" s="285">
        <f>SUMIFS(Таблица1[сумма],Таблица1[коэф],"1,2",Таблица1[р/р],"4/24",Таблица1[Ф. И. О.],B55)</f>
        <v>0</v>
      </c>
      <c r="X54" s="291">
        <f t="shared" si="27"/>
        <v>0</v>
      </c>
      <c r="Y54" s="803"/>
      <c r="Z54" s="794"/>
      <c r="AA54" s="797"/>
      <c r="AC54" s="688" t="str">
        <f>IF(SUMIFS(Таблица1[Столбец2],Таблица1[Ф. И. О.],B55)-Z50=0,"",SUMIFS(Таблица1[Столбец2],Таблица1[Ф. И. О.],B55)-Z50)</f>
        <v/>
      </c>
    </row>
    <row r="55" spans="1:29">
      <c r="A55" s="740"/>
      <c r="B55" s="201" t="str">
        <f>база!B6</f>
        <v>Алиева Диана Арифовна</v>
      </c>
      <c r="C55" s="809"/>
      <c r="D55" s="809"/>
      <c r="E55" s="72"/>
      <c r="F55" s="250"/>
      <c r="G55" s="92"/>
      <c r="H55" s="88"/>
      <c r="I55" s="76"/>
      <c r="J55" s="250"/>
      <c r="K55" s="202"/>
      <c r="L55" s="27"/>
      <c r="M55" s="311"/>
      <c r="N55" s="202"/>
      <c r="O55" s="202"/>
      <c r="P55" s="202"/>
      <c r="Q55" s="73">
        <f>база!$L$6</f>
        <v>261.04640000000001</v>
      </c>
      <c r="R55" s="250">
        <v>1.2</v>
      </c>
      <c r="S55" s="92">
        <f>SUMIFS(Таблица1[сумма],Таблица1[коэф],"1,2",Таблица1[р/р],"5/16",Таблица1[Ф. И. О.],B55)</f>
        <v>0</v>
      </c>
      <c r="T55" s="86">
        <f>ROUND(Q55*R55*S55,2)</f>
        <v>0</v>
      </c>
      <c r="U55" s="343">
        <f>база!$M$6</f>
        <v>279.0496</v>
      </c>
      <c r="V55" s="250">
        <v>1.2</v>
      </c>
      <c r="W55" s="285">
        <f>SUMIFS(Таблица1[сумма],Таблица1[коэф],"1,2",Таблица1[р/р],"5/24",Таблица1[Ф. И. О.],B55)</f>
        <v>0</v>
      </c>
      <c r="X55" s="291">
        <f>ROUND(U55*V55*W55,2)</f>
        <v>0</v>
      </c>
      <c r="Y55" s="803"/>
      <c r="Z55" s="794"/>
      <c r="AA55" s="797"/>
      <c r="AC55" s="688" t="str">
        <f>IF(SUMIFS(Таблица1[сумма],Таблица1[Ф. И. О.],B55)=Y50,"",B50&amp;"  часы не верны")</f>
        <v/>
      </c>
    </row>
    <row r="56" spans="1:29">
      <c r="A56" s="740"/>
      <c r="B56" s="201"/>
      <c r="C56" s="809"/>
      <c r="D56" s="809"/>
      <c r="E56" s="72"/>
      <c r="F56" s="250"/>
      <c r="G56" s="92"/>
      <c r="H56" s="88"/>
      <c r="I56" s="76"/>
      <c r="J56" s="250"/>
      <c r="K56" s="202"/>
      <c r="L56" s="27"/>
      <c r="M56" s="311"/>
      <c r="N56" s="202"/>
      <c r="O56" s="202"/>
      <c r="P56" s="202"/>
      <c r="Q56" s="73">
        <f>IF($D$6&lt;=3,база!$L$4,
IF($D$6=4,база!$L$5,
IF($D$6=5,база!$L$6)))</f>
        <v>231.45480000000001</v>
      </c>
      <c r="R56" s="250">
        <v>1.3</v>
      </c>
      <c r="S56" s="92">
        <f>SUMIFS(Таблица1[сумма],Таблица1[коэф],"1,3",Таблица1[р/р],"3/16",Таблица1[Ф. И. О.],B55)</f>
        <v>0</v>
      </c>
      <c r="T56" s="86">
        <f t="shared" ref="T56:T57" si="28">ROUND(Q56*R56*S56,2)</f>
        <v>0</v>
      </c>
      <c r="U56" s="343">
        <f>IF(D50&lt;=3,база!$M$4,
IF(D50=4,база!$M$5,
IF(D50=5,база!$M$6)))</f>
        <v>225.09719999999999</v>
      </c>
      <c r="V56" s="250">
        <v>1.3</v>
      </c>
      <c r="W56" s="285">
        <f>SUMIFS(Таблица1[сумма],Таблица1[коэф],"1,3",Таблица1[р/р],"3/24",Таблица1[Ф. И. О.],B55)</f>
        <v>0</v>
      </c>
      <c r="X56" s="291">
        <f t="shared" ref="X56:X57" si="29">ROUND(U56*V56*W56,2)</f>
        <v>0</v>
      </c>
      <c r="Y56" s="803"/>
      <c r="Z56" s="794"/>
      <c r="AA56" s="797"/>
    </row>
    <row r="57" spans="1:29">
      <c r="A57" s="740"/>
      <c r="B57" s="201"/>
      <c r="C57" s="809"/>
      <c r="D57" s="809"/>
      <c r="E57" s="72"/>
      <c r="F57" s="250"/>
      <c r="G57" s="92"/>
      <c r="H57" s="88"/>
      <c r="I57" s="76"/>
      <c r="J57" s="250"/>
      <c r="K57" s="202"/>
      <c r="L57" s="27"/>
      <c r="M57" s="311"/>
      <c r="N57" s="202"/>
      <c r="O57" s="202"/>
      <c r="P57" s="202"/>
      <c r="Q57" s="73">
        <f>база!$L$5</f>
        <v>231.45480000000001</v>
      </c>
      <c r="R57" s="250">
        <v>1.3</v>
      </c>
      <c r="S57" s="92">
        <f>SUMIFS(Таблица1[сумма],Таблица1[коэф],"1,3",Таблица1[р/р],"4/16",Таблица1[Ф. И. О.],B55)</f>
        <v>0</v>
      </c>
      <c r="T57" s="86">
        <f t="shared" si="28"/>
        <v>0</v>
      </c>
      <c r="U57" s="343">
        <f>база!$M$5</f>
        <v>247.41720000000001</v>
      </c>
      <c r="V57" s="250">
        <v>1.3</v>
      </c>
      <c r="W57" s="285">
        <f>SUMIFS(Таблица1[сумма],Таблица1[коэф],"1,3",Таблица1[р/р],"4/24",Таблица1[Ф. И. О.],B55)</f>
        <v>0</v>
      </c>
      <c r="X57" s="291">
        <f t="shared" si="29"/>
        <v>0</v>
      </c>
      <c r="Y57" s="803"/>
      <c r="Z57" s="794"/>
      <c r="AA57" s="797"/>
    </row>
    <row r="58" spans="1:29">
      <c r="A58" s="740"/>
      <c r="B58" s="201"/>
      <c r="C58" s="809"/>
      <c r="D58" s="809"/>
      <c r="E58" s="72"/>
      <c r="F58" s="250"/>
      <c r="G58" s="92"/>
      <c r="H58" s="88"/>
      <c r="I58" s="76"/>
      <c r="J58" s="250"/>
      <c r="K58" s="202"/>
      <c r="L58" s="27"/>
      <c r="M58" s="311"/>
      <c r="N58" s="202"/>
      <c r="O58" s="202"/>
      <c r="P58" s="202"/>
      <c r="Q58" s="73">
        <f>IF(D50&lt;=3,база!$L$4,
IF(D50=4,база!$L$5,
IF(D50=5,база!$L$6)))</f>
        <v>210.57480000000001</v>
      </c>
      <c r="R58" s="250">
        <v>1.4</v>
      </c>
      <c r="S58" s="92">
        <f>SUMIFS(Таблица1[сумма],Таблица1[коэф],"1,4",Таблица1[р/р],"3/16",Таблица1[Ф. И. О.],B55)</f>
        <v>0</v>
      </c>
      <c r="T58" s="86">
        <f t="shared" ref="T58:T63" si="30">ROUND(Q58*R58*S58,2)</f>
        <v>0</v>
      </c>
      <c r="U58" s="343">
        <f>IF(D50&lt;=3,база!$M$4,
IF(D50=4,база!$M$5,
IF(D50=5,база!$M$6)))</f>
        <v>225.09719999999999</v>
      </c>
      <c r="V58" s="250">
        <v>1.4</v>
      </c>
      <c r="W58" s="285">
        <f>SUMIFS(Таблица1[сумма],Таблица1[коэф],"1,4",Таблица1[р/р],"3/24",Таблица1[Ф. И. О.],B55)</f>
        <v>0</v>
      </c>
      <c r="X58" s="291">
        <f>ROUND(U58*V58*W58,2)</f>
        <v>0</v>
      </c>
      <c r="Y58" s="803"/>
      <c r="Z58" s="794"/>
      <c r="AA58" s="797"/>
    </row>
    <row r="59" spans="1:29">
      <c r="A59" s="740"/>
      <c r="B59" s="201"/>
      <c r="C59" s="809"/>
      <c r="D59" s="809"/>
      <c r="E59" s="72"/>
      <c r="F59" s="250"/>
      <c r="G59" s="92"/>
      <c r="H59" s="88"/>
      <c r="I59" s="76"/>
      <c r="J59" s="250"/>
      <c r="K59" s="202"/>
      <c r="L59" s="27"/>
      <c r="M59" s="311"/>
      <c r="N59" s="202"/>
      <c r="O59" s="202"/>
      <c r="P59" s="202"/>
      <c r="Q59" s="73">
        <f>база!$L$5</f>
        <v>231.45480000000001</v>
      </c>
      <c r="R59" s="250">
        <v>1.4</v>
      </c>
      <c r="S59" s="92">
        <f>SUMIFS(Таблица1[сумма],Таблица1[коэф],"1,4",Таблица1[р/р],"4/16",Таблица1[Ф. И. О.],B55)</f>
        <v>0</v>
      </c>
      <c r="T59" s="86">
        <f t="shared" si="30"/>
        <v>0</v>
      </c>
      <c r="U59" s="343">
        <f>база!$M$5</f>
        <v>247.41720000000001</v>
      </c>
      <c r="V59" s="250">
        <v>1.4</v>
      </c>
      <c r="W59" s="285">
        <f>SUMIFS(Таблица1[сумма],Таблица1[коэф],"1,4",Таблица1[р/р],"4/24",Таблица1[Ф. И. О.],B55)</f>
        <v>0</v>
      </c>
      <c r="X59" s="291">
        <f>ROUND(U59*V59*W59,2)</f>
        <v>0</v>
      </c>
      <c r="Y59" s="803"/>
      <c r="Z59" s="794"/>
      <c r="AA59" s="797"/>
    </row>
    <row r="60" spans="1:29" ht="24" thickBot="1">
      <c r="A60" s="741"/>
      <c r="B60" s="188"/>
      <c r="C60" s="810"/>
      <c r="D60" s="810"/>
      <c r="E60" s="95"/>
      <c r="F60" s="252"/>
      <c r="G60" s="91"/>
      <c r="H60" s="84"/>
      <c r="I60" s="206"/>
      <c r="J60" s="252"/>
      <c r="K60" s="267"/>
      <c r="L60" s="24"/>
      <c r="M60" s="311"/>
      <c r="N60" s="202"/>
      <c r="O60" s="202"/>
      <c r="P60" s="202"/>
      <c r="Q60" s="71">
        <f>база!$L$6</f>
        <v>261.04640000000001</v>
      </c>
      <c r="R60" s="252">
        <v>1.4</v>
      </c>
      <c r="S60" s="91">
        <f>SUMIFS(Таблица1[сумма],Таблица1[коэф],"1,4",Таблица1[р/р],"5/16",Таблица1[Ф. И. О.],B55)</f>
        <v>0</v>
      </c>
      <c r="T60" s="222">
        <f t="shared" si="30"/>
        <v>0</v>
      </c>
      <c r="U60" s="344">
        <f>база!$M$6</f>
        <v>279.0496</v>
      </c>
      <c r="V60" s="252">
        <v>1.4</v>
      </c>
      <c r="W60" s="290">
        <f>SUMIFS(Таблица1[сумма],Таблица1[коэф],"1,4",Таблица1[р/р],"5/24",Таблица1[Ф. И. О.],B55)</f>
        <v>0</v>
      </c>
      <c r="X60" s="320">
        <f>ROUND(U60*V60*W60,2)</f>
        <v>0</v>
      </c>
      <c r="Y60" s="804"/>
      <c r="Z60" s="795"/>
      <c r="AA60" s="798"/>
    </row>
    <row r="61" spans="1:29">
      <c r="A61" s="739">
        <v>6</v>
      </c>
      <c r="B61" s="201"/>
      <c r="C61" s="808">
        <f>INDEX(база!$E$2:$E$181, MATCH(B66,база!$B$2:$B$150,0))</f>
        <v>17290</v>
      </c>
      <c r="D61" s="808">
        <f>INDEX(база!$D$2:$D$89, MATCH(B66,база!$B$2:$B$50,0))</f>
        <v>3</v>
      </c>
      <c r="E61" s="66">
        <f>IF(D61&lt;=3,база!$I$4,
IF(D61=4,база!$I$5,
IF(D61=5,база!$I$6)))</f>
        <v>188.7912</v>
      </c>
      <c r="F61" s="248">
        <v>1</v>
      </c>
      <c r="G61" s="92">
        <f>SUMIFS(Таблица1[сумма],Таблица1[коэф],"1",Таблица1[р/р],"2/4",Таблица1[Ф. И. О.],B66)</f>
        <v>0</v>
      </c>
      <c r="H61" s="81">
        <f>ROUND(E61*F61*G61,2)</f>
        <v>0</v>
      </c>
      <c r="I61" s="75">
        <f>IF(D61&lt;=3,база!$J$4,
IF(D61=4,база!$J$5,
IF(D61=5,база!$J$6)))</f>
        <v>196.05240000000001</v>
      </c>
      <c r="J61" s="249">
        <v>1</v>
      </c>
      <c r="K61" s="287">
        <f>SUMIFS(Таблица1[сумма],Таблица1[коэф],"1",Таблица1[р/р],"2/8",Таблица1[Ф. И. О.],B66)</f>
        <v>0</v>
      </c>
      <c r="L61" s="287">
        <f>ROUND(I61*J61*K61,2)</f>
        <v>0</v>
      </c>
      <c r="M61" s="202"/>
      <c r="N61" s="202">
        <v>1</v>
      </c>
      <c r="O61" s="202">
        <f>SUMIFS(Data_Tech!$AM$3:$AM$67,Data_Tech!$E$3:$E$67,"1",Data_Tech!$G$3:$G$67,"3/12",Data_Tech!$F$3:$F$67,B66)</f>
        <v>0</v>
      </c>
      <c r="P61" s="28">
        <f>ROUND(M61*N61*O61,2)</f>
        <v>0</v>
      </c>
      <c r="Q61" s="66">
        <f>IF(D61&lt;=3,база!$L$4,
IF(D61=4,база!$L$5,
IF(D61=5,база!$L$6)))</f>
        <v>210.57480000000001</v>
      </c>
      <c r="R61" s="248">
        <v>1</v>
      </c>
      <c r="S61" s="89">
        <f>SUMIFS(Таблица1[сумма],Таблица1[коэф],"1",Таблица1[р/р],"3/16",Таблица1[Ф. И. О.],B66)</f>
        <v>0</v>
      </c>
      <c r="T61" s="81">
        <f t="shared" si="30"/>
        <v>0</v>
      </c>
      <c r="U61" s="345">
        <f>IF(D61&lt;=3,база!$M$4,
IF(D61=4,база!$M$5,
IF(D61=5,база!$M$6)))</f>
        <v>225.09719999999999</v>
      </c>
      <c r="V61" s="249">
        <v>1</v>
      </c>
      <c r="W61" s="314">
        <f>SUMIFS(Таблица1[сумма],Таблица1[коэф],"1",Таблица1[р/р],"3/24",Таблица1[Ф. И. О.],B66)</f>
        <v>0</v>
      </c>
      <c r="X61" s="319">
        <f>ROUND(U61*V61*W61,2)</f>
        <v>0</v>
      </c>
      <c r="Y61" s="803">
        <f>SUM(G61:G71,K61:K71,O61:O71,S61:S71,W61:W71)</f>
        <v>0</v>
      </c>
      <c r="Z61" s="794">
        <f>IFERROR(SUM(H61:H71,L61:L71,T61:T71,X61:X71),"")</f>
        <v>0</v>
      </c>
      <c r="AA61" s="797"/>
    </row>
    <row r="62" spans="1:29">
      <c r="A62" s="740"/>
      <c r="B62" s="201"/>
      <c r="C62" s="809"/>
      <c r="D62" s="809"/>
      <c r="E62" s="72">
        <f>IF(D61&lt;=3,база!$I$4,
IF(D61=4,база!$I$5,
IF(D61=5,база!$I$6)))</f>
        <v>188.7912</v>
      </c>
      <c r="F62" s="250">
        <v>1</v>
      </c>
      <c r="G62" s="92">
        <f>SUMIFS(Таблица1[сумма],Таблица1[коэф],"1",Таблица1[р/р],"3/4",Таблица1[Ф. И. О.],B66)</f>
        <v>0</v>
      </c>
      <c r="H62" s="88">
        <f>ROUND(E62*F62*G62,2)</f>
        <v>0</v>
      </c>
      <c r="I62" s="76">
        <f>IF(D61&lt;=3,база!$J$4,
IF(D61=4,база!$J$5,
IF(D61=5,база!$J$6)))</f>
        <v>196.05240000000001</v>
      </c>
      <c r="J62" s="250">
        <v>1</v>
      </c>
      <c r="K62" s="202">
        <f>SUMIFS(Таблица1[сумма],Таблица1[коэф],"1",Таблица1[р/р],"3/8",Таблица1[Ф. И. О.],B66)</f>
        <v>0</v>
      </c>
      <c r="L62" s="202">
        <f>ROUND(I62*J62*K62,2)</f>
        <v>0</v>
      </c>
      <c r="M62" s="202"/>
      <c r="N62" s="202">
        <v>1</v>
      </c>
      <c r="O62" s="202">
        <f>SUMIFS(Data_Tech!$AM$3:$AM$67,Data_Tech!$E$3:$E$67,"1",Data_Tech!$G$3:$G$67,"4/12",Data_Tech!$F$3:$F$67,B66)</f>
        <v>0</v>
      </c>
      <c r="P62" s="28">
        <f>ROUND(M62*O62,2)</f>
        <v>0</v>
      </c>
      <c r="Q62" s="72">
        <f>база!$L$5</f>
        <v>231.45480000000001</v>
      </c>
      <c r="R62" s="250">
        <v>1</v>
      </c>
      <c r="S62" s="92">
        <f>SUMIFS(Таблица1[сумма],Таблица1[коэф],"1",Таблица1[р/р],"4/16",Таблица1[Ф. И. О.],B66)</f>
        <v>0</v>
      </c>
      <c r="T62" s="88">
        <f t="shared" si="30"/>
        <v>0</v>
      </c>
      <c r="U62" s="338">
        <f>база!$M$5</f>
        <v>247.41720000000001</v>
      </c>
      <c r="V62" s="250">
        <v>1</v>
      </c>
      <c r="W62" s="285">
        <f>SUMIFS(Таблица1[сумма],Таблица1[коэф],"1",Таблица1[р/р],"4/24",Таблица1[Ф. И. О.],B66)</f>
        <v>0</v>
      </c>
      <c r="X62" s="291">
        <f t="shared" ref="X62" si="31">ROUND(U62*V62*W62,2)</f>
        <v>0</v>
      </c>
      <c r="Y62" s="803"/>
      <c r="Z62" s="794"/>
      <c r="AA62" s="797"/>
    </row>
    <row r="63" spans="1:29">
      <c r="A63" s="740"/>
      <c r="B63" s="201"/>
      <c r="C63" s="809"/>
      <c r="D63" s="809"/>
      <c r="E63" s="72"/>
      <c r="F63" s="250"/>
      <c r="G63" s="92"/>
      <c r="H63" s="88"/>
      <c r="I63" s="76"/>
      <c r="J63" s="250"/>
      <c r="K63" s="202"/>
      <c r="L63" s="202"/>
      <c r="M63" s="202"/>
      <c r="N63" s="202"/>
      <c r="O63" s="202"/>
      <c r="P63" s="28"/>
      <c r="Q63" s="72">
        <f>база!$L$6</f>
        <v>261.04640000000001</v>
      </c>
      <c r="R63" s="250">
        <v>1</v>
      </c>
      <c r="S63" s="92">
        <f>SUMIFS(Таблица1[сумма],Таблица1[коэф],"1",Таблица1[р/р],"5/16",Таблица1[Ф. И. О.],B66)</f>
        <v>0</v>
      </c>
      <c r="T63" s="88">
        <f t="shared" si="30"/>
        <v>0</v>
      </c>
      <c r="U63" s="338">
        <f>база!$M$6</f>
        <v>279.0496</v>
      </c>
      <c r="V63" s="250">
        <v>1</v>
      </c>
      <c r="W63" s="285">
        <f>SUMIFS(Таблица1[сумма],Таблица1[коэф],"1",Таблица1[р/р],"5/24",Таблица1[Ф. И. О.],B66)</f>
        <v>0</v>
      </c>
      <c r="X63" s="291">
        <f>ROUND(U63*V63*W63,2)</f>
        <v>0</v>
      </c>
      <c r="Y63" s="803"/>
      <c r="Z63" s="794"/>
      <c r="AA63" s="797"/>
    </row>
    <row r="64" spans="1:29">
      <c r="A64" s="740"/>
      <c r="B64" s="201"/>
      <c r="C64" s="809"/>
      <c r="D64" s="809"/>
      <c r="E64" s="72"/>
      <c r="F64" s="250"/>
      <c r="G64" s="92"/>
      <c r="H64" s="88"/>
      <c r="I64" s="76">
        <f>база!$J$5</f>
        <v>215.4924</v>
      </c>
      <c r="J64" s="250">
        <v>1.5</v>
      </c>
      <c r="K64" s="202">
        <f>SUMIFS(Таблица1[сумма],Таблица1[коэф],"1,5",Таблица1[р/р],"4/8",Таблица1[Ф. И. О.],B66)</f>
        <v>0</v>
      </c>
      <c r="L64" s="202">
        <f>ROUND(I64*J64*K64,2)</f>
        <v>0</v>
      </c>
      <c r="M64" s="202"/>
      <c r="N64" s="202"/>
      <c r="O64" s="202"/>
      <c r="P64" s="28"/>
      <c r="Q64" s="72">
        <f>IF(D61&lt;=3,база!$L$4,
IF(D61=4,база!$L$5,
IF(D61=5,база!$L$6)))</f>
        <v>210.57480000000001</v>
      </c>
      <c r="R64" s="250">
        <v>1.2</v>
      </c>
      <c r="S64" s="92">
        <f>SUMIFS(Таблица1[сумма],Таблица1[коэф],"1,2",Таблица1[р/р],"3/16",Таблица1[Ф. И. О.],B66)</f>
        <v>0</v>
      </c>
      <c r="T64" s="88">
        <f t="shared" ref="T64:T65" si="32">ROUND(Q64*R64*S64,2)</f>
        <v>0</v>
      </c>
      <c r="U64" s="338">
        <f>IF(D61&lt;=3,база!$M$4,
IF(D61=4,база!$M$5,
IF(D61=5,база!$M$6)))</f>
        <v>225.09719999999999</v>
      </c>
      <c r="V64" s="250">
        <v>1.2</v>
      </c>
      <c r="W64" s="285">
        <f>SUMIFS(Таблица1[сумма],Таблица1[коэф],"1,2",Таблица1[р/р],"3/24",Таблица1[Ф. И. О.],B66)</f>
        <v>0</v>
      </c>
      <c r="X64" s="291">
        <f t="shared" ref="X64:X65" si="33">ROUND(U64*V64*W64,2)</f>
        <v>0</v>
      </c>
      <c r="Y64" s="803"/>
      <c r="Z64" s="794"/>
      <c r="AA64" s="797"/>
    </row>
    <row r="65" spans="1:29">
      <c r="A65" s="740"/>
      <c r="B65" s="201"/>
      <c r="C65" s="809"/>
      <c r="D65" s="809"/>
      <c r="E65" s="72"/>
      <c r="F65" s="250"/>
      <c r="G65" s="92"/>
      <c r="H65" s="88"/>
      <c r="I65" s="76">
        <f>база!$J$6</f>
        <v>243.04319999999998</v>
      </c>
      <c r="J65" s="250">
        <v>1.5</v>
      </c>
      <c r="K65" s="202">
        <f>SUMIFS(Таблица1[сумма],Таблица1[коэф],"1,5",Таблица1[р/р],"5/8",Таблица1[Ф. И. О.],B66)</f>
        <v>0</v>
      </c>
      <c r="L65" s="202">
        <f>ROUND(I65*J65*K65,2)</f>
        <v>0</v>
      </c>
      <c r="M65" s="202"/>
      <c r="N65" s="202"/>
      <c r="O65" s="202"/>
      <c r="P65" s="28"/>
      <c r="Q65" s="72">
        <f>база!$L$5</f>
        <v>231.45480000000001</v>
      </c>
      <c r="R65" s="250">
        <v>1.2</v>
      </c>
      <c r="S65" s="92">
        <f>SUMIFS(Таблица1[сумма],Таблица1[коэф],"1,2",Таблица1[р/р],"4/16",Таблица1[Ф. И. О.],B66)</f>
        <v>0</v>
      </c>
      <c r="T65" s="88">
        <f t="shared" si="32"/>
        <v>0</v>
      </c>
      <c r="U65" s="338">
        <f>база!$M$5</f>
        <v>247.41720000000001</v>
      </c>
      <c r="V65" s="250">
        <v>1.2</v>
      </c>
      <c r="W65" s="285">
        <f>SUMIFS(Таблица1[сумма],Таблица1[коэф],"1,2",Таблица1[р/р],"4/24",Таблица1[Ф. И. О.],B66)</f>
        <v>0</v>
      </c>
      <c r="X65" s="291">
        <f t="shared" si="33"/>
        <v>0</v>
      </c>
      <c r="Y65" s="803"/>
      <c r="Z65" s="794"/>
      <c r="AA65" s="797"/>
      <c r="AC65" s="688" t="str">
        <f>IF(SUMIFS(Таблица1[Столбец2],Таблица1[Ф. И. О.],B66)-Z61=0,"",SUMIFS(Таблица1[Столбец2],Таблица1[Ф. И. О.],B66)-Z61)</f>
        <v/>
      </c>
    </row>
    <row r="66" spans="1:29">
      <c r="A66" s="740"/>
      <c r="B66" s="201" t="str">
        <f>база!B7</f>
        <v>Аполосова Ольга Николаевна</v>
      </c>
      <c r="C66" s="809"/>
      <c r="D66" s="809"/>
      <c r="E66" s="72"/>
      <c r="F66" s="250"/>
      <c r="G66" s="92"/>
      <c r="H66" s="88"/>
      <c r="I66" s="76"/>
      <c r="J66" s="250"/>
      <c r="K66" s="202"/>
      <c r="L66" s="202"/>
      <c r="M66" s="202"/>
      <c r="N66" s="202"/>
      <c r="O66" s="202"/>
      <c r="P66" s="28"/>
      <c r="Q66" s="72">
        <f>база!$L$6</f>
        <v>261.04640000000001</v>
      </c>
      <c r="R66" s="250">
        <v>1.2</v>
      </c>
      <c r="S66" s="92">
        <f>SUMIFS(Таблица1[сумма],Таблица1[коэф],"1,2",Таблица1[р/р],"5/16",Таблица1[Ф. И. О.],B66)</f>
        <v>0</v>
      </c>
      <c r="T66" s="88">
        <f>ROUND(Q66*R66*S66,2)</f>
        <v>0</v>
      </c>
      <c r="U66" s="338">
        <f>база!$M$6</f>
        <v>279.0496</v>
      </c>
      <c r="V66" s="250">
        <v>1.2</v>
      </c>
      <c r="W66" s="285">
        <f>SUMIFS(Таблица1[сумма],Таблица1[коэф],"1,2",Таблица1[р/р],"5/24",Таблица1[Ф. И. О.],B66)</f>
        <v>0</v>
      </c>
      <c r="X66" s="291">
        <f>ROUND(U66*V66*W66,2)</f>
        <v>0</v>
      </c>
      <c r="Y66" s="803"/>
      <c r="Z66" s="794"/>
      <c r="AA66" s="797"/>
      <c r="AC66" s="688" t="str">
        <f>IF(SUMIFS(Таблица1[сумма],Таблица1[Ф. И. О.],B66)=Y61,"",B61&amp;"  часы не верны")</f>
        <v/>
      </c>
    </row>
    <row r="67" spans="1:29">
      <c r="A67" s="740"/>
      <c r="B67" s="201"/>
      <c r="C67" s="809"/>
      <c r="D67" s="809"/>
      <c r="E67" s="72"/>
      <c r="F67" s="250"/>
      <c r="G67" s="92"/>
      <c r="H67" s="88"/>
      <c r="I67" s="76"/>
      <c r="J67" s="250"/>
      <c r="K67" s="202"/>
      <c r="L67" s="202"/>
      <c r="M67" s="202"/>
      <c r="N67" s="202"/>
      <c r="O67" s="202"/>
      <c r="P67" s="28"/>
      <c r="Q67" s="72">
        <f>IF($D$6&lt;=3,база!$L$4,
IF($D$6=4,база!$L$5,
IF($D$6=5,база!$L$6)))</f>
        <v>231.45480000000001</v>
      </c>
      <c r="R67" s="250">
        <v>1.3</v>
      </c>
      <c r="S67" s="92">
        <f>SUMIFS(Таблица1[сумма],Таблица1[коэф],"1,3",Таблица1[р/р],"3/16",Таблица1[Ф. И. О.],B66)</f>
        <v>0</v>
      </c>
      <c r="T67" s="88">
        <f t="shared" ref="T67:T68" si="34">ROUND(Q67*R67*S67,2)</f>
        <v>0</v>
      </c>
      <c r="U67" s="338">
        <f>IF(D61&lt;=3,база!$M$4,
IF(D61=4,база!$M$5,
IF(D61=5,база!$M$6)))</f>
        <v>225.09719999999999</v>
      </c>
      <c r="V67" s="250">
        <v>1.3</v>
      </c>
      <c r="W67" s="285">
        <f>SUMIFS(Таблица1[сумма],Таблица1[коэф],"1,3",Таблица1[р/р],"3/24",Таблица1[Ф. И. О.],B66)</f>
        <v>0</v>
      </c>
      <c r="X67" s="291">
        <f t="shared" ref="X67:X68" si="35">ROUND(U67*V67*W67,2)</f>
        <v>0</v>
      </c>
      <c r="Y67" s="803"/>
      <c r="Z67" s="794"/>
      <c r="AA67" s="797"/>
    </row>
    <row r="68" spans="1:29">
      <c r="A68" s="740"/>
      <c r="B68" s="201"/>
      <c r="C68" s="809"/>
      <c r="D68" s="809"/>
      <c r="E68" s="72"/>
      <c r="F68" s="250"/>
      <c r="G68" s="92"/>
      <c r="H68" s="88"/>
      <c r="I68" s="76"/>
      <c r="J68" s="250"/>
      <c r="K68" s="202"/>
      <c r="L68" s="202"/>
      <c r="M68" s="202"/>
      <c r="N68" s="202"/>
      <c r="O68" s="202"/>
      <c r="P68" s="28"/>
      <c r="Q68" s="72">
        <f>база!$L$5</f>
        <v>231.45480000000001</v>
      </c>
      <c r="R68" s="250">
        <v>1.3</v>
      </c>
      <c r="S68" s="92">
        <f>SUMIFS(Таблица1[сумма],Таблица1[коэф],"1,3",Таблица1[р/р],"4/16",Таблица1[Ф. И. О.],B66)</f>
        <v>0</v>
      </c>
      <c r="T68" s="88">
        <f t="shared" si="34"/>
        <v>0</v>
      </c>
      <c r="U68" s="338">
        <f>база!$M$5</f>
        <v>247.41720000000001</v>
      </c>
      <c r="V68" s="250">
        <v>1.3</v>
      </c>
      <c r="W68" s="285">
        <f>SUMIFS(Таблица1[сумма],Таблица1[коэф],"1,3",Таблица1[р/р],"4/24",Таблица1[Ф. И. О.],B66)</f>
        <v>0</v>
      </c>
      <c r="X68" s="291">
        <f t="shared" si="35"/>
        <v>0</v>
      </c>
      <c r="Y68" s="803"/>
      <c r="Z68" s="794"/>
      <c r="AA68" s="797"/>
    </row>
    <row r="69" spans="1:29">
      <c r="A69" s="740"/>
      <c r="B69" s="201"/>
      <c r="C69" s="809"/>
      <c r="D69" s="809"/>
      <c r="E69" s="72"/>
      <c r="F69" s="250"/>
      <c r="G69" s="92"/>
      <c r="H69" s="88"/>
      <c r="I69" s="76"/>
      <c r="J69" s="250"/>
      <c r="K69" s="202"/>
      <c r="L69" s="202"/>
      <c r="M69" s="202"/>
      <c r="N69" s="202"/>
      <c r="O69" s="202"/>
      <c r="P69" s="28"/>
      <c r="Q69" s="72">
        <f>IF(D61&lt;=3,база!$L$4,
IF(D61=4,база!$L$5,
IF(D61=5,база!$L$6)))</f>
        <v>210.57480000000001</v>
      </c>
      <c r="R69" s="250">
        <v>1.4</v>
      </c>
      <c r="S69" s="92">
        <f>SUMIFS(Таблица1[сумма],Таблица1[коэф],"1,4",Таблица1[р/р],"3/16",Таблица1[Ф. И. О.],B66)</f>
        <v>0</v>
      </c>
      <c r="T69" s="88">
        <f t="shared" ref="T69:T74" si="36">ROUND(Q69*R69*S69,2)</f>
        <v>0</v>
      </c>
      <c r="U69" s="338">
        <f>IF(D61&lt;=3,база!$M$4,
IF(D61=4,база!$M$5,
IF(D61=5,база!$M$6)))</f>
        <v>225.09719999999999</v>
      </c>
      <c r="V69" s="250">
        <v>1.4</v>
      </c>
      <c r="W69" s="285">
        <f>SUMIFS(Таблица1[сумма],Таблица1[коэф],"1,4",Таблица1[р/р],"3/24",Таблица1[Ф. И. О.],B66)</f>
        <v>0</v>
      </c>
      <c r="X69" s="291">
        <f>ROUND(U69*V69*W69,2)</f>
        <v>0</v>
      </c>
      <c r="Y69" s="803"/>
      <c r="Z69" s="794"/>
      <c r="AA69" s="797"/>
    </row>
    <row r="70" spans="1:29">
      <c r="A70" s="740"/>
      <c r="B70" s="201"/>
      <c r="C70" s="809"/>
      <c r="D70" s="809"/>
      <c r="E70" s="72"/>
      <c r="F70" s="250"/>
      <c r="G70" s="92"/>
      <c r="H70" s="88"/>
      <c r="I70" s="76"/>
      <c r="J70" s="250"/>
      <c r="K70" s="202"/>
      <c r="L70" s="202"/>
      <c r="M70" s="202"/>
      <c r="N70" s="202"/>
      <c r="O70" s="202"/>
      <c r="P70" s="28"/>
      <c r="Q70" s="72">
        <f>база!$L$5</f>
        <v>231.45480000000001</v>
      </c>
      <c r="R70" s="250">
        <v>1.4</v>
      </c>
      <c r="S70" s="92">
        <f>SUMIFS(Таблица1[сумма],Таблица1[коэф],"1,4",Таблица1[р/р],"4/16",Таблица1[Ф. И. О.],B66)</f>
        <v>0</v>
      </c>
      <c r="T70" s="88">
        <f t="shared" si="36"/>
        <v>0</v>
      </c>
      <c r="U70" s="338">
        <f>база!$M$5</f>
        <v>247.41720000000001</v>
      </c>
      <c r="V70" s="250">
        <v>1.4</v>
      </c>
      <c r="W70" s="285">
        <f>SUMIFS(Таблица1[сумма],Таблица1[коэф],"1,4",Таблица1[р/р],"4/24",Таблица1[Ф. И. О.],B66)</f>
        <v>0</v>
      </c>
      <c r="X70" s="291">
        <f>ROUND(U70*V70*W70,2)</f>
        <v>0</v>
      </c>
      <c r="Y70" s="803"/>
      <c r="Z70" s="794"/>
      <c r="AA70" s="797"/>
    </row>
    <row r="71" spans="1:29" ht="24" thickBot="1">
      <c r="A71" s="741"/>
      <c r="B71" s="188"/>
      <c r="C71" s="810"/>
      <c r="D71" s="810"/>
      <c r="E71" s="95"/>
      <c r="F71" s="252"/>
      <c r="G71" s="91"/>
      <c r="H71" s="84"/>
      <c r="I71" s="206"/>
      <c r="J71" s="252"/>
      <c r="K71" s="267"/>
      <c r="L71" s="267"/>
      <c r="M71" s="267"/>
      <c r="N71" s="267"/>
      <c r="O71" s="267"/>
      <c r="P71" s="293"/>
      <c r="Q71" s="95">
        <f>база!$L$6</f>
        <v>261.04640000000001</v>
      </c>
      <c r="R71" s="252">
        <v>1.4</v>
      </c>
      <c r="S71" s="91">
        <f>SUMIFS(Таблица1[сумма],Таблица1[коэф],"1,4",Таблица1[р/р],"5/16",Таблица1[Ф. И. О.],B66)</f>
        <v>0</v>
      </c>
      <c r="T71" s="84">
        <f t="shared" si="36"/>
        <v>0</v>
      </c>
      <c r="U71" s="341">
        <f>база!$M$6</f>
        <v>279.0496</v>
      </c>
      <c r="V71" s="252">
        <v>1.4</v>
      </c>
      <c r="W71" s="290">
        <f>SUMIFS(Таблица1[сумма],Таблица1[коэф],"1,4",Таблица1[р/р],"5/24",Таблица1[Ф. И. О.],B66)</f>
        <v>0</v>
      </c>
      <c r="X71" s="320">
        <f>ROUND(U71*V71*W71,2)</f>
        <v>0</v>
      </c>
      <c r="Y71" s="804"/>
      <c r="Z71" s="795"/>
      <c r="AA71" s="798"/>
    </row>
    <row r="72" spans="1:29">
      <c r="A72" s="739">
        <v>7</v>
      </c>
      <c r="B72" s="201"/>
      <c r="C72" s="808">
        <f>INDEX(база!$E$2:$E$181, MATCH(B77,база!$B$2:$B$150,0))</f>
        <v>17296</v>
      </c>
      <c r="D72" s="808">
        <f>INDEX(база!$D$2:$D$150, MATCH(B77,база!$B$2:$B$150,0))</f>
        <v>3</v>
      </c>
      <c r="E72" s="66">
        <f>IF(D72&lt;=3,база!$I$4,
IF(D72=4,база!$I$5,
IF(D72=5,база!$I$6)))</f>
        <v>188.7912</v>
      </c>
      <c r="F72" s="248">
        <v>1</v>
      </c>
      <c r="G72" s="89">
        <f>SUMIFS(Таблица1[сумма],Таблица1[коэф],"1",Таблица1[р/р],"2/4",Таблица1[Ф. И. О.],B77)</f>
        <v>0</v>
      </c>
      <c r="H72" s="295">
        <f>ROUND(E72*F72*G72,2)</f>
        <v>0</v>
      </c>
      <c r="I72" s="66">
        <f>IF(D72&lt;=3,база!$J$4,
IF(D72=4,база!$J$5,
IF(D72=5,база!$J$6)))</f>
        <v>196.05240000000001</v>
      </c>
      <c r="J72" s="248">
        <v>1</v>
      </c>
      <c r="K72" s="266">
        <f>SUMIFS(Таблица1[сумма],Таблица1[коэф],"1",Таблица1[р/р],"2/8",Таблица1[Ф. И. О.],B77)</f>
        <v>0</v>
      </c>
      <c r="L72" s="26">
        <f>ROUND(I72*J72*K72,2)</f>
        <v>0</v>
      </c>
      <c r="M72" s="315"/>
      <c r="N72" s="266">
        <v>1</v>
      </c>
      <c r="O72" s="266">
        <f>SUMIFS(Data_Tech!$AM$3:$AM$67,Data_Tech!$E$3:$E$67,"1",Data_Tech!$G$3:$G$67,"3/12",Data_Tech!$F$3:$F$67,B77)</f>
        <v>0</v>
      </c>
      <c r="P72" s="26">
        <f>ROUND(M72*N72*O72,2)</f>
        <v>0</v>
      </c>
      <c r="Q72" s="288">
        <f>IF(D72&lt;=3,база!$L$4,
IF(D72=4,база!$L$5,
IF(D72=5,база!$L$6)))</f>
        <v>210.57480000000001</v>
      </c>
      <c r="R72" s="248">
        <v>1</v>
      </c>
      <c r="S72" s="89">
        <f>SUMIFS(Таблица1[сумма],Таблица1[коэф],"1",Таблица1[р/р],"3/16",Таблица1[Ф. И. О.],B77)</f>
        <v>0</v>
      </c>
      <c r="T72" s="81">
        <f t="shared" si="36"/>
        <v>0</v>
      </c>
      <c r="U72" s="340">
        <f>IF(D72&lt;=3,база!$M$4,
IF(D72=4,база!$M$5,
IF(D72=5,база!$M$6)))</f>
        <v>225.09719999999999</v>
      </c>
      <c r="V72" s="248">
        <v>1</v>
      </c>
      <c r="W72" s="317">
        <f>SUMIFS(Таблица1[сумма],Таблица1[коэф],"1",Таблица1[р/р],"3/24",Таблица1[Ф. И. О.],B77)</f>
        <v>0</v>
      </c>
      <c r="X72" s="319">
        <f>ROUND(U72*V72*W72,2)</f>
        <v>0</v>
      </c>
      <c r="Y72" s="803">
        <f>SUM(G72:G82,K72:K82,O72:O82,S72:S82,W72:W82)</f>
        <v>0</v>
      </c>
      <c r="Z72" s="794">
        <f>IFERROR(SUM(H72:H82,L72:L82,T72:T82,X72:X82),"")</f>
        <v>0</v>
      </c>
      <c r="AA72" s="797"/>
    </row>
    <row r="73" spans="1:29">
      <c r="A73" s="740"/>
      <c r="B73" s="201"/>
      <c r="C73" s="809"/>
      <c r="D73" s="809"/>
      <c r="E73" s="72">
        <f>IF(D72&lt;=3,база!$I$4,
IF(D72=4,база!$I$5,
IF(D72=5,база!$I$6)))</f>
        <v>188.7912</v>
      </c>
      <c r="F73" s="250">
        <v>1</v>
      </c>
      <c r="G73" s="92">
        <f>SUMIFS(Таблица1[сумма],Таблица1[коэф],"1",Таблица1[р/р],"3/4",Таблица1[Ф. И. О.],B77)</f>
        <v>0</v>
      </c>
      <c r="H73" s="86">
        <f>ROUND(E73*F73*G73,2)</f>
        <v>0</v>
      </c>
      <c r="I73" s="72">
        <f>IF(D72&lt;=3,база!$J$4,
IF(D72=4,база!$J$5,
IF(D72=5,база!$J$6)))</f>
        <v>196.05240000000001</v>
      </c>
      <c r="J73" s="250">
        <v>1</v>
      </c>
      <c r="K73" s="202">
        <f>SUMIFS(Таблица1[сумма],Таблица1[коэф],"1",Таблица1[р/р],"3/8",Таблица1[Ф. И. О.],B77)</f>
        <v>0</v>
      </c>
      <c r="L73" s="27">
        <f>ROUND(I73*J73*K73,2)</f>
        <v>0</v>
      </c>
      <c r="M73" s="311"/>
      <c r="N73" s="202">
        <v>1</v>
      </c>
      <c r="O73" s="202">
        <f>SUMIFS(Data_Tech!$AM$3:$AM$67,Data_Tech!$E$3:$E$67,"1",Data_Tech!$G$3:$G$67,"4/12",Data_Tech!$F$3:$F$67,B77)</f>
        <v>0</v>
      </c>
      <c r="P73" s="27">
        <f>ROUND(M73*O73,2)</f>
        <v>0</v>
      </c>
      <c r="Q73" s="76">
        <f>база!$L$5</f>
        <v>231.45480000000001</v>
      </c>
      <c r="R73" s="250">
        <v>1</v>
      </c>
      <c r="S73" s="92">
        <f>SUMIFS(Таблица1[сумма],Таблица1[коэф],"1",Таблица1[р/р],"4/16",Таблица1[Ф. И. О.],B77)</f>
        <v>0</v>
      </c>
      <c r="T73" s="88">
        <f t="shared" si="36"/>
        <v>0</v>
      </c>
      <c r="U73" s="338">
        <f>база!$M$5</f>
        <v>247.41720000000001</v>
      </c>
      <c r="V73" s="250">
        <v>1</v>
      </c>
      <c r="W73" s="285">
        <f>SUMIFS(Таблица1[сумма],Таблица1[коэф],"1",Таблица1[р/р],"4/24",Таблица1[Ф. И. О.],B77)</f>
        <v>0</v>
      </c>
      <c r="X73" s="291">
        <f t="shared" ref="X73" si="37">ROUND(U73*V73*W73,2)</f>
        <v>0</v>
      </c>
      <c r="Y73" s="803"/>
      <c r="Z73" s="794"/>
      <c r="AA73" s="797"/>
    </row>
    <row r="74" spans="1:29">
      <c r="A74" s="740"/>
      <c r="B74" s="201"/>
      <c r="C74" s="809"/>
      <c r="D74" s="809"/>
      <c r="E74" s="72"/>
      <c r="F74" s="250"/>
      <c r="G74" s="92"/>
      <c r="H74" s="86"/>
      <c r="I74" s="72"/>
      <c r="J74" s="250"/>
      <c r="K74" s="202"/>
      <c r="L74" s="27"/>
      <c r="M74" s="311"/>
      <c r="N74" s="202"/>
      <c r="O74" s="202"/>
      <c r="P74" s="27"/>
      <c r="Q74" s="76">
        <f>база!$L$6</f>
        <v>261.04640000000001</v>
      </c>
      <c r="R74" s="250">
        <v>1</v>
      </c>
      <c r="S74" s="92">
        <f>SUMIFS(Таблица1[сумма],Таблица1[коэф],"1",Таблица1[р/р],"5/16",Таблица1[Ф. И. О.],B77)</f>
        <v>0</v>
      </c>
      <c r="T74" s="88">
        <f t="shared" si="36"/>
        <v>0</v>
      </c>
      <c r="U74" s="338">
        <f>база!$M$6</f>
        <v>279.0496</v>
      </c>
      <c r="V74" s="250">
        <v>1</v>
      </c>
      <c r="W74" s="285">
        <f>SUMIFS(Таблица1[сумма],Таблица1[коэф],"1",Таблица1[р/р],"5/24",Таблица1[Ф. И. О.],B77)</f>
        <v>0</v>
      </c>
      <c r="X74" s="291">
        <f>ROUND(U74*V74*W74,2)</f>
        <v>0</v>
      </c>
      <c r="Y74" s="803"/>
      <c r="Z74" s="794"/>
      <c r="AA74" s="797"/>
    </row>
    <row r="75" spans="1:29">
      <c r="A75" s="740"/>
      <c r="B75" s="201"/>
      <c r="C75" s="809"/>
      <c r="D75" s="809"/>
      <c r="E75" s="72"/>
      <c r="F75" s="250"/>
      <c r="G75" s="92"/>
      <c r="H75" s="86"/>
      <c r="I75" s="72">
        <f>база!$J$5</f>
        <v>215.4924</v>
      </c>
      <c r="J75" s="250">
        <v>1.5</v>
      </c>
      <c r="K75" s="202">
        <f>SUMIFS(Таблица1[сумма],Таблица1[коэф],"1,5",Таблица1[р/р],"4/8",Таблица1[Ф. И. О.],B77)</f>
        <v>0</v>
      </c>
      <c r="L75" s="27">
        <f>ROUND(I75*J75*K75,2)</f>
        <v>0</v>
      </c>
      <c r="M75" s="311"/>
      <c r="N75" s="202"/>
      <c r="O75" s="202"/>
      <c r="P75" s="27"/>
      <c r="Q75" s="76">
        <f>IF(D72&lt;=3,база!$L$4,
IF(D72=4,база!$L$5,
IF(D72=5,база!$L$6)))</f>
        <v>210.57480000000001</v>
      </c>
      <c r="R75" s="250">
        <v>1.2</v>
      </c>
      <c r="S75" s="92">
        <f>SUMIFS(Таблица1[сумма],Таблица1[коэф],"1,2",Таблица1[р/р],"3/16",Таблица1[Ф. И. О.],B77)</f>
        <v>0</v>
      </c>
      <c r="T75" s="88">
        <f t="shared" ref="T75:T76" si="38">ROUND(Q75*R75*S75,2)</f>
        <v>0</v>
      </c>
      <c r="U75" s="338">
        <f>IF(D72&lt;=3,база!$M$4,
IF(D72=4,база!$M$5,
IF(D72=5,база!$M$6)))</f>
        <v>225.09719999999999</v>
      </c>
      <c r="V75" s="250">
        <v>1.2</v>
      </c>
      <c r="W75" s="285">
        <f>SUMIFS(Таблица1[сумма],Таблица1[коэф],"1,2",Таблица1[р/р],"3/24",Таблица1[Ф. И. О.],B77)</f>
        <v>0</v>
      </c>
      <c r="X75" s="291">
        <f t="shared" ref="X75:X76" si="39">ROUND(U75*V75*W75,2)</f>
        <v>0</v>
      </c>
      <c r="Y75" s="803"/>
      <c r="Z75" s="794"/>
      <c r="AA75" s="797"/>
    </row>
    <row r="76" spans="1:29">
      <c r="A76" s="740"/>
      <c r="B76" s="201"/>
      <c r="C76" s="809"/>
      <c r="D76" s="809"/>
      <c r="E76" s="72"/>
      <c r="F76" s="250"/>
      <c r="G76" s="92"/>
      <c r="H76" s="86"/>
      <c r="I76" s="72">
        <f>база!$J$6</f>
        <v>243.04319999999998</v>
      </c>
      <c r="J76" s="250">
        <v>1.5</v>
      </c>
      <c r="K76" s="202">
        <f>SUMIFS(Таблица1[сумма],Таблица1[коэф],"1,5",Таблица1[р/р],"5/8",Таблица1[Ф. И. О.],B77)</f>
        <v>0</v>
      </c>
      <c r="L76" s="27">
        <f>ROUND(I76*J76*K76,2)</f>
        <v>0</v>
      </c>
      <c r="M76" s="311"/>
      <c r="N76" s="202"/>
      <c r="O76" s="202"/>
      <c r="P76" s="27"/>
      <c r="Q76" s="76">
        <f>база!$L$5</f>
        <v>231.45480000000001</v>
      </c>
      <c r="R76" s="250">
        <v>1.2</v>
      </c>
      <c r="S76" s="92">
        <f>SUMIFS(Таблица1[сумма],Таблица1[коэф],"1,2",Таблица1[р/р],"4/16",Таблица1[Ф. И. О.],B77)</f>
        <v>0</v>
      </c>
      <c r="T76" s="88">
        <f t="shared" si="38"/>
        <v>0</v>
      </c>
      <c r="U76" s="338">
        <f>база!$M$5</f>
        <v>247.41720000000001</v>
      </c>
      <c r="V76" s="250">
        <v>1.2</v>
      </c>
      <c r="W76" s="285">
        <f>SUMIFS(Таблица1[сумма],Таблица1[коэф],"1,2",Таблица1[р/р],"4/24",Таблица1[Ф. И. О.],B77)</f>
        <v>0</v>
      </c>
      <c r="X76" s="291">
        <f t="shared" si="39"/>
        <v>0</v>
      </c>
      <c r="Y76" s="803"/>
      <c r="Z76" s="794"/>
      <c r="AA76" s="797"/>
      <c r="AC76" s="688" t="str">
        <f>IF(SUMIFS(Таблица1[Столбец2],Таблица1[Ф. И. О.],B77)-Z72=0,"",SUMIFS(Таблица1[Столбец2],Таблица1[Ф. И. О.],B77)-Z72)</f>
        <v/>
      </c>
    </row>
    <row r="77" spans="1:29" ht="24" thickBot="1">
      <c r="A77" s="740"/>
      <c r="B77" s="201" t="str">
        <f>база!B8</f>
        <v>Аполосова Юлиана Александровна</v>
      </c>
      <c r="C77" s="809"/>
      <c r="D77" s="809"/>
      <c r="E77" s="72"/>
      <c r="F77" s="250"/>
      <c r="G77" s="92"/>
      <c r="H77" s="86"/>
      <c r="I77" s="72"/>
      <c r="J77" s="250"/>
      <c r="K77" s="202"/>
      <c r="L77" s="27"/>
      <c r="M77" s="311"/>
      <c r="N77" s="202"/>
      <c r="O77" s="202"/>
      <c r="P77" s="27"/>
      <c r="Q77" s="76">
        <f>база!$L$6</f>
        <v>261.04640000000001</v>
      </c>
      <c r="R77" s="250">
        <v>1.2</v>
      </c>
      <c r="S77" s="92">
        <f>SUMIFS(Таблица1[сумма],Таблица1[коэф],"1,2",Таблица1[р/р],"5/16",Таблица1[Ф. И. О.],B77)</f>
        <v>0</v>
      </c>
      <c r="T77" s="88">
        <f>ROUND(Q77*R77*S77,2)</f>
        <v>0</v>
      </c>
      <c r="U77" s="338">
        <f>база!$M$6</f>
        <v>279.0496</v>
      </c>
      <c r="V77" s="250">
        <v>1.2</v>
      </c>
      <c r="W77" s="285">
        <f>SUMIFS(Таблица1[сумма],Таблица1[коэф],"1,2",Таблица1[р/р],"5/24",Таблица1[Ф. И. О.],B77)</f>
        <v>0</v>
      </c>
      <c r="X77" s="291">
        <f>ROUND(U77*V77*W77,2)</f>
        <v>0</v>
      </c>
      <c r="Y77" s="803"/>
      <c r="Z77" s="794"/>
      <c r="AA77" s="797"/>
      <c r="AC77" s="688" t="str">
        <f>IF(SUMIFS(Таблица1[сумма],Таблица1[Ф. И. О.],B77)=Y72,"",B72&amp;"  часы не верны")</f>
        <v/>
      </c>
    </row>
    <row r="78" spans="1:29" ht="24" thickBot="1">
      <c r="A78" s="740"/>
      <c r="B78" s="201"/>
      <c r="C78" s="809"/>
      <c r="D78" s="809"/>
      <c r="E78" s="72"/>
      <c r="F78" s="250"/>
      <c r="G78" s="92"/>
      <c r="H78" s="86"/>
      <c r="I78" s="72"/>
      <c r="J78" s="250"/>
      <c r="K78" s="202"/>
      <c r="L78" s="27"/>
      <c r="M78" s="311"/>
      <c r="N78" s="202"/>
      <c r="O78" s="202"/>
      <c r="P78" s="27"/>
      <c r="Q78" s="76">
        <f>IF($D$6&lt;=3,база!$L$4,
IF($D$6=4,база!$L$5,
IF($D$6=5,база!$L$6)))</f>
        <v>231.45480000000001</v>
      </c>
      <c r="R78" s="250">
        <v>1.3</v>
      </c>
      <c r="S78" s="92">
        <f>SUMIFS(Таблица1[сумма],Таблица1[коэф],"1,3",Таблица1[р/р],"3/16",Таблица1[Ф. И. О.],B77)</f>
        <v>0</v>
      </c>
      <c r="T78" s="88">
        <f t="shared" ref="T78:T79" si="40">ROUND(Q78*R78*S78,2)</f>
        <v>0</v>
      </c>
      <c r="U78" s="338">
        <f>IF(D72&lt;=3,база!$M$4,
IF(D72=4,база!$M$5,
IF(D72=5,база!$M$6)))</f>
        <v>225.09719999999999</v>
      </c>
      <c r="V78" s="250">
        <v>1.3</v>
      </c>
      <c r="W78" s="285">
        <f>SUMIFS(Таблица1[сумма],Таблица1[коэф],"1,3",Таблица1[р/р],"3/24",Таблица1[Ф. И. О.],B77)</f>
        <v>0</v>
      </c>
      <c r="X78" s="291">
        <f t="shared" ref="X78:X79" si="41">ROUND(U78*V78*W78,2)</f>
        <v>0</v>
      </c>
      <c r="Y78" s="803"/>
      <c r="Z78" s="794"/>
      <c r="AA78" s="797"/>
    </row>
    <row r="79" spans="1:29" ht="24" thickBot="1">
      <c r="A79" s="740"/>
      <c r="B79" s="201"/>
      <c r="C79" s="809"/>
      <c r="D79" s="809"/>
      <c r="E79" s="72"/>
      <c r="F79" s="250"/>
      <c r="G79" s="92"/>
      <c r="H79" s="86"/>
      <c r="I79" s="72"/>
      <c r="J79" s="250"/>
      <c r="K79" s="202"/>
      <c r="L79" s="27"/>
      <c r="M79" s="311"/>
      <c r="N79" s="202"/>
      <c r="O79" s="202"/>
      <c r="P79" s="27"/>
      <c r="Q79" s="76">
        <f>база!$L$5</f>
        <v>231.45480000000001</v>
      </c>
      <c r="R79" s="250">
        <v>1.3</v>
      </c>
      <c r="S79" s="92">
        <f>SUMIFS(Таблица1[сумма],Таблица1[коэф],"1,3",Таблица1[р/р],"4/16",Таблица1[Ф. И. О.],B77)</f>
        <v>0</v>
      </c>
      <c r="T79" s="88">
        <f t="shared" si="40"/>
        <v>0</v>
      </c>
      <c r="U79" s="338">
        <f>база!$M$5</f>
        <v>247.41720000000001</v>
      </c>
      <c r="V79" s="250">
        <v>1.3</v>
      </c>
      <c r="W79" s="285">
        <f>SUMIFS(Таблица1[сумма],Таблица1[коэф],"1,3",Таблица1[р/р],"4/24",Таблица1[Ф. И. О.],B77)</f>
        <v>0</v>
      </c>
      <c r="X79" s="291">
        <f t="shared" si="41"/>
        <v>0</v>
      </c>
      <c r="Y79" s="803"/>
      <c r="Z79" s="794"/>
      <c r="AA79" s="797"/>
    </row>
    <row r="80" spans="1:29" ht="24" thickBot="1">
      <c r="A80" s="740"/>
      <c r="B80" s="201"/>
      <c r="C80" s="809"/>
      <c r="D80" s="809"/>
      <c r="E80" s="72"/>
      <c r="F80" s="250"/>
      <c r="G80" s="92"/>
      <c r="H80" s="86"/>
      <c r="I80" s="72"/>
      <c r="J80" s="250"/>
      <c r="K80" s="202"/>
      <c r="L80" s="27"/>
      <c r="M80" s="311"/>
      <c r="N80" s="202"/>
      <c r="O80" s="202"/>
      <c r="P80" s="27"/>
      <c r="Q80" s="76">
        <f>IF(D72&lt;=3,база!$L$4,
IF(D72=4,база!$L$5,
IF(D72=5,база!$L$6)))</f>
        <v>210.57480000000001</v>
      </c>
      <c r="R80" s="250">
        <v>1.4</v>
      </c>
      <c r="S80" s="92">
        <f>SUMIFS(Таблица1[сумма],Таблица1[коэф],"1,4",Таблица1[р/р],"3/16",Таблица1[Ф. И. О.],B77)</f>
        <v>0</v>
      </c>
      <c r="T80" s="88">
        <f t="shared" ref="T80:T85" si="42">ROUND(Q80*R80*S80,2)</f>
        <v>0</v>
      </c>
      <c r="U80" s="338">
        <f>IF(D72&lt;=3,база!$M$4,
IF(D72=4,база!$M$5,
IF(D72=5,база!$M$6)))</f>
        <v>225.09719999999999</v>
      </c>
      <c r="V80" s="250">
        <v>1.4</v>
      </c>
      <c r="W80" s="285">
        <f>SUMIFS(Таблица1[сумма],Таблица1[коэф],"1,4",Таблица1[р/р],"3/24",Таблица1[Ф. И. О.],B77)</f>
        <v>0</v>
      </c>
      <c r="X80" s="291">
        <f>ROUND(U80*V80*W80,2)</f>
        <v>0</v>
      </c>
      <c r="Y80" s="803"/>
      <c r="Z80" s="794"/>
      <c r="AA80" s="797"/>
    </row>
    <row r="81" spans="1:29" ht="24" thickBot="1">
      <c r="A81" s="740"/>
      <c r="B81" s="201"/>
      <c r="C81" s="809"/>
      <c r="D81" s="809"/>
      <c r="E81" s="72"/>
      <c r="F81" s="250"/>
      <c r="G81" s="92"/>
      <c r="H81" s="86"/>
      <c r="I81" s="72"/>
      <c r="J81" s="250"/>
      <c r="K81" s="202"/>
      <c r="L81" s="27"/>
      <c r="M81" s="311"/>
      <c r="N81" s="202"/>
      <c r="O81" s="202"/>
      <c r="P81" s="27"/>
      <c r="Q81" s="76">
        <f>база!$L$5</f>
        <v>231.45480000000001</v>
      </c>
      <c r="R81" s="250">
        <v>1.4</v>
      </c>
      <c r="S81" s="92">
        <f>SUMIFS(Таблица1[сумма],Таблица1[коэф],"1,4",Таблица1[р/р],"4/16",Таблица1[Ф. И. О.],B77)</f>
        <v>0</v>
      </c>
      <c r="T81" s="88">
        <f t="shared" si="42"/>
        <v>0</v>
      </c>
      <c r="U81" s="338">
        <f>база!$M$5</f>
        <v>247.41720000000001</v>
      </c>
      <c r="V81" s="250">
        <v>1.4</v>
      </c>
      <c r="W81" s="285">
        <f>SUMIFS(Таблица1[сумма],Таблица1[коэф],"1,4",Таблица1[р/р],"4/24",Таблица1[Ф. И. О.],B77)</f>
        <v>0</v>
      </c>
      <c r="X81" s="291">
        <f>ROUND(U81*V81*W81,2)</f>
        <v>0</v>
      </c>
      <c r="Y81" s="803"/>
      <c r="Z81" s="794"/>
      <c r="AA81" s="797"/>
    </row>
    <row r="82" spans="1:29" ht="24" thickBot="1">
      <c r="A82" s="741"/>
      <c r="B82" s="188"/>
      <c r="C82" s="810"/>
      <c r="D82" s="810"/>
      <c r="E82" s="95"/>
      <c r="F82" s="252"/>
      <c r="G82" s="91"/>
      <c r="H82" s="222"/>
      <c r="I82" s="95"/>
      <c r="J82" s="252"/>
      <c r="K82" s="267"/>
      <c r="L82" s="24"/>
      <c r="M82" s="325"/>
      <c r="N82" s="267"/>
      <c r="O82" s="267"/>
      <c r="P82" s="24"/>
      <c r="Q82" s="206">
        <f>база!$L$6</f>
        <v>261.04640000000001</v>
      </c>
      <c r="R82" s="252">
        <v>1.4</v>
      </c>
      <c r="S82" s="91">
        <f>SUMIFS(Таблица1[сумма],Таблица1[коэф],"1,4",Таблица1[р/р],"5/16",Таблица1[Ф. И. О.],B77)</f>
        <v>0</v>
      </c>
      <c r="T82" s="84">
        <f t="shared" si="42"/>
        <v>0</v>
      </c>
      <c r="U82" s="341">
        <f>база!$M$6</f>
        <v>279.0496</v>
      </c>
      <c r="V82" s="252">
        <v>1.4</v>
      </c>
      <c r="W82" s="290">
        <f>SUMIFS(Таблица1[сумма],Таблица1[коэф],"1,4",Таблица1[р/р],"5/24",Таблица1[Ф. И. О.],B77)</f>
        <v>0</v>
      </c>
      <c r="X82" s="320">
        <f>ROUND(U82*V82*W82,2)</f>
        <v>0</v>
      </c>
      <c r="Y82" s="804"/>
      <c r="Z82" s="795"/>
      <c r="AA82" s="798"/>
    </row>
    <row r="83" spans="1:29">
      <c r="A83" s="739">
        <v>8</v>
      </c>
      <c r="B83" s="201"/>
      <c r="C83" s="808">
        <f>INDEX(база!$E$2:$E$81, MATCH(B88,база!$B$2:$B$50,0))</f>
        <v>16809</v>
      </c>
      <c r="D83" s="808">
        <f>INDEX(база!$D$2:$D$89, MATCH(B88,база!$B$2:$B$50,0))</f>
        <v>3</v>
      </c>
      <c r="E83" s="66">
        <f>IF(D83&lt;=3,база!$I$4,
IF(D83=4,база!$I$5,
IF(D83=5,база!$I$6)))</f>
        <v>188.7912</v>
      </c>
      <c r="F83" s="248">
        <v>1</v>
      </c>
      <c r="G83" s="89">
        <f>SUMIFS(Таблица1[сумма],Таблица1[коэф],"1",Таблица1[р/р],"2/4",Таблица1[Ф. И. О.],B88)</f>
        <v>0</v>
      </c>
      <c r="H83" s="81">
        <f>ROUND(E83*F83*G83,2)</f>
        <v>0</v>
      </c>
      <c r="I83" s="75">
        <f>IF(D83&lt;=3,база!$J$4,
IF(D83=4,база!$J$5,
IF(D83=5,база!$J$6)))</f>
        <v>196.05240000000001</v>
      </c>
      <c r="J83" s="249">
        <v>1</v>
      </c>
      <c r="K83" s="287">
        <f>SUMIFS(Таблица1[сумма],Таблица1[коэф],"1",Таблица1[р/р],"2/8",Таблица1[Ф. И. О.],B88)</f>
        <v>0</v>
      </c>
      <c r="L83" s="287">
        <f>ROUND(I83*J83*K83,2)</f>
        <v>0</v>
      </c>
      <c r="M83" s="287"/>
      <c r="N83" s="287">
        <v>1</v>
      </c>
      <c r="O83" s="287">
        <f>SUMIFS(Data_Tech!$AM$3:$AM$67,Data_Tech!$E$3:$E$67,"1",Data_Tech!$G$3:$G$67,"3/12",Data_Tech!$F$3:$F$67,B88)</f>
        <v>0</v>
      </c>
      <c r="P83" s="260">
        <f>ROUND(M83*N83*O83,2)</f>
        <v>0</v>
      </c>
      <c r="Q83" s="66">
        <f>IF(D83&lt;=3,база!$L$4,
IF(D83=4,база!$L$5,
IF(D83=5,база!$L$6)))</f>
        <v>210.57480000000001</v>
      </c>
      <c r="R83" s="248">
        <v>1</v>
      </c>
      <c r="S83" s="89">
        <f>SUMIFS(Таблица1[сумма],Таблица1[коэф],"1",Таблица1[р/р],"3/16",Таблица1[Ф. И. О.],B88)</f>
        <v>0</v>
      </c>
      <c r="T83" s="81">
        <f t="shared" si="42"/>
        <v>0</v>
      </c>
      <c r="U83" s="345">
        <f>IF(D83&lt;=3,база!$M$4,
IF(D83=4,база!$M$5,
IF(D83=5,база!$M$6)))</f>
        <v>225.09719999999999</v>
      </c>
      <c r="V83" s="249">
        <v>1</v>
      </c>
      <c r="W83" s="314">
        <f>SUMIFS(Таблица1[сумма],Таблица1[коэф],"1",Таблица1[р/р],"3/24",Таблица1[Ф. И. О.],B88)</f>
        <v>0</v>
      </c>
      <c r="X83" s="319">
        <f>ROUND(U83*V83*W83,2)</f>
        <v>0</v>
      </c>
      <c r="Y83" s="803">
        <f>SUM(G83:G93,K83:K93,O83:O93,S83:S93,W83:W93)</f>
        <v>0</v>
      </c>
      <c r="Z83" s="794">
        <f>IFERROR(SUM(H83:H93,L83:L93,T83:T93,X83:X93),"")</f>
        <v>0</v>
      </c>
      <c r="AA83" s="797"/>
    </row>
    <row r="84" spans="1:29">
      <c r="A84" s="740"/>
      <c r="B84" s="201"/>
      <c r="C84" s="809"/>
      <c r="D84" s="809"/>
      <c r="E84" s="72">
        <f>IF(D83&lt;=3,база!$I$4,
IF(D83=4,база!$I$5,
IF(D83=5,база!$I$6)))</f>
        <v>188.7912</v>
      </c>
      <c r="F84" s="250">
        <v>1</v>
      </c>
      <c r="G84" s="92">
        <f>SUMIFS(Таблица1[сумма],Таблица1[коэф],"1",Таблица1[р/р],"3/4",Таблица1[Ф. И. О.],B88)</f>
        <v>0</v>
      </c>
      <c r="H84" s="88">
        <f>ROUND(E84*F84*G84,2)</f>
        <v>0</v>
      </c>
      <c r="I84" s="76">
        <f>IF(D83&lt;=3,база!$J$4,
IF(D83=4,база!$J$5,
IF(D83=5,база!$J$6)))</f>
        <v>196.05240000000001</v>
      </c>
      <c r="J84" s="250">
        <v>1</v>
      </c>
      <c r="K84" s="202">
        <f>SUMIFS(Таблица1[сумма],Таблица1[коэф],"1",Таблица1[р/р],"3/8",Таблица1[Ф. И. О.],B88)</f>
        <v>0</v>
      </c>
      <c r="L84" s="202">
        <f>ROUND(I84*J84*K84,2)</f>
        <v>0</v>
      </c>
      <c r="M84" s="202"/>
      <c r="N84" s="202">
        <v>1</v>
      </c>
      <c r="O84" s="202">
        <f>SUMIFS(Data_Tech!$AM$3:$AM$67,Data_Tech!$E$3:$E$67,"1",Data_Tech!$G$3:$G$67,"4/12",Data_Tech!$F$3:$F$67,B88)</f>
        <v>0</v>
      </c>
      <c r="P84" s="28">
        <f>ROUND(M84*O84,2)</f>
        <v>0</v>
      </c>
      <c r="Q84" s="72">
        <f>база!$L$5</f>
        <v>231.45480000000001</v>
      </c>
      <c r="R84" s="250">
        <v>1</v>
      </c>
      <c r="S84" s="92">
        <f>SUMIFS(Таблица1[сумма],Таблица1[коэф],"1",Таблица1[р/р],"4/16",Таблица1[Ф. И. О.],B88)</f>
        <v>0</v>
      </c>
      <c r="T84" s="88">
        <f t="shared" si="42"/>
        <v>0</v>
      </c>
      <c r="U84" s="338">
        <f>база!$M$5</f>
        <v>247.41720000000001</v>
      </c>
      <c r="V84" s="250">
        <v>1</v>
      </c>
      <c r="W84" s="285">
        <f>SUMIFS(Таблица1[сумма],Таблица1[коэф],"1",Таблица1[р/р],"4/24",Таблица1[Ф. И. О.],B88)</f>
        <v>0</v>
      </c>
      <c r="X84" s="291">
        <f t="shared" ref="X84" si="43">ROUND(U84*V84*W84,2)</f>
        <v>0</v>
      </c>
      <c r="Y84" s="803"/>
      <c r="Z84" s="794"/>
      <c r="AA84" s="797"/>
    </row>
    <row r="85" spans="1:29" ht="24" thickBot="1">
      <c r="A85" s="740"/>
      <c r="B85" s="201"/>
      <c r="C85" s="809"/>
      <c r="D85" s="809"/>
      <c r="E85" s="72"/>
      <c r="F85" s="250"/>
      <c r="G85" s="92"/>
      <c r="H85" s="88"/>
      <c r="I85" s="76"/>
      <c r="J85" s="250"/>
      <c r="K85" s="202"/>
      <c r="L85" s="202"/>
      <c r="M85" s="202"/>
      <c r="N85" s="202"/>
      <c r="O85" s="202"/>
      <c r="P85" s="28"/>
      <c r="Q85" s="72">
        <f>база!$L$6</f>
        <v>261.04640000000001</v>
      </c>
      <c r="R85" s="250">
        <v>1</v>
      </c>
      <c r="S85" s="92">
        <f>SUMIFS(Таблица1[сумма],Таблица1[коэф],"1",Таблица1[р/р],"5/16",Таблица1[Ф. И. О.],B88)</f>
        <v>0</v>
      </c>
      <c r="T85" s="88">
        <f t="shared" si="42"/>
        <v>0</v>
      </c>
      <c r="U85" s="338">
        <f>база!$M$6</f>
        <v>279.0496</v>
      </c>
      <c r="V85" s="250">
        <v>1</v>
      </c>
      <c r="W85" s="285">
        <f>SUMIFS(Таблица1[сумма],Таблица1[коэф],"1",Таблица1[р/р],"5/24",Таблица1[Ф. И. О.],B88)</f>
        <v>0</v>
      </c>
      <c r="X85" s="291">
        <f>ROUND(U85*V85*W85,2)</f>
        <v>0</v>
      </c>
      <c r="Y85" s="803"/>
      <c r="Z85" s="794"/>
      <c r="AA85" s="797"/>
    </row>
    <row r="86" spans="1:29" ht="24" thickBot="1">
      <c r="A86" s="740"/>
      <c r="B86" s="201"/>
      <c r="C86" s="809"/>
      <c r="D86" s="809"/>
      <c r="E86" s="72"/>
      <c r="F86" s="250"/>
      <c r="G86" s="92"/>
      <c r="H86" s="88"/>
      <c r="I86" s="76">
        <f>база!$J$5</f>
        <v>215.4924</v>
      </c>
      <c r="J86" s="250">
        <v>1.5</v>
      </c>
      <c r="K86" s="202">
        <f>SUMIFS(Таблица1[сумма],Таблица1[коэф],"1,5",Таблица1[р/р],"4/8",Таблица1[Ф. И. О.],B88)</f>
        <v>0</v>
      </c>
      <c r="L86" s="202">
        <f>ROUND(I86*J86*K86,2)</f>
        <v>0</v>
      </c>
      <c r="M86" s="202"/>
      <c r="N86" s="202"/>
      <c r="O86" s="202"/>
      <c r="P86" s="28"/>
      <c r="Q86" s="72">
        <f>IF(D83&lt;=3,база!$L$4,
IF(D83=4,база!$L$5,
IF(D83=5,база!$L$6)))</f>
        <v>210.57480000000001</v>
      </c>
      <c r="R86" s="250">
        <v>1.2</v>
      </c>
      <c r="S86" s="92">
        <f>SUMIFS(Таблица1[сумма],Таблица1[коэф],"1,2",Таблица1[р/р],"3/16",Таблица1[Ф. И. О.],B88)</f>
        <v>0</v>
      </c>
      <c r="T86" s="88">
        <f t="shared" ref="T86:T87" si="44">ROUND(Q86*R86*S86,2)</f>
        <v>0</v>
      </c>
      <c r="U86" s="338">
        <f>IF(D83&lt;=3,база!$M$4,
IF(D83=4,база!$M$5,
IF(D83=5,база!$M$6)))</f>
        <v>225.09719999999999</v>
      </c>
      <c r="V86" s="250">
        <v>1.2</v>
      </c>
      <c r="W86" s="285">
        <f>SUMIFS(Таблица1[сумма],Таблица1[коэф],"1,2",Таблица1[р/р],"3/24",Таблица1[Ф. И. О.],B88)</f>
        <v>0</v>
      </c>
      <c r="X86" s="291">
        <f t="shared" ref="X86:X87" si="45">ROUND(U86*V86*W86,2)</f>
        <v>0</v>
      </c>
      <c r="Y86" s="803"/>
      <c r="Z86" s="794"/>
      <c r="AA86" s="797"/>
    </row>
    <row r="87" spans="1:29" ht="24" thickBot="1">
      <c r="A87" s="740"/>
      <c r="B87" s="201"/>
      <c r="C87" s="809"/>
      <c r="D87" s="809"/>
      <c r="E87" s="72"/>
      <c r="F87" s="250"/>
      <c r="G87" s="92"/>
      <c r="H87" s="88"/>
      <c r="I87" s="76">
        <f>база!$J$6</f>
        <v>243.04319999999998</v>
      </c>
      <c r="J87" s="250">
        <v>1.5</v>
      </c>
      <c r="K87" s="202">
        <f>SUMIFS(Таблица1[сумма],Таблица1[коэф],"1,5",Таблица1[р/р],"5/8",Таблица1[Ф. И. О.],B88)</f>
        <v>0</v>
      </c>
      <c r="L87" s="202">
        <f>ROUND(I87*J87*K87,2)</f>
        <v>0</v>
      </c>
      <c r="M87" s="202"/>
      <c r="N87" s="202"/>
      <c r="O87" s="202"/>
      <c r="P87" s="28"/>
      <c r="Q87" s="72">
        <f>база!$L$5</f>
        <v>231.45480000000001</v>
      </c>
      <c r="R87" s="250">
        <v>1.2</v>
      </c>
      <c r="S87" s="92">
        <f>SUMIFS(Таблица1[сумма],Таблица1[коэф],"1,2",Таблица1[р/р],"4/16",Таблица1[Ф. И. О.],B88)</f>
        <v>0</v>
      </c>
      <c r="T87" s="88">
        <f t="shared" si="44"/>
        <v>0</v>
      </c>
      <c r="U87" s="338">
        <f>база!$M$5</f>
        <v>247.41720000000001</v>
      </c>
      <c r="V87" s="250">
        <v>1.2</v>
      </c>
      <c r="W87" s="285">
        <f>SUMIFS(Таблица1[сумма],Таблица1[коэф],"1,2",Таблица1[р/р],"4/24",Таблица1[Ф. И. О.],B88)</f>
        <v>0</v>
      </c>
      <c r="X87" s="291">
        <f t="shared" si="45"/>
        <v>0</v>
      </c>
      <c r="Y87" s="803"/>
      <c r="Z87" s="794"/>
      <c r="AA87" s="797"/>
      <c r="AC87" s="688" t="str">
        <f>IF(SUMIFS(Таблица1[Столбец2],Таблица1[Ф. И. О.],B88)-Z83=0,"",SUMIFS(Таблица1[Столбец2],Таблица1[Ф. И. О.],B88)-Z83)</f>
        <v/>
      </c>
    </row>
    <row r="88" spans="1:29" ht="24" thickBot="1">
      <c r="A88" s="740"/>
      <c r="B88" s="201" t="str">
        <f>база!B9</f>
        <v>Бадьялова Елена Сергеевна</v>
      </c>
      <c r="C88" s="809"/>
      <c r="D88" s="809"/>
      <c r="E88" s="72"/>
      <c r="F88" s="250"/>
      <c r="G88" s="92"/>
      <c r="H88" s="88"/>
      <c r="I88" s="76"/>
      <c r="J88" s="250"/>
      <c r="K88" s="202"/>
      <c r="L88" s="202"/>
      <c r="M88" s="202"/>
      <c r="N88" s="202"/>
      <c r="O88" s="202"/>
      <c r="P88" s="28"/>
      <c r="Q88" s="72">
        <f>база!$L$6</f>
        <v>261.04640000000001</v>
      </c>
      <c r="R88" s="250">
        <v>1.2</v>
      </c>
      <c r="S88" s="92">
        <f>SUMIFS(Таблица1[сумма],Таблица1[коэф],"1,2",Таблица1[р/р],"5/16",Таблица1[Ф. И. О.],B88)</f>
        <v>0</v>
      </c>
      <c r="T88" s="88">
        <f>ROUND(Q88*R88*S88,2)</f>
        <v>0</v>
      </c>
      <c r="U88" s="338">
        <f>база!$M$6</f>
        <v>279.0496</v>
      </c>
      <c r="V88" s="250">
        <v>1.2</v>
      </c>
      <c r="W88" s="285">
        <f>SUMIFS(Таблица1[сумма],Таблица1[коэф],"1,2",Таблица1[р/р],"5/24",Таблица1[Ф. И. О.],B88)</f>
        <v>0</v>
      </c>
      <c r="X88" s="291">
        <f>ROUND(U88*V88*W88,2)</f>
        <v>0</v>
      </c>
      <c r="Y88" s="803"/>
      <c r="Z88" s="794"/>
      <c r="AA88" s="797"/>
      <c r="AC88" s="688" t="str">
        <f>IF(SUMIFS(Таблица1[сумма],Таблица1[Ф. И. О.],B88)=Y83,"",B83&amp;"  часы не верны")</f>
        <v/>
      </c>
    </row>
    <row r="89" spans="1:29" ht="24" thickBot="1">
      <c r="A89" s="740"/>
      <c r="B89" s="201"/>
      <c r="C89" s="809"/>
      <c r="D89" s="809"/>
      <c r="E89" s="72"/>
      <c r="F89" s="250"/>
      <c r="G89" s="92"/>
      <c r="H89" s="88"/>
      <c r="I89" s="76"/>
      <c r="J89" s="250"/>
      <c r="K89" s="202"/>
      <c r="L89" s="202"/>
      <c r="M89" s="202"/>
      <c r="N89" s="202"/>
      <c r="O89" s="202"/>
      <c r="P89" s="28"/>
      <c r="Q89" s="72">
        <f>IF($D$6&lt;=3,база!$L$4,
IF($D$6=4,база!$L$5,
IF($D$6=5,база!$L$6)))</f>
        <v>231.45480000000001</v>
      </c>
      <c r="R89" s="250">
        <v>1.3</v>
      </c>
      <c r="S89" s="92">
        <f>SUMIFS(Таблица1[сумма],Таблица1[коэф],"1,3",Таблица1[р/р],"3/16",Таблица1[Ф. И. О.],B88)</f>
        <v>0</v>
      </c>
      <c r="T89" s="88">
        <f t="shared" ref="T89:T90" si="46">ROUND(Q89*R89*S89,2)</f>
        <v>0</v>
      </c>
      <c r="U89" s="338">
        <f>IF(D83&lt;=3,база!$M$4,
IF(D83=4,база!$M$5,
IF(D83=5,база!$M$6)))</f>
        <v>225.09719999999999</v>
      </c>
      <c r="V89" s="250">
        <v>1.3</v>
      </c>
      <c r="W89" s="285">
        <f>SUMIFS(Таблица1[сумма],Таблица1[коэф],"1,3",Таблица1[р/р],"3/24",Таблица1[Ф. И. О.],B88)</f>
        <v>0</v>
      </c>
      <c r="X89" s="291">
        <f t="shared" ref="X89:X90" si="47">ROUND(U89*V89*W89,2)</f>
        <v>0</v>
      </c>
      <c r="Y89" s="803"/>
      <c r="Z89" s="794"/>
      <c r="AA89" s="797"/>
    </row>
    <row r="90" spans="1:29" ht="24" thickBot="1">
      <c r="A90" s="740"/>
      <c r="B90" s="201"/>
      <c r="C90" s="809"/>
      <c r="D90" s="809"/>
      <c r="E90" s="72"/>
      <c r="F90" s="250"/>
      <c r="G90" s="92"/>
      <c r="H90" s="88"/>
      <c r="I90" s="76"/>
      <c r="J90" s="250"/>
      <c r="K90" s="202"/>
      <c r="L90" s="202"/>
      <c r="M90" s="202"/>
      <c r="N90" s="202"/>
      <c r="O90" s="202"/>
      <c r="P90" s="28"/>
      <c r="Q90" s="72">
        <f>база!$L$5</f>
        <v>231.45480000000001</v>
      </c>
      <c r="R90" s="250">
        <v>1.3</v>
      </c>
      <c r="S90" s="92">
        <f>SUMIFS(Таблица1[сумма],Таблица1[коэф],"1,3",Таблица1[р/р],"4/16",Таблица1[Ф. И. О.],B88)</f>
        <v>0</v>
      </c>
      <c r="T90" s="88">
        <f t="shared" si="46"/>
        <v>0</v>
      </c>
      <c r="U90" s="338">
        <f>база!$M$5</f>
        <v>247.41720000000001</v>
      </c>
      <c r="V90" s="250">
        <v>1.3</v>
      </c>
      <c r="W90" s="285">
        <f>SUMIFS(Таблица1[сумма],Таблица1[коэф],"1,3",Таблица1[р/р],"4/24",Таблица1[Ф. И. О.],B88)</f>
        <v>0</v>
      </c>
      <c r="X90" s="291">
        <f t="shared" si="47"/>
        <v>0</v>
      </c>
      <c r="Y90" s="803"/>
      <c r="Z90" s="794"/>
      <c r="AA90" s="797"/>
    </row>
    <row r="91" spans="1:29" ht="24" thickBot="1">
      <c r="A91" s="740"/>
      <c r="B91" s="201"/>
      <c r="C91" s="809"/>
      <c r="D91" s="809"/>
      <c r="E91" s="72"/>
      <c r="F91" s="250"/>
      <c r="G91" s="92"/>
      <c r="H91" s="88"/>
      <c r="I91" s="76"/>
      <c r="J91" s="250"/>
      <c r="K91" s="202"/>
      <c r="L91" s="202"/>
      <c r="M91" s="202"/>
      <c r="N91" s="202"/>
      <c r="O91" s="202"/>
      <c r="P91" s="28"/>
      <c r="Q91" s="72">
        <f>IF(D83&lt;=3,база!$L$4,
IF(D83=4,база!$L$5,
IF(D83=5,база!$L$6)))</f>
        <v>210.57480000000001</v>
      </c>
      <c r="R91" s="250">
        <v>1.4</v>
      </c>
      <c r="S91" s="92">
        <f>SUMIFS(Таблица1[сумма],Таблица1[коэф],"1,4",Таблица1[р/р],"3/16",Таблица1[Ф. И. О.],B88)</f>
        <v>0</v>
      </c>
      <c r="T91" s="88">
        <f t="shared" ref="T91:T96" si="48">ROUND(Q91*R91*S91,2)</f>
        <v>0</v>
      </c>
      <c r="U91" s="338">
        <f>IF(D83&lt;=3,база!$M$4,
IF(D83=4,база!$M$5,
IF(D83=5,база!$M$6)))</f>
        <v>225.09719999999999</v>
      </c>
      <c r="V91" s="250">
        <v>1.4</v>
      </c>
      <c r="W91" s="285">
        <f>SUMIFS(Таблица1[сумма],Таблица1[коэф],"1,4",Таблица1[р/р],"3/24",Таблица1[Ф. И. О.],B88)</f>
        <v>0</v>
      </c>
      <c r="X91" s="291">
        <f>ROUND(U91*V91*W91,2)</f>
        <v>0</v>
      </c>
      <c r="Y91" s="803"/>
      <c r="Z91" s="794"/>
      <c r="AA91" s="797"/>
    </row>
    <row r="92" spans="1:29" ht="24" thickBot="1">
      <c r="A92" s="740"/>
      <c r="B92" s="201"/>
      <c r="C92" s="809"/>
      <c r="D92" s="809"/>
      <c r="E92" s="72"/>
      <c r="F92" s="250"/>
      <c r="G92" s="92"/>
      <c r="H92" s="88"/>
      <c r="I92" s="76"/>
      <c r="J92" s="250"/>
      <c r="K92" s="202"/>
      <c r="L92" s="202"/>
      <c r="M92" s="202"/>
      <c r="N92" s="202"/>
      <c r="O92" s="202"/>
      <c r="P92" s="28"/>
      <c r="Q92" s="72">
        <f>база!$L$5</f>
        <v>231.45480000000001</v>
      </c>
      <c r="R92" s="250">
        <v>1.4</v>
      </c>
      <c r="S92" s="92">
        <f>SUMIFS(Таблица1[сумма],Таблица1[коэф],"1,4",Таблица1[р/р],"4/16",Таблица1[Ф. И. О.],B88)</f>
        <v>0</v>
      </c>
      <c r="T92" s="88">
        <f t="shared" si="48"/>
        <v>0</v>
      </c>
      <c r="U92" s="338">
        <f>база!$M$5</f>
        <v>247.41720000000001</v>
      </c>
      <c r="V92" s="250">
        <v>1.4</v>
      </c>
      <c r="W92" s="285">
        <f>SUMIFS(Таблица1[сумма],Таблица1[коэф],"1,4",Таблица1[р/р],"4/24",Таблица1[Ф. И. О.],B88)</f>
        <v>0</v>
      </c>
      <c r="X92" s="291">
        <f>ROUND(U92*V92*W92,2)</f>
        <v>0</v>
      </c>
      <c r="Y92" s="803"/>
      <c r="Z92" s="794"/>
      <c r="AA92" s="797"/>
    </row>
    <row r="93" spans="1:29" ht="24" thickBot="1">
      <c r="A93" s="741"/>
      <c r="B93" s="188"/>
      <c r="C93" s="810"/>
      <c r="D93" s="810"/>
      <c r="E93" s="95"/>
      <c r="F93" s="252"/>
      <c r="G93" s="91"/>
      <c r="H93" s="84"/>
      <c r="I93" s="206"/>
      <c r="J93" s="252"/>
      <c r="K93" s="267"/>
      <c r="L93" s="267"/>
      <c r="M93" s="267"/>
      <c r="N93" s="267"/>
      <c r="O93" s="267"/>
      <c r="P93" s="293"/>
      <c r="Q93" s="95">
        <f>база!$L$6</f>
        <v>261.04640000000001</v>
      </c>
      <c r="R93" s="252">
        <v>1.4</v>
      </c>
      <c r="S93" s="91">
        <f>SUMIFS(Таблица1[сумма],Таблица1[коэф],"1,4",Таблица1[р/р],"5/16",Таблица1[Ф. И. О.],B88)</f>
        <v>0</v>
      </c>
      <c r="T93" s="84">
        <f t="shared" si="48"/>
        <v>0</v>
      </c>
      <c r="U93" s="341">
        <f>база!$M$6</f>
        <v>279.0496</v>
      </c>
      <c r="V93" s="252">
        <v>1.4</v>
      </c>
      <c r="W93" s="290">
        <f>SUMIFS(Таблица1[сумма],Таблица1[коэф],"1,4",Таблица1[р/р],"5/24",Таблица1[Ф. И. О.],B88)</f>
        <v>0</v>
      </c>
      <c r="X93" s="320">
        <f>ROUND(U93*V93*W93,2)</f>
        <v>0</v>
      </c>
      <c r="Y93" s="804"/>
      <c r="Z93" s="795"/>
      <c r="AA93" s="798"/>
    </row>
    <row r="94" spans="1:29">
      <c r="A94" s="739">
        <v>9</v>
      </c>
      <c r="B94" s="201"/>
      <c r="C94" s="808">
        <f>INDEX(база!$E$2:$E$81, MATCH(B99,база!$B$2:$B$50,0))</f>
        <v>17169</v>
      </c>
      <c r="D94" s="808">
        <f>INDEX(база!$D$2:$D$89, MATCH(B99,база!$B$2:$B$50,0))</f>
        <v>3</v>
      </c>
      <c r="E94" s="66">
        <f>IF(D94&lt;=3,база!$I$4,
IF(D94=4,база!$I$5,
IF(D94=5,база!$I$6)))</f>
        <v>188.7912</v>
      </c>
      <c r="F94" s="248">
        <v>1</v>
      </c>
      <c r="G94" s="89">
        <f>SUMIFS(Таблица1[сумма],Таблица1[коэф],"1",Таблица1[р/р],"2/4",Таблица1[Ф. И. О.],B99)</f>
        <v>0</v>
      </c>
      <c r="H94" s="81">
        <f>ROUND(E94*F94*G94,2)</f>
        <v>0</v>
      </c>
      <c r="I94" s="75">
        <f>IF(D94&lt;=3,база!$J$4,
IF(D94=4,база!$J$5,
IF(D94=5,база!$J$6)))</f>
        <v>196.05240000000001</v>
      </c>
      <c r="J94" s="249">
        <v>1</v>
      </c>
      <c r="K94" s="287">
        <f>SUMIFS(Таблица1[сумма],Таблица1[коэф],"1",Таблица1[р/р],"2/8",Таблица1[Ф. И. О.],B99)</f>
        <v>0</v>
      </c>
      <c r="L94" s="287">
        <f>ROUND(I94*J94*K94,2)</f>
        <v>0</v>
      </c>
      <c r="M94" s="287"/>
      <c r="N94" s="287">
        <v>1</v>
      </c>
      <c r="O94" s="287">
        <f>SUMIFS(Data_Tech!$AM$3:$AM$67,Data_Tech!$E$3:$E$67,"1",Data_Tech!$G$3:$G$67,"3/12",Data_Tech!$F$3:$F$67,B99)</f>
        <v>0</v>
      </c>
      <c r="P94" s="260">
        <f>ROUND(M94*N94*O94,2)</f>
        <v>0</v>
      </c>
      <c r="Q94" s="66">
        <f>IF(D94&lt;=3,база!$L$4,
IF(D94=4,база!$L$5,
IF(D94=5,база!$L$6)))</f>
        <v>210.57480000000001</v>
      </c>
      <c r="R94" s="248">
        <v>1</v>
      </c>
      <c r="S94" s="89">
        <f>SUMIFS(Таблица1[сумма],Таблица1[коэф],"1",Таблица1[р/р],"3/16",Таблица1[Ф. И. О.],B99)</f>
        <v>0</v>
      </c>
      <c r="T94" s="295">
        <f t="shared" si="48"/>
        <v>0</v>
      </c>
      <c r="U94" s="342">
        <f>IF(D94&lt;=3,база!$M$4,
IF(D94=4,база!$M$5,
IF(D94=5,база!$M$6)))</f>
        <v>225.09719999999999</v>
      </c>
      <c r="V94" s="248">
        <v>1</v>
      </c>
      <c r="W94" s="316">
        <f>SUMIFS(Таблица1[сумма],Таблица1[коэф],"1",Таблица1[р/р],"3/24",Таблица1[Ф. И. О.],B99)</f>
        <v>0</v>
      </c>
      <c r="X94" s="319">
        <f>ROUND(U94*V94*W94,2)</f>
        <v>0</v>
      </c>
      <c r="Y94" s="803">
        <f t="shared" ref="Y94" si="49">SUM(G94:G104,K94:K104,O94:O104,S94:S104,W94:W104)</f>
        <v>0</v>
      </c>
      <c r="Z94" s="794">
        <f t="shared" ref="Z94" si="50">IFERROR(SUM(H94:H104,L94:L104,T94:T104,X94:X104),"")</f>
        <v>0</v>
      </c>
      <c r="AA94" s="797"/>
    </row>
    <row r="95" spans="1:29">
      <c r="A95" s="740"/>
      <c r="B95" s="201"/>
      <c r="C95" s="809"/>
      <c r="D95" s="809"/>
      <c r="E95" s="72">
        <f>IF(D94&lt;=3,база!$I$4,
IF(D94=4,база!$I$5,
IF(D94=5,база!$I$6)))</f>
        <v>188.7912</v>
      </c>
      <c r="F95" s="250">
        <v>1</v>
      </c>
      <c r="G95" s="92">
        <f>SUMIFS(Таблица1[сумма],Таблица1[коэф],"1",Таблица1[р/р],"3/4",Таблица1[Ф. И. О.],B99)</f>
        <v>0</v>
      </c>
      <c r="H95" s="88">
        <f>ROUND(E95*F95*G95,2)</f>
        <v>0</v>
      </c>
      <c r="I95" s="76">
        <f>IF(D94&lt;=3,база!$J$4,
IF(D94=4,база!$J$5,
IF(D94=5,база!$J$6)))</f>
        <v>196.05240000000001</v>
      </c>
      <c r="J95" s="250">
        <v>1</v>
      </c>
      <c r="K95" s="202">
        <f>SUMIFS(Таблица1[сумма],Таблица1[коэф],"1",Таблица1[р/р],"3/8",Таблица1[Ф. И. О.],B99)</f>
        <v>0</v>
      </c>
      <c r="L95" s="202">
        <f>ROUND(I95*J95*K95,2)</f>
        <v>0</v>
      </c>
      <c r="M95" s="202"/>
      <c r="N95" s="202">
        <v>1</v>
      </c>
      <c r="O95" s="202">
        <f>SUMIFS(Data_Tech!$AM$3:$AM$67,Data_Tech!$E$3:$E$67,"1",Data_Tech!$G$3:$G$67,"4/12",Data_Tech!$F$3:$F$67,B99)</f>
        <v>0</v>
      </c>
      <c r="P95" s="28">
        <f>ROUND(M95*O95,2)</f>
        <v>0</v>
      </c>
      <c r="Q95" s="72">
        <f>база!$L$5</f>
        <v>231.45480000000001</v>
      </c>
      <c r="R95" s="250">
        <v>1</v>
      </c>
      <c r="S95" s="92">
        <f>SUMIFS(Таблица1[сумма],Таблица1[коэф],"1",Таблица1[р/р],"4/16",Таблица1[Ф. И. О.],B99)</f>
        <v>0</v>
      </c>
      <c r="T95" s="86">
        <f t="shared" si="48"/>
        <v>0</v>
      </c>
      <c r="U95" s="343">
        <f>база!$M$5</f>
        <v>247.41720000000001</v>
      </c>
      <c r="V95" s="250">
        <v>1</v>
      </c>
      <c r="W95" s="292">
        <f>SUMIFS(Таблица1[сумма],Таблица1[коэф],"1",Таблица1[р/р],"4/24",Таблица1[Ф. И. О.],B99)</f>
        <v>0</v>
      </c>
      <c r="X95" s="291">
        <f t="shared" ref="X95" si="51">ROUND(U95*V95*W95,2)</f>
        <v>0</v>
      </c>
      <c r="Y95" s="803"/>
      <c r="Z95" s="794"/>
      <c r="AA95" s="797"/>
    </row>
    <row r="96" spans="1:29" ht="24" thickBot="1">
      <c r="A96" s="740"/>
      <c r="B96" s="201"/>
      <c r="C96" s="809"/>
      <c r="D96" s="809"/>
      <c r="E96" s="72"/>
      <c r="F96" s="250"/>
      <c r="G96" s="92"/>
      <c r="H96" s="88"/>
      <c r="I96" s="76"/>
      <c r="J96" s="250"/>
      <c r="K96" s="202"/>
      <c r="L96" s="202"/>
      <c r="M96" s="202"/>
      <c r="N96" s="202"/>
      <c r="O96" s="202"/>
      <c r="P96" s="28"/>
      <c r="Q96" s="72">
        <f>база!$L$6</f>
        <v>261.04640000000001</v>
      </c>
      <c r="R96" s="250">
        <v>1</v>
      </c>
      <c r="S96" s="92">
        <f>SUMIFS(Таблица1[сумма],Таблица1[коэф],"1",Таблица1[р/р],"5/16",Таблица1[Ф. И. О.],B99)</f>
        <v>0</v>
      </c>
      <c r="T96" s="86">
        <f t="shared" si="48"/>
        <v>0</v>
      </c>
      <c r="U96" s="343">
        <f>база!$M$6</f>
        <v>279.0496</v>
      </c>
      <c r="V96" s="250">
        <v>1</v>
      </c>
      <c r="W96" s="292">
        <f>SUMIFS(Таблица1[сумма],Таблица1[коэф],"1",Таблица1[р/р],"5/24",Таблица1[Ф. И. О.],B99)</f>
        <v>0</v>
      </c>
      <c r="X96" s="291">
        <f>ROUND(U96*V96*W96,2)</f>
        <v>0</v>
      </c>
      <c r="Y96" s="803"/>
      <c r="Z96" s="794"/>
      <c r="AA96" s="797"/>
    </row>
    <row r="97" spans="1:29" ht="24" thickBot="1">
      <c r="A97" s="740"/>
      <c r="B97" s="201"/>
      <c r="C97" s="809"/>
      <c r="D97" s="809"/>
      <c r="E97" s="72"/>
      <c r="F97" s="250"/>
      <c r="G97" s="92"/>
      <c r="H97" s="88"/>
      <c r="I97" s="76">
        <f>база!$J$5</f>
        <v>215.4924</v>
      </c>
      <c r="J97" s="250">
        <v>1.5</v>
      </c>
      <c r="K97" s="202">
        <f>SUMIFS(Таблица1[сумма],Таблица1[коэф],"1,5",Таблица1[р/р],"4/8",Таблица1[Ф. И. О.],B99)</f>
        <v>0</v>
      </c>
      <c r="L97" s="202">
        <f>ROUND(I97*J97*K97,2)</f>
        <v>0</v>
      </c>
      <c r="M97" s="202"/>
      <c r="N97" s="202"/>
      <c r="O97" s="202"/>
      <c r="P97" s="28"/>
      <c r="Q97" s="72">
        <f>IF(D94&lt;=3,база!$L$4,
IF(D94=4,база!$L$5,
IF(D94=5,база!$L$6)))</f>
        <v>210.57480000000001</v>
      </c>
      <c r="R97" s="250">
        <v>1.2</v>
      </c>
      <c r="S97" s="92">
        <f>SUMIFS(Таблица1[сумма],Таблица1[коэф],"1,2",Таблица1[р/р],"3/16",Таблица1[Ф. И. О.],B99)</f>
        <v>0</v>
      </c>
      <c r="T97" s="86">
        <f t="shared" ref="T97:T98" si="52">ROUND(Q97*R97*S97,2)</f>
        <v>0</v>
      </c>
      <c r="U97" s="343">
        <f>IF(D94&lt;=3,база!$M$4,
IF(D94=4,база!$M$5,
IF(D94=5,база!$M$6)))</f>
        <v>225.09719999999999</v>
      </c>
      <c r="V97" s="250">
        <v>1.2</v>
      </c>
      <c r="W97" s="292">
        <f>SUMIFS(Таблица1[сумма],Таблица1[коэф],"1,2",Таблица1[р/р],"3/24",Таблица1[Ф. И. О.],B99)</f>
        <v>0</v>
      </c>
      <c r="X97" s="291">
        <f t="shared" ref="X97:X98" si="53">ROUND(U97*V97*W97,2)</f>
        <v>0</v>
      </c>
      <c r="Y97" s="803"/>
      <c r="Z97" s="794"/>
      <c r="AA97" s="797"/>
    </row>
    <row r="98" spans="1:29" ht="24" thickBot="1">
      <c r="A98" s="740"/>
      <c r="B98" s="201"/>
      <c r="C98" s="809"/>
      <c r="D98" s="809"/>
      <c r="E98" s="72"/>
      <c r="F98" s="250"/>
      <c r="G98" s="92"/>
      <c r="H98" s="88"/>
      <c r="I98" s="76">
        <f>база!$J$6</f>
        <v>243.04319999999998</v>
      </c>
      <c r="J98" s="250">
        <v>1.5</v>
      </c>
      <c r="K98" s="202">
        <f>SUMIFS(Таблица1[сумма],Таблица1[коэф],"1,5",Таблица1[р/р],"5/8",Таблица1[Ф. И. О.],B99)</f>
        <v>0</v>
      </c>
      <c r="L98" s="202">
        <f>ROUND(I98*J98*K98,2)</f>
        <v>0</v>
      </c>
      <c r="M98" s="202"/>
      <c r="N98" s="202"/>
      <c r="O98" s="202"/>
      <c r="P98" s="28"/>
      <c r="Q98" s="72">
        <f>база!$L$5</f>
        <v>231.45480000000001</v>
      </c>
      <c r="R98" s="250">
        <v>1.2</v>
      </c>
      <c r="S98" s="92">
        <f>SUMIFS(Таблица1[сумма],Таблица1[коэф],"1,2",Таблица1[р/р],"4/16",Таблица1[Ф. И. О.],B99)</f>
        <v>0</v>
      </c>
      <c r="T98" s="86">
        <f t="shared" si="52"/>
        <v>0</v>
      </c>
      <c r="U98" s="343">
        <f>база!$M$5</f>
        <v>247.41720000000001</v>
      </c>
      <c r="V98" s="250">
        <v>1.2</v>
      </c>
      <c r="W98" s="292">
        <f>SUMIFS(Таблица1[сумма],Таблица1[коэф],"1,2",Таблица1[р/р],"4/24",Таблица1[Ф. И. О.],B99)</f>
        <v>0</v>
      </c>
      <c r="X98" s="291">
        <f t="shared" si="53"/>
        <v>0</v>
      </c>
      <c r="Y98" s="803"/>
      <c r="Z98" s="794"/>
      <c r="AA98" s="797"/>
      <c r="AC98" s="688" t="str">
        <f>IF(SUMIFS(Таблица1[Столбец2],Таблица1[Ф. И. О.],B99)-Z94=0,"",SUMIFS(Таблица1[Столбец2],Таблица1[Ф. И. О.],B99)-Z94)</f>
        <v/>
      </c>
    </row>
    <row r="99" spans="1:29" ht="24" thickBot="1">
      <c r="A99" s="740"/>
      <c r="B99" s="201" t="str">
        <f>база!B10</f>
        <v>Бекетова Надежда Ильинична</v>
      </c>
      <c r="C99" s="809"/>
      <c r="D99" s="809"/>
      <c r="E99" s="72"/>
      <c r="F99" s="250"/>
      <c r="G99" s="92"/>
      <c r="H99" s="88"/>
      <c r="I99" s="76"/>
      <c r="J99" s="250"/>
      <c r="K99" s="202"/>
      <c r="L99" s="202"/>
      <c r="M99" s="202"/>
      <c r="N99" s="202"/>
      <c r="O99" s="202"/>
      <c r="P99" s="28"/>
      <c r="Q99" s="72">
        <f>база!$L$6</f>
        <v>261.04640000000001</v>
      </c>
      <c r="R99" s="250">
        <v>1.2</v>
      </c>
      <c r="S99" s="92">
        <f>SUMIFS(Таблица1[сумма],Таблица1[коэф],"1,2",Таблица1[р/р],"5/16",Таблица1[Ф. И. О.],B99)</f>
        <v>0</v>
      </c>
      <c r="T99" s="86">
        <f>ROUND(Q99*R99*S99,2)</f>
        <v>0</v>
      </c>
      <c r="U99" s="343">
        <f>база!$M$6</f>
        <v>279.0496</v>
      </c>
      <c r="V99" s="250">
        <v>1.2</v>
      </c>
      <c r="W99" s="292">
        <f>SUMIFS(Таблица1[сумма],Таблица1[коэф],"1,2",Таблица1[р/р],"5/24",Таблица1[Ф. И. О.],B99)</f>
        <v>0</v>
      </c>
      <c r="X99" s="291">
        <f>ROUND(U99*V99*W99,2)</f>
        <v>0</v>
      </c>
      <c r="Y99" s="803"/>
      <c r="Z99" s="794"/>
      <c r="AA99" s="797"/>
      <c r="AC99" s="688" t="str">
        <f>IF(SUMIFS(Таблица1[сумма],Таблица1[Ф. И. О.],B99)=Y94,"",B94&amp;"  часы не верны")</f>
        <v/>
      </c>
    </row>
    <row r="100" spans="1:29" ht="24" thickBot="1">
      <c r="A100" s="740"/>
      <c r="B100" s="201"/>
      <c r="C100" s="809"/>
      <c r="D100" s="809"/>
      <c r="E100" s="72"/>
      <c r="F100" s="250"/>
      <c r="G100" s="92"/>
      <c r="H100" s="88"/>
      <c r="I100" s="76"/>
      <c r="J100" s="250"/>
      <c r="K100" s="202"/>
      <c r="L100" s="202"/>
      <c r="M100" s="202"/>
      <c r="N100" s="202"/>
      <c r="O100" s="202"/>
      <c r="P100" s="28"/>
      <c r="Q100" s="72">
        <f>IF($D$6&lt;=3,база!$L$4,
IF($D$6=4,база!$L$5,
IF($D$6=5,база!$L$6)))</f>
        <v>231.45480000000001</v>
      </c>
      <c r="R100" s="250">
        <v>1.3</v>
      </c>
      <c r="S100" s="92">
        <f>SUMIFS(Таблица1[сумма],Таблица1[коэф],"1,3",Таблица1[р/р],"3/16",Таблица1[Ф. И. О.],B99)</f>
        <v>0</v>
      </c>
      <c r="T100" s="86">
        <f t="shared" ref="T100:T101" si="54">ROUND(Q100*R100*S100,2)</f>
        <v>0</v>
      </c>
      <c r="U100" s="343">
        <f>IF(D94&lt;=3,база!$M$4,
IF(D94=4,база!$M$5,
IF(D94=5,база!$M$6)))</f>
        <v>225.09719999999999</v>
      </c>
      <c r="V100" s="250">
        <v>1.3</v>
      </c>
      <c r="W100" s="292">
        <f>SUMIFS(Таблица1[сумма],Таблица1[коэф],"1,3",Таблица1[р/р],"3/24",Таблица1[Ф. И. О.],B99)</f>
        <v>0</v>
      </c>
      <c r="X100" s="291">
        <f t="shared" ref="X100:X101" si="55">ROUND(U100*V100*W100,2)</f>
        <v>0</v>
      </c>
      <c r="Y100" s="803"/>
      <c r="Z100" s="794"/>
      <c r="AA100" s="797"/>
    </row>
    <row r="101" spans="1:29" ht="24" thickBot="1">
      <c r="A101" s="740"/>
      <c r="B101" s="201"/>
      <c r="C101" s="809"/>
      <c r="D101" s="809"/>
      <c r="E101" s="72"/>
      <c r="F101" s="250"/>
      <c r="G101" s="92"/>
      <c r="H101" s="88"/>
      <c r="I101" s="76"/>
      <c r="J101" s="250"/>
      <c r="K101" s="202"/>
      <c r="L101" s="202"/>
      <c r="M101" s="202"/>
      <c r="N101" s="202"/>
      <c r="O101" s="202"/>
      <c r="P101" s="28"/>
      <c r="Q101" s="72">
        <f>база!$L$5</f>
        <v>231.45480000000001</v>
      </c>
      <c r="R101" s="250">
        <v>1.3</v>
      </c>
      <c r="S101" s="92">
        <f>SUMIFS(Таблица1[сумма],Таблица1[коэф],"1,3",Таблица1[р/р],"4/16",Таблица1[Ф. И. О.],B99)</f>
        <v>0</v>
      </c>
      <c r="T101" s="86">
        <f t="shared" si="54"/>
        <v>0</v>
      </c>
      <c r="U101" s="343">
        <f>база!$M$5</f>
        <v>247.41720000000001</v>
      </c>
      <c r="V101" s="250">
        <v>1.3</v>
      </c>
      <c r="W101" s="292">
        <f>SUMIFS(Таблица1[сумма],Таблица1[коэф],"1,3",Таблица1[р/р],"4/24",Таблица1[Ф. И. О.],B99)</f>
        <v>0</v>
      </c>
      <c r="X101" s="291">
        <f t="shared" si="55"/>
        <v>0</v>
      </c>
      <c r="Y101" s="803"/>
      <c r="Z101" s="794"/>
      <c r="AA101" s="797"/>
    </row>
    <row r="102" spans="1:29" ht="24" thickBot="1">
      <c r="A102" s="740"/>
      <c r="B102" s="201"/>
      <c r="C102" s="809"/>
      <c r="D102" s="809"/>
      <c r="E102" s="72"/>
      <c r="F102" s="250"/>
      <c r="G102" s="92"/>
      <c r="H102" s="88"/>
      <c r="I102" s="76"/>
      <c r="J102" s="250"/>
      <c r="K102" s="202"/>
      <c r="L102" s="202"/>
      <c r="M102" s="202"/>
      <c r="N102" s="202"/>
      <c r="O102" s="202"/>
      <c r="P102" s="28"/>
      <c r="Q102" s="72">
        <f>IF(D94&lt;=3,база!$L$4,
IF(D94=4,база!$L$5,
IF(D94=5,база!$L$6)))</f>
        <v>210.57480000000001</v>
      </c>
      <c r="R102" s="250">
        <v>1.4</v>
      </c>
      <c r="S102" s="92">
        <f>SUMIFS(Таблица1[сумма],Таблица1[коэф],"1,4",Таблица1[р/р],"3/16",Таблица1[Ф. И. О.],B99)</f>
        <v>0</v>
      </c>
      <c r="T102" s="86">
        <f t="shared" ref="T102:T107" si="56">ROUND(Q102*R102*S102,2)</f>
        <v>0</v>
      </c>
      <c r="U102" s="343">
        <f>IF(D94&lt;=3,база!$M$4,
IF(D94=4,база!$M$5,
IF(D94=5,база!$M$6)))</f>
        <v>225.09719999999999</v>
      </c>
      <c r="V102" s="250">
        <v>1.4</v>
      </c>
      <c r="W102" s="292">
        <f>SUMIFS(Таблица1[сумма],Таблица1[коэф],"1,4",Таблица1[р/р],"3/24",Таблица1[Ф. И. О.],B99)</f>
        <v>0</v>
      </c>
      <c r="X102" s="291">
        <f>ROUND(U102*V102*W102,2)</f>
        <v>0</v>
      </c>
      <c r="Y102" s="803"/>
      <c r="Z102" s="794"/>
      <c r="AA102" s="797"/>
    </row>
    <row r="103" spans="1:29" ht="24" thickBot="1">
      <c r="A103" s="740"/>
      <c r="B103" s="201"/>
      <c r="C103" s="809"/>
      <c r="D103" s="809"/>
      <c r="E103" s="72"/>
      <c r="F103" s="250"/>
      <c r="G103" s="92"/>
      <c r="H103" s="88"/>
      <c r="I103" s="76"/>
      <c r="J103" s="250"/>
      <c r="K103" s="202"/>
      <c r="L103" s="202"/>
      <c r="M103" s="202"/>
      <c r="N103" s="202"/>
      <c r="O103" s="202"/>
      <c r="P103" s="28"/>
      <c r="Q103" s="72">
        <f>база!$L$5</f>
        <v>231.45480000000001</v>
      </c>
      <c r="R103" s="250">
        <v>1.4</v>
      </c>
      <c r="S103" s="92">
        <f>SUMIFS(Таблица1[сумма],Таблица1[коэф],"1,4",Таблица1[р/р],"4/16",Таблица1[Ф. И. О.],B99)</f>
        <v>0</v>
      </c>
      <c r="T103" s="86">
        <f t="shared" si="56"/>
        <v>0</v>
      </c>
      <c r="U103" s="343">
        <f>база!$M$5</f>
        <v>247.41720000000001</v>
      </c>
      <c r="V103" s="250">
        <v>1.4</v>
      </c>
      <c r="W103" s="292">
        <f>SUMIFS(Таблица1[сумма],Таблица1[коэф],"1,4",Таблица1[р/р],"4/24",Таблица1[Ф. И. О.],B99)</f>
        <v>0</v>
      </c>
      <c r="X103" s="291">
        <f>ROUND(U103*V103*W103,2)</f>
        <v>0</v>
      </c>
      <c r="Y103" s="803"/>
      <c r="Z103" s="794"/>
      <c r="AA103" s="797"/>
    </row>
    <row r="104" spans="1:29" ht="24" thickBot="1">
      <c r="A104" s="741"/>
      <c r="B104" s="201"/>
      <c r="C104" s="810"/>
      <c r="D104" s="810"/>
      <c r="E104" s="203"/>
      <c r="F104" s="253"/>
      <c r="G104" s="98"/>
      <c r="H104" s="97"/>
      <c r="I104" s="281"/>
      <c r="J104" s="253"/>
      <c r="K104" s="280"/>
      <c r="L104" s="280"/>
      <c r="M104" s="280"/>
      <c r="N104" s="280"/>
      <c r="O104" s="280"/>
      <c r="P104" s="286"/>
      <c r="Q104" s="203">
        <f>база!$L$6</f>
        <v>261.04640000000001</v>
      </c>
      <c r="R104" s="253">
        <v>1.4</v>
      </c>
      <c r="S104" s="98">
        <f>SUMIFS(Таблица1[сумма],Таблица1[коэф],"1,4",Таблица1[р/р],"5/16",Таблица1[Ф. И. О.],B99)</f>
        <v>0</v>
      </c>
      <c r="T104" s="294">
        <f t="shared" si="56"/>
        <v>0</v>
      </c>
      <c r="U104" s="344">
        <f>база!$M$6</f>
        <v>279.0496</v>
      </c>
      <c r="V104" s="252">
        <v>1.4</v>
      </c>
      <c r="W104" s="324">
        <f>SUMIFS(Таблица1[сумма],Таблица1[коэф],"1,4",Таблица1[р/р],"5/24",Таблица1[Ф. И. О.],B99)</f>
        <v>0</v>
      </c>
      <c r="X104" s="320">
        <f>ROUND(U104*V104*W104,2)</f>
        <v>0</v>
      </c>
      <c r="Y104" s="804"/>
      <c r="Z104" s="795"/>
      <c r="AA104" s="798"/>
    </row>
    <row r="105" spans="1:29">
      <c r="A105" s="739">
        <v>10</v>
      </c>
      <c r="B105" s="219"/>
      <c r="C105" s="808">
        <f>INDEX(база!$E$2:$E$81, MATCH(B110,база!$B$2:$B$50,0))</f>
        <v>17256</v>
      </c>
      <c r="D105" s="808">
        <f>INDEX(база!$D$2:$D$89, MATCH(B110,база!$B$2:$B$50,0))</f>
        <v>3</v>
      </c>
      <c r="E105" s="66">
        <f>IF(D105&lt;=3,база!$I$4,
IF(D105=4,база!$I$5,
IF(D105=5,база!$I$6)))</f>
        <v>188.7912</v>
      </c>
      <c r="F105" s="248">
        <v>1</v>
      </c>
      <c r="G105" s="89">
        <f>SUMIFS(Таблица1[сумма],Таблица1[коэф],"1",Таблица1[р/р],"2/4",Таблица1[Ф. И. О.],B110)</f>
        <v>0</v>
      </c>
      <c r="H105" s="81">
        <f>ROUND(E105*F105*G105,2)</f>
        <v>0</v>
      </c>
      <c r="I105" s="288">
        <f>IF(D105&lt;=3,база!$J$4,
IF(D105=4,база!$J$5,
IF(D105=5,база!$J$6)))</f>
        <v>196.05240000000001</v>
      </c>
      <c r="J105" s="248">
        <v>1</v>
      </c>
      <c r="K105" s="266">
        <f>SUMIFS(Таблица1[сумма],Таблица1[коэф],"1",Таблица1[р/р],"2/8",Таблица1[Ф. И. О.],B110)</f>
        <v>0</v>
      </c>
      <c r="L105" s="266">
        <f>ROUND(I105*J105*K105,2)</f>
        <v>0</v>
      </c>
      <c r="M105" s="266"/>
      <c r="N105" s="266">
        <v>1</v>
      </c>
      <c r="O105" s="266">
        <f>SUMIFS(Data_Tech!$AM$3:$AM$67,Data_Tech!$E$3:$E$67,"1",Data_Tech!$G$3:$G$67,"3/12",Data_Tech!$F$3:$F$67,B110)</f>
        <v>0</v>
      </c>
      <c r="P105" s="259">
        <f>ROUND(M105*N105*O105,2)</f>
        <v>0</v>
      </c>
      <c r="Q105" s="66">
        <f>IF(D105&lt;=3,база!$L$4,
IF(D105=4,база!$L$5,
IF(D105=5,база!$L$6)))</f>
        <v>210.57480000000001</v>
      </c>
      <c r="R105" s="248">
        <v>1</v>
      </c>
      <c r="S105" s="89">
        <f>SUMIFS(Таблица1[сумма],Таблица1[коэф],"1",Таблица1[р/р],"3/16",Таблица1[Ф. И. О.],B110)</f>
        <v>0</v>
      </c>
      <c r="T105" s="81">
        <f t="shared" si="56"/>
        <v>0</v>
      </c>
      <c r="U105" s="340">
        <f>IF(D105&lt;=3,база!$M$4,
IF(D105=4,база!$M$5,
IF(D105=5,база!$M$6)))</f>
        <v>225.09719999999999</v>
      </c>
      <c r="V105" s="248">
        <v>1</v>
      </c>
      <c r="W105" s="316">
        <f>SUMIFS(Таблица1[сумма],Таблица1[коэф],"1",Таблица1[р/р],"3/24",Таблица1[Ф. И. О.],B110)</f>
        <v>0</v>
      </c>
      <c r="X105" s="319">
        <f>ROUND(U105*V105*W105,2)</f>
        <v>0</v>
      </c>
      <c r="Y105" s="803">
        <f t="shared" ref="Y105" si="57">SUM(G105:G115,K105:K115,O105:O115,S105:S115,W105:W115)</f>
        <v>0</v>
      </c>
      <c r="Z105" s="794">
        <f t="shared" ref="Z105" si="58">IFERROR(SUM(H105:H115,L105:L115,T105:T115,X105:X115),"")</f>
        <v>0</v>
      </c>
      <c r="AA105" s="797"/>
    </row>
    <row r="106" spans="1:29">
      <c r="A106" s="740"/>
      <c r="B106" s="201"/>
      <c r="C106" s="809"/>
      <c r="D106" s="809"/>
      <c r="E106" s="72">
        <f>IF(D105&lt;=3,база!$I$4,
IF(D105=4,база!$I$5,
IF(D105=5,база!$I$6)))</f>
        <v>188.7912</v>
      </c>
      <c r="F106" s="250">
        <v>1</v>
      </c>
      <c r="G106" s="92">
        <f>SUMIFS(Таблица1[сумма],Таблица1[коэф],"1",Таблица1[р/р],"3/4",Таблица1[Ф. И. О.],B110)</f>
        <v>0</v>
      </c>
      <c r="H106" s="88">
        <f>ROUND(E106*F106*G106,2)</f>
        <v>0</v>
      </c>
      <c r="I106" s="76">
        <f>IF(D105&lt;=3,база!$J$4,
IF(D105=4,база!$J$5,
IF(D105=5,база!$J$6)))</f>
        <v>196.05240000000001</v>
      </c>
      <c r="J106" s="250">
        <v>1</v>
      </c>
      <c r="K106" s="202">
        <f>SUMIFS(Таблица1[сумма],Таблица1[коэф],"1",Таблица1[р/р],"3/8",Таблица1[Ф. И. О.],B110)</f>
        <v>0</v>
      </c>
      <c r="L106" s="202">
        <f>ROUND(I106*J106*K106,2)</f>
        <v>0</v>
      </c>
      <c r="M106" s="202"/>
      <c r="N106" s="202">
        <v>1</v>
      </c>
      <c r="O106" s="202">
        <f>SUMIFS(Data_Tech!$AM$3:$AM$67,Data_Tech!$E$3:$E$67,"1",Data_Tech!$G$3:$G$67,"4/12",Data_Tech!$F$3:$F$67,B110)</f>
        <v>0</v>
      </c>
      <c r="P106" s="28">
        <f>ROUND(M106*O106,2)</f>
        <v>0</v>
      </c>
      <c r="Q106" s="72">
        <f>база!$L$5</f>
        <v>231.45480000000001</v>
      </c>
      <c r="R106" s="250">
        <v>1</v>
      </c>
      <c r="S106" s="92">
        <f>SUMIFS(Таблица1[сумма],Таблица1[коэф],"1",Таблица1[р/р],"4/16",Таблица1[Ф. И. О.],B110)</f>
        <v>0</v>
      </c>
      <c r="T106" s="88">
        <f t="shared" si="56"/>
        <v>0</v>
      </c>
      <c r="U106" s="338">
        <f>база!$M$5</f>
        <v>247.41720000000001</v>
      </c>
      <c r="V106" s="250">
        <v>1</v>
      </c>
      <c r="W106" s="292">
        <f>SUMIFS(Таблица1[сумма],Таблица1[коэф],"1",Таблица1[р/р],"4/24",Таблица1[Ф. И. О.],B110)</f>
        <v>0</v>
      </c>
      <c r="X106" s="291">
        <f t="shared" ref="X106" si="59">ROUND(U106*V106*W106,2)</f>
        <v>0</v>
      </c>
      <c r="Y106" s="803"/>
      <c r="Z106" s="794"/>
      <c r="AA106" s="797"/>
    </row>
    <row r="107" spans="1:29">
      <c r="A107" s="740"/>
      <c r="B107" s="201"/>
      <c r="C107" s="809"/>
      <c r="D107" s="809"/>
      <c r="E107" s="72"/>
      <c r="F107" s="250"/>
      <c r="G107" s="92"/>
      <c r="H107" s="88"/>
      <c r="I107" s="76"/>
      <c r="J107" s="250"/>
      <c r="K107" s="202"/>
      <c r="L107" s="202"/>
      <c r="M107" s="202"/>
      <c r="N107" s="202"/>
      <c r="O107" s="202"/>
      <c r="P107" s="28"/>
      <c r="Q107" s="72">
        <f>база!$L$6</f>
        <v>261.04640000000001</v>
      </c>
      <c r="R107" s="250">
        <v>1</v>
      </c>
      <c r="S107" s="92">
        <f>SUMIFS(Таблица1[сумма],Таблица1[коэф],"1",Таблица1[р/р],"5/16",Таблица1[Ф. И. О.],B110)</f>
        <v>0</v>
      </c>
      <c r="T107" s="88">
        <f t="shared" si="56"/>
        <v>0</v>
      </c>
      <c r="U107" s="338">
        <f>база!$M$6</f>
        <v>279.0496</v>
      </c>
      <c r="V107" s="250">
        <v>1</v>
      </c>
      <c r="W107" s="292">
        <f>SUMIFS(Таблица1[сумма],Таблица1[коэф],"1",Таблица1[р/р],"5/24",Таблица1[Ф. И. О.],B110)</f>
        <v>0</v>
      </c>
      <c r="X107" s="291">
        <f>ROUND(U107*V107*W107,2)</f>
        <v>0</v>
      </c>
      <c r="Y107" s="803"/>
      <c r="Z107" s="794"/>
      <c r="AA107" s="797"/>
    </row>
    <row r="108" spans="1:29">
      <c r="A108" s="740"/>
      <c r="B108" s="201"/>
      <c r="C108" s="809"/>
      <c r="D108" s="809"/>
      <c r="E108" s="72"/>
      <c r="F108" s="250"/>
      <c r="G108" s="92"/>
      <c r="H108" s="88"/>
      <c r="I108" s="76">
        <f>база!$J$5</f>
        <v>215.4924</v>
      </c>
      <c r="J108" s="250">
        <v>1.5</v>
      </c>
      <c r="K108" s="202">
        <f>SUMIFS(Таблица1[сумма],Таблица1[коэф],"1,5",Таблица1[р/р],"4/8",Таблица1[Ф. И. О.],B110)</f>
        <v>0</v>
      </c>
      <c r="L108" s="202">
        <f>ROUND(I108*J108*K108,2)</f>
        <v>0</v>
      </c>
      <c r="M108" s="202"/>
      <c r="N108" s="202"/>
      <c r="O108" s="202"/>
      <c r="P108" s="28"/>
      <c r="Q108" s="72">
        <f>IF(D105&lt;=3,база!$L$4,
IF(D105=4,база!$L$5,
IF(D105=5,база!$L$6)))</f>
        <v>210.57480000000001</v>
      </c>
      <c r="R108" s="250">
        <v>1.2</v>
      </c>
      <c r="S108" s="92">
        <f>SUMIFS(Таблица1[сумма],Таблица1[коэф],"1,2",Таблица1[р/р],"3/16",Таблица1[Ф. И. О.],B110)</f>
        <v>0</v>
      </c>
      <c r="T108" s="88">
        <f t="shared" ref="T108:T109" si="60">ROUND(Q108*R108*S108,2)</f>
        <v>0</v>
      </c>
      <c r="U108" s="338">
        <f>IF(D105&lt;=3,база!$M$4,
IF(D105=4,база!$M$5,
IF(D105=5,база!$M$6)))</f>
        <v>225.09719999999999</v>
      </c>
      <c r="V108" s="250">
        <v>1.2</v>
      </c>
      <c r="W108" s="292">
        <f>SUMIFS(Таблица1[сумма],Таблица1[коэф],"1,2",Таблица1[р/р],"3/24",Таблица1[Ф. И. О.],B110)</f>
        <v>0</v>
      </c>
      <c r="X108" s="291">
        <f t="shared" ref="X108:X109" si="61">ROUND(U108*V108*W108,2)</f>
        <v>0</v>
      </c>
      <c r="Y108" s="803"/>
      <c r="Z108" s="794"/>
      <c r="AA108" s="797"/>
    </row>
    <row r="109" spans="1:29">
      <c r="A109" s="740"/>
      <c r="B109" s="201"/>
      <c r="C109" s="809"/>
      <c r="D109" s="809"/>
      <c r="E109" s="72"/>
      <c r="F109" s="250"/>
      <c r="G109" s="92"/>
      <c r="H109" s="88"/>
      <c r="I109" s="76">
        <f>база!$J$6</f>
        <v>243.04319999999998</v>
      </c>
      <c r="J109" s="250">
        <v>1.5</v>
      </c>
      <c r="K109" s="202">
        <f>SUMIFS(Таблица1[сумма],Таблица1[коэф],"1,5",Таблица1[р/р],"5/8",Таблица1[Ф. И. О.],B110)</f>
        <v>0</v>
      </c>
      <c r="L109" s="202">
        <f>ROUND(I109*J109*K109,2)</f>
        <v>0</v>
      </c>
      <c r="M109" s="202"/>
      <c r="N109" s="202"/>
      <c r="O109" s="202"/>
      <c r="P109" s="28"/>
      <c r="Q109" s="72">
        <f>база!$L$5</f>
        <v>231.45480000000001</v>
      </c>
      <c r="R109" s="250">
        <v>1.2</v>
      </c>
      <c r="S109" s="92">
        <f>SUMIFS(Таблица1[сумма],Таблица1[коэф],"1,2",Таблица1[р/р],"4/16",Таблица1[Ф. И. О.],B110)</f>
        <v>0</v>
      </c>
      <c r="T109" s="88">
        <f t="shared" si="60"/>
        <v>0</v>
      </c>
      <c r="U109" s="338">
        <f>база!$M$5</f>
        <v>247.41720000000001</v>
      </c>
      <c r="V109" s="250">
        <v>1.2</v>
      </c>
      <c r="W109" s="292">
        <f>SUMIFS(Таблица1[сумма],Таблица1[коэф],"1,2",Таблица1[р/р],"4/24",Таблица1[Ф. И. О.],B110)</f>
        <v>0</v>
      </c>
      <c r="X109" s="291">
        <f t="shared" si="61"/>
        <v>0</v>
      </c>
      <c r="Y109" s="803"/>
      <c r="Z109" s="794"/>
      <c r="AA109" s="797"/>
      <c r="AC109" s="688" t="str">
        <f>IF(SUMIFS(Таблица1[Столбец2],Таблица1[Ф. И. О.],B110)-Z105=0,"",SUMIFS(Таблица1[Столбец2],Таблица1[Ф. И. О.],B110)-Z105)</f>
        <v/>
      </c>
    </row>
    <row r="110" spans="1:29" ht="24" thickBot="1">
      <c r="A110" s="740"/>
      <c r="B110" s="201" t="str">
        <f>база!B11</f>
        <v>Боровик Елена Владимировна</v>
      </c>
      <c r="C110" s="809"/>
      <c r="D110" s="809"/>
      <c r="E110" s="72"/>
      <c r="F110" s="250"/>
      <c r="G110" s="92"/>
      <c r="H110" s="88"/>
      <c r="I110" s="76"/>
      <c r="J110" s="250"/>
      <c r="K110" s="202"/>
      <c r="L110" s="202"/>
      <c r="M110" s="202"/>
      <c r="N110" s="202"/>
      <c r="O110" s="202"/>
      <c r="P110" s="28"/>
      <c r="Q110" s="72">
        <f>база!$L$6</f>
        <v>261.04640000000001</v>
      </c>
      <c r="R110" s="250">
        <v>1.2</v>
      </c>
      <c r="S110" s="92">
        <f>SUMIFS(Таблица1[сумма],Таблица1[коэф],"1,2",Таблица1[р/р],"5/16",Таблица1[Ф. И. О.],B110)</f>
        <v>0</v>
      </c>
      <c r="T110" s="88">
        <f>ROUND(Q110*R110*S110,2)</f>
        <v>0</v>
      </c>
      <c r="U110" s="338">
        <f>база!$M$6</f>
        <v>279.0496</v>
      </c>
      <c r="V110" s="250">
        <v>1.2</v>
      </c>
      <c r="W110" s="292">
        <f>SUMIFS(Таблица1[сумма],Таблица1[коэф],"1,2",Таблица1[р/р],"5/24",Таблица1[Ф. И. О.],B110)</f>
        <v>0</v>
      </c>
      <c r="X110" s="291">
        <f>ROUND(U110*V110*W110,2)</f>
        <v>0</v>
      </c>
      <c r="Y110" s="803"/>
      <c r="Z110" s="794"/>
      <c r="AA110" s="797"/>
      <c r="AC110" s="688" t="str">
        <f>IF(SUMIFS(Таблица1[сумма],Таблица1[Ф. И. О.],B110)=Y105,"",B105&amp;"  часы не верны")</f>
        <v/>
      </c>
    </row>
    <row r="111" spans="1:29" ht="24" thickBot="1">
      <c r="A111" s="740"/>
      <c r="B111" s="201"/>
      <c r="C111" s="809"/>
      <c r="D111" s="809"/>
      <c r="E111" s="72"/>
      <c r="F111" s="250"/>
      <c r="G111" s="92"/>
      <c r="H111" s="88"/>
      <c r="I111" s="76"/>
      <c r="J111" s="250"/>
      <c r="K111" s="202"/>
      <c r="L111" s="202"/>
      <c r="M111" s="202"/>
      <c r="N111" s="202"/>
      <c r="O111" s="202"/>
      <c r="P111" s="28"/>
      <c r="Q111" s="72">
        <f>IF($D$6&lt;=3,база!$L$4,
IF($D$6=4,база!$L$5,
IF($D$6=5,база!$L$6)))</f>
        <v>231.45480000000001</v>
      </c>
      <c r="R111" s="250">
        <v>1.3</v>
      </c>
      <c r="S111" s="92">
        <f>SUMIFS(Таблица1[сумма],Таблица1[коэф],"1,3",Таблица1[р/р],"3/16",Таблица1[Ф. И. О.],B110)</f>
        <v>0</v>
      </c>
      <c r="T111" s="88">
        <f t="shared" ref="T111:T112" si="62">ROUND(Q111*R111*S111,2)</f>
        <v>0</v>
      </c>
      <c r="U111" s="338">
        <f>IF(D105&lt;=3,база!$M$4,
IF(D105=4,база!$M$5,
IF(D105=5,база!$M$6)))</f>
        <v>225.09719999999999</v>
      </c>
      <c r="V111" s="250">
        <v>1.3</v>
      </c>
      <c r="W111" s="292">
        <f>SUMIFS(Таблица1[сумма],Таблица1[коэф],"1,3",Таблица1[р/р],"3/24",Таблица1[Ф. И. О.],B110)</f>
        <v>0</v>
      </c>
      <c r="X111" s="291">
        <f t="shared" ref="X111:X112" si="63">ROUND(U111*V111*W111,2)</f>
        <v>0</v>
      </c>
      <c r="Y111" s="803"/>
      <c r="Z111" s="794"/>
      <c r="AA111" s="797"/>
    </row>
    <row r="112" spans="1:29" ht="24" thickBot="1">
      <c r="A112" s="740"/>
      <c r="B112" s="201"/>
      <c r="C112" s="809"/>
      <c r="D112" s="809"/>
      <c r="E112" s="72"/>
      <c r="F112" s="250"/>
      <c r="G112" s="92"/>
      <c r="H112" s="88"/>
      <c r="I112" s="76"/>
      <c r="J112" s="250"/>
      <c r="K112" s="202"/>
      <c r="L112" s="202"/>
      <c r="M112" s="202"/>
      <c r="N112" s="202"/>
      <c r="O112" s="202"/>
      <c r="P112" s="28"/>
      <c r="Q112" s="72">
        <f>база!$L$5</f>
        <v>231.45480000000001</v>
      </c>
      <c r="R112" s="250">
        <v>1.3</v>
      </c>
      <c r="S112" s="92">
        <f>SUMIFS(Таблица1[сумма],Таблица1[коэф],"1,3",Таблица1[р/р],"4/16",Таблица1[Ф. И. О.],B110)</f>
        <v>0</v>
      </c>
      <c r="T112" s="88">
        <f t="shared" si="62"/>
        <v>0</v>
      </c>
      <c r="U112" s="338">
        <f>база!$M$5</f>
        <v>247.41720000000001</v>
      </c>
      <c r="V112" s="250">
        <v>1.3</v>
      </c>
      <c r="W112" s="292">
        <f>SUMIFS(Таблица1[сумма],Таблица1[коэф],"1,3",Таблица1[р/р],"4/24",Таблица1[Ф. И. О.],B110)</f>
        <v>0</v>
      </c>
      <c r="X112" s="291">
        <f t="shared" si="63"/>
        <v>0</v>
      </c>
      <c r="Y112" s="803"/>
      <c r="Z112" s="794"/>
      <c r="AA112" s="797"/>
    </row>
    <row r="113" spans="1:29" ht="24" thickBot="1">
      <c r="A113" s="740"/>
      <c r="B113" s="201"/>
      <c r="C113" s="809"/>
      <c r="D113" s="809"/>
      <c r="E113" s="72"/>
      <c r="F113" s="250"/>
      <c r="G113" s="92"/>
      <c r="H113" s="88"/>
      <c r="I113" s="76"/>
      <c r="J113" s="250"/>
      <c r="K113" s="202"/>
      <c r="L113" s="202"/>
      <c r="M113" s="202"/>
      <c r="N113" s="202"/>
      <c r="O113" s="202"/>
      <c r="P113" s="28"/>
      <c r="Q113" s="72">
        <f>IF(D105&lt;=3,база!$L$4,
IF(D105=4,база!$L$5,
IF(D105=5,база!$L$6)))</f>
        <v>210.57480000000001</v>
      </c>
      <c r="R113" s="250">
        <v>1.4</v>
      </c>
      <c r="S113" s="92">
        <f>SUMIFS(Таблица1[сумма],Таблица1[коэф],"1,4",Таблица1[р/р],"3/16",Таблица1[Ф. И. О.],B110)</f>
        <v>0</v>
      </c>
      <c r="T113" s="88">
        <f t="shared" ref="T113:T118" si="64">ROUND(Q113*R113*S113,2)</f>
        <v>0</v>
      </c>
      <c r="U113" s="338">
        <f>IF(D105&lt;=3,база!$M$4,
IF(D105=4,база!$M$5,
IF(D105=5,база!$M$6)))</f>
        <v>225.09719999999999</v>
      </c>
      <c r="V113" s="250">
        <v>1.4</v>
      </c>
      <c r="W113" s="292">
        <f>SUMIFS(Таблица1[сумма],Таблица1[коэф],"1,4",Таблица1[р/р],"3/24",Таблица1[Ф. И. О.],B110)</f>
        <v>0</v>
      </c>
      <c r="X113" s="291">
        <f>ROUND(U113*V113*W113,2)</f>
        <v>0</v>
      </c>
      <c r="Y113" s="803"/>
      <c r="Z113" s="794"/>
      <c r="AA113" s="797"/>
    </row>
    <row r="114" spans="1:29" ht="24" thickBot="1">
      <c r="A114" s="740"/>
      <c r="B114" s="201"/>
      <c r="C114" s="809"/>
      <c r="D114" s="809"/>
      <c r="E114" s="72"/>
      <c r="F114" s="250"/>
      <c r="G114" s="92"/>
      <c r="H114" s="88"/>
      <c r="I114" s="76"/>
      <c r="J114" s="250"/>
      <c r="K114" s="202"/>
      <c r="L114" s="202"/>
      <c r="M114" s="202"/>
      <c r="N114" s="202"/>
      <c r="O114" s="202"/>
      <c r="P114" s="28"/>
      <c r="Q114" s="72">
        <f>база!$L$5</f>
        <v>231.45480000000001</v>
      </c>
      <c r="R114" s="250">
        <v>1.4</v>
      </c>
      <c r="S114" s="92">
        <f>SUMIFS(Таблица1[сумма],Таблица1[коэф],"1,4",Таблица1[р/р],"4/16",Таблица1[Ф. И. О.],B110)</f>
        <v>0</v>
      </c>
      <c r="T114" s="88">
        <f t="shared" si="64"/>
        <v>0</v>
      </c>
      <c r="U114" s="338">
        <f>база!$M$5</f>
        <v>247.41720000000001</v>
      </c>
      <c r="V114" s="250">
        <v>1.4</v>
      </c>
      <c r="W114" s="292">
        <f>SUMIFS(Таблица1[сумма],Таблица1[коэф],"1,4",Таблица1[р/р],"4/24",Таблица1[Ф. И. О.],B110)</f>
        <v>0</v>
      </c>
      <c r="X114" s="291">
        <f>ROUND(U114*V114*W114,2)</f>
        <v>0</v>
      </c>
      <c r="Y114" s="803"/>
      <c r="Z114" s="794"/>
      <c r="AA114" s="797"/>
    </row>
    <row r="115" spans="1:29" ht="24" thickBot="1">
      <c r="A115" s="741"/>
      <c r="B115" s="188"/>
      <c r="C115" s="810"/>
      <c r="D115" s="810"/>
      <c r="E115" s="95"/>
      <c r="F115" s="252"/>
      <c r="G115" s="91"/>
      <c r="H115" s="84"/>
      <c r="I115" s="206"/>
      <c r="J115" s="252"/>
      <c r="K115" s="267"/>
      <c r="L115" s="267"/>
      <c r="M115" s="267"/>
      <c r="N115" s="267"/>
      <c r="O115" s="267"/>
      <c r="P115" s="293"/>
      <c r="Q115" s="95">
        <f>база!$L$6</f>
        <v>261.04640000000001</v>
      </c>
      <c r="R115" s="252">
        <v>1.4</v>
      </c>
      <c r="S115" s="91">
        <f>SUMIFS(Таблица1[сумма],Таблица1[коэф],"1,4",Таблица1[р/р],"5/16",Таблица1[Ф. И. О.],B110)</f>
        <v>0</v>
      </c>
      <c r="T115" s="84">
        <f t="shared" si="64"/>
        <v>0</v>
      </c>
      <c r="U115" s="341">
        <f>база!$M$6</f>
        <v>279.0496</v>
      </c>
      <c r="V115" s="252">
        <v>1.4</v>
      </c>
      <c r="W115" s="324">
        <f>SUMIFS(Таблица1[сумма],Таблица1[коэф],"1,4",Таблица1[р/р],"5/24",Таблица1[Ф. И. О.],B110)</f>
        <v>0</v>
      </c>
      <c r="X115" s="320">
        <f>ROUND(U115*V115*W115,2)</f>
        <v>0</v>
      </c>
      <c r="Y115" s="804"/>
      <c r="Z115" s="795"/>
      <c r="AA115" s="798"/>
    </row>
    <row r="116" spans="1:29">
      <c r="A116" s="739">
        <v>11</v>
      </c>
      <c r="B116" s="201"/>
      <c r="C116" s="805">
        <f>INDEX(база!$E$2:$E$81, MATCH(B121,база!$B$2:$B$50,0))</f>
        <v>16250</v>
      </c>
      <c r="D116" s="806">
        <f>INDEX(база!$D$2:$D$89, MATCH(B121,база!$B$2:$B$50,0))</f>
        <v>3</v>
      </c>
      <c r="E116" s="75">
        <f>IF(D116&lt;=3,база!$I$4,
IF(D116=4,база!$I$5,
IF(D116=5,база!$I$6)))</f>
        <v>188.7912</v>
      </c>
      <c r="F116" s="249">
        <v>1</v>
      </c>
      <c r="G116" s="90">
        <f>SUMIFS(Таблица1[сумма],Таблица1[коэф],"1",Таблица1[р/р],"2/4",Таблица1[Ф. И. О.],B121)</f>
        <v>0</v>
      </c>
      <c r="H116" s="289">
        <f>ROUND(E116*F116*G116,2)</f>
        <v>0</v>
      </c>
      <c r="I116" s="66">
        <f>IF(D116&lt;=3,база!$J$4,
IF(D116=4,база!$J$5,
IF(D116=5,база!$J$6)))</f>
        <v>196.05240000000001</v>
      </c>
      <c r="J116" s="248">
        <v>1</v>
      </c>
      <c r="K116" s="266">
        <f>SUMIFS(Таблица1[сумма],Таблица1[коэф],"1",Таблица1[р/р],"2/8",Таблица1[Ф. И. О.],B121)</f>
        <v>0</v>
      </c>
      <c r="L116" s="266">
        <f>ROUND(I116*J116*K116,2)</f>
        <v>0</v>
      </c>
      <c r="M116" s="266"/>
      <c r="N116" s="266">
        <v>1</v>
      </c>
      <c r="O116" s="266">
        <f>SUMIFS(Data_Tech!$AM$3:$AM$67,Data_Tech!$E$3:$E$67,"1",Data_Tech!$G$3:$G$67,"3/12",Data_Tech!$F$3:$F$67,B121)</f>
        <v>0</v>
      </c>
      <c r="P116" s="26">
        <f>ROUND(M116*N116*O116,2)</f>
        <v>0</v>
      </c>
      <c r="Q116" s="68">
        <f>IF(D116&lt;=3,база!$L$4,
IF(D116=4,база!$L$5,
IF(D116=5,база!$L$6)))</f>
        <v>210.57480000000001</v>
      </c>
      <c r="R116" s="249">
        <v>1</v>
      </c>
      <c r="S116" s="90">
        <f>SUMIFS(Таблица1[сумма],Таблица1[коэф],"1",Таблица1[р/р],"3/16",Таблица1[Ф. И. О.],B121)</f>
        <v>0</v>
      </c>
      <c r="T116" s="289">
        <f t="shared" si="64"/>
        <v>0</v>
      </c>
      <c r="U116" s="342">
        <f>IF(D116&lt;=3,база!$M$4,
IF(D116=4,база!$M$5,
IF(D116=5,база!$M$6)))</f>
        <v>225.09719999999999</v>
      </c>
      <c r="V116" s="248">
        <v>1</v>
      </c>
      <c r="W116" s="317">
        <f>SUMIFS(Таблица1[сумма],Таблица1[коэф],"1",Таблица1[р/р],"3/24",Таблица1[Ф. И. О.],B121)</f>
        <v>0</v>
      </c>
      <c r="X116" s="319">
        <f>ROUND(U116*V116*W116,2)</f>
        <v>0</v>
      </c>
      <c r="Y116" s="803">
        <f t="shared" ref="Y116" si="65">SUM(G116:G126,K116:K126,O116:O126,S116:S126,W116:W126)</f>
        <v>0</v>
      </c>
      <c r="Z116" s="794">
        <f t="shared" ref="Z116" si="66">IFERROR(SUM(H116:H126,L116:L126,T116:T126,X116:X126),"")</f>
        <v>0</v>
      </c>
      <c r="AA116" s="797"/>
    </row>
    <row r="117" spans="1:29">
      <c r="A117" s="740"/>
      <c r="B117" s="201"/>
      <c r="C117" s="799"/>
      <c r="D117" s="801"/>
      <c r="E117" s="76">
        <f>IF(D116&lt;=3,база!$I$4,
IF(D116=4,база!$I$5,
IF(D116=5,база!$I$6)))</f>
        <v>188.7912</v>
      </c>
      <c r="F117" s="250">
        <v>1</v>
      </c>
      <c r="G117" s="92">
        <f>SUMIFS(Таблица1[сумма],Таблица1[коэф],"1",Таблица1[р/р],"3/4",Таблица1[Ф. И. О.],B121)</f>
        <v>0</v>
      </c>
      <c r="H117" s="86">
        <f>ROUND(E117*F117*G117,2)</f>
        <v>0</v>
      </c>
      <c r="I117" s="72">
        <f>IF(D116&lt;=3,база!$J$4,
IF(D116=4,база!$J$5,
IF(D116=5,база!$J$6)))</f>
        <v>196.05240000000001</v>
      </c>
      <c r="J117" s="250">
        <v>1</v>
      </c>
      <c r="K117" s="202">
        <f>SUMIFS(Таблица1[сумма],Таблица1[коэф],"1",Таблица1[р/р],"3/8",Таблица1[Ф. И. О.],B121)</f>
        <v>0</v>
      </c>
      <c r="L117" s="202">
        <f>ROUND(I117*J117*K117,2)</f>
        <v>0</v>
      </c>
      <c r="M117" s="202"/>
      <c r="N117" s="202">
        <v>1</v>
      </c>
      <c r="O117" s="202">
        <f>SUMIFS(Data_Tech!$AM$3:$AM$67,Data_Tech!$E$3:$E$67,"1",Data_Tech!$G$3:$G$67,"4/12",Data_Tech!$F$3:$F$67,B121)</f>
        <v>0</v>
      </c>
      <c r="P117" s="27">
        <f>ROUND(M117*O117,2)</f>
        <v>0</v>
      </c>
      <c r="Q117" s="72">
        <f>база!$L$5</f>
        <v>231.45480000000001</v>
      </c>
      <c r="R117" s="250">
        <v>1</v>
      </c>
      <c r="S117" s="92">
        <f>SUMIFS(Таблица1[сумма],Таблица1[коэф],"1",Таблица1[р/р],"4/16",Таблица1[Ф. И. О.],B121)</f>
        <v>0</v>
      </c>
      <c r="T117" s="86">
        <f t="shared" si="64"/>
        <v>0</v>
      </c>
      <c r="U117" s="343">
        <f>база!$M$5</f>
        <v>247.41720000000001</v>
      </c>
      <c r="V117" s="250">
        <v>1</v>
      </c>
      <c r="W117" s="285">
        <f>SUMIFS(Таблица1[сумма],Таблица1[коэф],"1",Таблица1[р/р],"4/24",Таблица1[Ф. И. О.],B121)</f>
        <v>0</v>
      </c>
      <c r="X117" s="291">
        <f t="shared" ref="X117" si="67">ROUND(U117*V117*W117,2)</f>
        <v>0</v>
      </c>
      <c r="Y117" s="803"/>
      <c r="Z117" s="794"/>
      <c r="AA117" s="797"/>
    </row>
    <row r="118" spans="1:29" ht="24" thickBot="1">
      <c r="A118" s="740"/>
      <c r="B118" s="201"/>
      <c r="C118" s="799"/>
      <c r="D118" s="801"/>
      <c r="E118" s="76"/>
      <c r="F118" s="250"/>
      <c r="G118" s="92"/>
      <c r="H118" s="86"/>
      <c r="I118" s="72"/>
      <c r="J118" s="250"/>
      <c r="K118" s="202"/>
      <c r="L118" s="202"/>
      <c r="M118" s="202"/>
      <c r="N118" s="202"/>
      <c r="O118" s="202"/>
      <c r="P118" s="27"/>
      <c r="Q118" s="72">
        <f>база!$L$6</f>
        <v>261.04640000000001</v>
      </c>
      <c r="R118" s="250">
        <v>1</v>
      </c>
      <c r="S118" s="92">
        <f>SUMIFS(Таблица1[сумма],Таблица1[коэф],"1",Таблица1[р/р],"5/16",Таблица1[Ф. И. О.],B121)</f>
        <v>0</v>
      </c>
      <c r="T118" s="86">
        <f t="shared" si="64"/>
        <v>0</v>
      </c>
      <c r="U118" s="343">
        <f>база!$M$6</f>
        <v>279.0496</v>
      </c>
      <c r="V118" s="250">
        <v>1</v>
      </c>
      <c r="W118" s="285">
        <f>SUMIFS(Таблица1[сумма],Таблица1[коэф],"1",Таблица1[р/р],"5/24",Таблица1[Ф. И. О.],B121)</f>
        <v>0</v>
      </c>
      <c r="X118" s="291">
        <f>ROUND(U118*V118*W118,2)</f>
        <v>0</v>
      </c>
      <c r="Y118" s="803"/>
      <c r="Z118" s="794"/>
      <c r="AA118" s="797"/>
    </row>
    <row r="119" spans="1:29" ht="24" thickBot="1">
      <c r="A119" s="740"/>
      <c r="B119" s="201"/>
      <c r="C119" s="799"/>
      <c r="D119" s="801"/>
      <c r="E119" s="76"/>
      <c r="F119" s="250"/>
      <c r="G119" s="92"/>
      <c r="H119" s="86"/>
      <c r="I119" s="72">
        <f>база!$J$5</f>
        <v>215.4924</v>
      </c>
      <c r="J119" s="250">
        <v>1.5</v>
      </c>
      <c r="K119" s="202">
        <f>SUMIFS(Таблица1[сумма],Таблица1[коэф],"1,5",Таблица1[р/р],"4/8",Таблица1[Ф. И. О.],B121)</f>
        <v>0</v>
      </c>
      <c r="L119" s="202">
        <f>ROUND(I119*J119*K119,2)</f>
        <v>0</v>
      </c>
      <c r="M119" s="202"/>
      <c r="N119" s="202"/>
      <c r="O119" s="202"/>
      <c r="P119" s="27"/>
      <c r="Q119" s="72">
        <f>IF(D116&lt;=3,база!$L$4,
IF(D116=4,база!$L$5,
IF(D116=5,база!$L$6)))</f>
        <v>210.57480000000001</v>
      </c>
      <c r="R119" s="250">
        <v>1.2</v>
      </c>
      <c r="S119" s="92">
        <f>SUMIFS(Таблица1[сумма],Таблица1[коэф],"1,2",Таблица1[р/р],"3/16",Таблица1[Ф. И. О.],B121)</f>
        <v>0</v>
      </c>
      <c r="T119" s="86">
        <f t="shared" ref="T119:T120" si="68">ROUND(Q119*R119*S119,2)</f>
        <v>0</v>
      </c>
      <c r="U119" s="343">
        <f>IF(D116&lt;=3,база!$M$4,
IF(D116=4,база!$M$5,
IF(D116=5,база!$M$6)))</f>
        <v>225.09719999999999</v>
      </c>
      <c r="V119" s="250">
        <v>1.2</v>
      </c>
      <c r="W119" s="285">
        <f>SUMIFS(Таблица1[сумма],Таблица1[коэф],"1,2",Таблица1[р/р],"3/24",Таблица1[Ф. И. О.],B121)</f>
        <v>0</v>
      </c>
      <c r="X119" s="291">
        <f t="shared" ref="X119:X120" si="69">ROUND(U119*V119*W119,2)</f>
        <v>0</v>
      </c>
      <c r="Y119" s="803"/>
      <c r="Z119" s="794"/>
      <c r="AA119" s="797"/>
    </row>
    <row r="120" spans="1:29" ht="24" thickBot="1">
      <c r="A120" s="740"/>
      <c r="B120" s="201"/>
      <c r="C120" s="799"/>
      <c r="D120" s="801"/>
      <c r="E120" s="76"/>
      <c r="F120" s="250"/>
      <c r="G120" s="92"/>
      <c r="H120" s="86"/>
      <c r="I120" s="72">
        <f>база!$J$6</f>
        <v>243.04319999999998</v>
      </c>
      <c r="J120" s="250">
        <v>1.5</v>
      </c>
      <c r="K120" s="202">
        <f>SUMIFS(Таблица1[сумма],Таблица1[коэф],"1,5",Таблица1[р/р],"5/8",Таблица1[Ф. И. О.],B121)</f>
        <v>0</v>
      </c>
      <c r="L120" s="202">
        <f>ROUND(I120*J120*K120,2)</f>
        <v>0</v>
      </c>
      <c r="M120" s="202"/>
      <c r="N120" s="202"/>
      <c r="O120" s="202"/>
      <c r="P120" s="27"/>
      <c r="Q120" s="72">
        <f>база!$L$5</f>
        <v>231.45480000000001</v>
      </c>
      <c r="R120" s="250">
        <v>1.2</v>
      </c>
      <c r="S120" s="92">
        <f>SUMIFS(Таблица1[сумма],Таблица1[коэф],"1,2",Таблица1[р/р],"4/16",Таблица1[Ф. И. О.],B121)</f>
        <v>0</v>
      </c>
      <c r="T120" s="86">
        <f t="shared" si="68"/>
        <v>0</v>
      </c>
      <c r="U120" s="343">
        <f>база!$M$5</f>
        <v>247.41720000000001</v>
      </c>
      <c r="V120" s="250">
        <v>1.2</v>
      </c>
      <c r="W120" s="285">
        <f>SUMIFS(Таблица1[сумма],Таблица1[коэф],"1,2",Таблица1[р/р],"4/24",Таблица1[Ф. И. О.],B121)</f>
        <v>0</v>
      </c>
      <c r="X120" s="291">
        <f t="shared" si="69"/>
        <v>0</v>
      </c>
      <c r="Y120" s="803"/>
      <c r="Z120" s="794"/>
      <c r="AA120" s="797"/>
      <c r="AC120" s="688" t="str">
        <f>IF(SUMIFS(Таблица1[Столбец2],Таблица1[Ф. И. О.],B121)-Z116=0,"",SUMIFS(Таблица1[Столбец2],Таблица1[Ф. И. О.],B121)-Z116)</f>
        <v/>
      </c>
    </row>
    <row r="121" spans="1:29" ht="24" thickBot="1">
      <c r="A121" s="740"/>
      <c r="B121" s="201" t="str">
        <f>база!B12</f>
        <v>Бородицкая Ирина Борисовна</v>
      </c>
      <c r="C121" s="799"/>
      <c r="D121" s="801"/>
      <c r="E121" s="76"/>
      <c r="F121" s="250"/>
      <c r="G121" s="92"/>
      <c r="H121" s="86"/>
      <c r="I121" s="72"/>
      <c r="J121" s="250"/>
      <c r="K121" s="202"/>
      <c r="L121" s="202"/>
      <c r="M121" s="202"/>
      <c r="N121" s="202"/>
      <c r="O121" s="202"/>
      <c r="P121" s="27"/>
      <c r="Q121" s="72">
        <f>база!$L$6</f>
        <v>261.04640000000001</v>
      </c>
      <c r="R121" s="250">
        <v>1.2</v>
      </c>
      <c r="S121" s="92">
        <f>SUMIFS(Таблица1[сумма],Таблица1[коэф],"1,2",Таблица1[р/р],"5/16",Таблица1[Ф. И. О.],B121)</f>
        <v>0</v>
      </c>
      <c r="T121" s="86">
        <f>ROUND(Q121*R121*S121,2)</f>
        <v>0</v>
      </c>
      <c r="U121" s="343">
        <f>база!$M$6</f>
        <v>279.0496</v>
      </c>
      <c r="V121" s="250">
        <v>1.2</v>
      </c>
      <c r="W121" s="285">
        <f>SUMIFS(Таблица1[сумма],Таблица1[коэф],"1,2",Таблица1[р/р],"5/24",Таблица1[Ф. И. О.],B121)</f>
        <v>0</v>
      </c>
      <c r="X121" s="291">
        <f>ROUND(U121*V121*W121,2)</f>
        <v>0</v>
      </c>
      <c r="Y121" s="803"/>
      <c r="Z121" s="794"/>
      <c r="AA121" s="797"/>
      <c r="AC121" s="688" t="str">
        <f>IF(SUMIFS(Таблица1[сумма],Таблица1[Ф. И. О.],B121)=Y116,"",B116&amp;"  часы не верны")</f>
        <v/>
      </c>
    </row>
    <row r="122" spans="1:29" ht="24" thickBot="1">
      <c r="A122" s="740"/>
      <c r="B122" s="201"/>
      <c r="C122" s="799"/>
      <c r="D122" s="801"/>
      <c r="E122" s="76"/>
      <c r="F122" s="250"/>
      <c r="G122" s="92"/>
      <c r="H122" s="86"/>
      <c r="I122" s="72"/>
      <c r="J122" s="250"/>
      <c r="K122" s="202"/>
      <c r="L122" s="202"/>
      <c r="M122" s="202"/>
      <c r="N122" s="202"/>
      <c r="O122" s="202"/>
      <c r="P122" s="27"/>
      <c r="Q122" s="72">
        <f>IF($D$6&lt;=3,база!$L$4,
IF($D$6=4,база!$L$5,
IF($D$6=5,база!$L$6)))</f>
        <v>231.45480000000001</v>
      </c>
      <c r="R122" s="250">
        <v>1.3</v>
      </c>
      <c r="S122" s="92">
        <f>SUMIFS(Таблица1[сумма],Таблица1[коэф],"1,3",Таблица1[р/р],"3/16",Таблица1[Ф. И. О.],B121)</f>
        <v>0</v>
      </c>
      <c r="T122" s="86">
        <f t="shared" ref="T122:T123" si="70">ROUND(Q122*R122*S122,2)</f>
        <v>0</v>
      </c>
      <c r="U122" s="343">
        <f>IF(D116&lt;=3,база!$M$4,
IF(D116=4,база!$M$5,
IF(D116=5,база!$M$6)))</f>
        <v>225.09719999999999</v>
      </c>
      <c r="V122" s="250">
        <v>1.3</v>
      </c>
      <c r="W122" s="285">
        <f>SUMIFS(Таблица1[сумма],Таблица1[коэф],"1,3",Таблица1[р/р],"3/24",Таблица1[Ф. И. О.],B121)</f>
        <v>0</v>
      </c>
      <c r="X122" s="291">
        <f t="shared" ref="X122:X123" si="71">ROUND(U122*V122*W122,2)</f>
        <v>0</v>
      </c>
      <c r="Y122" s="803"/>
      <c r="Z122" s="794"/>
      <c r="AA122" s="797"/>
    </row>
    <row r="123" spans="1:29" ht="24" thickBot="1">
      <c r="A123" s="740"/>
      <c r="B123" s="201"/>
      <c r="C123" s="799"/>
      <c r="D123" s="801"/>
      <c r="E123" s="76"/>
      <c r="F123" s="250"/>
      <c r="G123" s="92"/>
      <c r="H123" s="86"/>
      <c r="I123" s="72"/>
      <c r="J123" s="250"/>
      <c r="K123" s="202"/>
      <c r="L123" s="202"/>
      <c r="M123" s="202"/>
      <c r="N123" s="202"/>
      <c r="O123" s="202"/>
      <c r="P123" s="27"/>
      <c r="Q123" s="72">
        <f>база!$L$5</f>
        <v>231.45480000000001</v>
      </c>
      <c r="R123" s="250">
        <v>1.3</v>
      </c>
      <c r="S123" s="92">
        <f>SUMIFS(Таблица1[сумма],Таблица1[коэф],"1,3",Таблица1[р/р],"4/16",Таблица1[Ф. И. О.],B121)</f>
        <v>0</v>
      </c>
      <c r="T123" s="86">
        <f t="shared" si="70"/>
        <v>0</v>
      </c>
      <c r="U123" s="343">
        <f>база!$M$5</f>
        <v>247.41720000000001</v>
      </c>
      <c r="V123" s="250">
        <v>1.3</v>
      </c>
      <c r="W123" s="285">
        <f>SUMIFS(Таблица1[сумма],Таблица1[коэф],"1,3",Таблица1[р/р],"4/24",Таблица1[Ф. И. О.],B121)</f>
        <v>0</v>
      </c>
      <c r="X123" s="291">
        <f t="shared" si="71"/>
        <v>0</v>
      </c>
      <c r="Y123" s="803"/>
      <c r="Z123" s="794"/>
      <c r="AA123" s="797"/>
    </row>
    <row r="124" spans="1:29" ht="24" thickBot="1">
      <c r="A124" s="740"/>
      <c r="B124" s="201"/>
      <c r="C124" s="799"/>
      <c r="D124" s="801"/>
      <c r="E124" s="76"/>
      <c r="F124" s="250"/>
      <c r="G124" s="92"/>
      <c r="H124" s="86"/>
      <c r="I124" s="72"/>
      <c r="J124" s="250"/>
      <c r="K124" s="202"/>
      <c r="L124" s="202"/>
      <c r="M124" s="202"/>
      <c r="N124" s="202"/>
      <c r="O124" s="202"/>
      <c r="P124" s="27"/>
      <c r="Q124" s="72">
        <f>IF(D116&lt;=3,база!$L$4,
IF(D116=4,база!$L$5,
IF(D116=5,база!$L$6)))</f>
        <v>210.57480000000001</v>
      </c>
      <c r="R124" s="250">
        <v>1.4</v>
      </c>
      <c r="S124" s="92">
        <f>SUMIFS(Таблица1[сумма],Таблица1[коэф],"1,4",Таблица1[р/р],"3/16",Таблица1[Ф. И. О.],B121)</f>
        <v>0</v>
      </c>
      <c r="T124" s="86">
        <f t="shared" ref="T124:T129" si="72">ROUND(Q124*R124*S124,2)</f>
        <v>0</v>
      </c>
      <c r="U124" s="343">
        <f>IF(D116&lt;=3,база!$M$4,
IF(D116=4,база!$M$5,
IF(D116=5,база!$M$6)))</f>
        <v>225.09719999999999</v>
      </c>
      <c r="V124" s="250">
        <v>1.4</v>
      </c>
      <c r="W124" s="285">
        <f>SUMIFS(Таблица1[сумма],Таблица1[коэф],"1,4",Таблица1[р/р],"3/24",Таблица1[Ф. И. О.],B121)</f>
        <v>0</v>
      </c>
      <c r="X124" s="291">
        <f>ROUND(U124*V124*W124,2)</f>
        <v>0</v>
      </c>
      <c r="Y124" s="803"/>
      <c r="Z124" s="794"/>
      <c r="AA124" s="797"/>
    </row>
    <row r="125" spans="1:29" ht="24" thickBot="1">
      <c r="A125" s="740"/>
      <c r="B125" s="201"/>
      <c r="C125" s="799"/>
      <c r="D125" s="801"/>
      <c r="E125" s="76"/>
      <c r="F125" s="250"/>
      <c r="G125" s="92"/>
      <c r="H125" s="86"/>
      <c r="I125" s="72"/>
      <c r="J125" s="250"/>
      <c r="K125" s="202"/>
      <c r="L125" s="202"/>
      <c r="M125" s="202"/>
      <c r="N125" s="202"/>
      <c r="O125" s="202"/>
      <c r="P125" s="27"/>
      <c r="Q125" s="72">
        <f>база!$L$5</f>
        <v>231.45480000000001</v>
      </c>
      <c r="R125" s="250">
        <v>1.4</v>
      </c>
      <c r="S125" s="92">
        <f>SUMIFS(Таблица1[сумма],Таблица1[коэф],"1,4",Таблица1[р/р],"4/16",Таблица1[Ф. И. О.],B121)</f>
        <v>0</v>
      </c>
      <c r="T125" s="86">
        <f t="shared" si="72"/>
        <v>0</v>
      </c>
      <c r="U125" s="343">
        <f>база!$M$5</f>
        <v>247.41720000000001</v>
      </c>
      <c r="V125" s="250">
        <v>1.4</v>
      </c>
      <c r="W125" s="285">
        <f>SUMIFS(Таблица1[сумма],Таблица1[коэф],"1,4",Таблица1[р/р],"4/24",Таблица1[Ф. И. О.],B121)</f>
        <v>0</v>
      </c>
      <c r="X125" s="291">
        <f>ROUND(U125*V125*W125,2)</f>
        <v>0</v>
      </c>
      <c r="Y125" s="803"/>
      <c r="Z125" s="794"/>
      <c r="AA125" s="797"/>
    </row>
    <row r="126" spans="1:29" ht="24" thickBot="1">
      <c r="A126" s="741"/>
      <c r="B126" s="201"/>
      <c r="C126" s="800"/>
      <c r="D126" s="802"/>
      <c r="E126" s="281"/>
      <c r="F126" s="253"/>
      <c r="G126" s="98"/>
      <c r="H126" s="294"/>
      <c r="I126" s="203"/>
      <c r="J126" s="253"/>
      <c r="K126" s="280"/>
      <c r="L126" s="280"/>
      <c r="M126" s="280"/>
      <c r="N126" s="280"/>
      <c r="O126" s="280"/>
      <c r="P126" s="205"/>
      <c r="Q126" s="203">
        <f>база!$L$6</f>
        <v>261.04640000000001</v>
      </c>
      <c r="R126" s="253">
        <v>1.4</v>
      </c>
      <c r="S126" s="98">
        <f>SUMIFS(Таблица1[сумма],Таблица1[коэф],"1,4",Таблица1[р/р],"5/16",Таблица1[Ф. И. О.],B121)</f>
        <v>0</v>
      </c>
      <c r="T126" s="294">
        <f t="shared" si="72"/>
        <v>0</v>
      </c>
      <c r="U126" s="346">
        <f>база!$M$6</f>
        <v>279.0496</v>
      </c>
      <c r="V126" s="253">
        <v>1.4</v>
      </c>
      <c r="W126" s="310">
        <f>SUMIFS(Таблица1[сумма],Таблица1[коэф],"1,4",Таблица1[р/р],"5/24",Таблица1[Ф. И. О.],B121)</f>
        <v>0</v>
      </c>
      <c r="X126" s="327">
        <f>ROUND(U126*V126*W126,2)</f>
        <v>0</v>
      </c>
      <c r="Y126" s="804"/>
      <c r="Z126" s="795"/>
      <c r="AA126" s="798"/>
    </row>
    <row r="127" spans="1:29">
      <c r="A127" s="739">
        <v>12</v>
      </c>
      <c r="B127" s="282"/>
      <c r="C127" s="805">
        <f>INDEX(база!$E$2:$E$81, MATCH(B132,база!$B$2:$B$50,0))</f>
        <v>16960</v>
      </c>
      <c r="D127" s="806">
        <f>INDEX(база!$D$2:$D$89, MATCH(B132,база!$B$2:$B$50,0))</f>
        <v>3</v>
      </c>
      <c r="E127" s="288">
        <f>IF(D127&lt;=3,база!$I$4,
IF(D127=4,база!$I$5,
IF(D127=5,база!$I$6)))</f>
        <v>188.7912</v>
      </c>
      <c r="F127" s="248">
        <v>1</v>
      </c>
      <c r="G127" s="89">
        <f>SUMIFS(Таблица1[сумма],Таблица1[коэф],"1",Таблица1[р/р],"2/4",Таблица1[Ф. И. О.],B132)</f>
        <v>0</v>
      </c>
      <c r="H127" s="295">
        <f>ROUND(E127*F127*G127,2)</f>
        <v>0</v>
      </c>
      <c r="I127" s="66">
        <f>IF(D127&lt;=3,база!$J$4,
IF(D127=4,база!$J$5,
IF(D127=5,база!$J$6)))</f>
        <v>196.05240000000001</v>
      </c>
      <c r="J127" s="248">
        <v>1</v>
      </c>
      <c r="K127" s="266">
        <f>SUMIFS(Таблица1[сумма],Таблица1[коэф],"1",Таблица1[р/р],"2/8",Таблица1[Ф. И. О.],B132)</f>
        <v>0</v>
      </c>
      <c r="L127" s="266">
        <f>ROUND(I127*J127*K127,2)</f>
        <v>0</v>
      </c>
      <c r="M127" s="266"/>
      <c r="N127" s="266">
        <v>1</v>
      </c>
      <c r="O127" s="266">
        <f>SUMIFS(Data_Tech!$AM$3:$AM$67,Data_Tech!$E$3:$E$67,"1",Data_Tech!$G$3:$G$67,"3/12",Data_Tech!$F$3:$F$67,B132)</f>
        <v>0</v>
      </c>
      <c r="P127" s="26">
        <f>ROUND(M127*N127*O127,2)</f>
        <v>0</v>
      </c>
      <c r="Q127" s="66">
        <f>IF(D127&lt;=3,база!$L$4,
IF(D127=4,база!$L$5,
IF(D127=5,база!$L$6)))</f>
        <v>210.57480000000001</v>
      </c>
      <c r="R127" s="248">
        <v>1</v>
      </c>
      <c r="S127" s="89">
        <f>SUMIFS(Таблица1[сумма],Таблица1[коэф],"1",Таблица1[р/р],"3/16",Таблица1[Ф. И. О.],B132)</f>
        <v>0</v>
      </c>
      <c r="T127" s="295">
        <f t="shared" si="72"/>
        <v>0</v>
      </c>
      <c r="U127" s="342">
        <f>IF(D127&lt;=3,база!$M$4,
IF(D127=4,база!$M$5,
IF(D127=5,база!$M$6)))</f>
        <v>225.09719999999999</v>
      </c>
      <c r="V127" s="248">
        <v>1</v>
      </c>
      <c r="W127" s="317">
        <f>SUMIFS(Таблица1[сумма],Таблица1[коэф],"1",Таблица1[р/р],"3/24",Таблица1[Ф. И. О.],B132)</f>
        <v>0</v>
      </c>
      <c r="X127" s="319">
        <f>ROUND(U127*V127*W127,2)</f>
        <v>0</v>
      </c>
      <c r="Y127" s="803">
        <f t="shared" ref="Y127" si="73">SUM(G127:G137,K127:K137,O127:O137,S127:S137,W127:W137)</f>
        <v>0</v>
      </c>
      <c r="Z127" s="794">
        <f t="shared" ref="Z127" si="74">IFERROR(SUM(H127:H137,L127:L137,T127:T137,X127:X137),"")</f>
        <v>0</v>
      </c>
      <c r="AA127" s="797"/>
    </row>
    <row r="128" spans="1:29">
      <c r="A128" s="740"/>
      <c r="B128" s="201"/>
      <c r="C128" s="799"/>
      <c r="D128" s="801"/>
      <c r="E128" s="76">
        <f>IF(D127&lt;=3,база!$I$4,
IF(D127=4,база!$I$5,
IF(D127=5,база!$I$6)))</f>
        <v>188.7912</v>
      </c>
      <c r="F128" s="250">
        <v>1</v>
      </c>
      <c r="G128" s="92">
        <f>SUMIFS(Таблица1[сумма],Таблица1[коэф],"1",Таблица1[р/р],"3/4",Таблица1[Ф. И. О.],B132)</f>
        <v>0</v>
      </c>
      <c r="H128" s="86">
        <f>ROUND(E128*F128*G128,2)</f>
        <v>0</v>
      </c>
      <c r="I128" s="72">
        <f>IF(D127&lt;=3,база!$J$4,
IF(D127=4,база!$J$5,
IF(D127=5,база!$J$6)))</f>
        <v>196.05240000000001</v>
      </c>
      <c r="J128" s="250">
        <v>1</v>
      </c>
      <c r="K128" s="202">
        <f>SUMIFS(Таблица1[сумма],Таблица1[коэф],"1",Таблица1[р/р],"3/8",Таблица1[Ф. И. О.],B132)</f>
        <v>0</v>
      </c>
      <c r="L128" s="202">
        <f>ROUND(I128*J128*K128,2)</f>
        <v>0</v>
      </c>
      <c r="M128" s="202"/>
      <c r="N128" s="202">
        <v>1</v>
      </c>
      <c r="O128" s="202">
        <f>SUMIFS(Data_Tech!$AM$3:$AM$67,Data_Tech!$E$3:$E$67,"1",Data_Tech!$G$3:$G$67,"4/12",Data_Tech!$F$3:$F$67,B132)</f>
        <v>0</v>
      </c>
      <c r="P128" s="27">
        <f>ROUND(M128*O128,2)</f>
        <v>0</v>
      </c>
      <c r="Q128" s="72">
        <f>база!$L$5</f>
        <v>231.45480000000001</v>
      </c>
      <c r="R128" s="250">
        <v>1</v>
      </c>
      <c r="S128" s="92">
        <f>SUMIFS(Таблица1[сумма],Таблица1[коэф],"1",Таблица1[р/р],"4/16",Таблица1[Ф. И. О.],B132)</f>
        <v>0</v>
      </c>
      <c r="T128" s="86">
        <f t="shared" si="72"/>
        <v>0</v>
      </c>
      <c r="U128" s="343">
        <f>база!$M$5</f>
        <v>247.41720000000001</v>
      </c>
      <c r="V128" s="250">
        <v>1</v>
      </c>
      <c r="W128" s="285">
        <f>SUMIFS(Таблица1[сумма],Таблица1[коэф],"1",Таблица1[р/р],"4/24",Таблица1[Ф. И. О.],B132)</f>
        <v>0</v>
      </c>
      <c r="X128" s="291">
        <f t="shared" ref="X128" si="75">ROUND(U128*V128*W128,2)</f>
        <v>0</v>
      </c>
      <c r="Y128" s="803"/>
      <c r="Z128" s="794"/>
      <c r="AA128" s="797"/>
    </row>
    <row r="129" spans="1:29">
      <c r="A129" s="740"/>
      <c r="B129" s="201"/>
      <c r="C129" s="799"/>
      <c r="D129" s="801"/>
      <c r="E129" s="76"/>
      <c r="F129" s="250"/>
      <c r="G129" s="92"/>
      <c r="H129" s="86"/>
      <c r="I129" s="72"/>
      <c r="J129" s="250"/>
      <c r="K129" s="202"/>
      <c r="L129" s="202"/>
      <c r="M129" s="202"/>
      <c r="N129" s="202"/>
      <c r="O129" s="202"/>
      <c r="P129" s="27"/>
      <c r="Q129" s="72">
        <f>база!$L$6</f>
        <v>261.04640000000001</v>
      </c>
      <c r="R129" s="250">
        <v>1</v>
      </c>
      <c r="S129" s="92">
        <f>SUMIFS(Таблица1[сумма],Таблица1[коэф],"1",Таблица1[р/р],"5/16",Таблица1[Ф. И. О.],B132)</f>
        <v>0</v>
      </c>
      <c r="T129" s="86">
        <f t="shared" si="72"/>
        <v>0</v>
      </c>
      <c r="U129" s="343">
        <f>база!$M$6</f>
        <v>279.0496</v>
      </c>
      <c r="V129" s="250">
        <v>1</v>
      </c>
      <c r="W129" s="285">
        <f>SUMIFS(Таблица1[сумма],Таблица1[коэф],"1",Таблица1[р/р],"5/24",Таблица1[Ф. И. О.],B132)</f>
        <v>0</v>
      </c>
      <c r="X129" s="291">
        <f>ROUND(U129*V129*W129,2)</f>
        <v>0</v>
      </c>
      <c r="Y129" s="803"/>
      <c r="Z129" s="794"/>
      <c r="AA129" s="797"/>
    </row>
    <row r="130" spans="1:29">
      <c r="A130" s="740"/>
      <c r="B130" s="201"/>
      <c r="C130" s="799"/>
      <c r="D130" s="801"/>
      <c r="E130" s="76"/>
      <c r="F130" s="250"/>
      <c r="G130" s="92"/>
      <c r="H130" s="86"/>
      <c r="I130" s="72">
        <f>база!$J$5</f>
        <v>215.4924</v>
      </c>
      <c r="J130" s="250">
        <v>1.5</v>
      </c>
      <c r="K130" s="202">
        <f>SUMIFS(Таблица1[сумма],Таблица1[коэф],"1,5",Таблица1[р/р],"4/8",Таблица1[Ф. И. О.],B132)</f>
        <v>0</v>
      </c>
      <c r="L130" s="202">
        <f>ROUND(I130*J130*K130,2)</f>
        <v>0</v>
      </c>
      <c r="M130" s="202"/>
      <c r="N130" s="202"/>
      <c r="O130" s="202"/>
      <c r="P130" s="27"/>
      <c r="Q130" s="72">
        <f>IF(D127&lt;=3,база!$L$4,
IF(D127=4,база!$L$5,
IF(D127=5,база!$L$6)))</f>
        <v>210.57480000000001</v>
      </c>
      <c r="R130" s="250">
        <v>1.2</v>
      </c>
      <c r="S130" s="92">
        <f>SUMIFS(Таблица1[сумма],Таблица1[коэф],"1,2",Таблица1[р/р],"3/16",Таблица1[Ф. И. О.],B132)</f>
        <v>0</v>
      </c>
      <c r="T130" s="86">
        <f t="shared" ref="T130:T131" si="76">ROUND(Q130*R130*S130,2)</f>
        <v>0</v>
      </c>
      <c r="U130" s="343">
        <f>IF(D127&lt;=3,база!$M$4,
IF(D127=4,база!$M$5,
IF(D127=5,база!$M$6)))</f>
        <v>225.09719999999999</v>
      </c>
      <c r="V130" s="250">
        <v>1.2</v>
      </c>
      <c r="W130" s="285">
        <f>SUMIFS(Таблица1[сумма],Таблица1[коэф],"1,2",Таблица1[р/р],"3/24",Таблица1[Ф. И. О.],B132)</f>
        <v>0</v>
      </c>
      <c r="X130" s="291">
        <f t="shared" ref="X130:X131" si="77">ROUND(U130*V130*W130,2)</f>
        <v>0</v>
      </c>
      <c r="Y130" s="803"/>
      <c r="Z130" s="794"/>
      <c r="AA130" s="797"/>
    </row>
    <row r="131" spans="1:29">
      <c r="A131" s="740"/>
      <c r="B131" s="201"/>
      <c r="C131" s="799"/>
      <c r="D131" s="801"/>
      <c r="E131" s="76"/>
      <c r="F131" s="250"/>
      <c r="G131" s="92"/>
      <c r="H131" s="86"/>
      <c r="I131" s="72">
        <f>база!$J$6</f>
        <v>243.04319999999998</v>
      </c>
      <c r="J131" s="250">
        <v>1.5</v>
      </c>
      <c r="K131" s="202">
        <f>SUMIFS(Таблица1[сумма],Таблица1[коэф],"1,5",Таблица1[р/р],"5/8",Таблица1[Ф. И. О.],B132)</f>
        <v>0</v>
      </c>
      <c r="L131" s="202">
        <f>ROUND(I131*J131*K131,2)</f>
        <v>0</v>
      </c>
      <c r="M131" s="202"/>
      <c r="N131" s="202"/>
      <c r="O131" s="202"/>
      <c r="P131" s="27"/>
      <c r="Q131" s="72">
        <f>база!$L$5</f>
        <v>231.45480000000001</v>
      </c>
      <c r="R131" s="250">
        <v>1.2</v>
      </c>
      <c r="S131" s="92">
        <f>SUMIFS(Таблица1[сумма],Таблица1[коэф],"1,2",Таблица1[р/р],"4/16",Таблица1[Ф. И. О.],B132)</f>
        <v>0</v>
      </c>
      <c r="T131" s="86">
        <f t="shared" si="76"/>
        <v>0</v>
      </c>
      <c r="U131" s="343">
        <f>база!$M$5</f>
        <v>247.41720000000001</v>
      </c>
      <c r="V131" s="250">
        <v>1.2</v>
      </c>
      <c r="W131" s="285">
        <f>SUMIFS(Таблица1[сумма],Таблица1[коэф],"1,2",Таблица1[р/р],"4/24",Таблица1[Ф. И. О.],B132)</f>
        <v>0</v>
      </c>
      <c r="X131" s="291">
        <f t="shared" si="77"/>
        <v>0</v>
      </c>
      <c r="Y131" s="803"/>
      <c r="Z131" s="794"/>
      <c r="AA131" s="797"/>
      <c r="AC131" s="688" t="str">
        <f>IF(SUMIFS(Таблица1[Столбец2],Таблица1[Ф. И. О.],B132)-Z127=0,"",SUMIFS(Таблица1[Столбец2],Таблица1[Ф. И. О.],B132)-Z127)</f>
        <v/>
      </c>
    </row>
    <row r="132" spans="1:29" ht="24" thickBot="1">
      <c r="A132" s="740"/>
      <c r="B132" s="201" t="str">
        <f>база!B13</f>
        <v>Бунчук Виктория Ивановна</v>
      </c>
      <c r="C132" s="799"/>
      <c r="D132" s="801"/>
      <c r="E132" s="76"/>
      <c r="F132" s="250"/>
      <c r="G132" s="92"/>
      <c r="H132" s="86"/>
      <c r="I132" s="72"/>
      <c r="J132" s="250"/>
      <c r="K132" s="202"/>
      <c r="L132" s="202"/>
      <c r="M132" s="202"/>
      <c r="N132" s="202"/>
      <c r="O132" s="202"/>
      <c r="P132" s="27"/>
      <c r="Q132" s="72">
        <f>база!$L$6</f>
        <v>261.04640000000001</v>
      </c>
      <c r="R132" s="250">
        <v>1.2</v>
      </c>
      <c r="S132" s="92">
        <f>SUMIFS(Таблица1[сумма],Таблица1[коэф],"1,2",Таблица1[р/р],"5/16",Таблица1[Ф. И. О.],B132)</f>
        <v>0</v>
      </c>
      <c r="T132" s="86">
        <f>ROUND(Q132*R132*S132,2)</f>
        <v>0</v>
      </c>
      <c r="U132" s="343">
        <f>база!$M$6</f>
        <v>279.0496</v>
      </c>
      <c r="V132" s="250">
        <v>1.2</v>
      </c>
      <c r="W132" s="285">
        <f>SUMIFS(Таблица1[сумма],Таблица1[коэф],"1,2",Таблица1[р/р],"5/24",Таблица1[Ф. И. О.],B132)</f>
        <v>0</v>
      </c>
      <c r="X132" s="291">
        <f>ROUND(U132*V132*W132,2)</f>
        <v>0</v>
      </c>
      <c r="Y132" s="803"/>
      <c r="Z132" s="794"/>
      <c r="AA132" s="797"/>
      <c r="AC132" s="688" t="str">
        <f>IF(SUMIFS(Таблица1[сумма],Таблица1[Ф. И. О.],B132)=Y127,"",B127&amp;"  часы не верны")</f>
        <v/>
      </c>
    </row>
    <row r="133" spans="1:29" ht="24" thickBot="1">
      <c r="A133" s="740"/>
      <c r="B133" s="201"/>
      <c r="C133" s="799"/>
      <c r="D133" s="801"/>
      <c r="E133" s="76"/>
      <c r="F133" s="250"/>
      <c r="G133" s="92"/>
      <c r="H133" s="86"/>
      <c r="I133" s="72"/>
      <c r="J133" s="250"/>
      <c r="K133" s="202"/>
      <c r="L133" s="202"/>
      <c r="M133" s="202"/>
      <c r="N133" s="202"/>
      <c r="O133" s="202"/>
      <c r="P133" s="27"/>
      <c r="Q133" s="72">
        <f>IF($D$6&lt;=3,база!$L$4,
IF($D$6=4,база!$L$5,
IF($D$6=5,база!$L$6)))</f>
        <v>231.45480000000001</v>
      </c>
      <c r="R133" s="250">
        <v>1.3</v>
      </c>
      <c r="S133" s="92">
        <f>SUMIFS(Таблица1[сумма],Таблица1[коэф],"1,3",Таблица1[р/р],"3/16",Таблица1[Ф. И. О.],B132)</f>
        <v>0</v>
      </c>
      <c r="T133" s="86">
        <f t="shared" ref="T133:T134" si="78">ROUND(Q133*R133*S133,2)</f>
        <v>0</v>
      </c>
      <c r="U133" s="343">
        <f>IF(D127&lt;=3,база!$M$4,
IF(D127=4,база!$M$5,
IF(D127=5,база!$M$6)))</f>
        <v>225.09719999999999</v>
      </c>
      <c r="V133" s="250">
        <v>1.3</v>
      </c>
      <c r="W133" s="285">
        <f>SUMIFS(Таблица1[сумма],Таблица1[коэф],"1,3",Таблица1[р/р],"3/24",Таблица1[Ф. И. О.],B132)</f>
        <v>0</v>
      </c>
      <c r="X133" s="291">
        <f t="shared" ref="X133:X134" si="79">ROUND(U133*V133*W133,2)</f>
        <v>0</v>
      </c>
      <c r="Y133" s="803"/>
      <c r="Z133" s="794"/>
      <c r="AA133" s="797"/>
    </row>
    <row r="134" spans="1:29" ht="24" thickBot="1">
      <c r="A134" s="740"/>
      <c r="B134" s="201"/>
      <c r="C134" s="799"/>
      <c r="D134" s="801"/>
      <c r="E134" s="76"/>
      <c r="F134" s="250"/>
      <c r="G134" s="92"/>
      <c r="H134" s="86"/>
      <c r="I134" s="72"/>
      <c r="J134" s="250"/>
      <c r="K134" s="202"/>
      <c r="L134" s="202"/>
      <c r="M134" s="202"/>
      <c r="N134" s="202"/>
      <c r="O134" s="202"/>
      <c r="P134" s="27"/>
      <c r="Q134" s="72">
        <f>база!$L$5</f>
        <v>231.45480000000001</v>
      </c>
      <c r="R134" s="250">
        <v>1.3</v>
      </c>
      <c r="S134" s="92">
        <f>SUMIFS(Таблица1[сумма],Таблица1[коэф],"1,3",Таблица1[р/р],"4/16",Таблица1[Ф. И. О.],B132)</f>
        <v>0</v>
      </c>
      <c r="T134" s="86">
        <f t="shared" si="78"/>
        <v>0</v>
      </c>
      <c r="U134" s="343">
        <f>база!$M$5</f>
        <v>247.41720000000001</v>
      </c>
      <c r="V134" s="250">
        <v>1.3</v>
      </c>
      <c r="W134" s="285">
        <f>SUMIFS(Таблица1[сумма],Таблица1[коэф],"1,3",Таблица1[р/р],"4/24",Таблица1[Ф. И. О.],B132)</f>
        <v>0</v>
      </c>
      <c r="X134" s="291">
        <f t="shared" si="79"/>
        <v>0</v>
      </c>
      <c r="Y134" s="803"/>
      <c r="Z134" s="794"/>
      <c r="AA134" s="797"/>
    </row>
    <row r="135" spans="1:29" ht="24" thickBot="1">
      <c r="A135" s="740"/>
      <c r="B135" s="201"/>
      <c r="C135" s="799"/>
      <c r="D135" s="801"/>
      <c r="E135" s="76"/>
      <c r="F135" s="250"/>
      <c r="G135" s="92"/>
      <c r="H135" s="86"/>
      <c r="I135" s="72"/>
      <c r="J135" s="250"/>
      <c r="K135" s="202"/>
      <c r="L135" s="202"/>
      <c r="M135" s="202"/>
      <c r="N135" s="202"/>
      <c r="O135" s="202"/>
      <c r="P135" s="27"/>
      <c r="Q135" s="72">
        <f>IF(D127&lt;=3,база!$L$4,
IF(D127=4,база!$L$5,
IF(D127=5,база!$L$6)))</f>
        <v>210.57480000000001</v>
      </c>
      <c r="R135" s="250">
        <v>1.4</v>
      </c>
      <c r="S135" s="92">
        <f>SUMIFS(Таблица1[сумма],Таблица1[коэф],"1,4",Таблица1[р/р],"3/16",Таблица1[Ф. И. О.],B132)</f>
        <v>0</v>
      </c>
      <c r="T135" s="86">
        <f t="shared" ref="T135:T140" si="80">ROUND(Q135*R135*S135,2)</f>
        <v>0</v>
      </c>
      <c r="U135" s="343">
        <f>IF(D127&lt;=3,база!$M$4,
IF(D127=4,база!$M$5,
IF(D127=5,база!$M$6)))</f>
        <v>225.09719999999999</v>
      </c>
      <c r="V135" s="250">
        <v>1.4</v>
      </c>
      <c r="W135" s="285">
        <f>SUMIFS(Таблица1[сумма],Таблица1[коэф],"1,4",Таблица1[р/р],"3/24",Таблица1[Ф. И. О.],B132)</f>
        <v>0</v>
      </c>
      <c r="X135" s="291">
        <f>ROUND(U135*V135*W135,2)</f>
        <v>0</v>
      </c>
      <c r="Y135" s="803"/>
      <c r="Z135" s="794"/>
      <c r="AA135" s="797"/>
    </row>
    <row r="136" spans="1:29" ht="24" thickBot="1">
      <c r="A136" s="740"/>
      <c r="B136" s="201"/>
      <c r="C136" s="799"/>
      <c r="D136" s="801"/>
      <c r="E136" s="76"/>
      <c r="F136" s="250"/>
      <c r="G136" s="92"/>
      <c r="H136" s="86"/>
      <c r="I136" s="72"/>
      <c r="J136" s="250"/>
      <c r="K136" s="202"/>
      <c r="L136" s="202"/>
      <c r="M136" s="202"/>
      <c r="N136" s="202"/>
      <c r="O136" s="202"/>
      <c r="P136" s="27"/>
      <c r="Q136" s="72">
        <f>база!$L$5</f>
        <v>231.45480000000001</v>
      </c>
      <c r="R136" s="250">
        <v>1.4</v>
      </c>
      <c r="S136" s="92">
        <f>SUMIFS(Таблица1[сумма],Таблица1[коэф],"1,4",Таблица1[р/р],"4/16",Таблица1[Ф. И. О.],B132)</f>
        <v>0</v>
      </c>
      <c r="T136" s="86">
        <f t="shared" si="80"/>
        <v>0</v>
      </c>
      <c r="U136" s="343">
        <f>база!$M$5</f>
        <v>247.41720000000001</v>
      </c>
      <c r="V136" s="250">
        <v>1.4</v>
      </c>
      <c r="W136" s="285">
        <f>SUMIFS(Таблица1[сумма],Таблица1[коэф],"1,4",Таблица1[р/р],"4/24",Таблица1[Ф. И. О.],B132)</f>
        <v>0</v>
      </c>
      <c r="X136" s="291">
        <f>ROUND(U136*V136*W136,2)</f>
        <v>0</v>
      </c>
      <c r="Y136" s="803"/>
      <c r="Z136" s="794"/>
      <c r="AA136" s="797"/>
    </row>
    <row r="137" spans="1:29" ht="24" thickBot="1">
      <c r="A137" s="741"/>
      <c r="B137" s="188"/>
      <c r="C137" s="800"/>
      <c r="D137" s="802"/>
      <c r="E137" s="206"/>
      <c r="F137" s="252"/>
      <c r="G137" s="91"/>
      <c r="H137" s="222"/>
      <c r="I137" s="95"/>
      <c r="J137" s="252"/>
      <c r="K137" s="267"/>
      <c r="L137" s="267"/>
      <c r="M137" s="267"/>
      <c r="N137" s="267"/>
      <c r="O137" s="267"/>
      <c r="P137" s="24"/>
      <c r="Q137" s="95">
        <f>база!$L$6</f>
        <v>261.04640000000001</v>
      </c>
      <c r="R137" s="252">
        <v>1.4</v>
      </c>
      <c r="S137" s="91">
        <f>SUMIFS(Таблица1[сумма],Таблица1[коэф],"1,4",Таблица1[р/р],"5/16",Таблица1[Ф. И. О.],B132)</f>
        <v>0</v>
      </c>
      <c r="T137" s="222">
        <f t="shared" si="80"/>
        <v>0</v>
      </c>
      <c r="U137" s="344">
        <f>база!$M$6</f>
        <v>279.0496</v>
      </c>
      <c r="V137" s="252">
        <v>1.4</v>
      </c>
      <c r="W137" s="290">
        <f>SUMIFS(Таблица1[сумма],Таблица1[коэф],"1,4",Таблица1[р/р],"5/24",Таблица1[Ф. И. О.],B132)</f>
        <v>0</v>
      </c>
      <c r="X137" s="320">
        <f>ROUND(U137*V137*W137,2)</f>
        <v>0</v>
      </c>
      <c r="Y137" s="804"/>
      <c r="Z137" s="795"/>
      <c r="AA137" s="798"/>
    </row>
    <row r="138" spans="1:29">
      <c r="A138" s="739">
        <v>13</v>
      </c>
      <c r="B138" s="201"/>
      <c r="C138" s="805">
        <f>INDEX(база!$E$2:$E$81, MATCH(B143,база!$B$2:$B$50,0))</f>
        <v>17198</v>
      </c>
      <c r="D138" s="806">
        <f>INDEX(база!$D$2:$D$89, MATCH(B143,база!$B$2:$B$50,0))</f>
        <v>3</v>
      </c>
      <c r="E138" s="66">
        <f>IF(D138&lt;=3,база!$I$4,
IF(D138=4,база!$I$5,
IF(D138=5,база!$I$6)))</f>
        <v>188.7912</v>
      </c>
      <c r="F138" s="248">
        <v>1</v>
      </c>
      <c r="G138" s="89">
        <f>SUMIFS(Таблица1[сумма],Таблица1[коэф],"1",Таблица1[р/р],"2/4",Таблица1[Ф. И. О.],B143)</f>
        <v>0</v>
      </c>
      <c r="H138" s="81">
        <f>ROUND(E138*F138*G138,2)</f>
        <v>0</v>
      </c>
      <c r="I138" s="75">
        <f>IF(D138&lt;=3,база!$J$4,
IF(D138=4,база!$J$5,
IF(D138=5,база!$J$6)))</f>
        <v>196.05240000000001</v>
      </c>
      <c r="J138" s="249">
        <v>1</v>
      </c>
      <c r="K138" s="287">
        <f>SUMIFS(Таблица1[сумма],Таблица1[коэф],"1",Таблица1[р/р],"2/8",Таблица1[Ф. И. О.],B143)</f>
        <v>0</v>
      </c>
      <c r="L138" s="287">
        <f>ROUND(I138*J138*K138,2)</f>
        <v>0</v>
      </c>
      <c r="M138" s="287"/>
      <c r="N138" s="287">
        <v>1</v>
      </c>
      <c r="O138" s="287">
        <f>SUMIFS(Data_Tech!$AM$3:$AM$67,Data_Tech!$E$3:$E$67,"1",Data_Tech!$G$3:$G$67,"3/12",Data_Tech!$F$3:$F$67,B143)</f>
        <v>0</v>
      </c>
      <c r="P138" s="260">
        <f>ROUND(M138*N138*O138,2)</f>
        <v>0</v>
      </c>
      <c r="Q138" s="66">
        <f>IF(D138&lt;=3,база!$L$4,
IF(D138=4,база!$L$5,
IF(D138=5,база!$L$6)))</f>
        <v>210.57480000000001</v>
      </c>
      <c r="R138" s="248">
        <v>1</v>
      </c>
      <c r="S138" s="89">
        <f>SUMIFS(Таблица1[сумма],Таблица1[коэф],"1",Таблица1[р/р],"3/16",Таблица1[Ф. И. О.],B143)</f>
        <v>0</v>
      </c>
      <c r="T138" s="81">
        <f t="shared" si="80"/>
        <v>0</v>
      </c>
      <c r="U138" s="340">
        <f>IF(D138&lt;=3,база!$M$4,
IF(D138=4,база!$M$5,
IF(D138=5,база!$M$6)))</f>
        <v>225.09719999999999</v>
      </c>
      <c r="V138" s="248">
        <v>1</v>
      </c>
      <c r="W138" s="326">
        <f>SUMIFS(Таблица1[сумма],Таблица1[коэф],"1",Таблица1[р/р],"3/24",Таблица1[Ф. И. О.],B143)</f>
        <v>0</v>
      </c>
      <c r="X138" s="319">
        <f>ROUND(U138*V138*W138,2)</f>
        <v>0</v>
      </c>
      <c r="Y138" s="803">
        <f t="shared" ref="Y138" si="81">SUM(G138:G148,K138:K148,O138:O148,S138:S148,W138:W148)</f>
        <v>0</v>
      </c>
      <c r="Z138" s="794">
        <f t="shared" ref="Z138" si="82">IFERROR(SUM(H138:H148,L138:L148,T138:T148,X138:X148),"")</f>
        <v>0</v>
      </c>
      <c r="AA138" s="797"/>
    </row>
    <row r="139" spans="1:29">
      <c r="A139" s="740"/>
      <c r="B139" s="201"/>
      <c r="C139" s="799"/>
      <c r="D139" s="801"/>
      <c r="E139" s="72">
        <f>IF(D138&lt;=3,база!$I$4,
IF(D138=4,база!$I$5,
IF(D138=5,база!$I$6)))</f>
        <v>188.7912</v>
      </c>
      <c r="F139" s="250">
        <v>1</v>
      </c>
      <c r="G139" s="92">
        <f>SUMIFS(Таблица1[сумма],Таблица1[коэф],"1",Таблица1[р/р],"3/4",Таблица1[Ф. И. О.],B143)</f>
        <v>0</v>
      </c>
      <c r="H139" s="88">
        <f>ROUND(E139*F139*G139,2)</f>
        <v>0</v>
      </c>
      <c r="I139" s="76">
        <f>IF(D138&lt;=3,база!$J$4,
IF(D138=4,база!$J$5,
IF(D138=5,база!$J$6)))</f>
        <v>196.05240000000001</v>
      </c>
      <c r="J139" s="250">
        <v>1</v>
      </c>
      <c r="K139" s="202">
        <f>SUMIFS(Таблица1[сумма],Таблица1[коэф],"1",Таблица1[р/р],"3/8",Таблица1[Ф. И. О.],B143)</f>
        <v>0</v>
      </c>
      <c r="L139" s="202">
        <f>ROUND(I139*J139*K139,2)</f>
        <v>0</v>
      </c>
      <c r="M139" s="202"/>
      <c r="N139" s="202">
        <v>1</v>
      </c>
      <c r="O139" s="202">
        <f>SUMIFS(Data_Tech!$AM$3:$AM$67,Data_Tech!$E$3:$E$67,"1",Data_Tech!$G$3:$G$67,"4/12",Data_Tech!$F$3:$F$67,B143)</f>
        <v>0</v>
      </c>
      <c r="P139" s="28">
        <f>ROUND(M139*O139,2)</f>
        <v>0</v>
      </c>
      <c r="Q139" s="72">
        <f>база!$L$5</f>
        <v>231.45480000000001</v>
      </c>
      <c r="R139" s="250">
        <v>1</v>
      </c>
      <c r="S139" s="92">
        <f>SUMIFS(Таблица1[сумма],Таблица1[коэф],"1",Таблица1[р/р],"4/16",Таблица1[Ф. И. О.],B143)</f>
        <v>0</v>
      </c>
      <c r="T139" s="88">
        <f t="shared" si="80"/>
        <v>0</v>
      </c>
      <c r="U139" s="338">
        <f>база!$M$5</f>
        <v>247.41720000000001</v>
      </c>
      <c r="V139" s="250">
        <v>1</v>
      </c>
      <c r="W139" s="292">
        <f>SUMIFS(Таблица1[сумма],Таблица1[коэф],"1",Таблица1[р/р],"4/24",Таблица1[Ф. И. О.],B143)</f>
        <v>0</v>
      </c>
      <c r="X139" s="291">
        <f t="shared" ref="X139" si="83">ROUND(U139*V139*W139,2)</f>
        <v>0</v>
      </c>
      <c r="Y139" s="803"/>
      <c r="Z139" s="794"/>
      <c r="AA139" s="797"/>
    </row>
    <row r="140" spans="1:29" ht="24" thickBot="1">
      <c r="A140" s="740"/>
      <c r="B140" s="201"/>
      <c r="C140" s="799"/>
      <c r="D140" s="801"/>
      <c r="E140" s="72"/>
      <c r="F140" s="250"/>
      <c r="G140" s="92"/>
      <c r="H140" s="88"/>
      <c r="I140" s="76"/>
      <c r="J140" s="250"/>
      <c r="K140" s="202"/>
      <c r="L140" s="202"/>
      <c r="M140" s="202"/>
      <c r="N140" s="202"/>
      <c r="O140" s="202"/>
      <c r="P140" s="28"/>
      <c r="Q140" s="72">
        <f>база!$L$6</f>
        <v>261.04640000000001</v>
      </c>
      <c r="R140" s="250">
        <v>1</v>
      </c>
      <c r="S140" s="92">
        <f>SUMIFS(Таблица1[сумма],Таблица1[коэф],"1",Таблица1[р/р],"5/16",Таблица1[Ф. И. О.],B143)</f>
        <v>0</v>
      </c>
      <c r="T140" s="88">
        <f t="shared" si="80"/>
        <v>0</v>
      </c>
      <c r="U140" s="338">
        <f>база!$M$6</f>
        <v>279.0496</v>
      </c>
      <c r="V140" s="250">
        <v>1</v>
      </c>
      <c r="W140" s="292">
        <f>SUMIFS(Таблица1[сумма],Таблица1[коэф],"1",Таблица1[р/р],"5/24",Таблица1[Ф. И. О.],B143)</f>
        <v>0</v>
      </c>
      <c r="X140" s="291">
        <f>ROUND(U140*V140*W140,2)</f>
        <v>0</v>
      </c>
      <c r="Y140" s="803"/>
      <c r="Z140" s="794"/>
      <c r="AA140" s="797"/>
    </row>
    <row r="141" spans="1:29" ht="24" thickBot="1">
      <c r="A141" s="740"/>
      <c r="B141" s="201"/>
      <c r="C141" s="799"/>
      <c r="D141" s="801"/>
      <c r="E141" s="72"/>
      <c r="F141" s="250"/>
      <c r="G141" s="92"/>
      <c r="H141" s="88"/>
      <c r="I141" s="76">
        <f>база!$J$5</f>
        <v>215.4924</v>
      </c>
      <c r="J141" s="250">
        <v>1.5</v>
      </c>
      <c r="K141" s="202">
        <f>SUMIFS(Таблица1[сумма],Таблица1[коэф],"1,5",Таблица1[р/р],"4/8",Таблица1[Ф. И. О.],B143)</f>
        <v>0</v>
      </c>
      <c r="L141" s="202">
        <f>ROUND(I141*J141*K141,2)</f>
        <v>0</v>
      </c>
      <c r="M141" s="202"/>
      <c r="N141" s="202"/>
      <c r="O141" s="202"/>
      <c r="P141" s="28"/>
      <c r="Q141" s="72">
        <f>IF(D138&lt;=3,база!$L$4,
IF(D138=4,база!$L$5,
IF(D138=5,база!$L$6)))</f>
        <v>210.57480000000001</v>
      </c>
      <c r="R141" s="250">
        <v>1.2</v>
      </c>
      <c r="S141" s="92">
        <f>SUMIFS(Таблица1[сумма],Таблица1[коэф],"1,2",Таблица1[р/р],"3/16",Таблица1[Ф. И. О.],B143)</f>
        <v>0</v>
      </c>
      <c r="T141" s="88">
        <f t="shared" ref="T141:T142" si="84">ROUND(Q141*R141*S141,2)</f>
        <v>0</v>
      </c>
      <c r="U141" s="338">
        <f>IF(D138&lt;=3,база!$M$4,
IF(D138=4,база!$M$5,
IF(D138=5,база!$M$6)))</f>
        <v>225.09719999999999</v>
      </c>
      <c r="V141" s="250">
        <v>1.2</v>
      </c>
      <c r="W141" s="292">
        <f>SUMIFS(Таблица1[сумма],Таблица1[коэф],"1,2",Таблица1[р/р],"3/24",Таблица1[Ф. И. О.],B143)</f>
        <v>0</v>
      </c>
      <c r="X141" s="291">
        <f t="shared" ref="X141:X142" si="85">ROUND(U141*V141*W141,2)</f>
        <v>0</v>
      </c>
      <c r="Y141" s="803"/>
      <c r="Z141" s="794"/>
      <c r="AA141" s="797"/>
    </row>
    <row r="142" spans="1:29" ht="24" thickBot="1">
      <c r="A142" s="740"/>
      <c r="B142" s="201"/>
      <c r="C142" s="799"/>
      <c r="D142" s="801"/>
      <c r="E142" s="72"/>
      <c r="F142" s="250"/>
      <c r="G142" s="92"/>
      <c r="H142" s="88"/>
      <c r="I142" s="76">
        <f>база!$J$6</f>
        <v>243.04319999999998</v>
      </c>
      <c r="J142" s="250">
        <v>1.5</v>
      </c>
      <c r="K142" s="202">
        <f>SUMIFS(Таблица1[сумма],Таблица1[коэф],"1,5",Таблица1[р/р],"5/8",Таблица1[Ф. И. О.],B143)</f>
        <v>0</v>
      </c>
      <c r="L142" s="202">
        <f>ROUND(I142*J142*K142,2)</f>
        <v>0</v>
      </c>
      <c r="M142" s="202"/>
      <c r="N142" s="202"/>
      <c r="O142" s="202"/>
      <c r="P142" s="28"/>
      <c r="Q142" s="72">
        <f>база!$L$5</f>
        <v>231.45480000000001</v>
      </c>
      <c r="R142" s="250">
        <v>1.2</v>
      </c>
      <c r="S142" s="92">
        <f>SUMIFS(Таблица1[сумма],Таблица1[коэф],"1,2",Таблица1[р/р],"4/16",Таблица1[Ф. И. О.],B143)</f>
        <v>0</v>
      </c>
      <c r="T142" s="88">
        <f t="shared" si="84"/>
        <v>0</v>
      </c>
      <c r="U142" s="338">
        <f>база!$M$5</f>
        <v>247.41720000000001</v>
      </c>
      <c r="V142" s="250">
        <v>1.2</v>
      </c>
      <c r="W142" s="292">
        <f>SUMIFS(Таблица1[сумма],Таблица1[коэф],"1,2",Таблица1[р/р],"4/24",Таблица1[Ф. И. О.],B143)</f>
        <v>0</v>
      </c>
      <c r="X142" s="291">
        <f t="shared" si="85"/>
        <v>0</v>
      </c>
      <c r="Y142" s="803"/>
      <c r="Z142" s="794"/>
      <c r="AA142" s="797"/>
      <c r="AC142" s="688" t="str">
        <f>IF(SUMIFS(Таблица1[Столбец2],Таблица1[Ф. И. О.],B143)-Z138=0,"",SUMIFS(Таблица1[Столбец2],Таблица1[Ф. И. О.],B143)-Z138)</f>
        <v/>
      </c>
    </row>
    <row r="143" spans="1:29" ht="24" thickBot="1">
      <c r="A143" s="740"/>
      <c r="B143" s="201" t="str">
        <f>база!B14</f>
        <v>Волошина Светлана Владимировна</v>
      </c>
      <c r="C143" s="799"/>
      <c r="D143" s="801"/>
      <c r="E143" s="72"/>
      <c r="F143" s="250"/>
      <c r="G143" s="92"/>
      <c r="H143" s="88"/>
      <c r="I143" s="76"/>
      <c r="J143" s="250"/>
      <c r="K143" s="202"/>
      <c r="L143" s="202"/>
      <c r="M143" s="202"/>
      <c r="N143" s="202"/>
      <c r="O143" s="202"/>
      <c r="P143" s="28"/>
      <c r="Q143" s="72">
        <f>база!$L$6</f>
        <v>261.04640000000001</v>
      </c>
      <c r="R143" s="250">
        <v>1.2</v>
      </c>
      <c r="S143" s="92">
        <f>SUMIFS(Таблица1[сумма],Таблица1[коэф],"1,2",Таблица1[р/р],"5/16",Таблица1[Ф. И. О.],B143)</f>
        <v>0</v>
      </c>
      <c r="T143" s="88">
        <f>ROUND(Q143*R143*S143,2)</f>
        <v>0</v>
      </c>
      <c r="U143" s="338">
        <f>база!$M$6</f>
        <v>279.0496</v>
      </c>
      <c r="V143" s="250">
        <v>1.2</v>
      </c>
      <c r="W143" s="292">
        <f>SUMIFS(Таблица1[сумма],Таблица1[коэф],"1,2",Таблица1[р/р],"5/24",Таблица1[Ф. И. О.],B143)</f>
        <v>0</v>
      </c>
      <c r="X143" s="291">
        <f>ROUND(U143*V143*W143,2)</f>
        <v>0</v>
      </c>
      <c r="Y143" s="803"/>
      <c r="Z143" s="794"/>
      <c r="AA143" s="797"/>
      <c r="AC143" s="688" t="str">
        <f>IF(SUMIFS(Таблица1[сумма],Таблица1[Ф. И. О.],B143)=Y138,"",B138&amp;"  часы не верны")</f>
        <v/>
      </c>
    </row>
    <row r="144" spans="1:29" ht="24" thickBot="1">
      <c r="A144" s="740"/>
      <c r="B144" s="201"/>
      <c r="C144" s="799"/>
      <c r="D144" s="801"/>
      <c r="E144" s="72"/>
      <c r="F144" s="250"/>
      <c r="G144" s="92"/>
      <c r="H144" s="88"/>
      <c r="I144" s="76"/>
      <c r="J144" s="250"/>
      <c r="K144" s="202"/>
      <c r="L144" s="202"/>
      <c r="M144" s="202"/>
      <c r="N144" s="202"/>
      <c r="O144" s="202"/>
      <c r="P144" s="28"/>
      <c r="Q144" s="72">
        <f>IF($D$6&lt;=3,база!$L$4,
IF($D$6=4,база!$L$5,
IF($D$6=5,база!$L$6)))</f>
        <v>231.45480000000001</v>
      </c>
      <c r="R144" s="250">
        <v>1.3</v>
      </c>
      <c r="S144" s="92">
        <f>SUMIFS(Таблица1[сумма],Таблица1[коэф],"1,3",Таблица1[р/р],"3/16",Таблица1[Ф. И. О.],B143)</f>
        <v>0</v>
      </c>
      <c r="T144" s="88">
        <f t="shared" ref="T144:T145" si="86">ROUND(Q144*R144*S144,2)</f>
        <v>0</v>
      </c>
      <c r="U144" s="338">
        <f>IF(D138&lt;=3,база!$M$4,
IF(D138=4,база!$M$5,
IF(D138=5,база!$M$6)))</f>
        <v>225.09719999999999</v>
      </c>
      <c r="V144" s="250">
        <v>1.3</v>
      </c>
      <c r="W144" s="292">
        <f>SUMIFS(Таблица1[сумма],Таблица1[коэф],"1,3",Таблица1[р/р],"3/24",Таблица1[Ф. И. О.],B143)</f>
        <v>0</v>
      </c>
      <c r="X144" s="291">
        <f t="shared" ref="X144:X145" si="87">ROUND(U144*V144*W144,2)</f>
        <v>0</v>
      </c>
      <c r="Y144" s="803"/>
      <c r="Z144" s="794"/>
      <c r="AA144" s="797"/>
    </row>
    <row r="145" spans="1:29" ht="24" thickBot="1">
      <c r="A145" s="740"/>
      <c r="B145" s="201"/>
      <c r="C145" s="799"/>
      <c r="D145" s="801"/>
      <c r="E145" s="72"/>
      <c r="F145" s="250"/>
      <c r="G145" s="92"/>
      <c r="H145" s="88"/>
      <c r="I145" s="76"/>
      <c r="J145" s="250"/>
      <c r="K145" s="202"/>
      <c r="L145" s="202"/>
      <c r="M145" s="202"/>
      <c r="N145" s="202"/>
      <c r="O145" s="202"/>
      <c r="P145" s="28"/>
      <c r="Q145" s="72">
        <f>база!$L$5</f>
        <v>231.45480000000001</v>
      </c>
      <c r="R145" s="250">
        <v>1.3</v>
      </c>
      <c r="S145" s="92">
        <f>SUMIFS(Таблица1[сумма],Таблица1[коэф],"1,3",Таблица1[р/р],"4/16",Таблица1[Ф. И. О.],B143)</f>
        <v>0</v>
      </c>
      <c r="T145" s="88">
        <f t="shared" si="86"/>
        <v>0</v>
      </c>
      <c r="U145" s="338">
        <f>база!$M$5</f>
        <v>247.41720000000001</v>
      </c>
      <c r="V145" s="250">
        <v>1.3</v>
      </c>
      <c r="W145" s="292">
        <f>SUMIFS(Таблица1[сумма],Таблица1[коэф],"1,3",Таблица1[р/р],"4/24",Таблица1[Ф. И. О.],B143)</f>
        <v>0</v>
      </c>
      <c r="X145" s="291">
        <f t="shared" si="87"/>
        <v>0</v>
      </c>
      <c r="Y145" s="803"/>
      <c r="Z145" s="794"/>
      <c r="AA145" s="797"/>
    </row>
    <row r="146" spans="1:29" ht="24" thickBot="1">
      <c r="A146" s="740"/>
      <c r="B146" s="201"/>
      <c r="C146" s="799"/>
      <c r="D146" s="801"/>
      <c r="E146" s="72"/>
      <c r="F146" s="250"/>
      <c r="G146" s="92"/>
      <c r="H146" s="88"/>
      <c r="I146" s="76"/>
      <c r="J146" s="250"/>
      <c r="K146" s="202"/>
      <c r="L146" s="202"/>
      <c r="M146" s="202"/>
      <c r="N146" s="202"/>
      <c r="O146" s="202"/>
      <c r="P146" s="28"/>
      <c r="Q146" s="72">
        <f>IF(D138&lt;=3,база!$L$4,
IF(D138=4,база!$L$5,
IF(D138=5,база!$L$6)))</f>
        <v>210.57480000000001</v>
      </c>
      <c r="R146" s="250">
        <v>1.4</v>
      </c>
      <c r="S146" s="92">
        <f>SUMIFS(Таблица1[сумма],Таблица1[коэф],"1,4",Таблица1[р/р],"3/16",Таблица1[Ф. И. О.],B143)</f>
        <v>0</v>
      </c>
      <c r="T146" s="88">
        <f t="shared" ref="T146:T151" si="88">ROUND(Q146*R146*S146,2)</f>
        <v>0</v>
      </c>
      <c r="U146" s="338">
        <f>IF(D138&lt;=3,база!$M$4,
IF(D138=4,база!$M$5,
IF(D138=5,база!$M$6)))</f>
        <v>225.09719999999999</v>
      </c>
      <c r="V146" s="250">
        <v>1.4</v>
      </c>
      <c r="W146" s="292">
        <f>SUMIFS(Таблица1[сумма],Таблица1[коэф],"1,4",Таблица1[р/р],"3/24",Таблица1[Ф. И. О.],B143)</f>
        <v>0</v>
      </c>
      <c r="X146" s="291">
        <f>ROUND(U146*V146*W146,2)</f>
        <v>0</v>
      </c>
      <c r="Y146" s="803"/>
      <c r="Z146" s="794"/>
      <c r="AA146" s="797"/>
    </row>
    <row r="147" spans="1:29" ht="24" thickBot="1">
      <c r="A147" s="740"/>
      <c r="B147" s="201"/>
      <c r="C147" s="799"/>
      <c r="D147" s="801"/>
      <c r="E147" s="72"/>
      <c r="F147" s="250"/>
      <c r="G147" s="92"/>
      <c r="H147" s="88"/>
      <c r="I147" s="76"/>
      <c r="J147" s="250"/>
      <c r="K147" s="202"/>
      <c r="L147" s="202"/>
      <c r="M147" s="202"/>
      <c r="N147" s="202"/>
      <c r="O147" s="202"/>
      <c r="P147" s="28"/>
      <c r="Q147" s="72">
        <f>база!$L$5</f>
        <v>231.45480000000001</v>
      </c>
      <c r="R147" s="250">
        <v>1.4</v>
      </c>
      <c r="S147" s="92">
        <f>SUMIFS(Таблица1[сумма],Таблица1[коэф],"1,4",Таблица1[р/р],"4/16",Таблица1[Ф. И. О.],B143)</f>
        <v>0</v>
      </c>
      <c r="T147" s="88">
        <f t="shared" si="88"/>
        <v>0</v>
      </c>
      <c r="U147" s="338">
        <f>база!$M$5</f>
        <v>247.41720000000001</v>
      </c>
      <c r="V147" s="250">
        <v>1.4</v>
      </c>
      <c r="W147" s="292">
        <f>SUMIFS(Таблица1[сумма],Таблица1[коэф],"1,4",Таблица1[р/р],"4/24",Таблица1[Ф. И. О.],B143)</f>
        <v>0</v>
      </c>
      <c r="X147" s="291">
        <f>ROUND(U147*V147*W147,2)</f>
        <v>0</v>
      </c>
      <c r="Y147" s="803"/>
      <c r="Z147" s="794"/>
      <c r="AA147" s="797"/>
    </row>
    <row r="148" spans="1:29" ht="24" thickBot="1">
      <c r="A148" s="741"/>
      <c r="B148" s="201"/>
      <c r="C148" s="800"/>
      <c r="D148" s="802"/>
      <c r="E148" s="203"/>
      <c r="F148" s="253"/>
      <c r="G148" s="98"/>
      <c r="H148" s="97"/>
      <c r="I148" s="281"/>
      <c r="J148" s="253"/>
      <c r="K148" s="280"/>
      <c r="L148" s="280"/>
      <c r="M148" s="280"/>
      <c r="N148" s="280"/>
      <c r="O148" s="280"/>
      <c r="P148" s="286"/>
      <c r="Q148" s="203">
        <f>база!$L$6</f>
        <v>261.04640000000001</v>
      </c>
      <c r="R148" s="253">
        <v>1.4</v>
      </c>
      <c r="S148" s="98">
        <f>SUMIFS(Таблица1[сумма],Таблица1[коэф],"1,4",Таблица1[р/р],"5/16",Таблица1[Ф. И. О.],B143)</f>
        <v>0</v>
      </c>
      <c r="T148" s="97">
        <f t="shared" si="88"/>
        <v>0</v>
      </c>
      <c r="U148" s="339">
        <f>база!$M$6</f>
        <v>279.0496</v>
      </c>
      <c r="V148" s="253">
        <v>1.4</v>
      </c>
      <c r="W148" s="323">
        <f>SUMIFS(Таблица1[сумма],Таблица1[коэф],"1,4",Таблица1[р/р],"5/24",Таблица1[Ф. И. О.],B143)</f>
        <v>0</v>
      </c>
      <c r="X148" s="327">
        <f>ROUND(U148*V148*W148,2)</f>
        <v>0</v>
      </c>
      <c r="Y148" s="804"/>
      <c r="Z148" s="795"/>
      <c r="AA148" s="798"/>
    </row>
    <row r="149" spans="1:29">
      <c r="A149" s="739">
        <v>14</v>
      </c>
      <c r="B149" s="219"/>
      <c r="C149" s="805">
        <f>INDEX(база!$E$2:$E$81, MATCH(B154,база!$B$2:$B$50,0))</f>
        <v>17115</v>
      </c>
      <c r="D149" s="806">
        <f>INDEX(база!$D$2:$D$89, MATCH(B154,база!$B$2:$B$50,0))</f>
        <v>3</v>
      </c>
      <c r="E149" s="66">
        <f>IF(D149&lt;=3,база!$I$4,
IF(D149=4,база!$I$5,
IF(D149=5,база!$I$6)))</f>
        <v>188.7912</v>
      </c>
      <c r="F149" s="248">
        <v>1</v>
      </c>
      <c r="G149" s="89">
        <f>SUMIFS(Таблица1[сумма],Таблица1[коэф],"1",Таблица1[р/р],"2/4",Таблица1[Ф. И. О.],B154)</f>
        <v>0</v>
      </c>
      <c r="H149" s="81">
        <f>ROUND(E149*F149*G149,2)</f>
        <v>0</v>
      </c>
      <c r="I149" s="288">
        <f>IF(D149&lt;=3,база!$J$4,
IF(D149=4,база!$J$5,
IF(D149=5,база!$J$6)))</f>
        <v>196.05240000000001</v>
      </c>
      <c r="J149" s="248">
        <v>1</v>
      </c>
      <c r="K149" s="266">
        <f>SUMIFS(Таблица1[сумма],Таблица1[коэф],"1",Таблица1[р/р],"2/8",Таблица1[Ф. И. О.],B154)</f>
        <v>0</v>
      </c>
      <c r="L149" s="266">
        <f>ROUND(I149*J149*K149,2)</f>
        <v>0</v>
      </c>
      <c r="M149" s="266"/>
      <c r="N149" s="266">
        <v>1</v>
      </c>
      <c r="O149" s="266">
        <f>SUMIFS(Data_Tech!$AM$3:$AM$67,Data_Tech!$E$3:$E$67,"1",Data_Tech!$G$3:$G$67,"3/12",Data_Tech!$F$3:$F$67,B154)</f>
        <v>0</v>
      </c>
      <c r="P149" s="259">
        <f>ROUND(M149*N149*O149,2)</f>
        <v>0</v>
      </c>
      <c r="Q149" s="66">
        <f>IF(D149&lt;=3,база!$L$4,
IF(D149=4,база!$L$5,
IF(D149=5,база!$L$6)))</f>
        <v>210.57480000000001</v>
      </c>
      <c r="R149" s="248">
        <v>1</v>
      </c>
      <c r="S149" s="89">
        <f>SUMIFS(Таблица1[сумма],Таблица1[коэф],"1",Таблица1[р/р],"3/16",Таблица1[Ф. И. О.],B154)</f>
        <v>0</v>
      </c>
      <c r="T149" s="81">
        <f t="shared" si="88"/>
        <v>0</v>
      </c>
      <c r="U149" s="340">
        <f>IF(D149&lt;=3,база!$M$4,
IF(D149=4,база!$M$5,
IF(D149=5,база!$M$6)))</f>
        <v>225.09719999999999</v>
      </c>
      <c r="V149" s="248">
        <v>1</v>
      </c>
      <c r="W149" s="316">
        <f>SUMIFS(Таблица1[сумма],Таблица1[коэф],"1",Таблица1[р/р],"3/24",Таблица1[Ф. И. О.],B154)</f>
        <v>0</v>
      </c>
      <c r="X149" s="319">
        <f>ROUND(U149*V149*W149,2)</f>
        <v>0</v>
      </c>
      <c r="Y149" s="803">
        <f t="shared" ref="Y149" si="89">SUM(G149:G159,K149:K159,O149:O159,S149:S159,W149:W159)</f>
        <v>0</v>
      </c>
      <c r="Z149" s="794">
        <f t="shared" ref="Z149" si="90">IFERROR(SUM(H149:H159,L149:L159,T149:T159,X149:X159),"")</f>
        <v>0</v>
      </c>
      <c r="AA149" s="797"/>
    </row>
    <row r="150" spans="1:29">
      <c r="A150" s="740"/>
      <c r="B150" s="201"/>
      <c r="C150" s="799"/>
      <c r="D150" s="801"/>
      <c r="E150" s="72">
        <f>IF(D149&lt;=3,база!$I$4,
IF(D149=4,база!$I$5,
IF(D149=5,база!$I$6)))</f>
        <v>188.7912</v>
      </c>
      <c r="F150" s="250">
        <v>1</v>
      </c>
      <c r="G150" s="92">
        <f>SUMIFS(Таблица1[сумма],Таблица1[коэф],"1",Таблица1[р/р],"3/4",Таблица1[Ф. И. О.],B154)</f>
        <v>0</v>
      </c>
      <c r="H150" s="88">
        <f>ROUND(E150*F150*G150,2)</f>
        <v>0</v>
      </c>
      <c r="I150" s="76">
        <f>IF(D149&lt;=3,база!$J$4,
IF(D149=4,база!$J$5,
IF(D149=5,база!$J$6)))</f>
        <v>196.05240000000001</v>
      </c>
      <c r="J150" s="250">
        <v>1</v>
      </c>
      <c r="K150" s="202">
        <f>SUMIFS(Таблица1[сумма],Таблица1[коэф],"1",Таблица1[р/р],"3/8",Таблица1[Ф. И. О.],B154)</f>
        <v>0</v>
      </c>
      <c r="L150" s="202">
        <f>ROUND(I150*J150*K150,2)</f>
        <v>0</v>
      </c>
      <c r="M150" s="202"/>
      <c r="N150" s="202">
        <v>1</v>
      </c>
      <c r="O150" s="202">
        <f>SUMIFS(Data_Tech!$AM$3:$AM$67,Data_Tech!$E$3:$E$67,"1",Data_Tech!$G$3:$G$67,"4/12",Data_Tech!$F$3:$F$67,B154)</f>
        <v>0</v>
      </c>
      <c r="P150" s="28">
        <f>ROUND(M150*O150,2)</f>
        <v>0</v>
      </c>
      <c r="Q150" s="72">
        <f>база!$L$5</f>
        <v>231.45480000000001</v>
      </c>
      <c r="R150" s="250">
        <v>1</v>
      </c>
      <c r="S150" s="92">
        <f>SUMIFS(Таблица1[сумма],Таблица1[коэф],"1",Таблица1[р/р],"4/16",Таблица1[Ф. И. О.],B154)</f>
        <v>0</v>
      </c>
      <c r="T150" s="88">
        <f t="shared" si="88"/>
        <v>0</v>
      </c>
      <c r="U150" s="338">
        <f>база!$M$5</f>
        <v>247.41720000000001</v>
      </c>
      <c r="V150" s="250">
        <v>1</v>
      </c>
      <c r="W150" s="292">
        <f>SUMIFS(Таблица1[сумма],Таблица1[коэф],"1",Таблица1[р/р],"4/24",Таблица1[Ф. И. О.],B154)</f>
        <v>0</v>
      </c>
      <c r="X150" s="291">
        <f t="shared" ref="X150" si="91">ROUND(U150*V150*W150,2)</f>
        <v>0</v>
      </c>
      <c r="Y150" s="803"/>
      <c r="Z150" s="794"/>
      <c r="AA150" s="797"/>
    </row>
    <row r="151" spans="1:29" ht="24" thickBot="1">
      <c r="A151" s="740"/>
      <c r="B151" s="201"/>
      <c r="C151" s="799"/>
      <c r="D151" s="801"/>
      <c r="E151" s="72"/>
      <c r="F151" s="250"/>
      <c r="G151" s="92"/>
      <c r="H151" s="88"/>
      <c r="I151" s="76"/>
      <c r="J151" s="250"/>
      <c r="K151" s="202"/>
      <c r="L151" s="202"/>
      <c r="M151" s="202"/>
      <c r="N151" s="202"/>
      <c r="O151" s="202"/>
      <c r="P151" s="28"/>
      <c r="Q151" s="72">
        <f>база!$L$6</f>
        <v>261.04640000000001</v>
      </c>
      <c r="R151" s="250">
        <v>1</v>
      </c>
      <c r="S151" s="92">
        <f>SUMIFS(Таблица1[сумма],Таблица1[коэф],"1",Таблица1[р/р],"5/16",Таблица1[Ф. И. О.],B154)</f>
        <v>0</v>
      </c>
      <c r="T151" s="88">
        <f t="shared" si="88"/>
        <v>0</v>
      </c>
      <c r="U151" s="338">
        <f>база!$M$6</f>
        <v>279.0496</v>
      </c>
      <c r="V151" s="250">
        <v>1</v>
      </c>
      <c r="W151" s="292">
        <f>SUMIFS(Таблица1[сумма],Таблица1[коэф],"1",Таблица1[р/р],"5/24",Таблица1[Ф. И. О.],B154)</f>
        <v>0</v>
      </c>
      <c r="X151" s="291">
        <f>ROUND(U151*V151*W151,2)</f>
        <v>0</v>
      </c>
      <c r="Y151" s="803"/>
      <c r="Z151" s="794"/>
      <c r="AA151" s="797"/>
    </row>
    <row r="152" spans="1:29" ht="24" thickBot="1">
      <c r="A152" s="740"/>
      <c r="B152" s="201"/>
      <c r="C152" s="799"/>
      <c r="D152" s="801"/>
      <c r="E152" s="72"/>
      <c r="F152" s="250"/>
      <c r="G152" s="92"/>
      <c r="H152" s="88"/>
      <c r="I152" s="76">
        <f>база!$J$5</f>
        <v>215.4924</v>
      </c>
      <c r="J152" s="250">
        <v>1.5</v>
      </c>
      <c r="K152" s="202">
        <f>SUMIFS(Таблица1[сумма],Таблица1[коэф],"1,5",Таблица1[р/р],"4/8",Таблица1[Ф. И. О.],B154)</f>
        <v>0</v>
      </c>
      <c r="L152" s="202">
        <f>ROUND(I152*J152*K152,2)</f>
        <v>0</v>
      </c>
      <c r="M152" s="202"/>
      <c r="N152" s="202"/>
      <c r="O152" s="202"/>
      <c r="P152" s="28"/>
      <c r="Q152" s="72">
        <f>IF(D149&lt;=3,база!$L$4,
IF(D149=4,база!$L$5,
IF(D149=5,база!$L$6)))</f>
        <v>210.57480000000001</v>
      </c>
      <c r="R152" s="250">
        <v>1.2</v>
      </c>
      <c r="S152" s="92">
        <f>SUMIFS(Таблица1[сумма],Таблица1[коэф],"1,2",Таблица1[р/р],"3/16",Таблица1[Ф. И. О.],B154)</f>
        <v>0</v>
      </c>
      <c r="T152" s="88">
        <f t="shared" ref="T152:T153" si="92">ROUND(Q152*R152*S152,2)</f>
        <v>0</v>
      </c>
      <c r="U152" s="338">
        <f>IF(D149&lt;=3,база!$M$4,
IF(D149=4,база!$M$5,
IF(D149=5,база!$M$6)))</f>
        <v>225.09719999999999</v>
      </c>
      <c r="V152" s="250">
        <v>1.2</v>
      </c>
      <c r="W152" s="292">
        <f>SUMIFS(Таблица1[сумма],Таблица1[коэф],"1,2",Таблица1[р/р],"3/24",Таблица1[Ф. И. О.],B154)</f>
        <v>0</v>
      </c>
      <c r="X152" s="291">
        <f t="shared" ref="X152:X153" si="93">ROUND(U152*V152*W152,2)</f>
        <v>0</v>
      </c>
      <c r="Y152" s="803"/>
      <c r="Z152" s="794"/>
      <c r="AA152" s="797"/>
    </row>
    <row r="153" spans="1:29" ht="24" thickBot="1">
      <c r="A153" s="740"/>
      <c r="B153" s="201"/>
      <c r="C153" s="799"/>
      <c r="D153" s="801"/>
      <c r="E153" s="72"/>
      <c r="F153" s="250"/>
      <c r="G153" s="92"/>
      <c r="H153" s="88"/>
      <c r="I153" s="76">
        <f>база!$J$6</f>
        <v>243.04319999999998</v>
      </c>
      <c r="J153" s="250">
        <v>1.5</v>
      </c>
      <c r="K153" s="202">
        <f>SUMIFS(Таблица1[сумма],Таблица1[коэф],"1,5",Таблица1[р/р],"5/8",Таблица1[Ф. И. О.],B154)</f>
        <v>0</v>
      </c>
      <c r="L153" s="202">
        <f>ROUND(I153*J153*K153,2)</f>
        <v>0</v>
      </c>
      <c r="M153" s="202"/>
      <c r="N153" s="202"/>
      <c r="O153" s="202"/>
      <c r="P153" s="28"/>
      <c r="Q153" s="72">
        <f>база!$L$5</f>
        <v>231.45480000000001</v>
      </c>
      <c r="R153" s="250">
        <v>1.2</v>
      </c>
      <c r="S153" s="92">
        <f>SUMIFS(Таблица1[сумма],Таблица1[коэф],"1,2",Таблица1[р/р],"4/16",Таблица1[Ф. И. О.],B154)</f>
        <v>0</v>
      </c>
      <c r="T153" s="88">
        <f t="shared" si="92"/>
        <v>0</v>
      </c>
      <c r="U153" s="338">
        <f>база!$M$5</f>
        <v>247.41720000000001</v>
      </c>
      <c r="V153" s="250">
        <v>1.2</v>
      </c>
      <c r="W153" s="292">
        <f>SUMIFS(Таблица1[сумма],Таблица1[коэф],"1,2",Таблица1[р/р],"4/24",Таблица1[Ф. И. О.],B154)</f>
        <v>0</v>
      </c>
      <c r="X153" s="291">
        <f t="shared" si="93"/>
        <v>0</v>
      </c>
      <c r="Y153" s="803"/>
      <c r="Z153" s="794"/>
      <c r="AA153" s="797"/>
      <c r="AC153" s="688" t="str">
        <f>IF(SUMIFS(Таблица1[Столбец2],Таблица1[Ф. И. О.],B154)-Z149=0,"",SUMIFS(Таблица1[Столбец2],Таблица1[Ф. И. О.],B154)-Z149)</f>
        <v/>
      </c>
    </row>
    <row r="154" spans="1:29" ht="24" thickBot="1">
      <c r="A154" s="740"/>
      <c r="B154" s="201" t="str">
        <f>база!B15</f>
        <v>Глинка Екатерина Юрьевна</v>
      </c>
      <c r="C154" s="799"/>
      <c r="D154" s="801"/>
      <c r="E154" s="72"/>
      <c r="F154" s="250"/>
      <c r="G154" s="92"/>
      <c r="H154" s="88"/>
      <c r="I154" s="76"/>
      <c r="J154" s="250"/>
      <c r="K154" s="202"/>
      <c r="L154" s="202"/>
      <c r="M154" s="202"/>
      <c r="N154" s="202"/>
      <c r="O154" s="202"/>
      <c r="P154" s="28"/>
      <c r="Q154" s="72">
        <f>база!$L$6</f>
        <v>261.04640000000001</v>
      </c>
      <c r="R154" s="250">
        <v>1.2</v>
      </c>
      <c r="S154" s="92">
        <f>SUMIFS(Таблица1[сумма],Таблица1[коэф],"1,2",Таблица1[р/р],"5/16",Таблица1[Ф. И. О.],B154)</f>
        <v>0</v>
      </c>
      <c r="T154" s="88">
        <f>ROUND(Q154*R154*S154,2)</f>
        <v>0</v>
      </c>
      <c r="U154" s="338">
        <f>база!$M$6</f>
        <v>279.0496</v>
      </c>
      <c r="V154" s="250">
        <v>1.2</v>
      </c>
      <c r="W154" s="292">
        <f>SUMIFS(Таблица1[сумма],Таблица1[коэф],"1,2",Таблица1[р/р],"5/24",Таблица1[Ф. И. О.],B154)</f>
        <v>0</v>
      </c>
      <c r="X154" s="291">
        <f>ROUND(U154*V154*W154,2)</f>
        <v>0</v>
      </c>
      <c r="Y154" s="803"/>
      <c r="Z154" s="794"/>
      <c r="AA154" s="797"/>
      <c r="AC154" s="688" t="str">
        <f>IF(SUMIFS(Таблица1[сумма],Таблица1[Ф. И. О.],B154)=Y149,"",B149&amp;"  часы не верны")</f>
        <v/>
      </c>
    </row>
    <row r="155" spans="1:29" ht="24" thickBot="1">
      <c r="A155" s="740"/>
      <c r="B155" s="201"/>
      <c r="C155" s="799"/>
      <c r="D155" s="801"/>
      <c r="E155" s="72"/>
      <c r="F155" s="250"/>
      <c r="G155" s="92"/>
      <c r="H155" s="88"/>
      <c r="I155" s="76"/>
      <c r="J155" s="250"/>
      <c r="K155" s="202"/>
      <c r="L155" s="202"/>
      <c r="M155" s="202"/>
      <c r="N155" s="202"/>
      <c r="O155" s="202"/>
      <c r="P155" s="28"/>
      <c r="Q155" s="72">
        <f>IF($D$6&lt;=3,база!$L$4,
IF($D$6=4,база!$L$5,
IF($D$6=5,база!$L$6)))</f>
        <v>231.45480000000001</v>
      </c>
      <c r="R155" s="250">
        <v>1.3</v>
      </c>
      <c r="S155" s="92">
        <f>SUMIFS(Таблица1[сумма],Таблица1[коэф],"1,3",Таблица1[р/р],"3/16",Таблица1[Ф. И. О.],B154)</f>
        <v>0</v>
      </c>
      <c r="T155" s="88">
        <f t="shared" ref="T155:T156" si="94">ROUND(Q155*R155*S155,2)</f>
        <v>0</v>
      </c>
      <c r="U155" s="338">
        <f>IF(D149&lt;=3,база!$M$4,
IF(D149=4,база!$M$5,
IF(D149=5,база!$M$6)))</f>
        <v>225.09719999999999</v>
      </c>
      <c r="V155" s="250">
        <v>1.3</v>
      </c>
      <c r="W155" s="292">
        <f>SUMIFS(Таблица1[сумма],Таблица1[коэф],"1,3",Таблица1[р/р],"3/24",Таблица1[Ф. И. О.],B154)</f>
        <v>0</v>
      </c>
      <c r="X155" s="291">
        <f t="shared" ref="X155:X156" si="95">ROUND(U155*V155*W155,2)</f>
        <v>0</v>
      </c>
      <c r="Y155" s="803"/>
      <c r="Z155" s="794"/>
      <c r="AA155" s="797"/>
    </row>
    <row r="156" spans="1:29" ht="24" thickBot="1">
      <c r="A156" s="740"/>
      <c r="B156" s="201"/>
      <c r="C156" s="799"/>
      <c r="D156" s="801"/>
      <c r="E156" s="72"/>
      <c r="F156" s="250"/>
      <c r="G156" s="92"/>
      <c r="H156" s="88"/>
      <c r="I156" s="76"/>
      <c r="J156" s="250"/>
      <c r="K156" s="202"/>
      <c r="L156" s="202"/>
      <c r="M156" s="202"/>
      <c r="N156" s="202"/>
      <c r="O156" s="202"/>
      <c r="P156" s="28"/>
      <c r="Q156" s="72">
        <f>база!$L$5</f>
        <v>231.45480000000001</v>
      </c>
      <c r="R156" s="250">
        <v>1.3</v>
      </c>
      <c r="S156" s="92">
        <f>SUMIFS(Таблица1[сумма],Таблица1[коэф],"1,3",Таблица1[р/р],"4/16",Таблица1[Ф. И. О.],B154)</f>
        <v>0</v>
      </c>
      <c r="T156" s="88">
        <f t="shared" si="94"/>
        <v>0</v>
      </c>
      <c r="U156" s="338">
        <f>база!$M$5</f>
        <v>247.41720000000001</v>
      </c>
      <c r="V156" s="250">
        <v>1.3</v>
      </c>
      <c r="W156" s="292">
        <f>SUMIFS(Таблица1[сумма],Таблица1[коэф],"1,3",Таблица1[р/р],"4/24",Таблица1[Ф. И. О.],B154)</f>
        <v>0</v>
      </c>
      <c r="X156" s="291">
        <f t="shared" si="95"/>
        <v>0</v>
      </c>
      <c r="Y156" s="803"/>
      <c r="Z156" s="794"/>
      <c r="AA156" s="797"/>
    </row>
    <row r="157" spans="1:29" ht="24" thickBot="1">
      <c r="A157" s="740"/>
      <c r="B157" s="201"/>
      <c r="C157" s="799"/>
      <c r="D157" s="801"/>
      <c r="E157" s="72"/>
      <c r="F157" s="250"/>
      <c r="G157" s="92"/>
      <c r="H157" s="88"/>
      <c r="I157" s="76"/>
      <c r="J157" s="250"/>
      <c r="K157" s="202"/>
      <c r="L157" s="202"/>
      <c r="M157" s="202"/>
      <c r="N157" s="202"/>
      <c r="O157" s="202"/>
      <c r="P157" s="28"/>
      <c r="Q157" s="72">
        <f>IF(D149&lt;=3,база!$L$4,
IF(D149=4,база!$L$5,
IF(D149=5,база!$L$6)))</f>
        <v>210.57480000000001</v>
      </c>
      <c r="R157" s="250">
        <v>1.4</v>
      </c>
      <c r="S157" s="92">
        <f>SUMIFS(Таблица1[сумма],Таблица1[коэф],"1,4",Таблица1[р/р],"3/16",Таблица1[Ф. И. О.],B154)</f>
        <v>0</v>
      </c>
      <c r="T157" s="88">
        <f t="shared" ref="T157:T162" si="96">ROUND(Q157*R157*S157,2)</f>
        <v>0</v>
      </c>
      <c r="U157" s="338">
        <f>IF(D149&lt;=3,база!$M$4,
IF(D149=4,база!$M$5,
IF(D149=5,база!$M$6)))</f>
        <v>225.09719999999999</v>
      </c>
      <c r="V157" s="250">
        <v>1.4</v>
      </c>
      <c r="W157" s="292">
        <f>SUMIFS(Таблица1[сумма],Таблица1[коэф],"1,4",Таблица1[р/р],"3/24",Таблица1[Ф. И. О.],B154)</f>
        <v>0</v>
      </c>
      <c r="X157" s="291">
        <f>ROUND(U157*V157*W157,2)</f>
        <v>0</v>
      </c>
      <c r="Y157" s="803"/>
      <c r="Z157" s="794"/>
      <c r="AA157" s="797"/>
    </row>
    <row r="158" spans="1:29" ht="24" thickBot="1">
      <c r="A158" s="740"/>
      <c r="B158" s="201"/>
      <c r="C158" s="799"/>
      <c r="D158" s="801"/>
      <c r="E158" s="72"/>
      <c r="F158" s="250"/>
      <c r="G158" s="92"/>
      <c r="H158" s="88"/>
      <c r="I158" s="76"/>
      <c r="J158" s="250"/>
      <c r="K158" s="202"/>
      <c r="L158" s="202"/>
      <c r="M158" s="202"/>
      <c r="N158" s="202"/>
      <c r="O158" s="202"/>
      <c r="P158" s="28"/>
      <c r="Q158" s="72">
        <f>база!$L$5</f>
        <v>231.45480000000001</v>
      </c>
      <c r="R158" s="250">
        <v>1.4</v>
      </c>
      <c r="S158" s="92">
        <f>SUMIFS(Таблица1[сумма],Таблица1[коэф],"1,4",Таблица1[р/р],"4/16",Таблица1[Ф. И. О.],B154)</f>
        <v>0</v>
      </c>
      <c r="T158" s="88">
        <f t="shared" si="96"/>
        <v>0</v>
      </c>
      <c r="U158" s="338">
        <f>база!$M$5</f>
        <v>247.41720000000001</v>
      </c>
      <c r="V158" s="250">
        <v>1.4</v>
      </c>
      <c r="W158" s="292">
        <f>SUMIFS(Таблица1[сумма],Таблица1[коэф],"1,4",Таблица1[р/р],"4/24",Таблица1[Ф. И. О.],B154)</f>
        <v>0</v>
      </c>
      <c r="X158" s="291">
        <f>ROUND(U158*V158*W158,2)</f>
        <v>0</v>
      </c>
      <c r="Y158" s="803"/>
      <c r="Z158" s="794"/>
      <c r="AA158" s="797"/>
    </row>
    <row r="159" spans="1:29" ht="24" thickBot="1">
      <c r="A159" s="741"/>
      <c r="B159" s="188"/>
      <c r="C159" s="800"/>
      <c r="D159" s="802"/>
      <c r="E159" s="95"/>
      <c r="F159" s="252"/>
      <c r="G159" s="91"/>
      <c r="H159" s="84"/>
      <c r="I159" s="206"/>
      <c r="J159" s="252"/>
      <c r="K159" s="267"/>
      <c r="L159" s="267"/>
      <c r="M159" s="267"/>
      <c r="N159" s="267"/>
      <c r="O159" s="267"/>
      <c r="P159" s="293"/>
      <c r="Q159" s="95">
        <f>база!$L$6</f>
        <v>261.04640000000001</v>
      </c>
      <c r="R159" s="252">
        <v>1.4</v>
      </c>
      <c r="S159" s="91">
        <f>SUMIFS(Таблица1[сумма],Таблица1[коэф],"1,4",Таблица1[р/р],"5/16",Таблица1[Ф. И. О.],B154)</f>
        <v>0</v>
      </c>
      <c r="T159" s="84">
        <f t="shared" si="96"/>
        <v>0</v>
      </c>
      <c r="U159" s="341">
        <f>база!$M$6</f>
        <v>279.0496</v>
      </c>
      <c r="V159" s="252">
        <v>1.4</v>
      </c>
      <c r="W159" s="324">
        <f>SUMIFS(Таблица1[сумма],Таблица1[коэф],"1,4",Таблица1[р/р],"5/24",Таблица1[Ф. И. О.],B154)</f>
        <v>0</v>
      </c>
      <c r="X159" s="320">
        <f>ROUND(U159*V159*W159,2)</f>
        <v>0</v>
      </c>
      <c r="Y159" s="804"/>
      <c r="Z159" s="795"/>
      <c r="AA159" s="798"/>
    </row>
    <row r="160" spans="1:29">
      <c r="A160" s="739">
        <v>15</v>
      </c>
      <c r="B160" s="201"/>
      <c r="C160" s="805">
        <f>INDEX(база!$E$2:$E$81, MATCH(B165,база!$B$2:$B$50,0))</f>
        <v>15880</v>
      </c>
      <c r="D160" s="806">
        <f>INDEX(база!$D$2:$D$89, MATCH(B165,база!$B$2:$B$50,0))</f>
        <v>3</v>
      </c>
      <c r="E160" s="75">
        <f>IF(D160&lt;=3,база!$I$4,
IF(D160=4,база!$I$5,
IF(D160=5,база!$I$6)))</f>
        <v>188.7912</v>
      </c>
      <c r="F160" s="249">
        <v>1</v>
      </c>
      <c r="G160" s="90">
        <f>SUMIFS(Таблица1[сумма],Таблица1[коэф],"1",Таблица1[р/р],"2/4",Таблица1[Ф. И. О.],B165)</f>
        <v>0</v>
      </c>
      <c r="H160" s="289">
        <f>ROUND(E160*F160*G160,2)</f>
        <v>0</v>
      </c>
      <c r="I160" s="66">
        <f>IF(D160&lt;=3,база!$J$4,
IF(D160=4,база!$J$5,
IF(D160=5,база!$J$6)))</f>
        <v>196.05240000000001</v>
      </c>
      <c r="J160" s="248">
        <v>1</v>
      </c>
      <c r="K160" s="266">
        <f>SUMIFS(Таблица1[сумма],Таблица1[коэф],"1",Таблица1[р/р],"2/8",Таблица1[Ф. И. О.],B165)</f>
        <v>0</v>
      </c>
      <c r="L160" s="266">
        <f>ROUND(I160*J160*K160,2)</f>
        <v>0</v>
      </c>
      <c r="M160" s="266"/>
      <c r="N160" s="266">
        <v>1</v>
      </c>
      <c r="O160" s="266">
        <f>SUMIFS(Data_Tech!$AM$3:$AM$67,Data_Tech!$E$3:$E$67,"1",Data_Tech!$G$3:$G$67,"3/12",Data_Tech!$F$3:$F$67,B165)</f>
        <v>0</v>
      </c>
      <c r="P160" s="26">
        <f>ROUND(M160*N160*O160,2)</f>
        <v>0</v>
      </c>
      <c r="Q160" s="66">
        <f>IF(D160&lt;=3,база!$L$4,
IF(D160=4,база!$L$5,
IF(D160=5,база!$L$6)))</f>
        <v>210.57480000000001</v>
      </c>
      <c r="R160" s="249">
        <v>1</v>
      </c>
      <c r="S160" s="90">
        <f>SUMIFS(Таблица1[сумма],Таблица1[коэф],"1",Таблица1[р/р],"3/16",Таблица1[Ф. И. О.],B165)</f>
        <v>0</v>
      </c>
      <c r="T160" s="289">
        <f t="shared" si="96"/>
        <v>0</v>
      </c>
      <c r="U160" s="342">
        <f>IF(D160&lt;=3,база!$M$4,
IF(D160=4,база!$M$5,
IF(D160=5,база!$M$6)))</f>
        <v>225.09719999999999</v>
      </c>
      <c r="V160" s="248">
        <v>1</v>
      </c>
      <c r="W160" s="317">
        <f>SUMIFS(Таблица1[сумма],Таблица1[коэф],"1",Таблица1[р/р],"3/24",Таблица1[Ф. И. О.],B165)</f>
        <v>0</v>
      </c>
      <c r="X160" s="319">
        <f>ROUND(U160*V160*W160,2)</f>
        <v>0</v>
      </c>
      <c r="Y160" s="803">
        <f t="shared" ref="Y160" si="97">SUM(G160:G170,K160:K170,O160:O170,S160:S170,W160:W170)</f>
        <v>0</v>
      </c>
      <c r="Z160" s="794">
        <f t="shared" ref="Z160" si="98">IFERROR(SUM(H160:H170,L160:L170,T160:T170,X160:X170),"")</f>
        <v>0</v>
      </c>
      <c r="AA160" s="797"/>
    </row>
    <row r="161" spans="1:29">
      <c r="A161" s="740"/>
      <c r="B161" s="201"/>
      <c r="C161" s="799"/>
      <c r="D161" s="801"/>
      <c r="E161" s="76">
        <f>IF(D160&lt;=3,база!$I$4,
IF(D160=4,база!$I$5,
IF(D160=5,база!$I$6)))</f>
        <v>188.7912</v>
      </c>
      <c r="F161" s="250">
        <v>1</v>
      </c>
      <c r="G161" s="92">
        <f>SUMIFS(Таблица1[сумма],Таблица1[коэф],"1",Таблица1[р/р],"3/4",Таблица1[Ф. И. О.],B165)</f>
        <v>0</v>
      </c>
      <c r="H161" s="86">
        <f>ROUND(E161*F161*G161,2)</f>
        <v>0</v>
      </c>
      <c r="I161" s="72">
        <f>IF(D160&lt;=3,база!$J$4,
IF(D160=4,база!$J$5,
IF(D160=5,база!$J$6)))</f>
        <v>196.05240000000001</v>
      </c>
      <c r="J161" s="250">
        <v>1</v>
      </c>
      <c r="K161" s="202">
        <f>SUMIFS(Таблица1[сумма],Таблица1[коэф],"1",Таблица1[р/р],"3/8",Таблица1[Ф. И. О.],B165)</f>
        <v>0</v>
      </c>
      <c r="L161" s="202">
        <f>ROUND(I161*J161*K161,2)</f>
        <v>0</v>
      </c>
      <c r="M161" s="202"/>
      <c r="N161" s="202">
        <v>1</v>
      </c>
      <c r="O161" s="202">
        <f>SUMIFS(Data_Tech!$AM$3:$AM$67,Data_Tech!$E$3:$E$67,"1",Data_Tech!$G$3:$G$67,"4/12",Data_Tech!$F$3:$F$67,B165)</f>
        <v>0</v>
      </c>
      <c r="P161" s="27">
        <f>ROUND(M161*O161,2)</f>
        <v>0</v>
      </c>
      <c r="Q161" s="72">
        <f>база!$L$5</f>
        <v>231.45480000000001</v>
      </c>
      <c r="R161" s="250">
        <v>1</v>
      </c>
      <c r="S161" s="92">
        <f>SUMIFS(Таблица1[сумма],Таблица1[коэф],"1",Таблица1[р/р],"4/16",Таблица1[Ф. И. О.],B165)</f>
        <v>0</v>
      </c>
      <c r="T161" s="86">
        <f t="shared" si="96"/>
        <v>0</v>
      </c>
      <c r="U161" s="343">
        <f>база!$M$5</f>
        <v>247.41720000000001</v>
      </c>
      <c r="V161" s="250">
        <v>1</v>
      </c>
      <c r="W161" s="285">
        <f>SUMIFS(Таблица1[сумма],Таблица1[коэф],"1",Таблица1[р/р],"4/24",Таблица1[Ф. И. О.],B165)</f>
        <v>0</v>
      </c>
      <c r="X161" s="291">
        <f t="shared" ref="X161" si="99">ROUND(U161*V161*W161,2)</f>
        <v>0</v>
      </c>
      <c r="Y161" s="803"/>
      <c r="Z161" s="794"/>
      <c r="AA161" s="797"/>
    </row>
    <row r="162" spans="1:29">
      <c r="A162" s="740"/>
      <c r="B162" s="201"/>
      <c r="C162" s="799"/>
      <c r="D162" s="801"/>
      <c r="E162" s="76"/>
      <c r="F162" s="250"/>
      <c r="G162" s="92"/>
      <c r="H162" s="86"/>
      <c r="I162" s="72"/>
      <c r="J162" s="250"/>
      <c r="K162" s="202"/>
      <c r="L162" s="202"/>
      <c r="M162" s="202"/>
      <c r="N162" s="202"/>
      <c r="O162" s="202"/>
      <c r="P162" s="27"/>
      <c r="Q162" s="72">
        <f>база!$L$6</f>
        <v>261.04640000000001</v>
      </c>
      <c r="R162" s="250">
        <v>1</v>
      </c>
      <c r="S162" s="92">
        <f>SUMIFS(Таблица1[сумма],Таблица1[коэф],"1",Таблица1[р/р],"5/16",Таблица1[Ф. И. О.],B165)</f>
        <v>0</v>
      </c>
      <c r="T162" s="86">
        <f t="shared" si="96"/>
        <v>0</v>
      </c>
      <c r="U162" s="343">
        <f>база!$M$6</f>
        <v>279.0496</v>
      </c>
      <c r="V162" s="250">
        <v>1</v>
      </c>
      <c r="W162" s="285">
        <f>SUMIFS(Таблица1[сумма],Таблица1[коэф],"1",Таблица1[р/р],"5/24",Таблица1[Ф. И. О.],B165)</f>
        <v>0</v>
      </c>
      <c r="X162" s="291">
        <f>ROUND(U162*V162*W162,2)</f>
        <v>0</v>
      </c>
      <c r="Y162" s="803"/>
      <c r="Z162" s="794"/>
      <c r="AA162" s="797"/>
    </row>
    <row r="163" spans="1:29">
      <c r="A163" s="740"/>
      <c r="B163" s="201"/>
      <c r="C163" s="799"/>
      <c r="D163" s="801"/>
      <c r="E163" s="76"/>
      <c r="F163" s="250"/>
      <c r="G163" s="92"/>
      <c r="H163" s="86"/>
      <c r="I163" s="72">
        <f>база!$J$5</f>
        <v>215.4924</v>
      </c>
      <c r="J163" s="250">
        <v>1.5</v>
      </c>
      <c r="K163" s="202">
        <f>SUMIFS(Таблица1[сумма],Таблица1[коэф],"1,5",Таблица1[р/р],"4/8",Таблица1[Ф. И. О.],B165)</f>
        <v>0</v>
      </c>
      <c r="L163" s="202">
        <f>ROUND(I163*J163*K163,2)</f>
        <v>0</v>
      </c>
      <c r="M163" s="202"/>
      <c r="N163" s="202"/>
      <c r="O163" s="202"/>
      <c r="P163" s="27"/>
      <c r="Q163" s="72">
        <f>IF(D160&lt;=3,база!$L$4,
IF(D160=4,база!$L$5,
IF(D160=5,база!$L$6)))</f>
        <v>210.57480000000001</v>
      </c>
      <c r="R163" s="250">
        <v>1.2</v>
      </c>
      <c r="S163" s="92">
        <f>SUMIFS(Таблица1[сумма],Таблица1[коэф],"1,2",Таблица1[р/р],"3/16",Таблица1[Ф. И. О.],B165)</f>
        <v>0</v>
      </c>
      <c r="T163" s="86">
        <f t="shared" ref="T163:T164" si="100">ROUND(Q163*R163*S163,2)</f>
        <v>0</v>
      </c>
      <c r="U163" s="343">
        <f>IF(D160&lt;=3,база!$M$4,
IF(D160=4,база!$M$5,
IF(D160=5,база!$M$6)))</f>
        <v>225.09719999999999</v>
      </c>
      <c r="V163" s="250">
        <v>1.2</v>
      </c>
      <c r="W163" s="285">
        <f>SUMIFS(Таблица1[сумма],Таблица1[коэф],"1,2",Таблица1[р/р],"3/24",Таблица1[Ф. И. О.],B165)</f>
        <v>0</v>
      </c>
      <c r="X163" s="291">
        <f t="shared" ref="X163:X164" si="101">ROUND(U163*V163*W163,2)</f>
        <v>0</v>
      </c>
      <c r="Y163" s="803"/>
      <c r="Z163" s="794"/>
      <c r="AA163" s="797"/>
    </row>
    <row r="164" spans="1:29">
      <c r="A164" s="740"/>
      <c r="B164" s="201"/>
      <c r="C164" s="799"/>
      <c r="D164" s="801"/>
      <c r="E164" s="76"/>
      <c r="F164" s="250"/>
      <c r="G164" s="92"/>
      <c r="H164" s="86"/>
      <c r="I164" s="72">
        <f>база!$J$6</f>
        <v>243.04319999999998</v>
      </c>
      <c r="J164" s="250">
        <v>1.5</v>
      </c>
      <c r="K164" s="202">
        <f>SUMIFS(Таблица1[сумма],Таблица1[коэф],"1,5",Таблица1[р/р],"5/8",Таблица1[Ф. И. О.],B165)</f>
        <v>0</v>
      </c>
      <c r="L164" s="202">
        <f>ROUND(I164*J164*K164,2)</f>
        <v>0</v>
      </c>
      <c r="M164" s="202"/>
      <c r="N164" s="202"/>
      <c r="O164" s="202"/>
      <c r="P164" s="27"/>
      <c r="Q164" s="72">
        <f>база!$L$5</f>
        <v>231.45480000000001</v>
      </c>
      <c r="R164" s="250">
        <v>1.2</v>
      </c>
      <c r="S164" s="92">
        <f>SUMIFS(Таблица1[сумма],Таблица1[коэф],"1,2",Таблица1[р/р],"4/16",Таблица1[Ф. И. О.],B165)</f>
        <v>0</v>
      </c>
      <c r="T164" s="86">
        <f t="shared" si="100"/>
        <v>0</v>
      </c>
      <c r="U164" s="343">
        <f>база!$M$5</f>
        <v>247.41720000000001</v>
      </c>
      <c r="V164" s="250">
        <v>1.2</v>
      </c>
      <c r="W164" s="285">
        <f>SUMIFS(Таблица1[сумма],Таблица1[коэф],"1,2",Таблица1[р/р],"4/24",Таблица1[Ф. И. О.],B165)</f>
        <v>0</v>
      </c>
      <c r="X164" s="291">
        <f t="shared" si="101"/>
        <v>0</v>
      </c>
      <c r="Y164" s="803"/>
      <c r="Z164" s="794"/>
      <c r="AA164" s="797"/>
      <c r="AC164" s="688" t="str">
        <f>IF(SUMIFS(Таблица1[Столбец2],Таблица1[Ф. И. О.],B165)-Z160=0,"",SUMIFS(Таблица1[Столбец2],Таблица1[Ф. И. О.],B165)-Z160)</f>
        <v/>
      </c>
    </row>
    <row r="165" spans="1:29">
      <c r="A165" s="740"/>
      <c r="B165" s="201" t="str">
        <f>база!B16</f>
        <v>Грешнова Ольга Викторовна</v>
      </c>
      <c r="C165" s="799"/>
      <c r="D165" s="801"/>
      <c r="E165" s="76"/>
      <c r="F165" s="250"/>
      <c r="G165" s="92"/>
      <c r="H165" s="86"/>
      <c r="I165" s="72"/>
      <c r="J165" s="250"/>
      <c r="K165" s="202"/>
      <c r="L165" s="202"/>
      <c r="M165" s="202"/>
      <c r="N165" s="202"/>
      <c r="O165" s="202"/>
      <c r="P165" s="27"/>
      <c r="Q165" s="72">
        <f>база!$L$6</f>
        <v>261.04640000000001</v>
      </c>
      <c r="R165" s="250">
        <v>1.2</v>
      </c>
      <c r="S165" s="92">
        <f>SUMIFS(Таблица1[сумма],Таблица1[коэф],"1,2",Таблица1[р/р],"5/16",Таблица1[Ф. И. О.],B165)</f>
        <v>0</v>
      </c>
      <c r="T165" s="86">
        <f>ROUND(Q165*R165*S165,2)</f>
        <v>0</v>
      </c>
      <c r="U165" s="343">
        <f>база!$M$6</f>
        <v>279.0496</v>
      </c>
      <c r="V165" s="250">
        <v>1.2</v>
      </c>
      <c r="W165" s="285">
        <f>SUMIFS(Таблица1[сумма],Таблица1[коэф],"1,2",Таблица1[р/р],"5/24",Таблица1[Ф. И. О.],B165)</f>
        <v>0</v>
      </c>
      <c r="X165" s="291">
        <f>ROUND(U165*V165*W165,2)</f>
        <v>0</v>
      </c>
      <c r="Y165" s="803"/>
      <c r="Z165" s="794"/>
      <c r="AA165" s="797"/>
      <c r="AC165" s="688" t="str">
        <f>IF(SUMIFS(Таблица1[сумма],Таблица1[Ф. И. О.],B165)=Y160,"",B160&amp;"  часы не верны")</f>
        <v/>
      </c>
    </row>
    <row r="166" spans="1:29">
      <c r="A166" s="740"/>
      <c r="B166" s="201"/>
      <c r="C166" s="799"/>
      <c r="D166" s="801"/>
      <c r="E166" s="76"/>
      <c r="F166" s="250"/>
      <c r="G166" s="92"/>
      <c r="H166" s="86"/>
      <c r="I166" s="72"/>
      <c r="J166" s="250"/>
      <c r="K166" s="202"/>
      <c r="L166" s="202"/>
      <c r="M166" s="202"/>
      <c r="N166" s="202"/>
      <c r="O166" s="202"/>
      <c r="P166" s="27"/>
      <c r="Q166" s="72">
        <f>IF($D$6&lt;=3,база!$L$4,
IF($D$6=4,база!$L$5,
IF($D$6=5,база!$L$6)))</f>
        <v>231.45480000000001</v>
      </c>
      <c r="R166" s="250">
        <v>1.3</v>
      </c>
      <c r="S166" s="92">
        <f>SUMIFS(Таблица1[сумма],Таблица1[коэф],"1,3",Таблица1[р/р],"3/16",Таблица1[Ф. И. О.],B165)</f>
        <v>0</v>
      </c>
      <c r="T166" s="86">
        <f t="shared" ref="T166:T167" si="102">ROUND(Q166*R166*S166,2)</f>
        <v>0</v>
      </c>
      <c r="U166" s="343">
        <f>IF(D160&lt;=3,база!$M$4,
IF(D160=4,база!$M$5,
IF(D160=5,база!$M$6)))</f>
        <v>225.09719999999999</v>
      </c>
      <c r="V166" s="250">
        <v>1.3</v>
      </c>
      <c r="W166" s="285">
        <f>SUMIFS(Таблица1[сумма],Таблица1[коэф],"1,3",Таблица1[р/р],"3/24",Таблица1[Ф. И. О.],B165)</f>
        <v>0</v>
      </c>
      <c r="X166" s="291">
        <f t="shared" ref="X166:X167" si="103">ROUND(U166*V166*W166,2)</f>
        <v>0</v>
      </c>
      <c r="Y166" s="803"/>
      <c r="Z166" s="794"/>
      <c r="AA166" s="797"/>
    </row>
    <row r="167" spans="1:29">
      <c r="A167" s="740"/>
      <c r="B167" s="201"/>
      <c r="C167" s="799"/>
      <c r="D167" s="801"/>
      <c r="E167" s="76"/>
      <c r="F167" s="250"/>
      <c r="G167" s="92"/>
      <c r="H167" s="86"/>
      <c r="I167" s="72"/>
      <c r="J167" s="250"/>
      <c r="K167" s="202"/>
      <c r="L167" s="202"/>
      <c r="M167" s="202"/>
      <c r="N167" s="202"/>
      <c r="O167" s="202"/>
      <c r="P167" s="27"/>
      <c r="Q167" s="72">
        <f>база!$L$5</f>
        <v>231.45480000000001</v>
      </c>
      <c r="R167" s="250">
        <v>1.3</v>
      </c>
      <c r="S167" s="92">
        <f>SUMIFS(Таблица1[сумма],Таблица1[коэф],"1,3",Таблица1[р/р],"4/16",Таблица1[Ф. И. О.],B165)</f>
        <v>0</v>
      </c>
      <c r="T167" s="86">
        <f t="shared" si="102"/>
        <v>0</v>
      </c>
      <c r="U167" s="343">
        <f>база!$M$5</f>
        <v>247.41720000000001</v>
      </c>
      <c r="V167" s="250">
        <v>1.3</v>
      </c>
      <c r="W167" s="285">
        <f>SUMIFS(Таблица1[сумма],Таблица1[коэф],"1,3",Таблица1[р/р],"4/24",Таблица1[Ф. И. О.],B165)</f>
        <v>0</v>
      </c>
      <c r="X167" s="291">
        <f t="shared" si="103"/>
        <v>0</v>
      </c>
      <c r="Y167" s="803"/>
      <c r="Z167" s="794"/>
      <c r="AA167" s="797"/>
    </row>
    <row r="168" spans="1:29">
      <c r="A168" s="740"/>
      <c r="B168" s="201"/>
      <c r="C168" s="799"/>
      <c r="D168" s="801"/>
      <c r="E168" s="76"/>
      <c r="F168" s="250"/>
      <c r="G168" s="92"/>
      <c r="H168" s="86"/>
      <c r="I168" s="72"/>
      <c r="J168" s="250"/>
      <c r="K168" s="202"/>
      <c r="L168" s="202"/>
      <c r="M168" s="202"/>
      <c r="N168" s="202"/>
      <c r="O168" s="202"/>
      <c r="P168" s="27"/>
      <c r="Q168" s="72">
        <f>IF(D160&lt;=3,база!$L$4,
IF(D160=4,база!$L$5,
IF(D160=5,база!$L$6)))</f>
        <v>210.57480000000001</v>
      </c>
      <c r="R168" s="250">
        <v>1.4</v>
      </c>
      <c r="S168" s="92">
        <f>SUMIFS(Таблица1[сумма],Таблица1[коэф],"1,4",Таблица1[р/р],"3/16",Таблица1[Ф. И. О.],B165)</f>
        <v>0</v>
      </c>
      <c r="T168" s="86">
        <f t="shared" ref="T168:T173" si="104">ROUND(Q168*R168*S168,2)</f>
        <v>0</v>
      </c>
      <c r="U168" s="343">
        <f>IF(D160&lt;=3,база!$M$4,
IF(D160=4,база!$M$5,
IF(D160=5,база!$M$6)))</f>
        <v>225.09719999999999</v>
      </c>
      <c r="V168" s="250">
        <v>1.4</v>
      </c>
      <c r="W168" s="285">
        <f>SUMIFS(Таблица1[сумма],Таблица1[коэф],"1,4",Таблица1[р/р],"3/24",Таблица1[Ф. И. О.],B165)</f>
        <v>0</v>
      </c>
      <c r="X168" s="291">
        <f>ROUND(U168*V168*W168,2)</f>
        <v>0</v>
      </c>
      <c r="Y168" s="803"/>
      <c r="Z168" s="794"/>
      <c r="AA168" s="797"/>
    </row>
    <row r="169" spans="1:29">
      <c r="A169" s="740"/>
      <c r="B169" s="201"/>
      <c r="C169" s="799"/>
      <c r="D169" s="801"/>
      <c r="E169" s="76"/>
      <c r="F169" s="250"/>
      <c r="G169" s="92"/>
      <c r="H169" s="86"/>
      <c r="I169" s="72"/>
      <c r="J169" s="250"/>
      <c r="K169" s="202"/>
      <c r="L169" s="202"/>
      <c r="M169" s="202"/>
      <c r="N169" s="202"/>
      <c r="O169" s="202"/>
      <c r="P169" s="27"/>
      <c r="Q169" s="72">
        <f>база!$L$5</f>
        <v>231.45480000000001</v>
      </c>
      <c r="R169" s="250">
        <v>1.4</v>
      </c>
      <c r="S169" s="92">
        <f>SUMIFS(Таблица1[сумма],Таблица1[коэф],"1,4",Таблица1[р/р],"4/16",Таблица1[Ф. И. О.],B165)</f>
        <v>0</v>
      </c>
      <c r="T169" s="86">
        <f t="shared" si="104"/>
        <v>0</v>
      </c>
      <c r="U169" s="343">
        <f>база!$M$5</f>
        <v>247.41720000000001</v>
      </c>
      <c r="V169" s="250">
        <v>1.4</v>
      </c>
      <c r="W169" s="285">
        <f>SUMIFS(Таблица1[сумма],Таблица1[коэф],"1,4",Таблица1[р/р],"4/24",Таблица1[Ф. И. О.],B165)</f>
        <v>0</v>
      </c>
      <c r="X169" s="291">
        <f>ROUND(U169*V169*W169,2)</f>
        <v>0</v>
      </c>
      <c r="Y169" s="803"/>
      <c r="Z169" s="794"/>
      <c r="AA169" s="797"/>
    </row>
    <row r="170" spans="1:29" ht="24" thickBot="1">
      <c r="A170" s="741"/>
      <c r="B170" s="201"/>
      <c r="C170" s="800"/>
      <c r="D170" s="802"/>
      <c r="E170" s="281"/>
      <c r="F170" s="253"/>
      <c r="G170" s="98"/>
      <c r="H170" s="294"/>
      <c r="I170" s="203"/>
      <c r="J170" s="253"/>
      <c r="K170" s="280"/>
      <c r="L170" s="280"/>
      <c r="M170" s="280"/>
      <c r="N170" s="280"/>
      <c r="O170" s="280"/>
      <c r="P170" s="205"/>
      <c r="Q170" s="203">
        <f>база!$L$6</f>
        <v>261.04640000000001</v>
      </c>
      <c r="R170" s="253">
        <v>1.4</v>
      </c>
      <c r="S170" s="98">
        <f>SUMIFS(Таблица1[сумма],Таблица1[коэф],"1,4",Таблица1[р/р],"5/16",Таблица1[Ф. И. О.],B165)</f>
        <v>0</v>
      </c>
      <c r="T170" s="294">
        <f t="shared" si="104"/>
        <v>0</v>
      </c>
      <c r="U170" s="346">
        <f>база!$M$6</f>
        <v>279.0496</v>
      </c>
      <c r="V170" s="253">
        <v>1.4</v>
      </c>
      <c r="W170" s="310">
        <f>SUMIFS(Таблица1[сумма],Таблица1[коэф],"1,4",Таблица1[р/р],"5/24",Таблица1[Ф. И. О.],B165)</f>
        <v>0</v>
      </c>
      <c r="X170" s="327">
        <f>ROUND(U170*V170*W170,2)</f>
        <v>0</v>
      </c>
      <c r="Y170" s="804"/>
      <c r="Z170" s="795"/>
      <c r="AA170" s="798"/>
    </row>
    <row r="171" spans="1:29">
      <c r="A171" s="739">
        <v>16</v>
      </c>
      <c r="B171" s="219"/>
      <c r="C171" s="805">
        <f>INDEX(база!$E$2:$E$81, MATCH(B176,база!$B$2:$B$50,0))</f>
        <v>15894</v>
      </c>
      <c r="D171" s="806">
        <f>INDEX(база!$D$2:$D$89, MATCH(B176,база!$B$2:$B$50,0))</f>
        <v>3</v>
      </c>
      <c r="E171" s="288">
        <f>IF(D171&lt;=3,база!$I$4,
IF(D171=4,база!$I$5,
IF(D171=5,база!$I$6)))</f>
        <v>188.7912</v>
      </c>
      <c r="F171" s="248">
        <v>1</v>
      </c>
      <c r="G171" s="89">
        <f>SUMIFS(Таблица1[сумма],Таблица1[коэф],"1",Таблица1[р/р],"2/4",Таблица1[Ф. И. О.],B176)</f>
        <v>0</v>
      </c>
      <c r="H171" s="295">
        <f>ROUND(E171*F171*G171,2)</f>
        <v>0</v>
      </c>
      <c r="I171" s="66">
        <f>IF(D171&lt;=3,база!$J$4,
IF(D171=4,база!$J$5,
IF(D171=5,база!$J$6)))</f>
        <v>196.05240000000001</v>
      </c>
      <c r="J171" s="248">
        <v>1</v>
      </c>
      <c r="K171" s="266">
        <f>SUMIFS(Таблица1[сумма],Таблица1[коэф],"1",Таблица1[р/р],"2/8",Таблица1[Ф. И. О.],B176)</f>
        <v>0</v>
      </c>
      <c r="L171" s="266">
        <f>ROUND(I171*J171*K171,2)</f>
        <v>0</v>
      </c>
      <c r="M171" s="266"/>
      <c r="N171" s="266">
        <v>1</v>
      </c>
      <c r="O171" s="266">
        <f>SUMIFS(Data_Tech!$AM$3:$AM$67,Data_Tech!$E$3:$E$67,"1",Data_Tech!$G$3:$G$67,"3/12",Data_Tech!$F$3:$F$67,B176)</f>
        <v>0</v>
      </c>
      <c r="P171" s="26">
        <f>ROUND(M171*N171*O171,2)</f>
        <v>0</v>
      </c>
      <c r="Q171" s="66">
        <f>IF(D171&lt;=3,база!$L$4,
IF(D171=4,база!$L$5,
IF(D171=5,база!$L$6)))</f>
        <v>210.57480000000001</v>
      </c>
      <c r="R171" s="248">
        <v>1</v>
      </c>
      <c r="S171" s="89">
        <f>SUMIFS(Таблица1[сумма],Таблица1[коэф],"1",Таблица1[р/р],"3/16",Таблица1[Ф. И. О.],B176)</f>
        <v>0</v>
      </c>
      <c r="T171" s="295">
        <f t="shared" si="104"/>
        <v>0</v>
      </c>
      <c r="U171" s="342">
        <f>IF(D171&lt;=3,база!$M$4,
IF(D171=4,база!$M$5,
IF(D171=5,база!$M$6)))</f>
        <v>225.09719999999999</v>
      </c>
      <c r="V171" s="248">
        <v>1</v>
      </c>
      <c r="W171" s="317">
        <f>SUMIFS(Таблица1[сумма],Таблица1[коэф],"1",Таблица1[р/р],"3/24",Таблица1[Ф. И. О.],B176)</f>
        <v>0</v>
      </c>
      <c r="X171" s="319">
        <f>ROUND(U171*V171*W171,2)</f>
        <v>0</v>
      </c>
      <c r="Y171" s="803">
        <f t="shared" ref="Y171" si="105">SUM(G171:G181,K171:K181,O171:O181,S171:S181,W171:W181)</f>
        <v>0</v>
      </c>
      <c r="Z171" s="794">
        <f t="shared" ref="Z171" si="106">IFERROR(SUM(H171:H181,L171:L181,T171:T181,X171:X181),"")</f>
        <v>0</v>
      </c>
      <c r="AA171" s="797"/>
    </row>
    <row r="172" spans="1:29">
      <c r="A172" s="740"/>
      <c r="B172" s="201"/>
      <c r="C172" s="799"/>
      <c r="D172" s="801"/>
      <c r="E172" s="76">
        <f>IF(D171&lt;=3,база!$I$4,
IF(D171=4,база!$I$5,
IF(D171=5,база!$I$6)))</f>
        <v>188.7912</v>
      </c>
      <c r="F172" s="250">
        <v>1</v>
      </c>
      <c r="G172" s="92">
        <f>SUMIFS(Таблица1[сумма],Таблица1[коэф],"1",Таблица1[р/р],"3/4",Таблица1[Ф. И. О.],B176)</f>
        <v>0</v>
      </c>
      <c r="H172" s="86">
        <f>ROUND(E172*F172*G172,2)</f>
        <v>0</v>
      </c>
      <c r="I172" s="72">
        <f>IF(D171&lt;=3,база!$J$4,
IF(D171=4,база!$J$5,
IF(D171=5,база!$J$6)))</f>
        <v>196.05240000000001</v>
      </c>
      <c r="J172" s="250">
        <v>1</v>
      </c>
      <c r="K172" s="202">
        <f>SUMIFS(Таблица1[сумма],Таблица1[коэф],"1",Таблица1[р/р],"3/8",Таблица1[Ф. И. О.],B176)</f>
        <v>0</v>
      </c>
      <c r="L172" s="202">
        <f>ROUND(I172*J172*K172,2)</f>
        <v>0</v>
      </c>
      <c r="M172" s="202"/>
      <c r="N172" s="202">
        <v>1</v>
      </c>
      <c r="O172" s="202">
        <f>SUMIFS(Data_Tech!$AM$3:$AM$67,Data_Tech!$E$3:$E$67,"1",Data_Tech!$G$3:$G$67,"4/12",Data_Tech!$F$3:$F$67,B176)</f>
        <v>0</v>
      </c>
      <c r="P172" s="27">
        <f>ROUND(M172*O172,2)</f>
        <v>0</v>
      </c>
      <c r="Q172" s="72">
        <f>база!$L$5</f>
        <v>231.45480000000001</v>
      </c>
      <c r="R172" s="250">
        <v>1</v>
      </c>
      <c r="S172" s="92">
        <f>SUMIFS(Таблица1[сумма],Таблица1[коэф],"1",Таблица1[р/р],"4/16",Таблица1[Ф. И. О.],B176)</f>
        <v>0</v>
      </c>
      <c r="T172" s="86">
        <f t="shared" si="104"/>
        <v>0</v>
      </c>
      <c r="U172" s="343">
        <f>база!$M$5</f>
        <v>247.41720000000001</v>
      </c>
      <c r="V172" s="250">
        <v>1</v>
      </c>
      <c r="W172" s="285">
        <f>SUMIFS(Таблица1[сумма],Таблица1[коэф],"1",Таблица1[р/р],"4/24",Таблица1[Ф. И. О.],B176)</f>
        <v>0</v>
      </c>
      <c r="X172" s="291">
        <f t="shared" ref="X172" si="107">ROUND(U172*V172*W172,2)</f>
        <v>0</v>
      </c>
      <c r="Y172" s="803"/>
      <c r="Z172" s="794"/>
      <c r="AA172" s="797"/>
    </row>
    <row r="173" spans="1:29">
      <c r="A173" s="740"/>
      <c r="B173" s="201"/>
      <c r="C173" s="799"/>
      <c r="D173" s="801"/>
      <c r="E173" s="76"/>
      <c r="F173" s="250"/>
      <c r="G173" s="92"/>
      <c r="H173" s="86"/>
      <c r="I173" s="72"/>
      <c r="J173" s="250"/>
      <c r="K173" s="202"/>
      <c r="L173" s="202"/>
      <c r="M173" s="202"/>
      <c r="N173" s="202"/>
      <c r="O173" s="202"/>
      <c r="P173" s="27"/>
      <c r="Q173" s="72">
        <f>база!$L$6</f>
        <v>261.04640000000001</v>
      </c>
      <c r="R173" s="250">
        <v>1</v>
      </c>
      <c r="S173" s="92">
        <f>SUMIFS(Таблица1[сумма],Таблица1[коэф],"1",Таблица1[р/р],"5/16",Таблица1[Ф. И. О.],B176)</f>
        <v>0</v>
      </c>
      <c r="T173" s="86">
        <f t="shared" si="104"/>
        <v>0</v>
      </c>
      <c r="U173" s="343">
        <f>база!$M$6</f>
        <v>279.0496</v>
      </c>
      <c r="V173" s="250">
        <v>1</v>
      </c>
      <c r="W173" s="285">
        <f>SUMIFS(Таблица1[сумма],Таблица1[коэф],"1",Таблица1[р/р],"5/24",Таблица1[Ф. И. О.],B176)</f>
        <v>0</v>
      </c>
      <c r="X173" s="291">
        <f>ROUND(U173*V173*W173,2)</f>
        <v>0</v>
      </c>
      <c r="Y173" s="803"/>
      <c r="Z173" s="794"/>
      <c r="AA173" s="797"/>
    </row>
    <row r="174" spans="1:29">
      <c r="A174" s="740"/>
      <c r="B174" s="201"/>
      <c r="C174" s="799"/>
      <c r="D174" s="801"/>
      <c r="E174" s="76"/>
      <c r="F174" s="250"/>
      <c r="G174" s="92"/>
      <c r="H174" s="86"/>
      <c r="I174" s="72">
        <f>база!$J$5</f>
        <v>215.4924</v>
      </c>
      <c r="J174" s="250">
        <v>1.5</v>
      </c>
      <c r="K174" s="202">
        <f>SUMIFS(Таблица1[сумма],Таблица1[коэф],"1,5",Таблица1[р/р],"4/8",Таблица1[Ф. И. О.],B176)</f>
        <v>0</v>
      </c>
      <c r="L174" s="202">
        <f>ROUND(I174*J174*K174,2)</f>
        <v>0</v>
      </c>
      <c r="M174" s="202"/>
      <c r="N174" s="202"/>
      <c r="O174" s="202"/>
      <c r="P174" s="27"/>
      <c r="Q174" s="72">
        <f>IF(D171&lt;=3,база!$L$4,
IF(D171=4,база!$L$5,
IF(D171=5,база!$L$6)))</f>
        <v>210.57480000000001</v>
      </c>
      <c r="R174" s="250">
        <v>1.2</v>
      </c>
      <c r="S174" s="92">
        <f>SUMIFS(Таблица1[сумма],Таблица1[коэф],"1,2",Таблица1[р/р],"3/16",Таблица1[Ф. И. О.],B176)</f>
        <v>0</v>
      </c>
      <c r="T174" s="86">
        <f t="shared" ref="T174:T175" si="108">ROUND(Q174*R174*S174,2)</f>
        <v>0</v>
      </c>
      <c r="U174" s="343">
        <f>IF(D171&lt;=3,база!$M$4,
IF(D171=4,база!$M$5,
IF(D171=5,база!$M$6)))</f>
        <v>225.09719999999999</v>
      </c>
      <c r="V174" s="250">
        <v>1.2</v>
      </c>
      <c r="W174" s="285">
        <f>SUMIFS(Таблица1[сумма],Таблица1[коэф],"1,2",Таблица1[р/р],"3/24",Таблица1[Ф. И. О.],B176)</f>
        <v>0</v>
      </c>
      <c r="X174" s="291">
        <f t="shared" ref="X174:X175" si="109">ROUND(U174*V174*W174,2)</f>
        <v>0</v>
      </c>
      <c r="Y174" s="803"/>
      <c r="Z174" s="794"/>
      <c r="AA174" s="797"/>
    </row>
    <row r="175" spans="1:29">
      <c r="A175" s="740"/>
      <c r="B175" s="201"/>
      <c r="C175" s="799"/>
      <c r="D175" s="801"/>
      <c r="E175" s="76"/>
      <c r="F175" s="250"/>
      <c r="G175" s="92"/>
      <c r="H175" s="86"/>
      <c r="I175" s="72">
        <f>база!$J$6</f>
        <v>243.04319999999998</v>
      </c>
      <c r="J175" s="250">
        <v>1.5</v>
      </c>
      <c r="K175" s="202">
        <f>SUMIFS(Таблица1[сумма],Таблица1[коэф],"1,5",Таблица1[р/р],"5/8",Таблица1[Ф. И. О.],B176)</f>
        <v>0</v>
      </c>
      <c r="L175" s="202">
        <f>ROUND(I175*J175*K175,2)</f>
        <v>0</v>
      </c>
      <c r="M175" s="202"/>
      <c r="N175" s="202"/>
      <c r="O175" s="202"/>
      <c r="P175" s="27"/>
      <c r="Q175" s="72">
        <f>база!$L$5</f>
        <v>231.45480000000001</v>
      </c>
      <c r="R175" s="250">
        <v>1.2</v>
      </c>
      <c r="S175" s="92">
        <f>SUMIFS(Таблица1[сумма],Таблица1[коэф],"1,2",Таблица1[р/р],"4/16",Таблица1[Ф. И. О.],B176)</f>
        <v>0</v>
      </c>
      <c r="T175" s="86">
        <f t="shared" si="108"/>
        <v>0</v>
      </c>
      <c r="U175" s="343">
        <f>база!$M$5</f>
        <v>247.41720000000001</v>
      </c>
      <c r="V175" s="250">
        <v>1.2</v>
      </c>
      <c r="W175" s="285">
        <f>SUMIFS(Таблица1[сумма],Таблица1[коэф],"1,2",Таблица1[р/р],"4/24",Таблица1[Ф. И. О.],B176)</f>
        <v>0</v>
      </c>
      <c r="X175" s="291">
        <f t="shared" si="109"/>
        <v>0</v>
      </c>
      <c r="Y175" s="803"/>
      <c r="Z175" s="794"/>
      <c r="AA175" s="797"/>
      <c r="AC175" s="688" t="str">
        <f>IF(SUMIFS(Таблица1[Столбец2],Таблица1[Ф. И. О.],B176)-Z171=0,"",SUMIFS(Таблица1[Столбец2],Таблица1[Ф. И. О.],B176)-Z171)</f>
        <v/>
      </c>
    </row>
    <row r="176" spans="1:29" ht="24" thickBot="1">
      <c r="A176" s="740"/>
      <c r="B176" s="201" t="str">
        <f>база!B17</f>
        <v>Груздева Олеся Изидоровна</v>
      </c>
      <c r="C176" s="799"/>
      <c r="D176" s="801"/>
      <c r="E176" s="76"/>
      <c r="F176" s="250"/>
      <c r="G176" s="92"/>
      <c r="H176" s="86"/>
      <c r="I176" s="72"/>
      <c r="J176" s="250"/>
      <c r="K176" s="202"/>
      <c r="L176" s="202"/>
      <c r="M176" s="202"/>
      <c r="N176" s="202"/>
      <c r="O176" s="202"/>
      <c r="P176" s="27"/>
      <c r="Q176" s="72">
        <f>база!$L$6</f>
        <v>261.04640000000001</v>
      </c>
      <c r="R176" s="250">
        <v>1.2</v>
      </c>
      <c r="S176" s="92">
        <f>SUMIFS(Таблица1[сумма],Таблица1[коэф],"1,2",Таблица1[р/р],"5/16",Таблица1[Ф. И. О.],B176)</f>
        <v>0</v>
      </c>
      <c r="T176" s="86">
        <f>ROUND(Q176*R176*S176,2)</f>
        <v>0</v>
      </c>
      <c r="U176" s="343">
        <f>база!$M$6</f>
        <v>279.0496</v>
      </c>
      <c r="V176" s="250">
        <v>1.2</v>
      </c>
      <c r="W176" s="285">
        <f>SUMIFS(Таблица1[сумма],Таблица1[коэф],"1,2",Таблица1[р/р],"5/24",Таблица1[Ф. И. О.],B176)</f>
        <v>0</v>
      </c>
      <c r="X176" s="291">
        <f>ROUND(U176*V176*W176,2)</f>
        <v>0</v>
      </c>
      <c r="Y176" s="803"/>
      <c r="Z176" s="794"/>
      <c r="AA176" s="797"/>
      <c r="AC176" s="688" t="str">
        <f>IF(SUMIFS(Таблица1[сумма],Таблица1[Ф. И. О.],B176)=Y171,"",B171&amp;"  часы не верны")</f>
        <v/>
      </c>
    </row>
    <row r="177" spans="1:29" ht="24" thickBot="1">
      <c r="A177" s="740"/>
      <c r="B177" s="201"/>
      <c r="C177" s="799"/>
      <c r="D177" s="801"/>
      <c r="E177" s="76"/>
      <c r="F177" s="250"/>
      <c r="G177" s="92"/>
      <c r="H177" s="86"/>
      <c r="I177" s="72"/>
      <c r="J177" s="250"/>
      <c r="K177" s="202"/>
      <c r="L177" s="202"/>
      <c r="M177" s="202"/>
      <c r="N177" s="202"/>
      <c r="O177" s="202"/>
      <c r="P177" s="27"/>
      <c r="Q177" s="72">
        <f>IF($D$6&lt;=3,база!$L$4,
IF($D$6=4,база!$L$5,
IF($D$6=5,база!$L$6)))</f>
        <v>231.45480000000001</v>
      </c>
      <c r="R177" s="250">
        <v>1.3</v>
      </c>
      <c r="S177" s="92">
        <f>SUMIFS(Таблица1[сумма],Таблица1[коэф],"1,3",Таблица1[р/р],"3/16",Таблица1[Ф. И. О.],B176)</f>
        <v>0</v>
      </c>
      <c r="T177" s="86">
        <f t="shared" ref="T177:T178" si="110">ROUND(Q177*R177*S177,2)</f>
        <v>0</v>
      </c>
      <c r="U177" s="343">
        <f>IF(D171&lt;=3,база!$M$4,
IF(D171=4,база!$M$5,
IF(D171=5,база!$M$6)))</f>
        <v>225.09719999999999</v>
      </c>
      <c r="V177" s="250">
        <v>1.3</v>
      </c>
      <c r="W177" s="285">
        <f>SUMIFS(Таблица1[сумма],Таблица1[коэф],"1,3",Таблица1[р/р],"3/24",Таблица1[Ф. И. О.],B176)</f>
        <v>0</v>
      </c>
      <c r="X177" s="291">
        <f t="shared" ref="X177:X178" si="111">ROUND(U177*V177*W177,2)</f>
        <v>0</v>
      </c>
      <c r="Y177" s="803"/>
      <c r="Z177" s="794"/>
      <c r="AA177" s="797"/>
    </row>
    <row r="178" spans="1:29" ht="24" thickBot="1">
      <c r="A178" s="740"/>
      <c r="B178" s="201"/>
      <c r="C178" s="799"/>
      <c r="D178" s="801"/>
      <c r="E178" s="76"/>
      <c r="F178" s="250"/>
      <c r="G178" s="92"/>
      <c r="H178" s="86"/>
      <c r="I178" s="72"/>
      <c r="J178" s="250"/>
      <c r="K178" s="202"/>
      <c r="L178" s="202"/>
      <c r="M178" s="202"/>
      <c r="N178" s="202"/>
      <c r="O178" s="202"/>
      <c r="P178" s="27"/>
      <c r="Q178" s="72">
        <f>база!$L$5</f>
        <v>231.45480000000001</v>
      </c>
      <c r="R178" s="250">
        <v>1.3</v>
      </c>
      <c r="S178" s="92">
        <f>SUMIFS(Таблица1[сумма],Таблица1[коэф],"1,3",Таблица1[р/р],"4/16",Таблица1[Ф. И. О.],B176)</f>
        <v>0</v>
      </c>
      <c r="T178" s="86">
        <f t="shared" si="110"/>
        <v>0</v>
      </c>
      <c r="U178" s="343">
        <f>база!$M$5</f>
        <v>247.41720000000001</v>
      </c>
      <c r="V178" s="250">
        <v>1.3</v>
      </c>
      <c r="W178" s="285">
        <f>SUMIFS(Таблица1[сумма],Таблица1[коэф],"1,3",Таблица1[р/р],"4/24",Таблица1[Ф. И. О.],B176)</f>
        <v>0</v>
      </c>
      <c r="X178" s="291">
        <f t="shared" si="111"/>
        <v>0</v>
      </c>
      <c r="Y178" s="803"/>
      <c r="Z178" s="794"/>
      <c r="AA178" s="797"/>
    </row>
    <row r="179" spans="1:29" ht="24" thickBot="1">
      <c r="A179" s="740"/>
      <c r="B179" s="201"/>
      <c r="C179" s="799"/>
      <c r="D179" s="801"/>
      <c r="E179" s="76"/>
      <c r="F179" s="250"/>
      <c r="G179" s="92"/>
      <c r="H179" s="86"/>
      <c r="I179" s="72"/>
      <c r="J179" s="250"/>
      <c r="K179" s="202"/>
      <c r="L179" s="202"/>
      <c r="M179" s="202"/>
      <c r="N179" s="202"/>
      <c r="O179" s="202"/>
      <c r="P179" s="27"/>
      <c r="Q179" s="72">
        <f>IF(D171&lt;=3,база!$L$4,
IF(D171=4,база!$L$5,
IF(D171=5,база!$L$6)))</f>
        <v>210.57480000000001</v>
      </c>
      <c r="R179" s="250">
        <v>1.4</v>
      </c>
      <c r="S179" s="92">
        <f>SUMIFS(Таблица1[сумма],Таблица1[коэф],"1,4",Таблица1[р/р],"3/16",Таблица1[Ф. И. О.],B176)</f>
        <v>0</v>
      </c>
      <c r="T179" s="86">
        <f t="shared" ref="T179:T184" si="112">ROUND(Q179*R179*S179,2)</f>
        <v>0</v>
      </c>
      <c r="U179" s="343">
        <f>IF(D171&lt;=3,база!$M$4,
IF(D171=4,база!$M$5,
IF(D171=5,база!$M$6)))</f>
        <v>225.09719999999999</v>
      </c>
      <c r="V179" s="250">
        <v>1.4</v>
      </c>
      <c r="W179" s="285">
        <f>SUMIFS(Таблица1[сумма],Таблица1[коэф],"1,4",Таблица1[р/р],"3/24",Таблица1[Ф. И. О.],B176)</f>
        <v>0</v>
      </c>
      <c r="X179" s="291">
        <f>ROUND(U179*V179*W179,2)</f>
        <v>0</v>
      </c>
      <c r="Y179" s="803"/>
      <c r="Z179" s="794"/>
      <c r="AA179" s="797"/>
    </row>
    <row r="180" spans="1:29" ht="24" thickBot="1">
      <c r="A180" s="740"/>
      <c r="B180" s="201"/>
      <c r="C180" s="799"/>
      <c r="D180" s="801"/>
      <c r="E180" s="76"/>
      <c r="F180" s="250"/>
      <c r="G180" s="92"/>
      <c r="H180" s="86"/>
      <c r="I180" s="72"/>
      <c r="J180" s="250"/>
      <c r="K180" s="202"/>
      <c r="L180" s="202"/>
      <c r="M180" s="202"/>
      <c r="N180" s="202"/>
      <c r="O180" s="202"/>
      <c r="P180" s="27"/>
      <c r="Q180" s="72">
        <f>база!$L$5</f>
        <v>231.45480000000001</v>
      </c>
      <c r="R180" s="250">
        <v>1.4</v>
      </c>
      <c r="S180" s="92">
        <f>SUMIFS(Таблица1[сумма],Таблица1[коэф],"1,4",Таблица1[р/р],"4/16",Таблица1[Ф. И. О.],B176)</f>
        <v>0</v>
      </c>
      <c r="T180" s="86">
        <f t="shared" si="112"/>
        <v>0</v>
      </c>
      <c r="U180" s="343">
        <f>база!$M$5</f>
        <v>247.41720000000001</v>
      </c>
      <c r="V180" s="250">
        <v>1.4</v>
      </c>
      <c r="W180" s="285">
        <f>SUMIFS(Таблица1[сумма],Таблица1[коэф],"1,4",Таблица1[р/р],"4/24",Таблица1[Ф. И. О.],B176)</f>
        <v>0</v>
      </c>
      <c r="X180" s="291">
        <f>ROUND(U180*V180*W180,2)</f>
        <v>0</v>
      </c>
      <c r="Y180" s="803"/>
      <c r="Z180" s="794"/>
      <c r="AA180" s="797"/>
    </row>
    <row r="181" spans="1:29" ht="24" thickBot="1">
      <c r="A181" s="741"/>
      <c r="B181" s="188"/>
      <c r="C181" s="800"/>
      <c r="D181" s="802"/>
      <c r="E181" s="206"/>
      <c r="F181" s="252"/>
      <c r="G181" s="91"/>
      <c r="H181" s="222"/>
      <c r="I181" s="95"/>
      <c r="J181" s="252"/>
      <c r="K181" s="267"/>
      <c r="L181" s="267"/>
      <c r="M181" s="267"/>
      <c r="N181" s="267"/>
      <c r="O181" s="267"/>
      <c r="P181" s="24"/>
      <c r="Q181" s="95">
        <f>база!$L$6</f>
        <v>261.04640000000001</v>
      </c>
      <c r="R181" s="252">
        <v>1.4</v>
      </c>
      <c r="S181" s="91">
        <f>SUMIFS(Таблица1[сумма],Таблица1[коэф],"1,4",Таблица1[р/р],"5/16",Таблица1[Ф. И. О.],B176)</f>
        <v>0</v>
      </c>
      <c r="T181" s="222">
        <f t="shared" si="112"/>
        <v>0</v>
      </c>
      <c r="U181" s="344">
        <f>база!$M$6</f>
        <v>279.0496</v>
      </c>
      <c r="V181" s="252">
        <v>1.4</v>
      </c>
      <c r="W181" s="290">
        <f>SUMIFS(Таблица1[сумма],Таблица1[коэф],"1,4",Таблица1[р/р],"5/24",Таблица1[Ф. И. О.],B176)</f>
        <v>0</v>
      </c>
      <c r="X181" s="320">
        <f>ROUND(U181*V181*W181,2)</f>
        <v>0</v>
      </c>
      <c r="Y181" s="804"/>
      <c r="Z181" s="795"/>
      <c r="AA181" s="798"/>
    </row>
    <row r="182" spans="1:29" ht="18.75" customHeight="1">
      <c r="A182" s="739">
        <v>17</v>
      </c>
      <c r="B182" s="201"/>
      <c r="C182" s="805">
        <f>INDEX(база!$E$2:$E$81, MATCH(B187,база!$B$2:$B$50,0))</f>
        <v>17160</v>
      </c>
      <c r="D182" s="806">
        <f>INDEX(база!$D$2:$D$89, MATCH(B187,база!$B$2:$B$50,0))</f>
        <v>3</v>
      </c>
      <c r="E182" s="66">
        <f>IF(D182&lt;=3,база!$I$4,
IF(D182=4,база!$I$5,
IF(D182=5,база!$I$6)))</f>
        <v>188.7912</v>
      </c>
      <c r="F182" s="248">
        <v>1</v>
      </c>
      <c r="G182" s="89">
        <f>SUMIFS(Таблица1[сумма],Таблица1[коэф],"1",Таблица1[р/р],"2/4",Таблица1[Ф. И. О.],B187)</f>
        <v>0</v>
      </c>
      <c r="H182" s="81">
        <f>ROUND(E182*F182*G182,2)</f>
        <v>0</v>
      </c>
      <c r="I182" s="75">
        <f>IF(D182&lt;=3,база!$J$4,
IF(D182=4,база!$J$5,
IF(D182=5,база!$J$6)))</f>
        <v>196.05240000000001</v>
      </c>
      <c r="J182" s="249">
        <v>1</v>
      </c>
      <c r="K182" s="287">
        <f>SUMIFS(Таблица1[сумма],Таблица1[коэф],"1",Таблица1[р/р],"2/8",Таблица1[Ф. И. О.],B187)</f>
        <v>0</v>
      </c>
      <c r="L182" s="287">
        <f>ROUND(I182*J182*K182,2)</f>
        <v>0</v>
      </c>
      <c r="M182" s="287"/>
      <c r="N182" s="287">
        <v>1</v>
      </c>
      <c r="O182" s="287">
        <f>SUMIFS(Data_Tech!$AM$3:$AM$67,Data_Tech!$E$3:$E$67,"1",Data_Tech!$G$3:$G$67,"3/12",Data_Tech!$F$3:$F$67,B187)</f>
        <v>0</v>
      </c>
      <c r="P182" s="260">
        <f>ROUND(M182*N182*O182,2)</f>
        <v>0</v>
      </c>
      <c r="Q182" s="66">
        <f>IF(D182&lt;=3,база!$L$4,
IF(D182=4,база!$L$5,
IF(D182=5,база!$L$6)))</f>
        <v>210.57480000000001</v>
      </c>
      <c r="R182" s="248">
        <v>1</v>
      </c>
      <c r="S182" s="89">
        <f>SUMIFS(Таблица1[сумма],Таблица1[коэф],"1",Таблица1[р/р],"3/16",Таблица1[Ф. И. О.],B187)</f>
        <v>0</v>
      </c>
      <c r="T182" s="81">
        <f t="shared" si="112"/>
        <v>0</v>
      </c>
      <c r="U182" s="345">
        <f>IF(D182&lt;=3,база!$M$4,
IF(D182=4,база!$M$5,
IF(D182=5,база!$M$6)))</f>
        <v>225.09719999999999</v>
      </c>
      <c r="V182" s="249">
        <v>1</v>
      </c>
      <c r="W182" s="314">
        <f>SUMIFS(Таблица1[сумма],Таблица1[коэф],"1",Таблица1[р/р],"3/24",Таблица1[Ф. И. О.],B187)</f>
        <v>0</v>
      </c>
      <c r="X182" s="319">
        <f>ROUND(U182*V182*W182,2)</f>
        <v>0</v>
      </c>
      <c r="Y182" s="803">
        <f t="shared" ref="Y182" si="113">SUM(G182:G192,K182:K192,O182:O192,S182:S192,W182:W192)</f>
        <v>0</v>
      </c>
      <c r="Z182" s="794">
        <f t="shared" ref="Z182" si="114">IFERROR(SUM(H182:H192,L182:L192,T182:T192,X182:X192),"")</f>
        <v>0</v>
      </c>
      <c r="AA182" s="797"/>
    </row>
    <row r="183" spans="1:29" ht="18.75" customHeight="1">
      <c r="A183" s="740"/>
      <c r="B183" s="201"/>
      <c r="C183" s="799"/>
      <c r="D183" s="801"/>
      <c r="E183" s="72">
        <f>IF(D182&lt;=3,база!$I$4,
IF(D182=4,база!$I$5,
IF(D182=5,база!$I$6)))</f>
        <v>188.7912</v>
      </c>
      <c r="F183" s="250">
        <v>1</v>
      </c>
      <c r="G183" s="92">
        <f>SUMIFS(Таблица1[сумма],Таблица1[коэф],"1",Таблица1[р/р],"3/4",Таблица1[Ф. И. О.],B187)</f>
        <v>0</v>
      </c>
      <c r="H183" s="88">
        <f>ROUND(E183*F183*G183,2)</f>
        <v>0</v>
      </c>
      <c r="I183" s="76">
        <f>IF(D182&lt;=3,база!$J$4,
IF(D182=4,база!$J$5,
IF(D182=5,база!$J$6)))</f>
        <v>196.05240000000001</v>
      </c>
      <c r="J183" s="250">
        <v>1</v>
      </c>
      <c r="K183" s="202">
        <f>SUMIFS(Таблица1[сумма],Таблица1[коэф],"1",Таблица1[р/р],"3/8",Таблица1[Ф. И. О.],B187)</f>
        <v>0</v>
      </c>
      <c r="L183" s="202">
        <f>ROUND(I183*J183*K183,2)</f>
        <v>0</v>
      </c>
      <c r="M183" s="202"/>
      <c r="N183" s="202">
        <v>1</v>
      </c>
      <c r="O183" s="202">
        <f>SUMIFS(Data_Tech!$AM$3:$AM$67,Data_Tech!$E$3:$E$67,"1",Data_Tech!$G$3:$G$67,"4/12",Data_Tech!$F$3:$F$67,B187)</f>
        <v>0</v>
      </c>
      <c r="P183" s="28">
        <f>ROUND(M183*O183,2)</f>
        <v>0</v>
      </c>
      <c r="Q183" s="72">
        <f>база!$L$5</f>
        <v>231.45480000000001</v>
      </c>
      <c r="R183" s="250">
        <v>1</v>
      </c>
      <c r="S183" s="92">
        <f>SUMIFS(Таблица1[сумма],Таблица1[коэф],"1",Таблица1[р/р],"4/16",Таблица1[Ф. И. О.],B187)</f>
        <v>0</v>
      </c>
      <c r="T183" s="88">
        <f t="shared" si="112"/>
        <v>0</v>
      </c>
      <c r="U183" s="338">
        <f>база!$M$5</f>
        <v>247.41720000000001</v>
      </c>
      <c r="V183" s="250">
        <v>1</v>
      </c>
      <c r="W183" s="285">
        <f>SUMIFS(Таблица1[сумма],Таблица1[коэф],"1",Таблица1[р/р],"4/24",Таблица1[Ф. И. О.],B187)</f>
        <v>0</v>
      </c>
      <c r="X183" s="291">
        <f t="shared" ref="X183" si="115">ROUND(U183*V183*W183,2)</f>
        <v>0</v>
      </c>
      <c r="Y183" s="803"/>
      <c r="Z183" s="794"/>
      <c r="AA183" s="797"/>
    </row>
    <row r="184" spans="1:29" ht="19.5" customHeight="1">
      <c r="A184" s="740"/>
      <c r="B184" s="201"/>
      <c r="C184" s="799"/>
      <c r="D184" s="801"/>
      <c r="E184" s="72"/>
      <c r="F184" s="250"/>
      <c r="G184" s="92"/>
      <c r="H184" s="88"/>
      <c r="I184" s="76"/>
      <c r="J184" s="250"/>
      <c r="K184" s="202"/>
      <c r="L184" s="202"/>
      <c r="M184" s="202"/>
      <c r="N184" s="202"/>
      <c r="O184" s="202"/>
      <c r="P184" s="28"/>
      <c r="Q184" s="72">
        <f>база!$L$6</f>
        <v>261.04640000000001</v>
      </c>
      <c r="R184" s="250">
        <v>1</v>
      </c>
      <c r="S184" s="92">
        <f>SUMIFS(Таблица1[сумма],Таблица1[коэф],"1",Таблица1[р/р],"5/16",Таблица1[Ф. И. О.],B187)</f>
        <v>0</v>
      </c>
      <c r="T184" s="88">
        <f t="shared" si="112"/>
        <v>0</v>
      </c>
      <c r="U184" s="338">
        <f>база!$M$6</f>
        <v>279.0496</v>
      </c>
      <c r="V184" s="250">
        <v>1</v>
      </c>
      <c r="W184" s="285">
        <f>SUMIFS(Таблица1[сумма],Таблица1[коэф],"1",Таблица1[р/р],"5/24",Таблица1[Ф. И. О.],B187)</f>
        <v>0</v>
      </c>
      <c r="X184" s="291">
        <f>ROUND(U184*V184*W184,2)</f>
        <v>0</v>
      </c>
      <c r="Y184" s="803"/>
      <c r="Z184" s="794"/>
      <c r="AA184" s="797"/>
    </row>
    <row r="185" spans="1:29" ht="19.5" customHeight="1">
      <c r="A185" s="740"/>
      <c r="B185" s="201"/>
      <c r="C185" s="799"/>
      <c r="D185" s="801"/>
      <c r="E185" s="72"/>
      <c r="F185" s="250"/>
      <c r="G185" s="92"/>
      <c r="H185" s="88"/>
      <c r="I185" s="76">
        <f>база!$J$5</f>
        <v>215.4924</v>
      </c>
      <c r="J185" s="250">
        <v>1.5</v>
      </c>
      <c r="K185" s="202">
        <f>SUMIFS(Таблица1[сумма],Таблица1[коэф],"1,5",Таблица1[р/р],"4/8",Таблица1[Ф. И. О.],B187)</f>
        <v>0</v>
      </c>
      <c r="L185" s="202">
        <f>ROUND(I185*J185*K185,2)</f>
        <v>0</v>
      </c>
      <c r="M185" s="202"/>
      <c r="N185" s="202"/>
      <c r="O185" s="202"/>
      <c r="P185" s="28"/>
      <c r="Q185" s="72">
        <f>IF(D182&lt;=3,база!$L$4,
IF(D182=4,база!$L$5,
IF(D182=5,база!$L$6)))</f>
        <v>210.57480000000001</v>
      </c>
      <c r="R185" s="250">
        <v>1.2</v>
      </c>
      <c r="S185" s="92">
        <f>SUMIFS(Таблица1[сумма],Таблица1[коэф],"1,2",Таблица1[р/р],"3/16",Таблица1[Ф. И. О.],B187)</f>
        <v>0</v>
      </c>
      <c r="T185" s="88">
        <f t="shared" ref="T185:T186" si="116">ROUND(Q185*R185*S185,2)</f>
        <v>0</v>
      </c>
      <c r="U185" s="338">
        <f>IF(D182&lt;=3,база!$M$4,
IF(D182=4,база!$M$5,
IF(D182=5,база!$M$6)))</f>
        <v>225.09719999999999</v>
      </c>
      <c r="V185" s="250">
        <v>1.2</v>
      </c>
      <c r="W185" s="285">
        <f>SUMIFS(Таблица1[сумма],Таблица1[коэф],"1,2",Таблица1[р/р],"3/24",Таблица1[Ф. И. О.],B187)</f>
        <v>0</v>
      </c>
      <c r="X185" s="291">
        <f t="shared" ref="X185:X186" si="117">ROUND(U185*V185*W185,2)</f>
        <v>0</v>
      </c>
      <c r="Y185" s="803"/>
      <c r="Z185" s="794"/>
      <c r="AA185" s="797"/>
    </row>
    <row r="186" spans="1:29" ht="19.5" customHeight="1">
      <c r="A186" s="740"/>
      <c r="B186" s="201"/>
      <c r="C186" s="799"/>
      <c r="D186" s="801"/>
      <c r="E186" s="72"/>
      <c r="F186" s="250"/>
      <c r="G186" s="92"/>
      <c r="H186" s="88"/>
      <c r="I186" s="76">
        <f>база!$J$6</f>
        <v>243.04319999999998</v>
      </c>
      <c r="J186" s="250">
        <v>1.5</v>
      </c>
      <c r="K186" s="202">
        <f>SUMIFS(Таблица1[сумма],Таблица1[коэф],"1,5",Таблица1[р/р],"5/8",Таблица1[Ф. И. О.],B187)</f>
        <v>0</v>
      </c>
      <c r="L186" s="202">
        <f>ROUND(I186*J186*K186,2)</f>
        <v>0</v>
      </c>
      <c r="M186" s="202"/>
      <c r="N186" s="202"/>
      <c r="O186" s="202"/>
      <c r="P186" s="28"/>
      <c r="Q186" s="72">
        <f>база!$L$5</f>
        <v>231.45480000000001</v>
      </c>
      <c r="R186" s="250">
        <v>1.2</v>
      </c>
      <c r="S186" s="92">
        <f>SUMIFS(Таблица1[сумма],Таблица1[коэф],"1,2",Таблица1[р/р],"4/16",Таблица1[Ф. И. О.],B187)</f>
        <v>0</v>
      </c>
      <c r="T186" s="88">
        <f t="shared" si="116"/>
        <v>0</v>
      </c>
      <c r="U186" s="338">
        <f>база!$M$5</f>
        <v>247.41720000000001</v>
      </c>
      <c r="V186" s="250">
        <v>1.2</v>
      </c>
      <c r="W186" s="285">
        <f>SUMIFS(Таблица1[сумма],Таблица1[коэф],"1,2",Таблица1[р/р],"4/24",Таблица1[Ф. И. О.],B187)</f>
        <v>0</v>
      </c>
      <c r="X186" s="291">
        <f t="shared" si="117"/>
        <v>0</v>
      </c>
      <c r="Y186" s="803"/>
      <c r="Z186" s="794"/>
      <c r="AA186" s="797"/>
      <c r="AC186" s="688" t="str">
        <f>IF(SUMIFS(Таблица1[Столбец2],Таблица1[Ф. И. О.],B187)-Z182=0,"",SUMIFS(Таблица1[Столбец2],Таблица1[Ф. И. О.],B187)-Z182)</f>
        <v/>
      </c>
    </row>
    <row r="187" spans="1:29" ht="19.5" customHeight="1">
      <c r="A187" s="740"/>
      <c r="B187" s="201" t="str">
        <f>база!B18</f>
        <v>Дорофеева Юлия Николаевна</v>
      </c>
      <c r="C187" s="799"/>
      <c r="D187" s="801"/>
      <c r="E187" s="72"/>
      <c r="F187" s="250"/>
      <c r="G187" s="92"/>
      <c r="H187" s="88"/>
      <c r="I187" s="76"/>
      <c r="J187" s="250"/>
      <c r="K187" s="202"/>
      <c r="L187" s="202"/>
      <c r="M187" s="202"/>
      <c r="N187" s="202"/>
      <c r="O187" s="202"/>
      <c r="P187" s="28"/>
      <c r="Q187" s="72">
        <f>база!$L$6</f>
        <v>261.04640000000001</v>
      </c>
      <c r="R187" s="250">
        <v>1.2</v>
      </c>
      <c r="S187" s="92">
        <f>SUMIFS(Таблица1[сумма],Таблица1[коэф],"1,2",Таблица1[р/р],"5/16",Таблица1[Ф. И. О.],B187)</f>
        <v>0</v>
      </c>
      <c r="T187" s="88">
        <f>ROUND(Q187*R187*S187,2)</f>
        <v>0</v>
      </c>
      <c r="U187" s="338">
        <f>база!$M$6</f>
        <v>279.0496</v>
      </c>
      <c r="V187" s="250">
        <v>1.2</v>
      </c>
      <c r="W187" s="285">
        <f>SUMIFS(Таблица1[сумма],Таблица1[коэф],"1,2",Таблица1[р/р],"5/24",Таблица1[Ф. И. О.],B187)</f>
        <v>0</v>
      </c>
      <c r="X187" s="291">
        <f>ROUND(U187*V187*W187,2)</f>
        <v>0</v>
      </c>
      <c r="Y187" s="803"/>
      <c r="Z187" s="794"/>
      <c r="AA187" s="797"/>
      <c r="AC187" s="688" t="str">
        <f>IF(SUMIFS(Таблица1[сумма],Таблица1[Ф. И. О.],B187)=Y182,"",B182&amp;"  часы не верны")</f>
        <v/>
      </c>
    </row>
    <row r="188" spans="1:29" ht="19.5" customHeight="1">
      <c r="A188" s="740"/>
      <c r="B188" s="201"/>
      <c r="C188" s="799"/>
      <c r="D188" s="801"/>
      <c r="E188" s="72"/>
      <c r="F188" s="250"/>
      <c r="G188" s="92"/>
      <c r="H188" s="88"/>
      <c r="I188" s="76"/>
      <c r="J188" s="250"/>
      <c r="K188" s="202"/>
      <c r="L188" s="202"/>
      <c r="M188" s="202"/>
      <c r="N188" s="202"/>
      <c r="O188" s="202"/>
      <c r="P188" s="28"/>
      <c r="Q188" s="72">
        <f>IF($D$6&lt;=3,база!$L$4,
IF($D$6=4,база!$L$5,
IF($D$6=5,база!$L$6)))</f>
        <v>231.45480000000001</v>
      </c>
      <c r="R188" s="250">
        <v>1.3</v>
      </c>
      <c r="S188" s="92">
        <f>SUMIFS(Таблица1[сумма],Таблица1[коэф],"1,3",Таблица1[р/р],"3/16",Таблица1[Ф. И. О.],B187)</f>
        <v>0</v>
      </c>
      <c r="T188" s="88">
        <f t="shared" ref="T188:T189" si="118">ROUND(Q188*R188*S188,2)</f>
        <v>0</v>
      </c>
      <c r="U188" s="338">
        <f>IF(D182&lt;=3,база!$M$4,
IF(D182=4,база!$M$5,
IF(D182=5,база!$M$6)))</f>
        <v>225.09719999999999</v>
      </c>
      <c r="V188" s="250">
        <v>1.3</v>
      </c>
      <c r="W188" s="285">
        <f>SUMIFS(Таблица1[сумма],Таблица1[коэф],"1,3",Таблица1[р/р],"3/24",Таблица1[Ф. И. О.],B187)</f>
        <v>0</v>
      </c>
      <c r="X188" s="291">
        <f t="shared" ref="X188:X189" si="119">ROUND(U188*V188*W188,2)</f>
        <v>0</v>
      </c>
      <c r="Y188" s="803"/>
      <c r="Z188" s="794"/>
      <c r="AA188" s="797"/>
    </row>
    <row r="189" spans="1:29" ht="19.5" customHeight="1">
      <c r="A189" s="740"/>
      <c r="B189" s="201"/>
      <c r="C189" s="799"/>
      <c r="D189" s="801"/>
      <c r="E189" s="72"/>
      <c r="F189" s="250"/>
      <c r="G189" s="92"/>
      <c r="H189" s="88"/>
      <c r="I189" s="76"/>
      <c r="J189" s="250"/>
      <c r="K189" s="202"/>
      <c r="L189" s="202"/>
      <c r="M189" s="202"/>
      <c r="N189" s="202"/>
      <c r="O189" s="202"/>
      <c r="P189" s="28"/>
      <c r="Q189" s="72">
        <f>база!$L$5</f>
        <v>231.45480000000001</v>
      </c>
      <c r="R189" s="250">
        <v>1.3</v>
      </c>
      <c r="S189" s="92">
        <f>SUMIFS(Таблица1[сумма],Таблица1[коэф],"1,3",Таблица1[р/р],"4/16",Таблица1[Ф. И. О.],B187)</f>
        <v>0</v>
      </c>
      <c r="T189" s="88">
        <f t="shared" si="118"/>
        <v>0</v>
      </c>
      <c r="U189" s="338">
        <f>база!$M$5</f>
        <v>247.41720000000001</v>
      </c>
      <c r="V189" s="250">
        <v>1.3</v>
      </c>
      <c r="W189" s="285">
        <f>SUMIFS(Таблица1[сумма],Таблица1[коэф],"1,3",Таблица1[р/р],"4/24",Таблица1[Ф. И. О.],B187)</f>
        <v>0</v>
      </c>
      <c r="X189" s="291">
        <f t="shared" si="119"/>
        <v>0</v>
      </c>
      <c r="Y189" s="803"/>
      <c r="Z189" s="794"/>
      <c r="AA189" s="797"/>
    </row>
    <row r="190" spans="1:29" ht="19.5" customHeight="1">
      <c r="A190" s="740"/>
      <c r="B190" s="201"/>
      <c r="C190" s="799"/>
      <c r="D190" s="801"/>
      <c r="E190" s="72"/>
      <c r="F190" s="250"/>
      <c r="G190" s="92"/>
      <c r="H190" s="88"/>
      <c r="I190" s="76"/>
      <c r="J190" s="250"/>
      <c r="K190" s="202"/>
      <c r="L190" s="202"/>
      <c r="M190" s="202"/>
      <c r="N190" s="202"/>
      <c r="O190" s="202"/>
      <c r="P190" s="28"/>
      <c r="Q190" s="72">
        <f>IF(D182&lt;=3,база!$L$4,
IF(D182=4,база!$L$5,
IF(D182=5,база!$L$6)))</f>
        <v>210.57480000000001</v>
      </c>
      <c r="R190" s="250">
        <v>1.4</v>
      </c>
      <c r="S190" s="92">
        <f>SUMIFS(Таблица1[сумма],Таблица1[коэф],"1,4",Таблица1[р/р],"3/16",Таблица1[Ф. И. О.],B187)</f>
        <v>0</v>
      </c>
      <c r="T190" s="88">
        <f t="shared" ref="T190:T195" si="120">ROUND(Q190*R190*S190,2)</f>
        <v>0</v>
      </c>
      <c r="U190" s="338">
        <f>IF(D182&lt;=3,база!$M$4,
IF(D182=4,база!$M$5,
IF(D182=5,база!$M$6)))</f>
        <v>225.09719999999999</v>
      </c>
      <c r="V190" s="250">
        <v>1.4</v>
      </c>
      <c r="W190" s="285">
        <f>SUMIFS(Таблица1[сумма],Таблица1[коэф],"1,4",Таблица1[р/р],"3/24",Таблица1[Ф. И. О.],B187)</f>
        <v>0</v>
      </c>
      <c r="X190" s="291">
        <f>ROUND(U190*V190*W190,2)</f>
        <v>0</v>
      </c>
      <c r="Y190" s="803"/>
      <c r="Z190" s="794"/>
      <c r="AA190" s="797"/>
    </row>
    <row r="191" spans="1:29" ht="19.5" customHeight="1">
      <c r="A191" s="740"/>
      <c r="B191" s="201"/>
      <c r="C191" s="799"/>
      <c r="D191" s="801"/>
      <c r="E191" s="72"/>
      <c r="F191" s="250"/>
      <c r="G191" s="92"/>
      <c r="H191" s="88"/>
      <c r="I191" s="76"/>
      <c r="J191" s="250"/>
      <c r="K191" s="202"/>
      <c r="L191" s="202"/>
      <c r="M191" s="202"/>
      <c r="N191" s="202"/>
      <c r="O191" s="202"/>
      <c r="P191" s="28"/>
      <c r="Q191" s="72">
        <f>база!$L$5</f>
        <v>231.45480000000001</v>
      </c>
      <c r="R191" s="250">
        <v>1.4</v>
      </c>
      <c r="S191" s="92">
        <f>SUMIFS(Таблица1[сумма],Таблица1[коэф],"1,4",Таблица1[р/р],"4/16",Таблица1[Ф. И. О.],B187)</f>
        <v>0</v>
      </c>
      <c r="T191" s="88">
        <f t="shared" si="120"/>
        <v>0</v>
      </c>
      <c r="U191" s="338">
        <f>база!$M$5</f>
        <v>247.41720000000001</v>
      </c>
      <c r="V191" s="250">
        <v>1.4</v>
      </c>
      <c r="W191" s="285">
        <f>SUMIFS(Таблица1[сумма],Таблица1[коэф],"1,4",Таблица1[р/р],"4/24",Таблица1[Ф. И. О.],B187)</f>
        <v>0</v>
      </c>
      <c r="X191" s="291">
        <f>ROUND(U191*V191*W191,2)</f>
        <v>0</v>
      </c>
      <c r="Y191" s="803"/>
      <c r="Z191" s="794"/>
      <c r="AA191" s="797"/>
    </row>
    <row r="192" spans="1:29" ht="19.5" customHeight="1" thickBot="1">
      <c r="A192" s="741"/>
      <c r="B192" s="201"/>
      <c r="C192" s="800"/>
      <c r="D192" s="802"/>
      <c r="E192" s="203"/>
      <c r="F192" s="253"/>
      <c r="G192" s="98"/>
      <c r="H192" s="97"/>
      <c r="I192" s="281"/>
      <c r="J192" s="253"/>
      <c r="K192" s="280"/>
      <c r="L192" s="280"/>
      <c r="M192" s="280"/>
      <c r="N192" s="280"/>
      <c r="O192" s="280"/>
      <c r="P192" s="286"/>
      <c r="Q192" s="203">
        <f>база!$L$6</f>
        <v>261.04640000000001</v>
      </c>
      <c r="R192" s="253">
        <v>1.4</v>
      </c>
      <c r="S192" s="98">
        <f>SUMIFS(Таблица1[сумма],Таблица1[коэф],"1,4",Таблица1[р/р],"5/16",Таблица1[Ф. И. О.],B187)</f>
        <v>0</v>
      </c>
      <c r="T192" s="97">
        <f t="shared" si="120"/>
        <v>0</v>
      </c>
      <c r="U192" s="339">
        <f>база!$M$6</f>
        <v>279.0496</v>
      </c>
      <c r="V192" s="253">
        <v>1.4</v>
      </c>
      <c r="W192" s="310">
        <f>SUMIFS(Таблица1[сумма],Таблица1[коэф],"1,4",Таблица1[р/р],"5/24",Таблица1[Ф. И. О.],B187)</f>
        <v>0</v>
      </c>
      <c r="X192" s="327">
        <f>ROUND(U192*V192*W192,2)</f>
        <v>0</v>
      </c>
      <c r="Y192" s="804"/>
      <c r="Z192" s="795"/>
      <c r="AA192" s="798"/>
    </row>
    <row r="193" spans="1:29" ht="18.75" customHeight="1">
      <c r="A193" s="739">
        <v>18</v>
      </c>
      <c r="B193" s="219"/>
      <c r="C193" s="805">
        <f>INDEX(база!$E$2:$E$81, MATCH(B198,база!$B$2:$B$50,0))</f>
        <v>16860</v>
      </c>
      <c r="D193" s="806">
        <f>INDEX(база!$D$2:$D$89, MATCH(B198,база!$B$2:$B$50,0))</f>
        <v>3</v>
      </c>
      <c r="E193" s="66">
        <f>IF(D193&lt;=3,база!$I$4,
IF(D193=4,база!$I$5,
IF(D193=5,база!$I$6)))</f>
        <v>188.7912</v>
      </c>
      <c r="F193" s="248">
        <v>1</v>
      </c>
      <c r="G193" s="89">
        <f>SUMIFS(Таблица1[сумма],Таблица1[коэф],"1",Таблица1[р/р],"2/4",Таблица1[Ф. И. О.],B198)</f>
        <v>0</v>
      </c>
      <c r="H193" s="81">
        <f>ROUND(E193*F193*G193,2)</f>
        <v>0</v>
      </c>
      <c r="I193" s="288">
        <f>IF(D193&lt;=3,база!$J$4,
IF(D193=4,база!$J$5,
IF(D193=5,база!$J$6)))</f>
        <v>196.05240000000001</v>
      </c>
      <c r="J193" s="248">
        <v>1</v>
      </c>
      <c r="K193" s="266">
        <f>SUMIFS(Таблица1[сумма],Таблица1[коэф],"1",Таблица1[р/р],"2/8",Таблица1[Ф. И. О.],B198)</f>
        <v>0</v>
      </c>
      <c r="L193" s="266">
        <f>ROUND(I193*J193*K193,2)</f>
        <v>0</v>
      </c>
      <c r="M193" s="266"/>
      <c r="N193" s="266">
        <v>1</v>
      </c>
      <c r="O193" s="266">
        <f>SUMIFS(Data_Tech!$AM$3:$AM$67,Data_Tech!$E$3:$E$67,"1",Data_Tech!$G$3:$G$67,"3/12",Data_Tech!$F$3:$F$67,B198)</f>
        <v>0</v>
      </c>
      <c r="P193" s="259">
        <f>ROUND(M193*N193*O193,2)</f>
        <v>0</v>
      </c>
      <c r="Q193" s="66">
        <f>IF(D193&lt;=3,база!$L$4,
IF(D193=4,база!$L$5,
IF(D193=5,база!$L$6)))</f>
        <v>210.57480000000001</v>
      </c>
      <c r="R193" s="248">
        <v>1</v>
      </c>
      <c r="S193" s="89">
        <f>SUMIFS(Таблица1[сумма],Таблица1[коэф],"1",Таблица1[р/р],"3/16",Таблица1[Ф. И. О.],B198)</f>
        <v>0</v>
      </c>
      <c r="T193" s="81">
        <f t="shared" si="120"/>
        <v>0</v>
      </c>
      <c r="U193" s="340">
        <f>IF(D193&lt;=3,база!$M$4,
IF(D193=4,база!$M$5,
IF(D193=5,база!$M$6)))</f>
        <v>225.09719999999999</v>
      </c>
      <c r="V193" s="248">
        <v>1</v>
      </c>
      <c r="W193" s="317">
        <f>SUMIFS(Таблица1[сумма],Таблица1[коэф],"1",Таблица1[р/р],"3/24",Таблица1[Ф. И. О.],B198)</f>
        <v>0</v>
      </c>
      <c r="X193" s="319">
        <f>ROUND(U193*V193*W193,2)</f>
        <v>0</v>
      </c>
      <c r="Y193" s="803">
        <f t="shared" ref="Y193" si="121">SUM(G193:G203,K193:K203,O193:O203,S193:S203,W193:W203)</f>
        <v>0</v>
      </c>
      <c r="Z193" s="794">
        <f t="shared" ref="Z193" si="122">IFERROR(SUM(H193:H203,L193:L203,T193:T203,X193:X203),"")</f>
        <v>0</v>
      </c>
      <c r="AA193" s="797"/>
    </row>
    <row r="194" spans="1:29" ht="18.75" customHeight="1">
      <c r="A194" s="740"/>
      <c r="B194" s="201"/>
      <c r="C194" s="799"/>
      <c r="D194" s="801"/>
      <c r="E194" s="72">
        <f>IF(D193&lt;=3,база!$I$4,
IF(D193=4,база!$I$5,
IF(D193=5,база!$I$6)))</f>
        <v>188.7912</v>
      </c>
      <c r="F194" s="250">
        <v>1</v>
      </c>
      <c r="G194" s="92">
        <f>SUMIFS(Таблица1[сумма],Таблица1[коэф],"1",Таблица1[р/р],"3/4",Таблица1[Ф. И. О.],B198)</f>
        <v>0</v>
      </c>
      <c r="H194" s="88">
        <f>ROUND(E194*F194*G194,2)</f>
        <v>0</v>
      </c>
      <c r="I194" s="76">
        <f>IF(D193&lt;=3,база!$J$4,
IF(D193=4,база!$J$5,
IF(D193=5,база!$J$6)))</f>
        <v>196.05240000000001</v>
      </c>
      <c r="J194" s="250">
        <v>1</v>
      </c>
      <c r="K194" s="202">
        <f>SUMIFS(Таблица1[сумма],Таблица1[коэф],"1",Таблица1[р/р],"3/8",Таблица1[Ф. И. О.],B198)</f>
        <v>0</v>
      </c>
      <c r="L194" s="202">
        <f>ROUND(I194*J194*K194,2)</f>
        <v>0</v>
      </c>
      <c r="M194" s="202"/>
      <c r="N194" s="202">
        <v>1</v>
      </c>
      <c r="O194" s="202">
        <f>SUMIFS(Data_Tech!$AM$3:$AM$67,Data_Tech!$E$3:$E$67,"1",Data_Tech!$G$3:$G$67,"4/12",Data_Tech!$F$3:$F$67,B198)</f>
        <v>0</v>
      </c>
      <c r="P194" s="28">
        <f>ROUND(M194*O194,2)</f>
        <v>0</v>
      </c>
      <c r="Q194" s="72">
        <f>база!$L$5</f>
        <v>231.45480000000001</v>
      </c>
      <c r="R194" s="250">
        <v>1</v>
      </c>
      <c r="S194" s="92">
        <f>SUMIFS(Таблица1[сумма],Таблица1[коэф],"1",Таблица1[р/р],"4/16",Таблица1[Ф. И. О.],B198)</f>
        <v>0</v>
      </c>
      <c r="T194" s="88">
        <f t="shared" si="120"/>
        <v>0</v>
      </c>
      <c r="U194" s="338">
        <f>база!$M$5</f>
        <v>247.41720000000001</v>
      </c>
      <c r="V194" s="250">
        <v>1</v>
      </c>
      <c r="W194" s="285">
        <f>SUMIFS(Таблица1[сумма],Таблица1[коэф],"1",Таблица1[р/р],"4/24",Таблица1[Ф. И. О.],B198)</f>
        <v>0</v>
      </c>
      <c r="X194" s="291">
        <f t="shared" ref="X194" si="123">ROUND(U194*V194*W194,2)</f>
        <v>0</v>
      </c>
      <c r="Y194" s="803"/>
      <c r="Z194" s="794"/>
      <c r="AA194" s="797"/>
    </row>
    <row r="195" spans="1:29" ht="19.5" customHeight="1">
      <c r="A195" s="740"/>
      <c r="B195" s="201"/>
      <c r="C195" s="799"/>
      <c r="D195" s="801"/>
      <c r="E195" s="72"/>
      <c r="F195" s="250"/>
      <c r="G195" s="92"/>
      <c r="H195" s="88"/>
      <c r="I195" s="76"/>
      <c r="J195" s="250"/>
      <c r="K195" s="202"/>
      <c r="L195" s="202"/>
      <c r="M195" s="202"/>
      <c r="N195" s="202"/>
      <c r="O195" s="202"/>
      <c r="P195" s="28"/>
      <c r="Q195" s="72">
        <f>база!$L$6</f>
        <v>261.04640000000001</v>
      </c>
      <c r="R195" s="250">
        <v>1</v>
      </c>
      <c r="S195" s="92">
        <f>SUMIFS(Таблица1[сумма],Таблица1[коэф],"1",Таблица1[р/р],"5/16",Таблица1[Ф. И. О.],B198)</f>
        <v>0</v>
      </c>
      <c r="T195" s="88">
        <f t="shared" si="120"/>
        <v>0</v>
      </c>
      <c r="U195" s="338">
        <f>база!$M$6</f>
        <v>279.0496</v>
      </c>
      <c r="V195" s="250">
        <v>1</v>
      </c>
      <c r="W195" s="285">
        <f>SUMIFS(Таблица1[сумма],Таблица1[коэф],"1",Таблица1[р/р],"5/24",Таблица1[Ф. И. О.],B198)</f>
        <v>0</v>
      </c>
      <c r="X195" s="291">
        <f>ROUND(U195*V195*W195,2)</f>
        <v>0</v>
      </c>
      <c r="Y195" s="803"/>
      <c r="Z195" s="794"/>
      <c r="AA195" s="797"/>
    </row>
    <row r="196" spans="1:29" ht="19.5" customHeight="1">
      <c r="A196" s="740"/>
      <c r="B196" s="201"/>
      <c r="C196" s="799"/>
      <c r="D196" s="801"/>
      <c r="E196" s="72"/>
      <c r="F196" s="250"/>
      <c r="G196" s="92"/>
      <c r="H196" s="88"/>
      <c r="I196" s="76">
        <f>база!$J$5</f>
        <v>215.4924</v>
      </c>
      <c r="J196" s="250">
        <v>1.5</v>
      </c>
      <c r="K196" s="202">
        <f>SUMIFS(Таблица1[сумма],Таблица1[коэф],"1,5",Таблица1[р/р],"4/8",Таблица1[Ф. И. О.],B198)</f>
        <v>0</v>
      </c>
      <c r="L196" s="202">
        <f>ROUND(I196*J196*K196,2)</f>
        <v>0</v>
      </c>
      <c r="M196" s="202"/>
      <c r="N196" s="202"/>
      <c r="O196" s="202"/>
      <c r="P196" s="28"/>
      <c r="Q196" s="72">
        <f>IF(D193&lt;=3,база!$L$4,
IF(D193=4,база!$L$5,
IF(D193=5,база!$L$6)))</f>
        <v>210.57480000000001</v>
      </c>
      <c r="R196" s="250">
        <v>1.2</v>
      </c>
      <c r="S196" s="92">
        <f>SUMIFS(Таблица1[сумма],Таблица1[коэф],"1,2",Таблица1[р/р],"3/16",Таблица1[Ф. И. О.],B198)</f>
        <v>0</v>
      </c>
      <c r="T196" s="88">
        <f t="shared" ref="T196:T197" si="124">ROUND(Q196*R196*S196,2)</f>
        <v>0</v>
      </c>
      <c r="U196" s="338">
        <f>IF(D193&lt;=3,база!$M$4,
IF(D193=4,база!$M$5,
IF(D193=5,база!$M$6)))</f>
        <v>225.09719999999999</v>
      </c>
      <c r="V196" s="250">
        <v>1.2</v>
      </c>
      <c r="W196" s="285">
        <f>SUMIFS(Таблица1[сумма],Таблица1[коэф],"1,2",Таблица1[р/р],"3/24",Таблица1[Ф. И. О.],B198)</f>
        <v>0</v>
      </c>
      <c r="X196" s="291">
        <f t="shared" ref="X196:X197" si="125">ROUND(U196*V196*W196,2)</f>
        <v>0</v>
      </c>
      <c r="Y196" s="803"/>
      <c r="Z196" s="794"/>
      <c r="AA196" s="797"/>
    </row>
    <row r="197" spans="1:29" ht="19.5" customHeight="1">
      <c r="A197" s="740"/>
      <c r="B197" s="201"/>
      <c r="C197" s="799"/>
      <c r="D197" s="801"/>
      <c r="E197" s="72"/>
      <c r="F197" s="250"/>
      <c r="G197" s="92"/>
      <c r="H197" s="88"/>
      <c r="I197" s="76">
        <f>база!$J$6</f>
        <v>243.04319999999998</v>
      </c>
      <c r="J197" s="250">
        <v>1.5</v>
      </c>
      <c r="K197" s="202">
        <f>SUMIFS(Таблица1[сумма],Таблица1[коэф],"1,5",Таблица1[р/р],"5/8",Таблица1[Ф. И. О.],B198)</f>
        <v>0</v>
      </c>
      <c r="L197" s="202">
        <f>ROUND(I197*J197*K197,2)</f>
        <v>0</v>
      </c>
      <c r="M197" s="202"/>
      <c r="N197" s="202"/>
      <c r="O197" s="202"/>
      <c r="P197" s="28"/>
      <c r="Q197" s="72">
        <f>база!$L$5</f>
        <v>231.45480000000001</v>
      </c>
      <c r="R197" s="250">
        <v>1.2</v>
      </c>
      <c r="S197" s="92">
        <f>SUMIFS(Таблица1[сумма],Таблица1[коэф],"1,2",Таблица1[р/р],"4/16",Таблица1[Ф. И. О.],B198)</f>
        <v>0</v>
      </c>
      <c r="T197" s="88">
        <f t="shared" si="124"/>
        <v>0</v>
      </c>
      <c r="U197" s="338">
        <f>база!$M$5</f>
        <v>247.41720000000001</v>
      </c>
      <c r="V197" s="250">
        <v>1.2</v>
      </c>
      <c r="W197" s="285">
        <f>SUMIFS(Таблица1[сумма],Таблица1[коэф],"1,2",Таблица1[р/р],"4/24",Таблица1[Ф. И. О.],B198)</f>
        <v>0</v>
      </c>
      <c r="X197" s="291">
        <f t="shared" si="125"/>
        <v>0</v>
      </c>
      <c r="Y197" s="803"/>
      <c r="Z197" s="794"/>
      <c r="AA197" s="797"/>
      <c r="AC197" s="688" t="str">
        <f>IF(SUMIFS(Таблица1[Столбец2],Таблица1[Ф. И. О.],B198)-Z193=0,"",SUMIFS(Таблица1[Столбец2],Таблица1[Ф. И. О.],B198)-Z193)</f>
        <v/>
      </c>
    </row>
    <row r="198" spans="1:29" ht="19.5" customHeight="1">
      <c r="A198" s="740"/>
      <c r="B198" s="201" t="str">
        <f>база!B19</f>
        <v>Егоров Дмитрий Геннадьевич</v>
      </c>
      <c r="C198" s="799"/>
      <c r="D198" s="801"/>
      <c r="E198" s="72"/>
      <c r="F198" s="250"/>
      <c r="G198" s="92"/>
      <c r="H198" s="88"/>
      <c r="I198" s="76"/>
      <c r="J198" s="250"/>
      <c r="K198" s="202"/>
      <c r="L198" s="202"/>
      <c r="M198" s="202"/>
      <c r="N198" s="202"/>
      <c r="O198" s="202"/>
      <c r="P198" s="28"/>
      <c r="Q198" s="72">
        <f>база!$L$6</f>
        <v>261.04640000000001</v>
      </c>
      <c r="R198" s="250">
        <v>1.2</v>
      </c>
      <c r="S198" s="92">
        <f>SUMIFS(Таблица1[сумма],Таблица1[коэф],"1,2",Таблица1[р/р],"5/16",Таблица1[Ф. И. О.],B198)</f>
        <v>0</v>
      </c>
      <c r="T198" s="88">
        <f>ROUND(Q198*R198*S198,2)</f>
        <v>0</v>
      </c>
      <c r="U198" s="338">
        <f>база!$M$6</f>
        <v>279.0496</v>
      </c>
      <c r="V198" s="250">
        <v>1.2</v>
      </c>
      <c r="W198" s="285">
        <f>SUMIFS(Таблица1[сумма],Таблица1[коэф],"1,2",Таблица1[р/р],"5/24",Таблица1[Ф. И. О.],B198)</f>
        <v>0</v>
      </c>
      <c r="X198" s="291">
        <f>ROUND(U198*V198*W198,2)</f>
        <v>0</v>
      </c>
      <c r="Y198" s="803"/>
      <c r="Z198" s="794"/>
      <c r="AA198" s="797"/>
      <c r="AC198" s="688" t="str">
        <f>IF(SUMIFS(Таблица1[сумма],Таблица1[Ф. И. О.],B198)=Y193,"",B193&amp;"  часы не верны")</f>
        <v/>
      </c>
    </row>
    <row r="199" spans="1:29" ht="19.5" customHeight="1">
      <c r="A199" s="740"/>
      <c r="B199" s="201"/>
      <c r="C199" s="799"/>
      <c r="D199" s="801"/>
      <c r="E199" s="72"/>
      <c r="F199" s="250"/>
      <c r="G199" s="92"/>
      <c r="H199" s="88"/>
      <c r="I199" s="76"/>
      <c r="J199" s="250"/>
      <c r="K199" s="202"/>
      <c r="L199" s="202"/>
      <c r="M199" s="202"/>
      <c r="N199" s="202"/>
      <c r="O199" s="202"/>
      <c r="P199" s="28"/>
      <c r="Q199" s="72">
        <f>IF($D$6&lt;=3,база!$L$4,
IF($D$6=4,база!$L$5,
IF($D$6=5,база!$L$6)))</f>
        <v>231.45480000000001</v>
      </c>
      <c r="R199" s="250">
        <v>1.3</v>
      </c>
      <c r="S199" s="92">
        <f>SUMIFS(Таблица1[сумма],Таблица1[коэф],"1,3",Таблица1[р/р],"3/16",Таблица1[Ф. И. О.],B198)</f>
        <v>0</v>
      </c>
      <c r="T199" s="88">
        <f t="shared" ref="T199:T200" si="126">ROUND(Q199*R199*S199,2)</f>
        <v>0</v>
      </c>
      <c r="U199" s="338">
        <f>IF(D193&lt;=3,база!$M$4,
IF(D193=4,база!$M$5,
IF(D193=5,база!$M$6)))</f>
        <v>225.09719999999999</v>
      </c>
      <c r="V199" s="250">
        <v>1.3</v>
      </c>
      <c r="W199" s="285">
        <f>SUMIFS(Таблица1[сумма],Таблица1[коэф],"1,3",Таблица1[р/р],"3/24",Таблица1[Ф. И. О.],B198)</f>
        <v>0</v>
      </c>
      <c r="X199" s="291">
        <f t="shared" ref="X199:X200" si="127">ROUND(U199*V199*W199,2)</f>
        <v>0</v>
      </c>
      <c r="Y199" s="803"/>
      <c r="Z199" s="794"/>
      <c r="AA199" s="797"/>
    </row>
    <row r="200" spans="1:29" ht="19.5" customHeight="1">
      <c r="A200" s="740"/>
      <c r="B200" s="201"/>
      <c r="C200" s="799"/>
      <c r="D200" s="801"/>
      <c r="E200" s="72"/>
      <c r="F200" s="250"/>
      <c r="G200" s="92"/>
      <c r="H200" s="88"/>
      <c r="I200" s="76"/>
      <c r="J200" s="250"/>
      <c r="K200" s="202"/>
      <c r="L200" s="202"/>
      <c r="M200" s="202"/>
      <c r="N200" s="202"/>
      <c r="O200" s="202"/>
      <c r="P200" s="28"/>
      <c r="Q200" s="72">
        <f>база!$L$5</f>
        <v>231.45480000000001</v>
      </c>
      <c r="R200" s="250">
        <v>1.3</v>
      </c>
      <c r="S200" s="92">
        <f>SUMIFS(Таблица1[сумма],Таблица1[коэф],"1,3",Таблица1[р/р],"4/16",Таблица1[Ф. И. О.],B198)</f>
        <v>0</v>
      </c>
      <c r="T200" s="88">
        <f t="shared" si="126"/>
        <v>0</v>
      </c>
      <c r="U200" s="338">
        <f>база!$M$5</f>
        <v>247.41720000000001</v>
      </c>
      <c r="V200" s="250">
        <v>1.3</v>
      </c>
      <c r="W200" s="285">
        <f>SUMIFS(Таблица1[сумма],Таблица1[коэф],"1,3",Таблица1[р/р],"4/24",Таблица1[Ф. И. О.],B198)</f>
        <v>0</v>
      </c>
      <c r="X200" s="291">
        <f t="shared" si="127"/>
        <v>0</v>
      </c>
      <c r="Y200" s="803"/>
      <c r="Z200" s="794"/>
      <c r="AA200" s="797"/>
    </row>
    <row r="201" spans="1:29" ht="19.5" customHeight="1">
      <c r="A201" s="740"/>
      <c r="B201" s="201"/>
      <c r="C201" s="799"/>
      <c r="D201" s="801"/>
      <c r="E201" s="72"/>
      <c r="F201" s="250"/>
      <c r="G201" s="92"/>
      <c r="H201" s="88"/>
      <c r="I201" s="76"/>
      <c r="J201" s="250"/>
      <c r="K201" s="202"/>
      <c r="L201" s="202"/>
      <c r="M201" s="202"/>
      <c r="N201" s="202"/>
      <c r="O201" s="202"/>
      <c r="P201" s="28"/>
      <c r="Q201" s="72">
        <f>IF(D193&lt;=3,база!$L$4,
IF(D193=4,база!$L$5,
IF(D193=5,база!$L$6)))</f>
        <v>210.57480000000001</v>
      </c>
      <c r="R201" s="250">
        <v>1.4</v>
      </c>
      <c r="S201" s="92">
        <f>SUMIFS(Таблица1[сумма],Таблица1[коэф],"1,4",Таблица1[р/р],"3/16",Таблица1[Ф. И. О.],B198)</f>
        <v>0</v>
      </c>
      <c r="T201" s="88">
        <f t="shared" ref="T201:T206" si="128">ROUND(Q201*R201*S201,2)</f>
        <v>0</v>
      </c>
      <c r="U201" s="338">
        <f>IF(D193&lt;=3,база!$M$4,
IF(D193=4,база!$M$5,
IF(D193=5,база!$M$6)))</f>
        <v>225.09719999999999</v>
      </c>
      <c r="V201" s="250">
        <v>1.4</v>
      </c>
      <c r="W201" s="285">
        <f>SUMIFS(Таблица1[сумма],Таблица1[коэф],"1,4",Таблица1[р/р],"3/24",Таблица1[Ф. И. О.],B198)</f>
        <v>0</v>
      </c>
      <c r="X201" s="291">
        <f>ROUND(U201*V201*W201,2)</f>
        <v>0</v>
      </c>
      <c r="Y201" s="803"/>
      <c r="Z201" s="794"/>
      <c r="AA201" s="797"/>
    </row>
    <row r="202" spans="1:29" ht="19.5" customHeight="1">
      <c r="A202" s="740"/>
      <c r="B202" s="201"/>
      <c r="C202" s="799"/>
      <c r="D202" s="801"/>
      <c r="E202" s="72"/>
      <c r="F202" s="250"/>
      <c r="G202" s="92"/>
      <c r="H202" s="88"/>
      <c r="I202" s="76"/>
      <c r="J202" s="250"/>
      <c r="K202" s="202"/>
      <c r="L202" s="202"/>
      <c r="M202" s="202"/>
      <c r="N202" s="202"/>
      <c r="O202" s="202"/>
      <c r="P202" s="28"/>
      <c r="Q202" s="72">
        <f>база!$L$5</f>
        <v>231.45480000000001</v>
      </c>
      <c r="R202" s="250">
        <v>1.4</v>
      </c>
      <c r="S202" s="92">
        <f>SUMIFS(Таблица1[сумма],Таблица1[коэф],"1,4",Таблица1[р/р],"4/16",Таблица1[Ф. И. О.],B198)</f>
        <v>0</v>
      </c>
      <c r="T202" s="88">
        <f t="shared" si="128"/>
        <v>0</v>
      </c>
      <c r="U202" s="338">
        <f>база!$M$5</f>
        <v>247.41720000000001</v>
      </c>
      <c r="V202" s="250">
        <v>1.4</v>
      </c>
      <c r="W202" s="285">
        <f>SUMIFS(Таблица1[сумма],Таблица1[коэф],"1,4",Таблица1[р/р],"4/24",Таблица1[Ф. И. О.],B198)</f>
        <v>0</v>
      </c>
      <c r="X202" s="291">
        <f>ROUND(U202*V202*W202,2)</f>
        <v>0</v>
      </c>
      <c r="Y202" s="803"/>
      <c r="Z202" s="794"/>
      <c r="AA202" s="797"/>
    </row>
    <row r="203" spans="1:29" ht="19.5" customHeight="1" thickBot="1">
      <c r="A203" s="741"/>
      <c r="B203" s="188"/>
      <c r="C203" s="800"/>
      <c r="D203" s="802"/>
      <c r="E203" s="95"/>
      <c r="F203" s="252"/>
      <c r="G203" s="91"/>
      <c r="H203" s="84"/>
      <c r="I203" s="206"/>
      <c r="J203" s="252"/>
      <c r="K203" s="267"/>
      <c r="L203" s="267"/>
      <c r="M203" s="267"/>
      <c r="N203" s="267"/>
      <c r="O203" s="267"/>
      <c r="P203" s="293"/>
      <c r="Q203" s="95">
        <f>база!$L$6</f>
        <v>261.04640000000001</v>
      </c>
      <c r="R203" s="252">
        <v>1.4</v>
      </c>
      <c r="S203" s="91">
        <f>SUMIFS(Таблица1[сумма],Таблица1[коэф],"1,4",Таблица1[р/р],"5/16",Таблица1[Ф. И. О.],B198)</f>
        <v>0</v>
      </c>
      <c r="T203" s="84">
        <f t="shared" si="128"/>
        <v>0</v>
      </c>
      <c r="U203" s="341">
        <f>база!$M$6</f>
        <v>279.0496</v>
      </c>
      <c r="V203" s="252">
        <v>1.4</v>
      </c>
      <c r="W203" s="290">
        <f>SUMIFS(Таблица1[сумма],Таблица1[коэф],"1,4",Таблица1[р/р],"5/24",Таблица1[Ф. И. О.],B198)</f>
        <v>0</v>
      </c>
      <c r="X203" s="320">
        <f>ROUND(U203*V203*W203,2)</f>
        <v>0</v>
      </c>
      <c r="Y203" s="804"/>
      <c r="Z203" s="795"/>
      <c r="AA203" s="798"/>
    </row>
    <row r="204" spans="1:29" ht="18.75" customHeight="1">
      <c r="A204" s="739">
        <v>19</v>
      </c>
      <c r="B204" s="201"/>
      <c r="C204" s="805">
        <f>INDEX(база!$E$2:$E$81, MATCH(B209,база!$B$2:$B$50,0))</f>
        <v>15590</v>
      </c>
      <c r="D204" s="806">
        <f>INDEX(база!$D$2:$D$89, MATCH(B209,база!$B$2:$B$50,0))</f>
        <v>3</v>
      </c>
      <c r="E204" s="75">
        <f>IF(D204&lt;=3,база!$I$4,
IF(D204=4,база!$I$5,
IF(D204=5,база!$I$6)))</f>
        <v>188.7912</v>
      </c>
      <c r="F204" s="249">
        <v>1</v>
      </c>
      <c r="G204" s="90">
        <f>SUMIFS(Таблица1[сумма],Таблица1[коэф],"1",Таблица1[р/р],"2/4",Таблица1[Ф. И. О.],B209)</f>
        <v>0</v>
      </c>
      <c r="H204" s="289">
        <f>ROUND(E204*F204*G204,2)</f>
        <v>0</v>
      </c>
      <c r="I204" s="66">
        <f>IF(D204&lt;=3,база!$J$4,
IF(D204=4,база!$J$5,
IF(D204=5,база!$J$6)))</f>
        <v>196.05240000000001</v>
      </c>
      <c r="J204" s="248">
        <v>1</v>
      </c>
      <c r="K204" s="266">
        <f>SUMIFS(Таблица1[сумма],Таблица1[коэф],"1",Таблица1[р/р],"2/8",Таблица1[Ф. И. О.],B209)</f>
        <v>0</v>
      </c>
      <c r="L204" s="26">
        <f>ROUND(I204*J204*K204,2)</f>
        <v>0</v>
      </c>
      <c r="M204" s="321"/>
      <c r="N204" s="287">
        <v>1</v>
      </c>
      <c r="O204" s="287">
        <f>SUMIFS(Data_Tech!$AM$3:$AM$67,Data_Tech!$E$3:$E$67,"1",Data_Tech!$G$3:$G$67,"3/12",Data_Tech!$F$3:$F$67,B209)</f>
        <v>0</v>
      </c>
      <c r="P204" s="287">
        <f>ROUND(M204*N204*O204,2)</f>
        <v>0</v>
      </c>
      <c r="Q204" s="69">
        <f>IF(D204&lt;=3,база!$L$4,
IF(D204=4,база!$L$5,
IF(D204=5,база!$L$6)))</f>
        <v>210.57480000000001</v>
      </c>
      <c r="R204" s="249">
        <v>1</v>
      </c>
      <c r="S204" s="90">
        <f>SUMIFS(Таблица1[сумма],Таблица1[коэф],"1",Таблица1[р/р],"3/16",Таблица1[Ф. И. О.],B209)</f>
        <v>0</v>
      </c>
      <c r="T204" s="289">
        <f t="shared" si="128"/>
        <v>0</v>
      </c>
      <c r="U204" s="342">
        <f>IF(D204&lt;=3,база!$M$4,
IF(D204=4,база!$M$5,
IF(D204=5,база!$M$6)))</f>
        <v>225.09719999999999</v>
      </c>
      <c r="V204" s="248">
        <v>1</v>
      </c>
      <c r="W204" s="317">
        <f>SUMIFS(Таблица1[сумма],Таблица1[коэф],"1",Таблица1[р/р],"3/24",Таблица1[Ф. И. О.],B209)</f>
        <v>0</v>
      </c>
      <c r="X204" s="319">
        <f>ROUND(U204*V204*W204,2)</f>
        <v>0</v>
      </c>
      <c r="Y204" s="803">
        <f t="shared" ref="Y204" si="129">SUM(G204:G214,K204:K214,O204:O214,S204:S214,W204:W214)</f>
        <v>0</v>
      </c>
      <c r="Z204" s="794">
        <f t="shared" ref="Z204" si="130">IFERROR(SUM(H204:H214,L204:L214,T204:T214,X204:X214),"")</f>
        <v>0</v>
      </c>
      <c r="AA204" s="797"/>
    </row>
    <row r="205" spans="1:29" ht="18.75" customHeight="1">
      <c r="A205" s="740"/>
      <c r="B205" s="201"/>
      <c r="C205" s="799"/>
      <c r="D205" s="801"/>
      <c r="E205" s="76">
        <f>IF(D204&lt;=3,база!$I$4,
IF(D204=4,база!$I$5,
IF(D204=5,база!$I$6)))</f>
        <v>188.7912</v>
      </c>
      <c r="F205" s="250">
        <v>1</v>
      </c>
      <c r="G205" s="92">
        <f>SUMIFS(Таблица1[сумма],Таблица1[коэф],"1",Таблица1[р/р],"3/4",Таблица1[Ф. И. О.],B209)</f>
        <v>0</v>
      </c>
      <c r="H205" s="86">
        <f>ROUND(E205*F205*G205,2)</f>
        <v>0</v>
      </c>
      <c r="I205" s="72">
        <f>IF(D204&lt;=3,база!$J$4,
IF(D204=4,база!$J$5,
IF(D204=5,база!$J$6)))</f>
        <v>196.05240000000001</v>
      </c>
      <c r="J205" s="250">
        <v>1</v>
      </c>
      <c r="K205" s="202">
        <f>SUMIFS(Таблица1[сумма],Таблица1[коэф],"1",Таблица1[р/р],"3/8",Таблица1[Ф. И. О.],B209)</f>
        <v>0</v>
      </c>
      <c r="L205" s="27">
        <f>ROUND(I205*J205*K205,2)</f>
        <v>0</v>
      </c>
      <c r="M205" s="311"/>
      <c r="N205" s="202">
        <v>1</v>
      </c>
      <c r="O205" s="202">
        <f>SUMIFS(Data_Tech!$AM$3:$AM$67,Data_Tech!$E$3:$E$67,"1",Data_Tech!$G$3:$G$67,"4/12",Data_Tech!$F$3:$F$67,B209)</f>
        <v>0</v>
      </c>
      <c r="P205" s="202">
        <f>ROUND(M205*O205,2)</f>
        <v>0</v>
      </c>
      <c r="Q205" s="73">
        <f>база!$L$5</f>
        <v>231.45480000000001</v>
      </c>
      <c r="R205" s="250">
        <v>1</v>
      </c>
      <c r="S205" s="92">
        <f>SUMIFS(Таблица1[сумма],Таблица1[коэф],"1",Таблица1[р/р],"4/16",Таблица1[Ф. И. О.],B209)</f>
        <v>0</v>
      </c>
      <c r="T205" s="86">
        <f t="shared" si="128"/>
        <v>0</v>
      </c>
      <c r="U205" s="343">
        <f>база!$M$5</f>
        <v>247.41720000000001</v>
      </c>
      <c r="V205" s="250">
        <v>1</v>
      </c>
      <c r="W205" s="285">
        <f>SUMIFS(Таблица1[сумма],Таблица1[коэф],"1",Таблица1[р/р],"4/24",Таблица1[Ф. И. О.],B209)</f>
        <v>0</v>
      </c>
      <c r="X205" s="291">
        <f t="shared" ref="X205" si="131">ROUND(U205*V205*W205,2)</f>
        <v>0</v>
      </c>
      <c r="Y205" s="803"/>
      <c r="Z205" s="794"/>
      <c r="AA205" s="797"/>
    </row>
    <row r="206" spans="1:29" ht="19.5" customHeight="1">
      <c r="A206" s="740"/>
      <c r="B206" s="201"/>
      <c r="C206" s="799"/>
      <c r="D206" s="801"/>
      <c r="E206" s="76"/>
      <c r="F206" s="250"/>
      <c r="G206" s="92"/>
      <c r="H206" s="86"/>
      <c r="I206" s="72"/>
      <c r="J206" s="250"/>
      <c r="K206" s="202"/>
      <c r="L206" s="27"/>
      <c r="M206" s="311"/>
      <c r="N206" s="202"/>
      <c r="O206" s="202"/>
      <c r="P206" s="202"/>
      <c r="Q206" s="73">
        <f>база!$L$6</f>
        <v>261.04640000000001</v>
      </c>
      <c r="R206" s="250">
        <v>1</v>
      </c>
      <c r="S206" s="92">
        <f>SUMIFS(Таблица1[сумма],Таблица1[коэф],"1",Таблица1[р/р],"5/16",Таблица1[Ф. И. О.],B209)</f>
        <v>0</v>
      </c>
      <c r="T206" s="86">
        <f t="shared" si="128"/>
        <v>0</v>
      </c>
      <c r="U206" s="343">
        <f>база!$M$6</f>
        <v>279.0496</v>
      </c>
      <c r="V206" s="250">
        <v>1</v>
      </c>
      <c r="W206" s="285">
        <f>SUMIFS(Таблица1[сумма],Таблица1[коэф],"1",Таблица1[р/р],"5/24",Таблица1[Ф. И. О.],B209)</f>
        <v>0</v>
      </c>
      <c r="X206" s="291">
        <f>ROUND(U206*V206*W206,2)</f>
        <v>0</v>
      </c>
      <c r="Y206" s="803"/>
      <c r="Z206" s="794"/>
      <c r="AA206" s="797"/>
    </row>
    <row r="207" spans="1:29" ht="19.5" customHeight="1">
      <c r="A207" s="740"/>
      <c r="B207" s="201"/>
      <c r="C207" s="799"/>
      <c r="D207" s="801"/>
      <c r="E207" s="76"/>
      <c r="F207" s="250"/>
      <c r="G207" s="92"/>
      <c r="H207" s="86"/>
      <c r="I207" s="72">
        <f>база!$J$5</f>
        <v>215.4924</v>
      </c>
      <c r="J207" s="250">
        <v>1.5</v>
      </c>
      <c r="K207" s="202">
        <f>SUMIFS(Таблица1[сумма],Таблица1[коэф],"1,5",Таблица1[р/р],"4/8",Таблица1[Ф. И. О.],B209)</f>
        <v>0</v>
      </c>
      <c r="L207" s="27">
        <f>ROUND(I207*J207*K207,2)</f>
        <v>0</v>
      </c>
      <c r="M207" s="311"/>
      <c r="N207" s="202"/>
      <c r="O207" s="202"/>
      <c r="P207" s="202"/>
      <c r="Q207" s="73">
        <f>IF(D204&lt;=3,база!$L$4,
IF(D204=4,база!$L$5,
IF(D204=5,база!$L$6)))</f>
        <v>210.57480000000001</v>
      </c>
      <c r="R207" s="250">
        <v>1.2</v>
      </c>
      <c r="S207" s="92">
        <f>SUMIFS(Таблица1[сумма],Таблица1[коэф],"1,2",Таблица1[р/р],"3/16",Таблица1[Ф. И. О.],B209)</f>
        <v>0</v>
      </c>
      <c r="T207" s="86">
        <f t="shared" ref="T207:T208" si="132">ROUND(Q207*R207*S207,2)</f>
        <v>0</v>
      </c>
      <c r="U207" s="343">
        <f>IF(D204&lt;=3,база!$M$4,
IF(D204=4,база!$M$5,
IF(D204=5,база!$M$6)))</f>
        <v>225.09719999999999</v>
      </c>
      <c r="V207" s="250">
        <v>1.2</v>
      </c>
      <c r="W207" s="285">
        <f>SUMIFS(Таблица1[сумма],Таблица1[коэф],"1,2",Таблица1[р/р],"3/24",Таблица1[Ф. И. О.],B209)</f>
        <v>0</v>
      </c>
      <c r="X207" s="291">
        <f t="shared" ref="X207:X208" si="133">ROUND(U207*V207*W207,2)</f>
        <v>0</v>
      </c>
      <c r="Y207" s="803"/>
      <c r="Z207" s="794"/>
      <c r="AA207" s="797"/>
    </row>
    <row r="208" spans="1:29" ht="19.5" customHeight="1">
      <c r="A208" s="740"/>
      <c r="B208" s="201"/>
      <c r="C208" s="799"/>
      <c r="D208" s="801"/>
      <c r="E208" s="76"/>
      <c r="F208" s="250"/>
      <c r="G208" s="92"/>
      <c r="H208" s="86"/>
      <c r="I208" s="72">
        <f>база!$J$6</f>
        <v>243.04319999999998</v>
      </c>
      <c r="J208" s="250">
        <v>1.5</v>
      </c>
      <c r="K208" s="202">
        <f>SUMIFS(Таблица1[сумма],Таблица1[коэф],"1,5",Таблица1[р/р],"5/8",Таблица1[Ф. И. О.],B209)</f>
        <v>0</v>
      </c>
      <c r="L208" s="27">
        <f>ROUND(I208*J208*K208,2)</f>
        <v>0</v>
      </c>
      <c r="M208" s="311"/>
      <c r="N208" s="202"/>
      <c r="O208" s="202"/>
      <c r="P208" s="202"/>
      <c r="Q208" s="73">
        <f>база!$L$5</f>
        <v>231.45480000000001</v>
      </c>
      <c r="R208" s="250">
        <v>1.2</v>
      </c>
      <c r="S208" s="92">
        <f>SUMIFS(Таблица1[сумма],Таблица1[коэф],"1,2",Таблица1[р/р],"4/16",Таблица1[Ф. И. О.],B209)</f>
        <v>0</v>
      </c>
      <c r="T208" s="86">
        <f t="shared" si="132"/>
        <v>0</v>
      </c>
      <c r="U208" s="343">
        <f>база!$M$5</f>
        <v>247.41720000000001</v>
      </c>
      <c r="V208" s="250">
        <v>1.2</v>
      </c>
      <c r="W208" s="285">
        <f>SUMIFS(Таблица1[сумма],Таблица1[коэф],"1,2",Таблица1[р/р],"4/24",Таблица1[Ф. И. О.],B209)</f>
        <v>0</v>
      </c>
      <c r="X208" s="291">
        <f t="shared" si="133"/>
        <v>0</v>
      </c>
      <c r="Y208" s="803"/>
      <c r="Z208" s="794"/>
      <c r="AA208" s="797"/>
      <c r="AC208" s="688" t="str">
        <f>IF(SUMIFS(Таблица1[Столбец2],Таблица1[Ф. И. О.],B209)-Z204=0,"",SUMIFS(Таблица1[Столбец2],Таблица1[Ф. И. О.],B209)-Z204)</f>
        <v/>
      </c>
    </row>
    <row r="209" spans="1:29" ht="18" customHeight="1">
      <c r="A209" s="740"/>
      <c r="B209" s="201" t="str">
        <f>база!B20</f>
        <v>Егорова Татьяна Владимировна</v>
      </c>
      <c r="C209" s="799"/>
      <c r="D209" s="801"/>
      <c r="E209" s="76"/>
      <c r="F209" s="250"/>
      <c r="G209" s="92"/>
      <c r="H209" s="86"/>
      <c r="I209" s="72"/>
      <c r="J209" s="250"/>
      <c r="K209" s="202"/>
      <c r="L209" s="27"/>
      <c r="M209" s="311"/>
      <c r="N209" s="202"/>
      <c r="O209" s="202"/>
      <c r="P209" s="202"/>
      <c r="Q209" s="73">
        <f>база!$L$6</f>
        <v>261.04640000000001</v>
      </c>
      <c r="R209" s="250">
        <v>1.2</v>
      </c>
      <c r="S209" s="92">
        <f>SUMIFS(Таблица1[сумма],Таблица1[коэф],"1,2",Таблица1[р/р],"5/16",Таблица1[Ф. И. О.],B209)</f>
        <v>0</v>
      </c>
      <c r="T209" s="86">
        <f>ROUND(Q209*R209*S209,2)</f>
        <v>0</v>
      </c>
      <c r="U209" s="343">
        <f>база!$M$6</f>
        <v>279.0496</v>
      </c>
      <c r="V209" s="250">
        <v>1.2</v>
      </c>
      <c r="W209" s="285">
        <f>SUMIFS(Таблица1[сумма],Таблица1[коэф],"1,2",Таблица1[р/р],"5/24",Таблица1[Ф. И. О.],B209)</f>
        <v>0</v>
      </c>
      <c r="X209" s="291">
        <f>ROUND(U209*V209*W209,2)</f>
        <v>0</v>
      </c>
      <c r="Y209" s="803"/>
      <c r="Z209" s="794"/>
      <c r="AA209" s="797"/>
      <c r="AC209" s="688" t="str">
        <f>IF(SUMIFS(Таблица1[сумма],Таблица1[Ф. И. О.],B209)=Y204,"",B204&amp;"  часы не верны")</f>
        <v/>
      </c>
    </row>
    <row r="210" spans="1:29" ht="19.5" customHeight="1">
      <c r="A210" s="740"/>
      <c r="B210" s="201"/>
      <c r="C210" s="799"/>
      <c r="D210" s="801"/>
      <c r="E210" s="76"/>
      <c r="F210" s="250"/>
      <c r="G210" s="92"/>
      <c r="H210" s="86"/>
      <c r="I210" s="72"/>
      <c r="J210" s="250"/>
      <c r="K210" s="202"/>
      <c r="L210" s="27"/>
      <c r="M210" s="311"/>
      <c r="N210" s="202"/>
      <c r="O210" s="202"/>
      <c r="P210" s="202"/>
      <c r="Q210" s="73">
        <f>IF($D$6&lt;=3,база!$L$4,
IF($D$6=4,база!$L$5,
IF($D$6=5,база!$L$6)))</f>
        <v>231.45480000000001</v>
      </c>
      <c r="R210" s="250">
        <v>1.3</v>
      </c>
      <c r="S210" s="92">
        <f>SUMIFS(Таблица1[сумма],Таблица1[коэф],"1,3",Таблица1[р/р],"3/16",Таблица1[Ф. И. О.],B209)</f>
        <v>0</v>
      </c>
      <c r="T210" s="86">
        <f t="shared" ref="T210:T211" si="134">ROUND(Q210*R210*S210,2)</f>
        <v>0</v>
      </c>
      <c r="U210" s="343">
        <f>IF(D204&lt;=3,база!$M$4,
IF(D204=4,база!$M$5,
IF(D204=5,база!$M$6)))</f>
        <v>225.09719999999999</v>
      </c>
      <c r="V210" s="250">
        <v>1.3</v>
      </c>
      <c r="W210" s="285">
        <f>SUMIFS(Таблица1[сумма],Таблица1[коэф],"1,3",Таблица1[р/р],"3/24",Таблица1[Ф. И. О.],B209)</f>
        <v>0</v>
      </c>
      <c r="X210" s="291">
        <f t="shared" ref="X210:X211" si="135">ROUND(U210*V210*W210,2)</f>
        <v>0</v>
      </c>
      <c r="Y210" s="803"/>
      <c r="Z210" s="794"/>
      <c r="AA210" s="797"/>
    </row>
    <row r="211" spans="1:29" ht="19.5" customHeight="1">
      <c r="A211" s="740"/>
      <c r="B211" s="201"/>
      <c r="C211" s="799"/>
      <c r="D211" s="801"/>
      <c r="E211" s="76"/>
      <c r="F211" s="250"/>
      <c r="G211" s="92"/>
      <c r="H211" s="86"/>
      <c r="I211" s="72"/>
      <c r="J211" s="250"/>
      <c r="K211" s="202"/>
      <c r="L211" s="27"/>
      <c r="M211" s="311"/>
      <c r="N211" s="202"/>
      <c r="O211" s="202"/>
      <c r="P211" s="202"/>
      <c r="Q211" s="73">
        <f>база!$L$5</f>
        <v>231.45480000000001</v>
      </c>
      <c r="R211" s="250">
        <v>1.3</v>
      </c>
      <c r="S211" s="92">
        <f>SUMIFS(Таблица1[сумма],Таблица1[коэф],"1,3",Таблица1[р/р],"4/16",Таблица1[Ф. И. О.],B209)</f>
        <v>0</v>
      </c>
      <c r="T211" s="86">
        <f t="shared" si="134"/>
        <v>0</v>
      </c>
      <c r="U211" s="343">
        <f>база!$M$5</f>
        <v>247.41720000000001</v>
      </c>
      <c r="V211" s="250">
        <v>1.3</v>
      </c>
      <c r="W211" s="285">
        <f>SUMIFS(Таблица1[сумма],Таблица1[коэф],"1,3",Таблица1[р/р],"4/24",Таблица1[Ф. И. О.],B209)</f>
        <v>0</v>
      </c>
      <c r="X211" s="291">
        <f t="shared" si="135"/>
        <v>0</v>
      </c>
      <c r="Y211" s="803"/>
      <c r="Z211" s="794"/>
      <c r="AA211" s="797"/>
    </row>
    <row r="212" spans="1:29" ht="19.5" customHeight="1">
      <c r="A212" s="740"/>
      <c r="B212" s="201"/>
      <c r="C212" s="799"/>
      <c r="D212" s="801"/>
      <c r="E212" s="76"/>
      <c r="F212" s="250"/>
      <c r="G212" s="92"/>
      <c r="H212" s="86"/>
      <c r="I212" s="72"/>
      <c r="J212" s="250"/>
      <c r="K212" s="202"/>
      <c r="L212" s="27"/>
      <c r="M212" s="311"/>
      <c r="N212" s="202"/>
      <c r="O212" s="202"/>
      <c r="P212" s="202"/>
      <c r="Q212" s="73">
        <f>IF(D204&lt;=3,база!$L$4,
IF(D204=4,база!$L$5,
IF(D204=5,база!$L$6)))</f>
        <v>210.57480000000001</v>
      </c>
      <c r="R212" s="250">
        <v>1.4</v>
      </c>
      <c r="S212" s="92">
        <f>SUMIFS(Таблица1[сумма],Таблица1[коэф],"1,4",Таблица1[р/р],"3/16",Таблица1[Ф. И. О.],B209)</f>
        <v>0</v>
      </c>
      <c r="T212" s="86">
        <f t="shared" ref="T212:T217" si="136">ROUND(Q212*R212*S212,2)</f>
        <v>0</v>
      </c>
      <c r="U212" s="343">
        <f>IF(D204&lt;=3,база!$M$4,
IF(D204=4,база!$M$5,
IF(D204=5,база!$M$6)))</f>
        <v>225.09719999999999</v>
      </c>
      <c r="V212" s="250">
        <v>1.4</v>
      </c>
      <c r="W212" s="285">
        <f>SUMIFS(Таблица1[сумма],Таблица1[коэф],"1,4",Таблица1[р/р],"3/24",Таблица1[Ф. И. О.],B209)</f>
        <v>0</v>
      </c>
      <c r="X212" s="291">
        <f>ROUND(U212*V212*W212,2)</f>
        <v>0</v>
      </c>
      <c r="Y212" s="803"/>
      <c r="Z212" s="794"/>
      <c r="AA212" s="797"/>
    </row>
    <row r="213" spans="1:29" ht="19.5" customHeight="1">
      <c r="A213" s="740"/>
      <c r="B213" s="201"/>
      <c r="C213" s="799"/>
      <c r="D213" s="801"/>
      <c r="E213" s="76"/>
      <c r="F213" s="250"/>
      <c r="G213" s="92"/>
      <c r="H213" s="86"/>
      <c r="I213" s="72"/>
      <c r="J213" s="250"/>
      <c r="K213" s="202"/>
      <c r="L213" s="27"/>
      <c r="M213" s="311"/>
      <c r="N213" s="202"/>
      <c r="O213" s="202"/>
      <c r="P213" s="202"/>
      <c r="Q213" s="73">
        <f>база!$L$5</f>
        <v>231.45480000000001</v>
      </c>
      <c r="R213" s="250">
        <v>1.4</v>
      </c>
      <c r="S213" s="92">
        <f>SUMIFS(Таблица1[сумма],Таблица1[коэф],"1,4",Таблица1[р/р],"4/16",Таблица1[Ф. И. О.],B209)</f>
        <v>0</v>
      </c>
      <c r="T213" s="86">
        <f t="shared" si="136"/>
        <v>0</v>
      </c>
      <c r="U213" s="343">
        <f>база!$M$5</f>
        <v>247.41720000000001</v>
      </c>
      <c r="V213" s="250">
        <v>1.4</v>
      </c>
      <c r="W213" s="285">
        <f>SUMIFS(Таблица1[сумма],Таблица1[коэф],"1,4",Таблица1[р/р],"4/24",Таблица1[Ф. И. О.],B209)</f>
        <v>0</v>
      </c>
      <c r="X213" s="291">
        <f>ROUND(U213*V213*W213,2)</f>
        <v>0</v>
      </c>
      <c r="Y213" s="803"/>
      <c r="Z213" s="794"/>
      <c r="AA213" s="797"/>
    </row>
    <row r="214" spans="1:29" ht="19.5" customHeight="1" thickBot="1">
      <c r="A214" s="741"/>
      <c r="B214" s="188"/>
      <c r="C214" s="800"/>
      <c r="D214" s="802"/>
      <c r="E214" s="206"/>
      <c r="F214" s="252"/>
      <c r="G214" s="91"/>
      <c r="H214" s="222"/>
      <c r="I214" s="95"/>
      <c r="J214" s="252"/>
      <c r="K214" s="267"/>
      <c r="L214" s="24"/>
      <c r="M214" s="325"/>
      <c r="N214" s="267"/>
      <c r="O214" s="267"/>
      <c r="P214" s="267"/>
      <c r="Q214" s="71">
        <f>база!$L$6</f>
        <v>261.04640000000001</v>
      </c>
      <c r="R214" s="252">
        <v>1.4</v>
      </c>
      <c r="S214" s="91">
        <f>SUMIFS(Таблица1[сумма],Таблица1[коэф],"1,4",Таблица1[р/р],"5/16",Таблица1[Ф. И. О.],B209)</f>
        <v>0</v>
      </c>
      <c r="T214" s="222">
        <f t="shared" si="136"/>
        <v>0</v>
      </c>
      <c r="U214" s="344">
        <f>база!$M$6</f>
        <v>279.0496</v>
      </c>
      <c r="V214" s="252">
        <v>1.4</v>
      </c>
      <c r="W214" s="290">
        <f>SUMIFS(Таблица1[сумма],Таблица1[коэф],"1,4",Таблица1[р/р],"5/24",Таблица1[Ф. И. О.],B209)</f>
        <v>0</v>
      </c>
      <c r="X214" s="320">
        <f>ROUND(U214*V214*W214,2)</f>
        <v>0</v>
      </c>
      <c r="Y214" s="804"/>
      <c r="Z214" s="795"/>
      <c r="AA214" s="798"/>
    </row>
    <row r="215" spans="1:29" ht="18.75" customHeight="1">
      <c r="A215" s="739">
        <v>20</v>
      </c>
      <c r="B215" s="201"/>
      <c r="C215" s="805">
        <f>INDEX(база!$E$2:$E$81, MATCH(B220,база!$B$2:$B$50,0))</f>
        <v>16771</v>
      </c>
      <c r="D215" s="806">
        <f>INDEX(база!$D$2:$D$89, MATCH(B220,база!$B$2:$B$50,0))</f>
        <v>3</v>
      </c>
      <c r="E215" s="75">
        <f>IF(D215&lt;=3,база!$I$4,
IF(D215=4,база!$I$5,
IF(D215=5,база!$I$6)))</f>
        <v>188.7912</v>
      </c>
      <c r="F215" s="249">
        <v>1</v>
      </c>
      <c r="G215" s="90">
        <f>SUMIFS(Таблица1[сумма],Таблица1[коэф],"1",Таблица1[р/р],"2/4",Таблица1[Ф. И. О.],B220)</f>
        <v>0</v>
      </c>
      <c r="H215" s="289">
        <f>ROUND(E215*F215*G215,2)</f>
        <v>0</v>
      </c>
      <c r="I215" s="68">
        <f>IF(D215&lt;=3,база!$J$4,
IF(D215=4,база!$J$5,
IF(D215=5,база!$J$6)))</f>
        <v>196.05240000000001</v>
      </c>
      <c r="J215" s="249">
        <v>1</v>
      </c>
      <c r="K215" s="287">
        <f>SUMIFS(Таблица1[сумма],Таблица1[коэф],"1",Таблица1[р/р],"2/8",Таблица1[Ф. И. О.],B220)</f>
        <v>0</v>
      </c>
      <c r="L215" s="21">
        <f>ROUND(I215*J215*K215,2)</f>
        <v>0</v>
      </c>
      <c r="M215" s="321"/>
      <c r="N215" s="287">
        <v>1</v>
      </c>
      <c r="O215" s="287">
        <f>SUMIFS(Data_Tech!$AM$3:$AM$67,Data_Tech!$E$3:$E$67,"1",Data_Tech!$G$3:$G$67,"3/12",Data_Tech!$F$3:$F$67,B220)</f>
        <v>0</v>
      </c>
      <c r="P215" s="287">
        <f>ROUND(M215*N215*O215,2)</f>
        <v>0</v>
      </c>
      <c r="Q215" s="69">
        <f>IF(D215&lt;=3,база!$L$4,
IF(D215=4,база!$L$5,
IF(D215=5,база!$L$6)))</f>
        <v>210.57480000000001</v>
      </c>
      <c r="R215" s="249">
        <v>1</v>
      </c>
      <c r="S215" s="90">
        <f>SUMIFS(Таблица1[сумма],Таблица1[коэф],"1",Таблица1[р/р],"3/16",Таблица1[Ф. И. О.],B220)</f>
        <v>0</v>
      </c>
      <c r="T215" s="289">
        <f t="shared" si="136"/>
        <v>0</v>
      </c>
      <c r="U215" s="347">
        <f>IF(D215&lt;=3,база!$M$4,
IF(D215=4,база!$M$5,
IF(D215=5,база!$M$6)))</f>
        <v>225.09719999999999</v>
      </c>
      <c r="V215" s="249">
        <v>1</v>
      </c>
      <c r="W215" s="314">
        <f>SUMIFS(Таблица1[сумма],Таблица1[коэф],"1",Таблица1[р/р],"3/24",Таблица1[Ф. И. О.],B220)</f>
        <v>0</v>
      </c>
      <c r="X215" s="328">
        <f>ROUND(U215*V215*W215,2)</f>
        <v>0</v>
      </c>
      <c r="Y215" s="803">
        <f t="shared" ref="Y215" si="137">SUM(G215:G225,K215:K225,O215:O225,S215:S225,W215:W225)</f>
        <v>0</v>
      </c>
      <c r="Z215" s="794">
        <f t="shared" ref="Z215" si="138">IFERROR(SUM(H215:H225,L215:L225,T215:T225,X215:X225),"")</f>
        <v>0</v>
      </c>
      <c r="AA215" s="797"/>
    </row>
    <row r="216" spans="1:29" ht="18.75" customHeight="1">
      <c r="A216" s="740"/>
      <c r="B216" s="201"/>
      <c r="C216" s="799"/>
      <c r="D216" s="801"/>
      <c r="E216" s="76">
        <f>IF(D215&lt;=3,база!$I$4,
IF(D215=4,база!$I$5,
IF(D215=5,база!$I$6)))</f>
        <v>188.7912</v>
      </c>
      <c r="F216" s="250">
        <v>1</v>
      </c>
      <c r="G216" s="92">
        <f>SUMIFS(Таблица1[сумма],Таблица1[коэф],"1",Таблица1[р/р],"3/4",Таблица1[Ф. И. О.],B220)</f>
        <v>0</v>
      </c>
      <c r="H216" s="86">
        <f>ROUND(E216*F216*G216,2)</f>
        <v>0</v>
      </c>
      <c r="I216" s="72">
        <f>IF(D215&lt;=3,база!$J$4,
IF(D215=4,база!$J$5,
IF(D215=5,база!$J$6)))</f>
        <v>196.05240000000001</v>
      </c>
      <c r="J216" s="250">
        <v>1</v>
      </c>
      <c r="K216" s="202">
        <f>SUMIFS(Таблица1[сумма],Таблица1[коэф],"1",Таблица1[р/р],"3/8",Таблица1[Ф. И. О.],B220)</f>
        <v>0</v>
      </c>
      <c r="L216" s="27">
        <f>ROUND(I216*J216*K216,2)</f>
        <v>0</v>
      </c>
      <c r="M216" s="311"/>
      <c r="N216" s="202">
        <v>1</v>
      </c>
      <c r="O216" s="202">
        <f>SUMIFS(Data_Tech!$AM$3:$AM$67,Data_Tech!$E$3:$E$67,"1",Data_Tech!$G$3:$G$67,"4/12",Data_Tech!$F$3:$F$67,B220)</f>
        <v>0</v>
      </c>
      <c r="P216" s="202">
        <f>ROUND(M216*O216,2)</f>
        <v>0</v>
      </c>
      <c r="Q216" s="73">
        <f>база!$L$5</f>
        <v>231.45480000000001</v>
      </c>
      <c r="R216" s="250">
        <v>1</v>
      </c>
      <c r="S216" s="92">
        <f>SUMIFS(Таблица1[сумма],Таблица1[коэф],"1",Таблица1[р/р],"4/16",Таблица1[Ф. И. О.],B220)</f>
        <v>0</v>
      </c>
      <c r="T216" s="86">
        <f t="shared" si="136"/>
        <v>0</v>
      </c>
      <c r="U216" s="343">
        <f>база!$M$5</f>
        <v>247.41720000000001</v>
      </c>
      <c r="V216" s="250">
        <v>1</v>
      </c>
      <c r="W216" s="285">
        <f>SUMIFS(Таблица1[сумма],Таблица1[коэф],"1",Таблица1[р/р],"4/24",Таблица1[Ф. И. О.],B220)</f>
        <v>0</v>
      </c>
      <c r="X216" s="291">
        <f t="shared" ref="X216" si="139">ROUND(U216*V216*W216,2)</f>
        <v>0</v>
      </c>
      <c r="Y216" s="803"/>
      <c r="Z216" s="794"/>
      <c r="AA216" s="797"/>
    </row>
    <row r="217" spans="1:29" ht="18.75" customHeight="1">
      <c r="A217" s="740"/>
      <c r="B217" s="201"/>
      <c r="C217" s="799"/>
      <c r="D217" s="801"/>
      <c r="E217" s="76"/>
      <c r="F217" s="250"/>
      <c r="G217" s="92"/>
      <c r="H217" s="86"/>
      <c r="I217" s="72"/>
      <c r="J217" s="250"/>
      <c r="K217" s="202"/>
      <c r="L217" s="27"/>
      <c r="M217" s="311"/>
      <c r="N217" s="202"/>
      <c r="O217" s="202"/>
      <c r="P217" s="202"/>
      <c r="Q217" s="73">
        <f>база!$L$6</f>
        <v>261.04640000000001</v>
      </c>
      <c r="R217" s="250">
        <v>1</v>
      </c>
      <c r="S217" s="92">
        <f>SUMIFS(Таблица1[сумма],Таблица1[коэф],"1",Таблица1[р/р],"5/16",Таблица1[Ф. И. О.],B220)</f>
        <v>0</v>
      </c>
      <c r="T217" s="86">
        <f t="shared" si="136"/>
        <v>0</v>
      </c>
      <c r="U217" s="343">
        <f>база!$M$6</f>
        <v>279.0496</v>
      </c>
      <c r="V217" s="250">
        <v>1</v>
      </c>
      <c r="W217" s="285">
        <f>SUMIFS(Таблица1[сумма],Таблица1[коэф],"1",Таблица1[р/р],"5/24",Таблица1[Ф. И. О.],B220)</f>
        <v>0</v>
      </c>
      <c r="X217" s="291">
        <f>ROUND(U217*V217*W217,2)</f>
        <v>0</v>
      </c>
      <c r="Y217" s="803"/>
      <c r="Z217" s="794"/>
      <c r="AA217" s="797"/>
    </row>
    <row r="218" spans="1:29" ht="18.75" customHeight="1">
      <c r="A218" s="740"/>
      <c r="B218" s="201"/>
      <c r="C218" s="799"/>
      <c r="D218" s="801"/>
      <c r="E218" s="76"/>
      <c r="F218" s="250"/>
      <c r="G218" s="92"/>
      <c r="H218" s="86"/>
      <c r="I218" s="72">
        <f>база!$J$5</f>
        <v>215.4924</v>
      </c>
      <c r="J218" s="250">
        <v>1.5</v>
      </c>
      <c r="K218" s="202">
        <f>SUMIFS(Таблица1[сумма],Таблица1[коэф],"1,5",Таблица1[р/р],"4/8",Таблица1[Ф. И. О.],B220)</f>
        <v>0</v>
      </c>
      <c r="L218" s="27">
        <f>ROUND(I218*J218*K218,2)</f>
        <v>0</v>
      </c>
      <c r="M218" s="311"/>
      <c r="N218" s="202"/>
      <c r="O218" s="202"/>
      <c r="P218" s="202"/>
      <c r="Q218" s="73">
        <f>IF(D215&lt;=3,база!$L$4,
IF(D215=4,база!$L$5,
IF(D215=5,база!$L$6)))</f>
        <v>210.57480000000001</v>
      </c>
      <c r="R218" s="250">
        <v>1.2</v>
      </c>
      <c r="S218" s="92">
        <f>SUMIFS(Таблица1[сумма],Таблица1[коэф],"1,2",Таблица1[р/р],"3/16",Таблица1[Ф. И. О.],B220)</f>
        <v>0</v>
      </c>
      <c r="T218" s="86">
        <f t="shared" ref="T218:T219" si="140">ROUND(Q218*R218*S218,2)</f>
        <v>0</v>
      </c>
      <c r="U218" s="343">
        <f>IF(D215&lt;=3,база!$M$4,
IF(D215=4,база!$M$5,
IF(D215=5,база!$M$6)))</f>
        <v>225.09719999999999</v>
      </c>
      <c r="V218" s="250">
        <v>1.2</v>
      </c>
      <c r="W218" s="285">
        <f>SUMIFS(Таблица1[сумма],Таблица1[коэф],"1,2",Таблица1[р/р],"3/24",Таблица1[Ф. И. О.],B220)</f>
        <v>0</v>
      </c>
      <c r="X218" s="291">
        <f t="shared" ref="X218:X219" si="141">ROUND(U218*V218*W218,2)</f>
        <v>0</v>
      </c>
      <c r="Y218" s="803"/>
      <c r="Z218" s="794"/>
      <c r="AA218" s="797"/>
    </row>
    <row r="219" spans="1:29" ht="18.75" customHeight="1">
      <c r="A219" s="740"/>
      <c r="B219" s="201"/>
      <c r="C219" s="799"/>
      <c r="D219" s="801"/>
      <c r="E219" s="76"/>
      <c r="F219" s="250"/>
      <c r="G219" s="92"/>
      <c r="H219" s="86"/>
      <c r="I219" s="72">
        <f>база!$J$6</f>
        <v>243.04319999999998</v>
      </c>
      <c r="J219" s="250">
        <v>1.5</v>
      </c>
      <c r="K219" s="202">
        <f>SUMIFS(Таблица1[сумма],Таблица1[коэф],"1,5",Таблица1[р/р],"5/8",Таблица1[Ф. И. О.],B220)</f>
        <v>0</v>
      </c>
      <c r="L219" s="27">
        <f>ROUND(I219*J219*K219,2)</f>
        <v>0</v>
      </c>
      <c r="M219" s="311"/>
      <c r="N219" s="202"/>
      <c r="O219" s="202"/>
      <c r="P219" s="202"/>
      <c r="Q219" s="73">
        <f>база!$L$5</f>
        <v>231.45480000000001</v>
      </c>
      <c r="R219" s="250">
        <v>1.2</v>
      </c>
      <c r="S219" s="92">
        <f>SUMIFS(Таблица1[сумма],Таблица1[коэф],"1,2",Таблица1[р/р],"4/16",Таблица1[Ф. И. О.],B220)</f>
        <v>0</v>
      </c>
      <c r="T219" s="86">
        <f t="shared" si="140"/>
        <v>0</v>
      </c>
      <c r="U219" s="343">
        <f>база!$M$5</f>
        <v>247.41720000000001</v>
      </c>
      <c r="V219" s="250">
        <v>1.2</v>
      </c>
      <c r="W219" s="285">
        <f>SUMIFS(Таблица1[сумма],Таблица1[коэф],"1,2",Таблица1[р/р],"4/24",Таблица1[Ф. И. О.],B220)</f>
        <v>0</v>
      </c>
      <c r="X219" s="291">
        <f t="shared" si="141"/>
        <v>0</v>
      </c>
      <c r="Y219" s="803"/>
      <c r="Z219" s="794"/>
      <c r="AA219" s="797"/>
      <c r="AC219" s="688" t="str">
        <f>IF(SUMIFS(Таблица1[Столбец2],Таблица1[Ф. И. О.],B220)-Z215=0,"",SUMIFS(Таблица1[Столбец2],Таблица1[Ф. И. О.],B220)-Z215)</f>
        <v/>
      </c>
    </row>
    <row r="220" spans="1:29" ht="22.5" customHeight="1">
      <c r="A220" s="740"/>
      <c r="B220" s="201" t="str">
        <f>база!B21</f>
        <v>Елькина Татьяна Владимировна</v>
      </c>
      <c r="C220" s="799"/>
      <c r="D220" s="801"/>
      <c r="E220" s="76"/>
      <c r="F220" s="250"/>
      <c r="G220" s="92"/>
      <c r="H220" s="86"/>
      <c r="I220" s="72"/>
      <c r="J220" s="250"/>
      <c r="K220" s="202"/>
      <c r="L220" s="27"/>
      <c r="M220" s="311"/>
      <c r="N220" s="202"/>
      <c r="O220" s="202"/>
      <c r="P220" s="202"/>
      <c r="Q220" s="73">
        <f>база!$L$6</f>
        <v>261.04640000000001</v>
      </c>
      <c r="R220" s="250">
        <v>1.2</v>
      </c>
      <c r="S220" s="92">
        <f>SUMIFS(Таблица1[сумма],Таблица1[коэф],"1,2",Таблица1[р/р],"5/16",Таблица1[Ф. И. О.],B220)</f>
        <v>0</v>
      </c>
      <c r="T220" s="86">
        <f>ROUND(Q220*R220*S220,2)</f>
        <v>0</v>
      </c>
      <c r="U220" s="343">
        <f>база!$M$6</f>
        <v>279.0496</v>
      </c>
      <c r="V220" s="250">
        <v>1.2</v>
      </c>
      <c r="W220" s="285">
        <f>SUMIFS(Таблица1[сумма],Таблица1[коэф],"1,2",Таблица1[р/р],"5/24",Таблица1[Ф. И. О.],B220)</f>
        <v>0</v>
      </c>
      <c r="X220" s="291">
        <f>ROUND(U220*V220*W220,2)</f>
        <v>0</v>
      </c>
      <c r="Y220" s="803"/>
      <c r="Z220" s="794"/>
      <c r="AA220" s="797"/>
      <c r="AC220" s="688" t="str">
        <f>IF(SUMIFS(Таблица1[сумма],Таблица1[Ф. И. О.],B220)=Y215,"",B215&amp;"  часы не верны")</f>
        <v/>
      </c>
    </row>
    <row r="221" spans="1:29" ht="18.75" customHeight="1">
      <c r="A221" s="740"/>
      <c r="B221" s="201"/>
      <c r="C221" s="799"/>
      <c r="D221" s="801"/>
      <c r="E221" s="76"/>
      <c r="F221" s="250"/>
      <c r="G221" s="92"/>
      <c r="H221" s="86"/>
      <c r="I221" s="72"/>
      <c r="J221" s="250"/>
      <c r="K221" s="202"/>
      <c r="L221" s="27"/>
      <c r="M221" s="311"/>
      <c r="N221" s="202"/>
      <c r="O221" s="202"/>
      <c r="P221" s="202"/>
      <c r="Q221" s="73">
        <f>IF($D$6&lt;=3,база!$L$4,
IF($D$6=4,база!$L$5,
IF($D$6=5,база!$L$6)))</f>
        <v>231.45480000000001</v>
      </c>
      <c r="R221" s="250">
        <v>1.3</v>
      </c>
      <c r="S221" s="92">
        <f>SUMIFS(Таблица1[сумма],Таблица1[коэф],"1,3",Таблица1[р/р],"3/16",Таблица1[Ф. И. О.],B220)</f>
        <v>0</v>
      </c>
      <c r="T221" s="86">
        <f t="shared" ref="T221:T222" si="142">ROUND(Q221*R221*S221,2)</f>
        <v>0</v>
      </c>
      <c r="U221" s="343">
        <f>IF(D215&lt;=3,база!$M$4,
IF(D215=4,база!$M$5,
IF(D215=5,база!$M$6)))</f>
        <v>225.09719999999999</v>
      </c>
      <c r="V221" s="250">
        <v>1.3</v>
      </c>
      <c r="W221" s="285">
        <f>SUMIFS(Таблица1[сумма],Таблица1[коэф],"1,3",Таблица1[р/р],"3/24",Таблица1[Ф. И. О.],B220)</f>
        <v>0</v>
      </c>
      <c r="X221" s="291">
        <f t="shared" ref="X221:X222" si="143">ROUND(U221*V221*W221,2)</f>
        <v>0</v>
      </c>
      <c r="Y221" s="803"/>
      <c r="Z221" s="794"/>
      <c r="AA221" s="797"/>
    </row>
    <row r="222" spans="1:29" ht="18.75" customHeight="1">
      <c r="A222" s="740"/>
      <c r="B222" s="201"/>
      <c r="C222" s="799"/>
      <c r="D222" s="801"/>
      <c r="E222" s="76"/>
      <c r="F222" s="250"/>
      <c r="G222" s="92"/>
      <c r="H222" s="86"/>
      <c r="I222" s="72"/>
      <c r="J222" s="250"/>
      <c r="K222" s="202"/>
      <c r="L222" s="27"/>
      <c r="M222" s="311"/>
      <c r="N222" s="202"/>
      <c r="O222" s="202"/>
      <c r="P222" s="202"/>
      <c r="Q222" s="73">
        <f>база!$L$5</f>
        <v>231.45480000000001</v>
      </c>
      <c r="R222" s="250">
        <v>1.3</v>
      </c>
      <c r="S222" s="92">
        <f>SUMIFS(Таблица1[сумма],Таблица1[коэф],"1,3",Таблица1[р/р],"4/16",Таблица1[Ф. И. О.],B220)</f>
        <v>0</v>
      </c>
      <c r="T222" s="86">
        <f t="shared" si="142"/>
        <v>0</v>
      </c>
      <c r="U222" s="343">
        <f>база!$M$5</f>
        <v>247.41720000000001</v>
      </c>
      <c r="V222" s="250">
        <v>1.3</v>
      </c>
      <c r="W222" s="285">
        <f>SUMIFS(Таблица1[сумма],Таблица1[коэф],"1,3",Таблица1[р/р],"4/24",Таблица1[Ф. И. О.],B220)</f>
        <v>0</v>
      </c>
      <c r="X222" s="291">
        <f t="shared" si="143"/>
        <v>0</v>
      </c>
      <c r="Y222" s="803"/>
      <c r="Z222" s="794"/>
      <c r="AA222" s="797"/>
    </row>
    <row r="223" spans="1:29" ht="18.75" customHeight="1">
      <c r="A223" s="740"/>
      <c r="B223" s="201"/>
      <c r="C223" s="799"/>
      <c r="D223" s="801"/>
      <c r="E223" s="76"/>
      <c r="F223" s="250"/>
      <c r="G223" s="92"/>
      <c r="H223" s="86"/>
      <c r="I223" s="72"/>
      <c r="J223" s="250"/>
      <c r="K223" s="202"/>
      <c r="L223" s="27"/>
      <c r="M223" s="311"/>
      <c r="N223" s="202"/>
      <c r="O223" s="202"/>
      <c r="P223" s="202"/>
      <c r="Q223" s="73">
        <f>IF(D215&lt;=3,база!$L$4,
IF(D215=4,база!$L$5,
IF(D215=5,база!$L$6)))</f>
        <v>210.57480000000001</v>
      </c>
      <c r="R223" s="250">
        <v>1.4</v>
      </c>
      <c r="S223" s="92">
        <f>SUMIFS(Таблица1[сумма],Таблица1[коэф],"1,4",Таблица1[р/р],"3/16",Таблица1[Ф. И. О.],B220)</f>
        <v>0</v>
      </c>
      <c r="T223" s="86">
        <f t="shared" ref="T223:T228" si="144">ROUND(Q223*R223*S223,2)</f>
        <v>0</v>
      </c>
      <c r="U223" s="343">
        <f>IF(D215&lt;=3,база!$M$4,
IF(D215=4,база!$M$5,
IF(D215=5,база!$M$6)))</f>
        <v>225.09719999999999</v>
      </c>
      <c r="V223" s="250">
        <v>1.4</v>
      </c>
      <c r="W223" s="285">
        <f>SUMIFS(Таблица1[сумма],Таблица1[коэф],"1,4",Таблица1[р/р],"3/24",Таблица1[Ф. И. О.],B220)</f>
        <v>0</v>
      </c>
      <c r="X223" s="291">
        <f>ROUND(U223*V223*W223,2)</f>
        <v>0</v>
      </c>
      <c r="Y223" s="803"/>
      <c r="Z223" s="794"/>
      <c r="AA223" s="797"/>
    </row>
    <row r="224" spans="1:29" ht="18.75" customHeight="1">
      <c r="A224" s="740"/>
      <c r="B224" s="201"/>
      <c r="C224" s="799"/>
      <c r="D224" s="801"/>
      <c r="E224" s="76"/>
      <c r="F224" s="250"/>
      <c r="G224" s="92"/>
      <c r="H224" s="86"/>
      <c r="I224" s="72"/>
      <c r="J224" s="250"/>
      <c r="K224" s="202"/>
      <c r="L224" s="27"/>
      <c r="M224" s="311"/>
      <c r="N224" s="202"/>
      <c r="O224" s="202"/>
      <c r="P224" s="202"/>
      <c r="Q224" s="73">
        <f>база!$L$5</f>
        <v>231.45480000000001</v>
      </c>
      <c r="R224" s="250">
        <v>1.4</v>
      </c>
      <c r="S224" s="92">
        <f>SUMIFS(Таблица1[сумма],Таблица1[коэф],"1,4",Таблица1[р/р],"4/16",Таблица1[Ф. И. О.],B220)</f>
        <v>0</v>
      </c>
      <c r="T224" s="86">
        <f t="shared" si="144"/>
        <v>0</v>
      </c>
      <c r="U224" s="343">
        <f>база!$M$5</f>
        <v>247.41720000000001</v>
      </c>
      <c r="V224" s="250">
        <v>1.4</v>
      </c>
      <c r="W224" s="285">
        <f>SUMIFS(Таблица1[сумма],Таблица1[коэф],"1,4",Таблица1[р/р],"4/24",Таблица1[Ф. И. О.],B220)</f>
        <v>0</v>
      </c>
      <c r="X224" s="291">
        <f>ROUND(U224*V224*W224,2)</f>
        <v>0</v>
      </c>
      <c r="Y224" s="803"/>
      <c r="Z224" s="794"/>
      <c r="AA224" s="797"/>
    </row>
    <row r="225" spans="1:29" ht="19.5" customHeight="1" thickBot="1">
      <c r="A225" s="741"/>
      <c r="B225" s="201"/>
      <c r="C225" s="800"/>
      <c r="D225" s="802"/>
      <c r="E225" s="281"/>
      <c r="F225" s="253"/>
      <c r="G225" s="98"/>
      <c r="H225" s="294"/>
      <c r="I225" s="203"/>
      <c r="J225" s="253"/>
      <c r="K225" s="280"/>
      <c r="L225" s="205"/>
      <c r="M225" s="322"/>
      <c r="N225" s="280"/>
      <c r="O225" s="280"/>
      <c r="P225" s="280"/>
      <c r="Q225" s="100">
        <f>база!$L$6</f>
        <v>261.04640000000001</v>
      </c>
      <c r="R225" s="253">
        <v>1.4</v>
      </c>
      <c r="S225" s="98">
        <f>SUMIFS(Таблица1[сумма],Таблица1[коэф],"1,4",Таблица1[р/р],"5/16",Таблица1[Ф. И. О.],B220)</f>
        <v>0</v>
      </c>
      <c r="T225" s="294">
        <f t="shared" si="144"/>
        <v>0</v>
      </c>
      <c r="U225" s="346">
        <f>база!$M$6</f>
        <v>279.0496</v>
      </c>
      <c r="V225" s="253">
        <v>1.4</v>
      </c>
      <c r="W225" s="310">
        <f>SUMIFS(Таблица1[сумма],Таблица1[коэф],"1,4",Таблица1[р/р],"5/24",Таблица1[Ф. И. О.],B220)</f>
        <v>0</v>
      </c>
      <c r="X225" s="327">
        <f>ROUND(U225*V225*W225,2)</f>
        <v>0</v>
      </c>
      <c r="Y225" s="804"/>
      <c r="Z225" s="795"/>
      <c r="AA225" s="798"/>
    </row>
    <row r="226" spans="1:29" ht="18.75" customHeight="1">
      <c r="A226" s="739">
        <v>21</v>
      </c>
      <c r="B226" s="219"/>
      <c r="C226" s="805">
        <f>INDEX(база!$E$2:$E$81, MATCH(B231,база!$B$2:$B$50,0))</f>
        <v>15340</v>
      </c>
      <c r="D226" s="806">
        <f>INDEX(база!$D$2:$D$89, MATCH(B231,база!$B$2:$B$50,0))</f>
        <v>3</v>
      </c>
      <c r="E226" s="288">
        <f>IF(D226&lt;=3,база!$I$4,
IF(D226=4,база!$I$5,
IF(D226=5,база!$I$6)))</f>
        <v>188.7912</v>
      </c>
      <c r="F226" s="248">
        <v>1</v>
      </c>
      <c r="G226" s="89">
        <f>SUMIFS(Таблица1[сумма],Таблица1[коэф],"1",Таблица1[р/р],"2/4",Таблица1[Ф. И. О.],B231)</f>
        <v>0</v>
      </c>
      <c r="H226" s="295">
        <f>ROUND(E226*F226*G226,2)</f>
        <v>0</v>
      </c>
      <c r="I226" s="66">
        <f>IF(D226&lt;=3,база!$J$4,
IF(D226=4,база!$J$5,
IF(D226=5,база!$J$6)))</f>
        <v>196.05240000000001</v>
      </c>
      <c r="J226" s="248">
        <v>1</v>
      </c>
      <c r="K226" s="266">
        <f>SUMIFS(Таблица1[сумма],Таблица1[коэф],"1",Таблица1[р/р],"2/8",Таблица1[Ф. И. О.],B231)</f>
        <v>0</v>
      </c>
      <c r="L226" s="26">
        <f>ROUND(I226*J226*K226,2)</f>
        <v>0</v>
      </c>
      <c r="M226" s="315"/>
      <c r="N226" s="266">
        <v>1</v>
      </c>
      <c r="O226" s="266">
        <f>SUMIFS(Data_Tech!$AM$3:$AM$67,Data_Tech!$E$3:$E$67,"1",Data_Tech!$G$3:$G$67,"3/12",Data_Tech!$F$3:$F$67,B231)</f>
        <v>0</v>
      </c>
      <c r="P226" s="266">
        <f>ROUND(M226*N226*O226,2)</f>
        <v>0</v>
      </c>
      <c r="Q226" s="67">
        <f>IF(D226&lt;=3,база!$L$4,
IF(D226=4,база!$L$5,
IF(D226=5,база!$L$6)))</f>
        <v>210.57480000000001</v>
      </c>
      <c r="R226" s="248">
        <v>1</v>
      </c>
      <c r="S226" s="89">
        <f>SUMIFS(Таблица1[сумма],Таблица1[коэф],"1",Таблица1[р/р],"3/16",Таблица1[Ф. И. О.],B231)</f>
        <v>0</v>
      </c>
      <c r="T226" s="295">
        <f t="shared" si="144"/>
        <v>0</v>
      </c>
      <c r="U226" s="342">
        <f>IF(D226&lt;=3,база!$M$4,
IF(D226=4,база!$M$5,
IF(D226=5,база!$M$6)))</f>
        <v>225.09719999999999</v>
      </c>
      <c r="V226" s="248">
        <v>1</v>
      </c>
      <c r="W226" s="317">
        <f>SUMIFS(Таблица1[сумма],Таблица1[коэф],"1",Таблица1[р/р],"3/24",Таблица1[Ф. И. О.],B231)</f>
        <v>0</v>
      </c>
      <c r="X226" s="319">
        <f>ROUND(U226*V226*W226,2)</f>
        <v>0</v>
      </c>
      <c r="Y226" s="803">
        <f t="shared" ref="Y226" si="145">SUM(G226:G236,K226:K236,O226:O236,S226:S236,W226:W236)</f>
        <v>0</v>
      </c>
      <c r="Z226" s="794">
        <f t="shared" ref="Z226" si="146">IFERROR(SUM(H226:H236,L226:L236,T226:T236,X226:X236),"")</f>
        <v>0</v>
      </c>
      <c r="AA226" s="797"/>
    </row>
    <row r="227" spans="1:29" ht="18.75" customHeight="1">
      <c r="A227" s="740"/>
      <c r="B227" s="201"/>
      <c r="C227" s="799"/>
      <c r="D227" s="801"/>
      <c r="E227" s="76">
        <f>IF(D226&lt;=3,база!$I$4,
IF(D226=4,база!$I$5,
IF(D226=5,база!$I$6)))</f>
        <v>188.7912</v>
      </c>
      <c r="F227" s="250">
        <v>1</v>
      </c>
      <c r="G227" s="92">
        <f>SUMIFS(Таблица1[сумма],Таблица1[коэф],"1",Таблица1[р/р],"3/4",Таблица1[Ф. И. О.],B231)</f>
        <v>0</v>
      </c>
      <c r="H227" s="86">
        <f>ROUND(E227*F227*G227,2)</f>
        <v>0</v>
      </c>
      <c r="I227" s="72">
        <f>IF(D226&lt;=3,база!$J$4,
IF(D226=4,база!$J$5,
IF(D226=5,база!$J$6)))</f>
        <v>196.05240000000001</v>
      </c>
      <c r="J227" s="250">
        <v>1</v>
      </c>
      <c r="K227" s="202">
        <f>SUMIFS(Таблица1[сумма],Таблица1[коэф],"1",Таблица1[р/р],"3/8",Таблица1[Ф. И. О.],B231)</f>
        <v>0</v>
      </c>
      <c r="L227" s="27">
        <f>ROUND(I227*J227*K227,2)</f>
        <v>0</v>
      </c>
      <c r="M227" s="311"/>
      <c r="N227" s="202">
        <v>1</v>
      </c>
      <c r="O227" s="202">
        <f>SUMIFS(Data_Tech!$AM$3:$AM$67,Data_Tech!$E$3:$E$67,"1",Data_Tech!$G$3:$G$67,"4/12",Data_Tech!$F$3:$F$67,B231)</f>
        <v>0</v>
      </c>
      <c r="P227" s="202">
        <f>ROUND(M227*O227,2)</f>
        <v>0</v>
      </c>
      <c r="Q227" s="73">
        <f>база!$L$5</f>
        <v>231.45480000000001</v>
      </c>
      <c r="R227" s="250">
        <v>1</v>
      </c>
      <c r="S227" s="92">
        <f>SUMIFS(Таблица1[сумма],Таблица1[коэф],"1",Таблица1[р/р],"4/16",Таблица1[Ф. И. О.],B231)</f>
        <v>0</v>
      </c>
      <c r="T227" s="86">
        <f t="shared" si="144"/>
        <v>0</v>
      </c>
      <c r="U227" s="343">
        <f>база!$M$5</f>
        <v>247.41720000000001</v>
      </c>
      <c r="V227" s="250">
        <v>1</v>
      </c>
      <c r="W227" s="285">
        <f>SUMIFS(Таблица1[сумма],Таблица1[коэф],"1",Таблица1[р/р],"4/24",Таблица1[Ф. И. О.],B231)</f>
        <v>0</v>
      </c>
      <c r="X227" s="291">
        <f t="shared" ref="X227" si="147">ROUND(U227*V227*W227,2)</f>
        <v>0</v>
      </c>
      <c r="Y227" s="803"/>
      <c r="Z227" s="794"/>
      <c r="AA227" s="797"/>
    </row>
    <row r="228" spans="1:29" ht="19.5" customHeight="1">
      <c r="A228" s="740"/>
      <c r="B228" s="201"/>
      <c r="C228" s="799"/>
      <c r="D228" s="801"/>
      <c r="E228" s="76"/>
      <c r="F228" s="250"/>
      <c r="G228" s="92"/>
      <c r="H228" s="86"/>
      <c r="I228" s="72"/>
      <c r="J228" s="250"/>
      <c r="K228" s="202"/>
      <c r="L228" s="27"/>
      <c r="M228" s="311"/>
      <c r="N228" s="202"/>
      <c r="O228" s="202"/>
      <c r="P228" s="202"/>
      <c r="Q228" s="73">
        <f>база!$L$6</f>
        <v>261.04640000000001</v>
      </c>
      <c r="R228" s="250">
        <v>1</v>
      </c>
      <c r="S228" s="92">
        <f>SUMIFS(Таблица1[сумма],Таблица1[коэф],"1",Таблица1[р/р],"5/16",Таблица1[Ф. И. О.],B231)</f>
        <v>0</v>
      </c>
      <c r="T228" s="86">
        <f t="shared" si="144"/>
        <v>0</v>
      </c>
      <c r="U228" s="343">
        <f>база!$M$6</f>
        <v>279.0496</v>
      </c>
      <c r="V228" s="250">
        <v>1</v>
      </c>
      <c r="W228" s="285">
        <f>SUMIFS(Таблица1[сумма],Таблица1[коэф],"1",Таблица1[р/р],"5/24",Таблица1[Ф. И. О.],B231)</f>
        <v>0</v>
      </c>
      <c r="X228" s="291">
        <f>ROUND(U228*V228*W228,2)</f>
        <v>0</v>
      </c>
      <c r="Y228" s="803"/>
      <c r="Z228" s="794"/>
      <c r="AA228" s="797"/>
    </row>
    <row r="229" spans="1:29" ht="19.5" customHeight="1">
      <c r="A229" s="740"/>
      <c r="B229" s="201"/>
      <c r="C229" s="799"/>
      <c r="D229" s="801"/>
      <c r="E229" s="76"/>
      <c r="F229" s="250"/>
      <c r="G229" s="92"/>
      <c r="H229" s="86"/>
      <c r="I229" s="72">
        <f>база!$J$5</f>
        <v>215.4924</v>
      </c>
      <c r="J229" s="250">
        <v>1.5</v>
      </c>
      <c r="K229" s="202">
        <f>SUMIFS(Таблица1[сумма],Таблица1[коэф],"1,5",Таблица1[р/р],"4/8",Таблица1[Ф. И. О.],B231)</f>
        <v>0</v>
      </c>
      <c r="L229" s="27">
        <f>ROUND(I229*J229*K229,2)</f>
        <v>0</v>
      </c>
      <c r="M229" s="311"/>
      <c r="N229" s="202"/>
      <c r="O229" s="202"/>
      <c r="P229" s="202"/>
      <c r="Q229" s="73">
        <f>IF(D226&lt;=3,база!$L$4,
IF(D226=4,база!$L$5,
IF(D226=5,база!$L$6)))</f>
        <v>210.57480000000001</v>
      </c>
      <c r="R229" s="250">
        <v>1.2</v>
      </c>
      <c r="S229" s="92">
        <f>SUMIFS(Таблица1[сумма],Таблица1[коэф],"1,2",Таблица1[р/р],"3/16",Таблица1[Ф. И. О.],B231)</f>
        <v>0</v>
      </c>
      <c r="T229" s="86">
        <f t="shared" ref="T229:T230" si="148">ROUND(Q229*R229*S229,2)</f>
        <v>0</v>
      </c>
      <c r="U229" s="343">
        <f>IF(D226&lt;=3,база!$M$4,
IF(D226=4,база!$M$5,
IF(D226=5,база!$M$6)))</f>
        <v>225.09719999999999</v>
      </c>
      <c r="V229" s="250">
        <v>1.2</v>
      </c>
      <c r="W229" s="285">
        <f>SUMIFS(Таблица1[сумма],Таблица1[коэф],"1,2",Таблица1[р/р],"3/24",Таблица1[Ф. И. О.],B231)</f>
        <v>0</v>
      </c>
      <c r="X229" s="291">
        <f t="shared" ref="X229:X230" si="149">ROUND(U229*V229*W229,2)</f>
        <v>0</v>
      </c>
      <c r="Y229" s="803"/>
      <c r="Z229" s="794"/>
      <c r="AA229" s="797"/>
    </row>
    <row r="230" spans="1:29" ht="19.5" customHeight="1">
      <c r="A230" s="740"/>
      <c r="B230" s="201"/>
      <c r="C230" s="799"/>
      <c r="D230" s="801"/>
      <c r="E230" s="76"/>
      <c r="F230" s="250"/>
      <c r="G230" s="92"/>
      <c r="H230" s="86"/>
      <c r="I230" s="72">
        <f>база!$J$6</f>
        <v>243.04319999999998</v>
      </c>
      <c r="J230" s="250">
        <v>1.5</v>
      </c>
      <c r="K230" s="202">
        <f>SUMIFS(Таблица1[сумма],Таблица1[коэф],"1,5",Таблица1[р/р],"5/8",Таблица1[Ф. И. О.],B231)</f>
        <v>0</v>
      </c>
      <c r="L230" s="27">
        <f>ROUND(I230*J230*K230,2)</f>
        <v>0</v>
      </c>
      <c r="M230" s="311"/>
      <c r="N230" s="202"/>
      <c r="O230" s="202"/>
      <c r="P230" s="202"/>
      <c r="Q230" s="73">
        <f>база!$L$5</f>
        <v>231.45480000000001</v>
      </c>
      <c r="R230" s="250">
        <v>1.2</v>
      </c>
      <c r="S230" s="92">
        <f>SUMIFS(Таблица1[сумма],Таблица1[коэф],"1,2",Таблица1[р/р],"4/16",Таблица1[Ф. И. О.],B231)</f>
        <v>0</v>
      </c>
      <c r="T230" s="86">
        <f t="shared" si="148"/>
        <v>0</v>
      </c>
      <c r="U230" s="343">
        <f>база!$M$5</f>
        <v>247.41720000000001</v>
      </c>
      <c r="V230" s="250">
        <v>1.2</v>
      </c>
      <c r="W230" s="285">
        <f>SUMIFS(Таблица1[сумма],Таблица1[коэф],"1,2",Таблица1[р/р],"4/24",Таблица1[Ф. И. О.],B231)</f>
        <v>0</v>
      </c>
      <c r="X230" s="291">
        <f t="shared" si="149"/>
        <v>0</v>
      </c>
      <c r="Y230" s="803"/>
      <c r="Z230" s="794"/>
      <c r="AA230" s="797"/>
      <c r="AC230" s="688" t="str">
        <f>IF(SUMIFS(Таблица1[Столбец2],Таблица1[Ф. И. О.],B231)-Z226=0,"",SUMIFS(Таблица1[Столбец2],Таблица1[Ф. И. О.],B231)-Z226)</f>
        <v/>
      </c>
    </row>
    <row r="231" spans="1:29" ht="19.5" customHeight="1">
      <c r="A231" s="740"/>
      <c r="B231" s="201" t="str">
        <f>база!B22</f>
        <v>Ерошина Ирина Павловна</v>
      </c>
      <c r="C231" s="799"/>
      <c r="D231" s="801"/>
      <c r="E231" s="76"/>
      <c r="F231" s="250"/>
      <c r="G231" s="92"/>
      <c r="H231" s="86"/>
      <c r="I231" s="72"/>
      <c r="J231" s="250"/>
      <c r="K231" s="202"/>
      <c r="L231" s="27"/>
      <c r="M231" s="311"/>
      <c r="N231" s="202"/>
      <c r="O231" s="202"/>
      <c r="P231" s="202"/>
      <c r="Q231" s="73">
        <f>база!$L$6</f>
        <v>261.04640000000001</v>
      </c>
      <c r="R231" s="250">
        <v>1.2</v>
      </c>
      <c r="S231" s="92">
        <f>SUMIFS(Таблица1[сумма],Таблица1[коэф],"1,2",Таблица1[р/р],"5/16",Таблица1[Ф. И. О.],B231)</f>
        <v>0</v>
      </c>
      <c r="T231" s="86">
        <f>ROUND(Q231*R231*S231,2)</f>
        <v>0</v>
      </c>
      <c r="U231" s="343">
        <f>база!$M$6</f>
        <v>279.0496</v>
      </c>
      <c r="V231" s="250">
        <v>1.2</v>
      </c>
      <c r="W231" s="285">
        <f>SUMIFS(Таблица1[сумма],Таблица1[коэф],"1,2",Таблица1[р/р],"5/24",Таблица1[Ф. И. О.],B231)</f>
        <v>0</v>
      </c>
      <c r="X231" s="291">
        <f>ROUND(U231*V231*W231,2)</f>
        <v>0</v>
      </c>
      <c r="Y231" s="803"/>
      <c r="Z231" s="794"/>
      <c r="AA231" s="797"/>
      <c r="AC231" s="688" t="str">
        <f>IF(SUMIFS(Таблица1[сумма],Таблица1[Ф. И. О.],B231)=Y226,"",B226&amp;"  часы не верны")</f>
        <v/>
      </c>
    </row>
    <row r="232" spans="1:29" ht="19.5" customHeight="1">
      <c r="A232" s="740"/>
      <c r="B232" s="201"/>
      <c r="C232" s="799"/>
      <c r="D232" s="801"/>
      <c r="E232" s="76"/>
      <c r="F232" s="250"/>
      <c r="G232" s="92"/>
      <c r="H232" s="86"/>
      <c r="I232" s="72"/>
      <c r="J232" s="250"/>
      <c r="K232" s="202"/>
      <c r="L232" s="27"/>
      <c r="M232" s="311"/>
      <c r="N232" s="202"/>
      <c r="O232" s="202"/>
      <c r="P232" s="202"/>
      <c r="Q232" s="73">
        <f>IF($D$6&lt;=3,база!$L$4,
IF($D$6=4,база!$L$5,
IF($D$6=5,база!$L$6)))</f>
        <v>231.45480000000001</v>
      </c>
      <c r="R232" s="250">
        <v>1.3</v>
      </c>
      <c r="S232" s="92">
        <f>SUMIFS(Таблица1[сумма],Таблица1[коэф],"1,3",Таблица1[р/р],"3/16",Таблица1[Ф. И. О.],B231)</f>
        <v>0</v>
      </c>
      <c r="T232" s="86">
        <f t="shared" ref="T232:T233" si="150">ROUND(Q232*R232*S232,2)</f>
        <v>0</v>
      </c>
      <c r="U232" s="343">
        <f>IF(D226&lt;=3,база!$M$4,
IF(D226=4,база!$M$5,
IF(D226=5,база!$M$6)))</f>
        <v>225.09719999999999</v>
      </c>
      <c r="V232" s="250">
        <v>1.3</v>
      </c>
      <c r="W232" s="285">
        <f>SUMIFS(Таблица1[сумма],Таблица1[коэф],"1,3",Таблица1[р/р],"3/24",Таблица1[Ф. И. О.],B231)</f>
        <v>0</v>
      </c>
      <c r="X232" s="291">
        <f t="shared" ref="X232:X233" si="151">ROUND(U232*V232*W232,2)</f>
        <v>0</v>
      </c>
      <c r="Y232" s="803"/>
      <c r="Z232" s="794"/>
      <c r="AA232" s="797"/>
    </row>
    <row r="233" spans="1:29" ht="19.5" customHeight="1">
      <c r="A233" s="740"/>
      <c r="B233" s="201"/>
      <c r="C233" s="799"/>
      <c r="D233" s="801"/>
      <c r="E233" s="76"/>
      <c r="F233" s="250"/>
      <c r="G233" s="92"/>
      <c r="H233" s="86"/>
      <c r="I233" s="72"/>
      <c r="J233" s="250"/>
      <c r="K233" s="202"/>
      <c r="L233" s="27"/>
      <c r="M233" s="311"/>
      <c r="N233" s="202"/>
      <c r="O233" s="202"/>
      <c r="P233" s="202"/>
      <c r="Q233" s="73">
        <f>база!$L$5</f>
        <v>231.45480000000001</v>
      </c>
      <c r="R233" s="250">
        <v>1.3</v>
      </c>
      <c r="S233" s="92">
        <f>SUMIFS(Таблица1[сумма],Таблица1[коэф],"1,3",Таблица1[р/р],"4/16",Таблица1[Ф. И. О.],B231)</f>
        <v>0</v>
      </c>
      <c r="T233" s="86">
        <f t="shared" si="150"/>
        <v>0</v>
      </c>
      <c r="U233" s="343">
        <f>база!$M$5</f>
        <v>247.41720000000001</v>
      </c>
      <c r="V233" s="250">
        <v>1.3</v>
      </c>
      <c r="W233" s="285">
        <f>SUMIFS(Таблица1[сумма],Таблица1[коэф],"1,3",Таблица1[р/р],"4/24",Таблица1[Ф. И. О.],B231)</f>
        <v>0</v>
      </c>
      <c r="X233" s="291">
        <f t="shared" si="151"/>
        <v>0</v>
      </c>
      <c r="Y233" s="803"/>
      <c r="Z233" s="794"/>
      <c r="AA233" s="797"/>
    </row>
    <row r="234" spans="1:29" ht="19.5" customHeight="1">
      <c r="A234" s="740"/>
      <c r="B234" s="201"/>
      <c r="C234" s="799"/>
      <c r="D234" s="801"/>
      <c r="E234" s="76"/>
      <c r="F234" s="250"/>
      <c r="G234" s="92"/>
      <c r="H234" s="86"/>
      <c r="I234" s="72"/>
      <c r="J234" s="250"/>
      <c r="K234" s="202"/>
      <c r="L234" s="27"/>
      <c r="M234" s="311"/>
      <c r="N234" s="202"/>
      <c r="O234" s="202"/>
      <c r="P234" s="202"/>
      <c r="Q234" s="73">
        <f>IF(D226&lt;=3,база!$L$4,
IF(D226=4,база!$L$5,
IF(D226=5,база!$L$6)))</f>
        <v>210.57480000000001</v>
      </c>
      <c r="R234" s="250">
        <v>1.4</v>
      </c>
      <c r="S234" s="92">
        <f>SUMIFS(Таблица1[сумма],Таблица1[коэф],"1,4",Таблица1[р/р],"3/16",Таблица1[Ф. И. О.],B231)</f>
        <v>0</v>
      </c>
      <c r="T234" s="86">
        <f t="shared" ref="T234:T239" si="152">ROUND(Q234*R234*S234,2)</f>
        <v>0</v>
      </c>
      <c r="U234" s="343">
        <f>IF(D226&lt;=3,база!$M$4,
IF(D226=4,база!$M$5,
IF(D226=5,база!$M$6)))</f>
        <v>225.09719999999999</v>
      </c>
      <c r="V234" s="250">
        <v>1.4</v>
      </c>
      <c r="W234" s="285">
        <f>SUMIFS(Таблица1[сумма],Таблица1[коэф],"1,4",Таблица1[р/р],"3/24",Таблица1[Ф. И. О.],B231)</f>
        <v>0</v>
      </c>
      <c r="X234" s="291">
        <f>ROUND(U234*V234*W234,2)</f>
        <v>0</v>
      </c>
      <c r="Y234" s="803"/>
      <c r="Z234" s="794"/>
      <c r="AA234" s="797"/>
    </row>
    <row r="235" spans="1:29" ht="19.5" customHeight="1">
      <c r="A235" s="740"/>
      <c r="B235" s="201"/>
      <c r="C235" s="799"/>
      <c r="D235" s="801"/>
      <c r="E235" s="76"/>
      <c r="F235" s="250"/>
      <c r="G235" s="92"/>
      <c r="H235" s="86"/>
      <c r="I235" s="72"/>
      <c r="J235" s="250"/>
      <c r="K235" s="202"/>
      <c r="L235" s="27"/>
      <c r="M235" s="311"/>
      <c r="N235" s="202"/>
      <c r="O235" s="202"/>
      <c r="P235" s="202"/>
      <c r="Q235" s="73">
        <f>база!$L$5</f>
        <v>231.45480000000001</v>
      </c>
      <c r="R235" s="250">
        <v>1.4</v>
      </c>
      <c r="S235" s="92">
        <f>SUMIFS(Таблица1[сумма],Таблица1[коэф],"1,4",Таблица1[р/р],"4/16",Таблица1[Ф. И. О.],B231)</f>
        <v>0</v>
      </c>
      <c r="T235" s="86">
        <f t="shared" si="152"/>
        <v>0</v>
      </c>
      <c r="U235" s="343">
        <f>база!$M$5</f>
        <v>247.41720000000001</v>
      </c>
      <c r="V235" s="250">
        <v>1.4</v>
      </c>
      <c r="W235" s="285">
        <f>SUMIFS(Таблица1[сумма],Таблица1[коэф],"1,4",Таблица1[р/р],"4/24",Таблица1[Ф. И. О.],B231)</f>
        <v>0</v>
      </c>
      <c r="X235" s="291">
        <f>ROUND(U235*V235*W235,2)</f>
        <v>0</v>
      </c>
      <c r="Y235" s="803"/>
      <c r="Z235" s="794"/>
      <c r="AA235" s="797"/>
    </row>
    <row r="236" spans="1:29" ht="19.5" customHeight="1" thickBot="1">
      <c r="A236" s="741"/>
      <c r="B236" s="188"/>
      <c r="C236" s="800"/>
      <c r="D236" s="802"/>
      <c r="E236" s="206"/>
      <c r="F236" s="252"/>
      <c r="G236" s="91"/>
      <c r="H236" s="222"/>
      <c r="I236" s="95"/>
      <c r="J236" s="252"/>
      <c r="K236" s="267"/>
      <c r="L236" s="24"/>
      <c r="M236" s="325"/>
      <c r="N236" s="267"/>
      <c r="O236" s="267"/>
      <c r="P236" s="267"/>
      <c r="Q236" s="71">
        <f>база!$L$6</f>
        <v>261.04640000000001</v>
      </c>
      <c r="R236" s="252">
        <v>1.4</v>
      </c>
      <c r="S236" s="91">
        <f>SUMIFS(Таблица1[сумма],Таблица1[коэф],"1,4",Таблица1[р/р],"5/16",Таблица1[Ф. И. О.],B231)</f>
        <v>0</v>
      </c>
      <c r="T236" s="222">
        <f t="shared" si="152"/>
        <v>0</v>
      </c>
      <c r="U236" s="344">
        <f>база!$M$6</f>
        <v>279.0496</v>
      </c>
      <c r="V236" s="252">
        <v>1.4</v>
      </c>
      <c r="W236" s="290">
        <f>SUMIFS(Таблица1[сумма],Таблица1[коэф],"1,4",Таблица1[р/р],"5/24",Таблица1[Ф. И. О.],B231)</f>
        <v>0</v>
      </c>
      <c r="X236" s="320">
        <f>ROUND(U236*V236*W236,2)</f>
        <v>0</v>
      </c>
      <c r="Y236" s="804"/>
      <c r="Z236" s="795"/>
      <c r="AA236" s="798"/>
    </row>
    <row r="237" spans="1:29" ht="18.75" customHeight="1">
      <c r="A237" s="739">
        <v>22</v>
      </c>
      <c r="B237" s="201"/>
      <c r="C237" s="805">
        <f>INDEX(база!$E$2:$E$81, MATCH(B242,база!$B$2:$B$50,0))</f>
        <v>17309</v>
      </c>
      <c r="D237" s="806">
        <f>INDEX(база!$D$2:$D$89, MATCH(B242,база!$B$2:$B$50,0))</f>
        <v>3</v>
      </c>
      <c r="E237" s="66">
        <f>IF(D237&lt;=3,база!$I$4,
IF(D237=4,база!$I$5,
IF(D237=5,база!$I$6)))</f>
        <v>188.7912</v>
      </c>
      <c r="F237" s="248">
        <v>1</v>
      </c>
      <c r="G237" s="89">
        <f>SUMIFS(Таблица1[сумма],Таблица1[коэф],"1",Таблица1[р/р],"2/4",Таблица1[Ф. И. О.],B242)</f>
        <v>0</v>
      </c>
      <c r="H237" s="81">
        <f>ROUND(E237*F237*G237,2)</f>
        <v>0</v>
      </c>
      <c r="I237" s="75">
        <f>IF(D237&lt;=3,база!$J$4,
IF(D237=4,база!$J$5,
IF(D237=5,база!$J$6)))</f>
        <v>196.05240000000001</v>
      </c>
      <c r="J237" s="249">
        <v>1</v>
      </c>
      <c r="K237" s="287">
        <f>SUMIFS(Таблица1[сумма],Таблица1[коэф],"1",Таблица1[р/р],"2/8",Таблица1[Ф. И. О.],B242)</f>
        <v>0</v>
      </c>
      <c r="L237" s="287">
        <f>ROUND(I237*J237*K237,2)</f>
        <v>0</v>
      </c>
      <c r="M237" s="287"/>
      <c r="N237" s="287">
        <v>1</v>
      </c>
      <c r="O237" s="287">
        <f>SUMIFS(Data_Tech!$AM$3:$AM$67,Data_Tech!$E$3:$E$67,"1",Data_Tech!$G$3:$G$67,"3/12",Data_Tech!$F$3:$F$67,B242)</f>
        <v>0</v>
      </c>
      <c r="P237" s="260">
        <f>ROUND(M237*N237*O237,2)</f>
        <v>0</v>
      </c>
      <c r="Q237" s="66">
        <f>IF(D237&lt;=3,база!$L$4,
IF(D237=4,база!$L$5,
IF(D237=5,база!$L$6)))</f>
        <v>210.57480000000001</v>
      </c>
      <c r="R237" s="248">
        <v>1</v>
      </c>
      <c r="S237" s="89">
        <f>SUMIFS(Таблица1[сумма],Таблица1[коэф],"1",Таблица1[р/р],"3/16",Таблица1[Ф. И. О.],B242)</f>
        <v>0</v>
      </c>
      <c r="T237" s="81">
        <f t="shared" si="152"/>
        <v>0</v>
      </c>
      <c r="U237" s="345">
        <f>IF(D237&lt;=3,база!$M$4,
IF(D237=4,база!$M$5,
IF(D237=5,база!$M$6)))</f>
        <v>225.09719999999999</v>
      </c>
      <c r="V237" s="249">
        <v>1</v>
      </c>
      <c r="W237" s="314">
        <f>SUMIFS(Таблица1[сумма],Таблица1[коэф],"1",Таблица1[р/р],"3/24",Таблица1[Ф. И. О.],B242)</f>
        <v>0</v>
      </c>
      <c r="X237" s="319">
        <f>ROUND(U237*V237*W237,2)</f>
        <v>0</v>
      </c>
      <c r="Y237" s="803">
        <f t="shared" ref="Y237" si="153">SUM(G237:G247,K237:K247,O237:O247,S237:S247,W237:W247)</f>
        <v>0</v>
      </c>
      <c r="Z237" s="794">
        <f t="shared" ref="Z237" si="154">IFERROR(SUM(H237:H247,L237:L247,T237:T247,X237:X247),"")</f>
        <v>0</v>
      </c>
      <c r="AA237" s="797"/>
    </row>
    <row r="238" spans="1:29" ht="18.75" customHeight="1">
      <c r="A238" s="740"/>
      <c r="B238" s="201"/>
      <c r="C238" s="799"/>
      <c r="D238" s="801"/>
      <c r="E238" s="72">
        <f>IF(D237&lt;=3,база!$I$4,
IF(D237=4,база!$I$5,
IF(D237=5,база!$I$6)))</f>
        <v>188.7912</v>
      </c>
      <c r="F238" s="250">
        <v>1</v>
      </c>
      <c r="G238" s="92">
        <f>SUMIFS(Таблица1[сумма],Таблица1[коэф],"1",Таблица1[р/р],"3/4",Таблица1[Ф. И. О.],B242)</f>
        <v>0</v>
      </c>
      <c r="H238" s="88">
        <f>ROUND(E238*F238*G238,2)</f>
        <v>0</v>
      </c>
      <c r="I238" s="76">
        <f>IF(D237&lt;=3,база!$J$4,
IF(D237=4,база!$J$5,
IF(D237=5,база!$J$6)))</f>
        <v>196.05240000000001</v>
      </c>
      <c r="J238" s="250">
        <v>1</v>
      </c>
      <c r="K238" s="202">
        <f>SUMIFS(Таблица1[сумма],Таблица1[коэф],"1",Таблица1[р/р],"3/8",Таблица1[Ф. И. О.],B242)</f>
        <v>0</v>
      </c>
      <c r="L238" s="202">
        <f>ROUND(I238*J238*K238,2)</f>
        <v>0</v>
      </c>
      <c r="M238" s="202"/>
      <c r="N238" s="202">
        <v>1</v>
      </c>
      <c r="O238" s="202">
        <f>SUMIFS(Data_Tech!$AM$3:$AM$67,Data_Tech!$E$3:$E$67,"1",Data_Tech!$G$3:$G$67,"4/12",Data_Tech!$F$3:$F$67,B242)</f>
        <v>0</v>
      </c>
      <c r="P238" s="28">
        <f>ROUND(M238*O238,2)</f>
        <v>0</v>
      </c>
      <c r="Q238" s="72">
        <f>база!$L$5</f>
        <v>231.45480000000001</v>
      </c>
      <c r="R238" s="250">
        <v>1</v>
      </c>
      <c r="S238" s="92">
        <f>SUMIFS(Таблица1[сумма],Таблица1[коэф],"1",Таблица1[р/р],"4/16",Таблица1[Ф. И. О.],B242)</f>
        <v>0</v>
      </c>
      <c r="T238" s="88">
        <f t="shared" si="152"/>
        <v>0</v>
      </c>
      <c r="U238" s="338">
        <f>база!$M$5</f>
        <v>247.41720000000001</v>
      </c>
      <c r="V238" s="250">
        <v>1</v>
      </c>
      <c r="W238" s="285">
        <f>SUMIFS(Таблица1[сумма],Таблица1[коэф],"1",Таблица1[р/р],"4/24",Таблица1[Ф. И. О.],B242)</f>
        <v>0</v>
      </c>
      <c r="X238" s="291">
        <f t="shared" ref="X238" si="155">ROUND(U238*V238*W238,2)</f>
        <v>0</v>
      </c>
      <c r="Y238" s="803"/>
      <c r="Z238" s="794"/>
      <c r="AA238" s="797"/>
    </row>
    <row r="239" spans="1:29" ht="18.75" customHeight="1">
      <c r="A239" s="740"/>
      <c r="B239" s="201"/>
      <c r="C239" s="799"/>
      <c r="D239" s="801"/>
      <c r="E239" s="72"/>
      <c r="F239" s="250"/>
      <c r="G239" s="92"/>
      <c r="H239" s="88"/>
      <c r="I239" s="76"/>
      <c r="J239" s="250"/>
      <c r="K239" s="202"/>
      <c r="L239" s="202"/>
      <c r="M239" s="202"/>
      <c r="N239" s="202"/>
      <c r="O239" s="202"/>
      <c r="P239" s="28"/>
      <c r="Q239" s="72">
        <f>база!$L$6</f>
        <v>261.04640000000001</v>
      </c>
      <c r="R239" s="250">
        <v>1</v>
      </c>
      <c r="S239" s="92">
        <f>SUMIFS(Таблица1[сумма],Таблица1[коэф],"1",Таблица1[р/р],"5/16",Таблица1[Ф. И. О.],B242)</f>
        <v>0</v>
      </c>
      <c r="T239" s="88">
        <f t="shared" si="152"/>
        <v>0</v>
      </c>
      <c r="U239" s="338">
        <f>база!$M$6</f>
        <v>279.0496</v>
      </c>
      <c r="V239" s="250">
        <v>1</v>
      </c>
      <c r="W239" s="285">
        <f>SUMIFS(Таблица1[сумма],Таблица1[коэф],"1",Таблица1[р/р],"5/24",Таблица1[Ф. И. О.],B242)</f>
        <v>0</v>
      </c>
      <c r="X239" s="291">
        <f>ROUND(U239*V239*W239,2)</f>
        <v>0</v>
      </c>
      <c r="Y239" s="803"/>
      <c r="Z239" s="794"/>
      <c r="AA239" s="797"/>
    </row>
    <row r="240" spans="1:29" ht="19.5" customHeight="1">
      <c r="A240" s="740"/>
      <c r="B240" s="201"/>
      <c r="C240" s="799"/>
      <c r="D240" s="801"/>
      <c r="E240" s="72"/>
      <c r="F240" s="250"/>
      <c r="G240" s="92"/>
      <c r="H240" s="88"/>
      <c r="I240" s="76">
        <f>база!$J$5</f>
        <v>215.4924</v>
      </c>
      <c r="J240" s="250">
        <v>1.5</v>
      </c>
      <c r="K240" s="202">
        <f>SUMIFS(Таблица1[сумма],Таблица1[коэф],"1,5",Таблица1[р/р],"4/8",Таблица1[Ф. И. О.],B242)</f>
        <v>0</v>
      </c>
      <c r="L240" s="202">
        <f>ROUND(I240*J240*K240,2)</f>
        <v>0</v>
      </c>
      <c r="M240" s="202"/>
      <c r="N240" s="202"/>
      <c r="O240" s="202"/>
      <c r="P240" s="28"/>
      <c r="Q240" s="72">
        <f>IF(D237&lt;=3,база!$L$4,
IF(D237=4,база!$L$5,
IF(D237=5,база!$L$6)))</f>
        <v>210.57480000000001</v>
      </c>
      <c r="R240" s="250">
        <v>1.2</v>
      </c>
      <c r="S240" s="92">
        <f>SUMIFS(Таблица1[сумма],Таблица1[коэф],"1,2",Таблица1[р/р],"3/16",Таблица1[Ф. И. О.],B242)</f>
        <v>0</v>
      </c>
      <c r="T240" s="88">
        <f t="shared" ref="T240:T241" si="156">ROUND(Q240*R240*S240,2)</f>
        <v>0</v>
      </c>
      <c r="U240" s="338">
        <f>IF(D237&lt;=3,база!$M$4,
IF(D237=4,база!$M$5,
IF(D237=5,база!$M$6)))</f>
        <v>225.09719999999999</v>
      </c>
      <c r="V240" s="250">
        <v>1.2</v>
      </c>
      <c r="W240" s="285">
        <f>SUMIFS(Таблица1[сумма],Таблица1[коэф],"1,2",Таблица1[р/р],"3/24",Таблица1[Ф. И. О.],B242)</f>
        <v>0</v>
      </c>
      <c r="X240" s="291">
        <f t="shared" ref="X240:X241" si="157">ROUND(U240*V240*W240,2)</f>
        <v>0</v>
      </c>
      <c r="Y240" s="803"/>
      <c r="Z240" s="794"/>
      <c r="AA240" s="797"/>
    </row>
    <row r="241" spans="1:29" ht="19.5" customHeight="1">
      <c r="A241" s="740"/>
      <c r="B241" s="201"/>
      <c r="C241" s="799"/>
      <c r="D241" s="801"/>
      <c r="E241" s="72"/>
      <c r="F241" s="250"/>
      <c r="G241" s="92"/>
      <c r="H241" s="88"/>
      <c r="I241" s="76">
        <f>база!$J$6</f>
        <v>243.04319999999998</v>
      </c>
      <c r="J241" s="250">
        <v>1.5</v>
      </c>
      <c r="K241" s="202">
        <f>SUMIFS(Таблица1[сумма],Таблица1[коэф],"1,5",Таблица1[р/р],"5/8",Таблица1[Ф. И. О.],B242)</f>
        <v>0</v>
      </c>
      <c r="L241" s="202">
        <f>ROUND(I241*J241*K241,2)</f>
        <v>0</v>
      </c>
      <c r="M241" s="202"/>
      <c r="N241" s="202"/>
      <c r="O241" s="202"/>
      <c r="P241" s="28"/>
      <c r="Q241" s="72">
        <f>база!$L$5</f>
        <v>231.45480000000001</v>
      </c>
      <c r="R241" s="250">
        <v>1.2</v>
      </c>
      <c r="S241" s="92">
        <f>SUMIFS(Таблица1[сумма],Таблица1[коэф],"1,2",Таблица1[р/р],"4/16",Таблица1[Ф. И. О.],B242)</f>
        <v>0</v>
      </c>
      <c r="T241" s="88">
        <f t="shared" si="156"/>
        <v>0</v>
      </c>
      <c r="U241" s="338">
        <f>база!$M$5</f>
        <v>247.41720000000001</v>
      </c>
      <c r="V241" s="250">
        <v>1.2</v>
      </c>
      <c r="W241" s="285">
        <f>SUMIFS(Таблица1[сумма],Таблица1[коэф],"1,2",Таблица1[р/р],"4/24",Таблица1[Ф. И. О.],B242)</f>
        <v>0</v>
      </c>
      <c r="X241" s="291">
        <f t="shared" si="157"/>
        <v>0</v>
      </c>
      <c r="Y241" s="803"/>
      <c r="Z241" s="794"/>
      <c r="AA241" s="797"/>
      <c r="AC241" s="688" t="str">
        <f>IF(SUMIFS(Таблица1[Столбец2],Таблица1[Ф. И. О.],B242)-Z237=0,"",SUMIFS(Таблица1[Столбец2],Таблица1[Ф. И. О.],B242)-Z237)</f>
        <v/>
      </c>
    </row>
    <row r="242" spans="1:29" ht="19.5" customHeight="1">
      <c r="A242" s="740"/>
      <c r="B242" s="201" t="str">
        <f>база!B23</f>
        <v>Ескина Ксения Анатольевна</v>
      </c>
      <c r="C242" s="799"/>
      <c r="D242" s="801"/>
      <c r="E242" s="72"/>
      <c r="F242" s="250"/>
      <c r="G242" s="92"/>
      <c r="H242" s="88"/>
      <c r="I242" s="76"/>
      <c r="J242" s="250"/>
      <c r="K242" s="202"/>
      <c r="L242" s="202"/>
      <c r="M242" s="202"/>
      <c r="N242" s="202"/>
      <c r="O242" s="202"/>
      <c r="P242" s="28"/>
      <c r="Q242" s="72">
        <f>база!$L$6</f>
        <v>261.04640000000001</v>
      </c>
      <c r="R242" s="250">
        <v>1.2</v>
      </c>
      <c r="S242" s="92">
        <f>SUMIFS(Таблица1[сумма],Таблица1[коэф],"1,2",Таблица1[р/р],"5/16",Таблица1[Ф. И. О.],B242)</f>
        <v>0</v>
      </c>
      <c r="T242" s="88">
        <f>ROUND(Q242*R242*S242,2)</f>
        <v>0</v>
      </c>
      <c r="U242" s="338">
        <f>база!$M$6</f>
        <v>279.0496</v>
      </c>
      <c r="V242" s="250">
        <v>1.2</v>
      </c>
      <c r="W242" s="285">
        <f>SUMIFS(Таблица1[сумма],Таблица1[коэф],"1,2",Таблица1[р/р],"5/24",Таблица1[Ф. И. О.],B242)</f>
        <v>0</v>
      </c>
      <c r="X242" s="291">
        <f>ROUND(U242*V242*W242,2)</f>
        <v>0</v>
      </c>
      <c r="Y242" s="803"/>
      <c r="Z242" s="794"/>
      <c r="AA242" s="797"/>
      <c r="AC242" s="688" t="str">
        <f>IF(SUMIFS(Таблица1[сумма],Таблица1[Ф. И. О.],B242)=Y237,"",B237&amp;"  часы не верны")</f>
        <v/>
      </c>
    </row>
    <row r="243" spans="1:29" ht="19.5" customHeight="1">
      <c r="A243" s="740"/>
      <c r="B243" s="201"/>
      <c r="C243" s="799"/>
      <c r="D243" s="801"/>
      <c r="E243" s="72"/>
      <c r="F243" s="250"/>
      <c r="G243" s="92"/>
      <c r="H243" s="88"/>
      <c r="I243" s="76"/>
      <c r="J243" s="250"/>
      <c r="K243" s="202"/>
      <c r="L243" s="202"/>
      <c r="M243" s="202"/>
      <c r="N243" s="202"/>
      <c r="O243" s="202"/>
      <c r="P243" s="28"/>
      <c r="Q243" s="72">
        <f>IF($D$6&lt;=3,база!$L$4,
IF($D$6=4,база!$L$5,
IF($D$6=5,база!$L$6)))</f>
        <v>231.45480000000001</v>
      </c>
      <c r="R243" s="250">
        <v>1.3</v>
      </c>
      <c r="S243" s="92">
        <f>SUMIFS(Таблица1[сумма],Таблица1[коэф],"1,3",Таблица1[р/р],"3/16",Таблица1[Ф. И. О.],B242)</f>
        <v>0</v>
      </c>
      <c r="T243" s="88">
        <f t="shared" ref="T243:T244" si="158">ROUND(Q243*R243*S243,2)</f>
        <v>0</v>
      </c>
      <c r="U243" s="338">
        <f>IF(D237&lt;=3,база!$M$4,
IF(D237=4,база!$M$5,
IF(D237=5,база!$M$6)))</f>
        <v>225.09719999999999</v>
      </c>
      <c r="V243" s="250">
        <v>1.3</v>
      </c>
      <c r="W243" s="285">
        <f>SUMIFS(Таблица1[сумма],Таблица1[коэф],"1,3",Таблица1[р/р],"3/24",Таблица1[Ф. И. О.],B242)</f>
        <v>0</v>
      </c>
      <c r="X243" s="291">
        <f t="shared" ref="X243:X244" si="159">ROUND(U243*V243*W243,2)</f>
        <v>0</v>
      </c>
      <c r="Y243" s="803"/>
      <c r="Z243" s="794"/>
      <c r="AA243" s="797"/>
    </row>
    <row r="244" spans="1:29" ht="19.5" customHeight="1">
      <c r="A244" s="740"/>
      <c r="B244" s="201"/>
      <c r="C244" s="799"/>
      <c r="D244" s="801"/>
      <c r="E244" s="72"/>
      <c r="F244" s="250"/>
      <c r="G244" s="92"/>
      <c r="H244" s="88"/>
      <c r="I244" s="76"/>
      <c r="J244" s="250"/>
      <c r="K244" s="202"/>
      <c r="L244" s="202"/>
      <c r="M244" s="202"/>
      <c r="N244" s="202"/>
      <c r="O244" s="202"/>
      <c r="P244" s="28"/>
      <c r="Q244" s="72">
        <f>база!$L$5</f>
        <v>231.45480000000001</v>
      </c>
      <c r="R244" s="250">
        <v>1.3</v>
      </c>
      <c r="S244" s="92">
        <f>SUMIFS(Таблица1[сумма],Таблица1[коэф],"1,3",Таблица1[р/р],"4/16",Таблица1[Ф. И. О.],B242)</f>
        <v>0</v>
      </c>
      <c r="T244" s="88">
        <f t="shared" si="158"/>
        <v>0</v>
      </c>
      <c r="U244" s="338">
        <f>база!$M$5</f>
        <v>247.41720000000001</v>
      </c>
      <c r="V244" s="250">
        <v>1.3</v>
      </c>
      <c r="W244" s="285">
        <f>SUMIFS(Таблица1[сумма],Таблица1[коэф],"1,3",Таблица1[р/р],"4/24",Таблица1[Ф. И. О.],B242)</f>
        <v>0</v>
      </c>
      <c r="X244" s="291">
        <f t="shared" si="159"/>
        <v>0</v>
      </c>
      <c r="Y244" s="803"/>
      <c r="Z244" s="794"/>
      <c r="AA244" s="797"/>
    </row>
    <row r="245" spans="1:29" ht="19.5" customHeight="1">
      <c r="A245" s="740"/>
      <c r="B245" s="201"/>
      <c r="C245" s="799"/>
      <c r="D245" s="801"/>
      <c r="E245" s="72"/>
      <c r="F245" s="250"/>
      <c r="G245" s="92"/>
      <c r="H245" s="88"/>
      <c r="I245" s="76"/>
      <c r="J245" s="250"/>
      <c r="K245" s="202"/>
      <c r="L245" s="202"/>
      <c r="M245" s="202"/>
      <c r="N245" s="202"/>
      <c r="O245" s="202"/>
      <c r="P245" s="28"/>
      <c r="Q245" s="72">
        <f>IF(D237&lt;=3,база!$L$4,
IF(D237=4,база!$L$5,
IF(D237=5,база!$L$6)))</f>
        <v>210.57480000000001</v>
      </c>
      <c r="R245" s="250">
        <v>1.4</v>
      </c>
      <c r="S245" s="92">
        <f>SUMIFS(Таблица1[сумма],Таблица1[коэф],"1,4",Таблица1[р/р],"3/16",Таблица1[Ф. И. О.],B242)</f>
        <v>0</v>
      </c>
      <c r="T245" s="88">
        <f t="shared" ref="T245:T261" si="160">ROUND(Q245*R245*S245,2)</f>
        <v>0</v>
      </c>
      <c r="U245" s="338">
        <f>IF(D237&lt;=3,база!$M$4,
IF(D237=4,база!$M$5,
IF(D237=5,база!$M$6)))</f>
        <v>225.09719999999999</v>
      </c>
      <c r="V245" s="250">
        <v>1.4</v>
      </c>
      <c r="W245" s="285">
        <f>SUMIFS(Таблица1[сумма],Таблица1[коэф],"1,4",Таблица1[р/р],"3/24",Таблица1[Ф. И. О.],B242)</f>
        <v>0</v>
      </c>
      <c r="X245" s="291">
        <f>ROUND(U245*V245*W245,2)</f>
        <v>0</v>
      </c>
      <c r="Y245" s="803"/>
      <c r="Z245" s="794"/>
      <c r="AA245" s="797"/>
    </row>
    <row r="246" spans="1:29" ht="19.5" customHeight="1">
      <c r="A246" s="740"/>
      <c r="B246" s="201"/>
      <c r="C246" s="799"/>
      <c r="D246" s="801"/>
      <c r="E246" s="72"/>
      <c r="F246" s="250"/>
      <c r="G246" s="92"/>
      <c r="H246" s="88"/>
      <c r="I246" s="76"/>
      <c r="J246" s="250"/>
      <c r="K246" s="202"/>
      <c r="L246" s="202"/>
      <c r="M246" s="202"/>
      <c r="N246" s="202"/>
      <c r="O246" s="202"/>
      <c r="P246" s="28"/>
      <c r="Q246" s="72">
        <f>база!$L$5</f>
        <v>231.45480000000001</v>
      </c>
      <c r="R246" s="250">
        <v>1.4</v>
      </c>
      <c r="S246" s="92">
        <f>SUMIFS(Таблица1[сумма],Таблица1[коэф],"1,4",Таблица1[р/р],"4/16",Таблица1[Ф. И. О.],B242)</f>
        <v>0</v>
      </c>
      <c r="T246" s="88">
        <f t="shared" si="160"/>
        <v>0</v>
      </c>
      <c r="U246" s="338">
        <f>база!$M$5</f>
        <v>247.41720000000001</v>
      </c>
      <c r="V246" s="250">
        <v>1.4</v>
      </c>
      <c r="W246" s="285">
        <f>SUMIFS(Таблица1[сумма],Таблица1[коэф],"1,4",Таблица1[р/р],"4/24",Таблица1[Ф. И. О.],B242)</f>
        <v>0</v>
      </c>
      <c r="X246" s="291">
        <f>ROUND(U246*V246*W246,2)</f>
        <v>0</v>
      </c>
      <c r="Y246" s="803"/>
      <c r="Z246" s="794"/>
      <c r="AA246" s="797"/>
    </row>
    <row r="247" spans="1:29" ht="19.5" customHeight="1" thickBot="1">
      <c r="A247" s="741"/>
      <c r="B247" s="201"/>
      <c r="C247" s="800"/>
      <c r="D247" s="802"/>
      <c r="E247" s="203"/>
      <c r="F247" s="253"/>
      <c r="G247" s="98"/>
      <c r="H247" s="97"/>
      <c r="I247" s="281"/>
      <c r="J247" s="253"/>
      <c r="K247" s="280"/>
      <c r="L247" s="280"/>
      <c r="M247" s="280"/>
      <c r="N247" s="280"/>
      <c r="O247" s="280"/>
      <c r="P247" s="286"/>
      <c r="Q247" s="203">
        <f>база!$L$6</f>
        <v>261.04640000000001</v>
      </c>
      <c r="R247" s="253">
        <v>1.4</v>
      </c>
      <c r="S247" s="98">
        <f>SUMIFS(Таблица1[сумма],Таблица1[коэф],"1,4",Таблица1[р/р],"5/16",Таблица1[Ф. И. О.],B242)</f>
        <v>0</v>
      </c>
      <c r="T247" s="97">
        <f t="shared" si="160"/>
        <v>0</v>
      </c>
      <c r="U247" s="339">
        <f>база!$M$6</f>
        <v>279.0496</v>
      </c>
      <c r="V247" s="253">
        <v>1.4</v>
      </c>
      <c r="W247" s="310">
        <f>SUMIFS(Таблица1[сумма],Таблица1[коэф],"1,4",Таблица1[р/р],"5/24",Таблица1[Ф. И. О.],B242)</f>
        <v>0</v>
      </c>
      <c r="X247" s="327">
        <f>ROUND(U247*V247*W247,2)</f>
        <v>0</v>
      </c>
      <c r="Y247" s="804"/>
      <c r="Z247" s="795"/>
      <c r="AA247" s="798"/>
    </row>
    <row r="248" spans="1:29" ht="18.75" customHeight="1">
      <c r="A248" s="739">
        <v>23</v>
      </c>
      <c r="B248" s="219"/>
      <c r="C248" s="805">
        <f>INDEX(база!$E$2:$E$81, MATCH(B253,база!$B$2:$B$50,0))</f>
        <v>15608</v>
      </c>
      <c r="D248" s="806">
        <f>INDEX(база!$D$2:$D$89, MATCH(B253,база!$B$2:$B$50,0))</f>
        <v>3</v>
      </c>
      <c r="E248" s="66">
        <f>IF(D248&lt;=3,база!$I$4,
IF(D248=4,база!$I$5,
IF(D248=5,база!$I$6)))</f>
        <v>188.7912</v>
      </c>
      <c r="F248" s="248">
        <v>1</v>
      </c>
      <c r="G248" s="89">
        <f>SUMIFS(Таблица1[сумма],Таблица1[коэф],"1",Таблица1[р/р],"2/4",Таблица1[Ф. И. О.],B253)</f>
        <v>0</v>
      </c>
      <c r="H248" s="81">
        <f>ROUND(E248*F248*G248,2)</f>
        <v>0</v>
      </c>
      <c r="I248" s="315">
        <f>IF(D248&lt;=3,база!$J$4,
IF(D248=4,база!$J$5,
IF(D248=5,база!$J$6)))</f>
        <v>196.05240000000001</v>
      </c>
      <c r="J248" s="255">
        <v>1</v>
      </c>
      <c r="K248" s="266">
        <f>SUMIFS(Таблица1[сумма],Таблица1[коэф],"1",Таблица1[р/р],"2/8",Таблица1[Ф. И. О.],B253)</f>
        <v>0</v>
      </c>
      <c r="L248" s="266">
        <f>ROUND(I248*J248*K248,2)</f>
        <v>0</v>
      </c>
      <c r="M248" s="266"/>
      <c r="N248" s="266">
        <v>1</v>
      </c>
      <c r="O248" s="266">
        <f>SUMIFS(Data_Tech!$AM$3:$AM$67,Data_Tech!$E$3:$E$67,"1",Data_Tech!$G$3:$G$67,"3/12",Data_Tech!$F$3:$F$67,B253)</f>
        <v>0</v>
      </c>
      <c r="P248" s="259">
        <f>ROUND(M248*N248*O248,2)</f>
        <v>0</v>
      </c>
      <c r="Q248" s="66">
        <f>IF(D248&lt;=3,база!$L$4,
IF(D248=4,база!$L$5,
IF(D248=5,база!$L$6)))</f>
        <v>210.57480000000001</v>
      </c>
      <c r="R248" s="248">
        <v>1</v>
      </c>
      <c r="S248" s="89">
        <f>SUMIFS(Таблица1[сумма],Таблица1[коэф],"1",Таблица1[р/р],"3/16",Таблица1[Ф. И. О.],B253)</f>
        <v>0</v>
      </c>
      <c r="T248" s="81">
        <f t="shared" ref="T248:T252" si="161">ROUND(Q248*R248*S248,2)</f>
        <v>0</v>
      </c>
      <c r="U248" s="316">
        <f>IF(D248&lt;=3,база!$M$4,
IF(D248=4,база!$M$5,
IF(D248=5,база!$M$6)))</f>
        <v>225.09719999999999</v>
      </c>
      <c r="V248" s="248">
        <v>1</v>
      </c>
      <c r="W248" s="317">
        <f>SUMIFS(Таблица1[сумма],Таблица1[коэф],"1",Таблица1[р/р],"3/24",Таблица1[Ф. И. О.],B253)</f>
        <v>0</v>
      </c>
      <c r="X248" s="319">
        <f>ROUND(U248*V248*W248,2)</f>
        <v>0</v>
      </c>
      <c r="Y248" s="803">
        <f t="shared" ref="Y248" si="162">SUM(G248:G258,K248:K258,O248:O258,S248:S258,W248:W258)</f>
        <v>0</v>
      </c>
      <c r="Z248" s="794">
        <f t="shared" ref="Z248" si="163">IFERROR(SUM(H248:H258,L248:L258,T248:T258,X248:X258),"")</f>
        <v>0</v>
      </c>
      <c r="AA248" s="797"/>
    </row>
    <row r="249" spans="1:29" ht="18.75" customHeight="1">
      <c r="A249" s="740"/>
      <c r="B249" s="201"/>
      <c r="C249" s="799"/>
      <c r="D249" s="801"/>
      <c r="E249" s="72">
        <f>IF(D248&lt;=3,база!$I$4,
IF(D248=4,база!$I$5,
IF(D248=5,база!$I$6)))</f>
        <v>188.7912</v>
      </c>
      <c r="F249" s="250">
        <v>1</v>
      </c>
      <c r="G249" s="92">
        <f>SUMIFS(Таблица1[сумма],Таблица1[коэф],"1",Таблица1[р/р],"3/4",Таблица1[Ф. И. О.],B253)</f>
        <v>0</v>
      </c>
      <c r="H249" s="88">
        <f>ROUND(E249*F249*G249,2)</f>
        <v>0</v>
      </c>
      <c r="I249" s="311">
        <f>IF(D248&lt;=3,база!$J$4,
IF(D248=4,база!$J$5,
IF(D248=5,база!$J$6)))</f>
        <v>196.05240000000001</v>
      </c>
      <c r="J249" s="257">
        <v>1</v>
      </c>
      <c r="K249" s="202">
        <f>SUMIFS(Таблица1[сумма],Таблица1[коэф],"1",Таблица1[р/р],"3/8",Таблица1[Ф. И. О.],B253)</f>
        <v>0</v>
      </c>
      <c r="L249" s="202">
        <f>ROUND(I249*J249*K249,2)</f>
        <v>0</v>
      </c>
      <c r="M249" s="202"/>
      <c r="N249" s="202">
        <v>1</v>
      </c>
      <c r="O249" s="202">
        <f>SUMIFS(Data_Tech!$AM$3:$AM$67,Data_Tech!$E$3:$E$67,"1",Data_Tech!$G$3:$G$67,"4/12",Data_Tech!$F$3:$F$67,B253)</f>
        <v>0</v>
      </c>
      <c r="P249" s="28">
        <f>ROUND(M249*O249,2)</f>
        <v>0</v>
      </c>
      <c r="Q249" s="72">
        <f>база!$L$5</f>
        <v>231.45480000000001</v>
      </c>
      <c r="R249" s="250">
        <v>1</v>
      </c>
      <c r="S249" s="92">
        <f>SUMIFS(Таблица1[сумма],Таблица1[коэф],"1",Таблица1[р/р],"4/16",Таблица1[Ф. И. О.],B253)</f>
        <v>0</v>
      </c>
      <c r="T249" s="88">
        <f t="shared" si="161"/>
        <v>0</v>
      </c>
      <c r="U249" s="292">
        <f>база!$M$5</f>
        <v>247.41720000000001</v>
      </c>
      <c r="V249" s="250">
        <v>1</v>
      </c>
      <c r="W249" s="285">
        <f>SUMIFS(Таблица1[сумма],Таблица1[коэф],"1",Таблица1[р/р],"4/24",Таблица1[Ф. И. О.],B253)</f>
        <v>0</v>
      </c>
      <c r="X249" s="291">
        <f t="shared" ref="X249" si="164">ROUND(U249*V249*W249,2)</f>
        <v>0</v>
      </c>
      <c r="Y249" s="803"/>
      <c r="Z249" s="794"/>
      <c r="AA249" s="797"/>
    </row>
    <row r="250" spans="1:29" ht="19.5" customHeight="1">
      <c r="A250" s="740"/>
      <c r="B250" s="201"/>
      <c r="C250" s="799"/>
      <c r="D250" s="801"/>
      <c r="E250" s="72"/>
      <c r="F250" s="250"/>
      <c r="G250" s="92"/>
      <c r="H250" s="88"/>
      <c r="I250" s="311"/>
      <c r="J250" s="257"/>
      <c r="K250" s="202"/>
      <c r="L250" s="202"/>
      <c r="M250" s="202"/>
      <c r="N250" s="202"/>
      <c r="O250" s="202"/>
      <c r="P250" s="28"/>
      <c r="Q250" s="72">
        <f>база!$L$6</f>
        <v>261.04640000000001</v>
      </c>
      <c r="R250" s="250">
        <v>1</v>
      </c>
      <c r="S250" s="92">
        <f>SUMIFS(Таблица1[сумма],Таблица1[коэф],"1",Таблица1[р/р],"5/16",Таблица1[Ф. И. О.],B253)</f>
        <v>0</v>
      </c>
      <c r="T250" s="88">
        <f t="shared" si="161"/>
        <v>0</v>
      </c>
      <c r="U250" s="292">
        <f>база!$M$6</f>
        <v>279.0496</v>
      </c>
      <c r="V250" s="250">
        <v>1</v>
      </c>
      <c r="W250" s="285">
        <f>SUMIFS(Таблица1[сумма],Таблица1[коэф],"1",Таблица1[р/р],"5/24",Таблица1[Ф. И. О.],B253)</f>
        <v>0</v>
      </c>
      <c r="X250" s="291">
        <f>ROUND(U250*V250*W250,2)</f>
        <v>0</v>
      </c>
      <c r="Y250" s="803"/>
      <c r="Z250" s="794"/>
      <c r="AA250" s="797"/>
    </row>
    <row r="251" spans="1:29" ht="19.5" customHeight="1">
      <c r="A251" s="740"/>
      <c r="B251" s="201"/>
      <c r="C251" s="799"/>
      <c r="D251" s="801"/>
      <c r="E251" s="72"/>
      <c r="F251" s="250"/>
      <c r="G251" s="92"/>
      <c r="H251" s="88"/>
      <c r="I251" s="311">
        <f>база!$J$5</f>
        <v>215.4924</v>
      </c>
      <c r="J251" s="257">
        <v>1.5</v>
      </c>
      <c r="K251" s="202">
        <f>SUMIFS(Таблица1[сумма],Таблица1[коэф],"1,5",Таблица1[р/р],"4/8",Таблица1[Ф. И. О.],B253)</f>
        <v>0</v>
      </c>
      <c r="L251" s="202">
        <f>ROUND(I251*J251*K251,2)</f>
        <v>0</v>
      </c>
      <c r="M251" s="202"/>
      <c r="N251" s="202"/>
      <c r="O251" s="202"/>
      <c r="P251" s="28"/>
      <c r="Q251" s="72">
        <f>IF(D248&lt;=3,база!$L$4,
IF(D248=4,база!$L$5,
IF(D248=5,база!$L$6)))</f>
        <v>210.57480000000001</v>
      </c>
      <c r="R251" s="250">
        <v>1.2</v>
      </c>
      <c r="S251" s="92">
        <f>SUMIFS(Таблица1[сумма],Таблица1[коэф],"1,2",Таблица1[р/р],"3/16",Таблица1[Ф. И. О.],B253)</f>
        <v>0</v>
      </c>
      <c r="T251" s="88">
        <f t="shared" si="161"/>
        <v>0</v>
      </c>
      <c r="U251" s="292">
        <f>IF(D248&lt;=3,база!$M$4,
IF(D248=4,база!$M$5,
IF(D248=5,база!$M$6)))</f>
        <v>225.09719999999999</v>
      </c>
      <c r="V251" s="250">
        <v>1.2</v>
      </c>
      <c r="W251" s="285">
        <f>SUMIFS(Таблица1[сумма],Таблица1[коэф],"1,2",Таблица1[р/р],"3/24",Таблица1[Ф. И. О.],B253)</f>
        <v>0</v>
      </c>
      <c r="X251" s="291">
        <f t="shared" ref="X251:X252" si="165">ROUND(U251*V251*W251,2)</f>
        <v>0</v>
      </c>
      <c r="Y251" s="803"/>
      <c r="Z251" s="794"/>
      <c r="AA251" s="797"/>
    </row>
    <row r="252" spans="1:29" ht="19.5" customHeight="1">
      <c r="A252" s="740"/>
      <c r="B252" s="201"/>
      <c r="C252" s="799"/>
      <c r="D252" s="801"/>
      <c r="E252" s="72"/>
      <c r="F252" s="250"/>
      <c r="G252" s="92"/>
      <c r="H252" s="88"/>
      <c r="I252" s="311">
        <f>база!$J$6</f>
        <v>243.04319999999998</v>
      </c>
      <c r="J252" s="257">
        <v>1.5</v>
      </c>
      <c r="K252" s="202">
        <f>SUMIFS(Таблица1[сумма],Таблица1[коэф],"1,5",Таблица1[р/р],"5/8",Таблица1[Ф. И. О.],B253)</f>
        <v>0</v>
      </c>
      <c r="L252" s="202">
        <f>ROUND(I252*J252*K252,2)</f>
        <v>0</v>
      </c>
      <c r="M252" s="202"/>
      <c r="N252" s="202"/>
      <c r="O252" s="202"/>
      <c r="P252" s="28"/>
      <c r="Q252" s="72">
        <f>база!$L$5</f>
        <v>231.45480000000001</v>
      </c>
      <c r="R252" s="250">
        <v>1.2</v>
      </c>
      <c r="S252" s="92">
        <f>SUMIFS(Таблица1[сумма],Таблица1[коэф],"1,2",Таблица1[р/р],"4/16",Таблица1[Ф. И. О.],B253)</f>
        <v>0</v>
      </c>
      <c r="T252" s="88">
        <f t="shared" si="161"/>
        <v>0</v>
      </c>
      <c r="U252" s="292">
        <f>база!$M$5</f>
        <v>247.41720000000001</v>
      </c>
      <c r="V252" s="250">
        <v>1.2</v>
      </c>
      <c r="W252" s="285">
        <f>SUMIFS(Таблица1[сумма],Таблица1[коэф],"1,2",Таблица1[р/р],"4/24",Таблица1[Ф. И. О.],B253)</f>
        <v>0</v>
      </c>
      <c r="X252" s="291">
        <f t="shared" si="165"/>
        <v>0</v>
      </c>
      <c r="Y252" s="803"/>
      <c r="Z252" s="794"/>
      <c r="AA252" s="797"/>
      <c r="AC252" s="688" t="str">
        <f>IF(SUMIFS(Таблица1[Столбец2],Таблица1[Ф. И. О.],B253)-Z248=0,"",SUMIFS(Таблица1[Столбец2],Таблица1[Ф. И. О.],B253)-Z248)</f>
        <v/>
      </c>
    </row>
    <row r="253" spans="1:29" ht="19.5" customHeight="1">
      <c r="A253" s="740"/>
      <c r="B253" s="201" t="str">
        <f>база!B24</f>
        <v>Журавлева Мария Валентиновна</v>
      </c>
      <c r="C253" s="799"/>
      <c r="D253" s="801"/>
      <c r="E253" s="72"/>
      <c r="F253" s="250"/>
      <c r="G253" s="92"/>
      <c r="H253" s="88"/>
      <c r="I253" s="311"/>
      <c r="J253" s="257"/>
      <c r="K253" s="202"/>
      <c r="L253" s="202"/>
      <c r="M253" s="202"/>
      <c r="N253" s="202"/>
      <c r="O253" s="202"/>
      <c r="P253" s="28"/>
      <c r="Q253" s="72">
        <f>база!$L$6</f>
        <v>261.04640000000001</v>
      </c>
      <c r="R253" s="250">
        <v>1.2</v>
      </c>
      <c r="S253" s="92">
        <f>SUMIFS(Таблица1[сумма],Таблица1[коэф],"1,2",Таблица1[р/р],"5/16",Таблица1[Ф. И. О.],B253)</f>
        <v>0</v>
      </c>
      <c r="T253" s="88">
        <f>ROUND(Q253*R253*S253,2)</f>
        <v>0</v>
      </c>
      <c r="U253" s="292">
        <f>база!$M$6</f>
        <v>279.0496</v>
      </c>
      <c r="V253" s="250">
        <v>1.2</v>
      </c>
      <c r="W253" s="285">
        <f>SUMIFS(Таблица1[сумма],Таблица1[коэф],"1,2",Таблица1[р/р],"5/24",Таблица1[Ф. И. О.],B253)</f>
        <v>0</v>
      </c>
      <c r="X253" s="291">
        <f>ROUND(U253*V253*W253,2)</f>
        <v>0</v>
      </c>
      <c r="Y253" s="803"/>
      <c r="Z253" s="794"/>
      <c r="AA253" s="797"/>
      <c r="AC253" s="688" t="str">
        <f>IF(SUMIFS(Таблица1[сумма],Таблица1[Ф. И. О.],B253)=Y248,"",B248&amp;"  часы не верны")</f>
        <v/>
      </c>
    </row>
    <row r="254" spans="1:29" ht="19.5" customHeight="1">
      <c r="A254" s="740"/>
      <c r="B254" s="201"/>
      <c r="C254" s="799"/>
      <c r="D254" s="801"/>
      <c r="E254" s="72"/>
      <c r="F254" s="250"/>
      <c r="G254" s="92"/>
      <c r="H254" s="88"/>
      <c r="I254" s="311"/>
      <c r="J254" s="257"/>
      <c r="K254" s="202"/>
      <c r="L254" s="202"/>
      <c r="M254" s="202"/>
      <c r="N254" s="202"/>
      <c r="O254" s="202"/>
      <c r="P254" s="28"/>
      <c r="Q254" s="72">
        <f>IF($D$6&lt;=3,база!$L$4,
IF($D$6=4,база!$L$5,
IF($D$6=5,база!$L$6)))</f>
        <v>231.45480000000001</v>
      </c>
      <c r="R254" s="250">
        <v>1.3</v>
      </c>
      <c r="S254" s="92">
        <f>SUMIFS(Таблица1[сумма],Таблица1[коэф],"1,3",Таблица1[р/р],"3/16",Таблица1[Ф. И. О.],B253)</f>
        <v>0</v>
      </c>
      <c r="T254" s="88">
        <f t="shared" ref="T254:T258" si="166">ROUND(Q254*R254*S254,2)</f>
        <v>0</v>
      </c>
      <c r="U254" s="292">
        <f>IF(D248&lt;=3,база!$M$4,
IF(D248=4,база!$M$5,
IF(D248=5,база!$M$6)))</f>
        <v>225.09719999999999</v>
      </c>
      <c r="V254" s="250">
        <v>1.3</v>
      </c>
      <c r="W254" s="285">
        <f>SUMIFS(Таблица1[сумма],Таблица1[коэф],"1,3",Таблица1[р/р],"3/24",Таблица1[Ф. И. О.],B253)</f>
        <v>0</v>
      </c>
      <c r="X254" s="291">
        <f t="shared" ref="X254:X255" si="167">ROUND(U254*V254*W254,2)</f>
        <v>0</v>
      </c>
      <c r="Y254" s="803"/>
      <c r="Z254" s="794"/>
      <c r="AA254" s="797"/>
    </row>
    <row r="255" spans="1:29" ht="19.5" customHeight="1">
      <c r="A255" s="740"/>
      <c r="B255" s="201"/>
      <c r="C255" s="799"/>
      <c r="D255" s="801"/>
      <c r="E255" s="72"/>
      <c r="F255" s="250"/>
      <c r="G255" s="92"/>
      <c r="H255" s="88"/>
      <c r="I255" s="311"/>
      <c r="J255" s="257"/>
      <c r="K255" s="202"/>
      <c r="L255" s="202"/>
      <c r="M255" s="202"/>
      <c r="N255" s="202"/>
      <c r="O255" s="202"/>
      <c r="P255" s="28"/>
      <c r="Q255" s="72">
        <f>база!$L$5</f>
        <v>231.45480000000001</v>
      </c>
      <c r="R255" s="250">
        <v>1.3</v>
      </c>
      <c r="S255" s="92">
        <f>SUMIFS(Таблица1[сумма],Таблица1[коэф],"1,3",Таблица1[р/р],"4/16",Таблица1[Ф. И. О.],B253)</f>
        <v>0</v>
      </c>
      <c r="T255" s="88">
        <f t="shared" si="166"/>
        <v>0</v>
      </c>
      <c r="U255" s="292">
        <f>база!$M$5</f>
        <v>247.41720000000001</v>
      </c>
      <c r="V255" s="250">
        <v>1.3</v>
      </c>
      <c r="W255" s="285">
        <f>SUMIFS(Таблица1[сумма],Таблица1[коэф],"1,3",Таблица1[р/р],"4/24",Таблица1[Ф. И. О.],B253)</f>
        <v>0</v>
      </c>
      <c r="X255" s="291">
        <f t="shared" si="167"/>
        <v>0</v>
      </c>
      <c r="Y255" s="803"/>
      <c r="Z255" s="794"/>
      <c r="AA255" s="797"/>
    </row>
    <row r="256" spans="1:29" ht="19.5" customHeight="1">
      <c r="A256" s="740"/>
      <c r="B256" s="201"/>
      <c r="C256" s="799"/>
      <c r="D256" s="801"/>
      <c r="E256" s="72"/>
      <c r="F256" s="250"/>
      <c r="G256" s="92"/>
      <c r="H256" s="88"/>
      <c r="I256" s="311"/>
      <c r="J256" s="257"/>
      <c r="K256" s="202"/>
      <c r="L256" s="202"/>
      <c r="M256" s="202"/>
      <c r="N256" s="202"/>
      <c r="O256" s="202"/>
      <c r="P256" s="28"/>
      <c r="Q256" s="72">
        <f>IF(D248&lt;=3,база!$L$4,
IF(D248=4,база!$L$5,
IF(D248=5,база!$L$6)))</f>
        <v>210.57480000000001</v>
      </c>
      <c r="R256" s="250">
        <v>1.4</v>
      </c>
      <c r="S256" s="92">
        <f>SUMIFS(Таблица1[сумма],Таблица1[коэф],"1,4",Таблица1[р/р],"3/16",Таблица1[Ф. И. О.],B253)</f>
        <v>0</v>
      </c>
      <c r="T256" s="88">
        <f t="shared" si="166"/>
        <v>0</v>
      </c>
      <c r="U256" s="292">
        <f>IF(D248&lt;=3,база!$M$4,
IF(D248=4,база!$M$5,
IF(D248=5,база!$M$6)))</f>
        <v>225.09719999999999</v>
      </c>
      <c r="V256" s="250">
        <v>1.4</v>
      </c>
      <c r="W256" s="285">
        <f>SUMIFS(Таблица1[сумма],Таблица1[коэф],"1,4",Таблица1[р/р],"3/24",Таблица1[Ф. И. О.],B253)</f>
        <v>0</v>
      </c>
      <c r="X256" s="291">
        <f>ROUND(U256*V256*W256,2)</f>
        <v>0</v>
      </c>
      <c r="Y256" s="803"/>
      <c r="Z256" s="794"/>
      <c r="AA256" s="797"/>
    </row>
    <row r="257" spans="1:29" ht="19.5" customHeight="1">
      <c r="A257" s="740"/>
      <c r="B257" s="201"/>
      <c r="C257" s="799"/>
      <c r="D257" s="801"/>
      <c r="E257" s="72"/>
      <c r="F257" s="250"/>
      <c r="G257" s="92"/>
      <c r="H257" s="88"/>
      <c r="I257" s="311"/>
      <c r="J257" s="257"/>
      <c r="K257" s="202"/>
      <c r="L257" s="202"/>
      <c r="M257" s="202"/>
      <c r="N257" s="202"/>
      <c r="O257" s="202"/>
      <c r="P257" s="28"/>
      <c r="Q257" s="72">
        <f>база!$L$5</f>
        <v>231.45480000000001</v>
      </c>
      <c r="R257" s="250">
        <v>1.4</v>
      </c>
      <c r="S257" s="92">
        <f>SUMIFS(Таблица1[сумма],Таблица1[коэф],"1,4",Таблица1[р/р],"4/16",Таблица1[Ф. И. О.],B253)</f>
        <v>0</v>
      </c>
      <c r="T257" s="88">
        <f t="shared" si="166"/>
        <v>0</v>
      </c>
      <c r="U257" s="292">
        <f>база!$M$5</f>
        <v>247.41720000000001</v>
      </c>
      <c r="V257" s="250">
        <v>1.4</v>
      </c>
      <c r="W257" s="285">
        <f>SUMIFS(Таблица1[сумма],Таблица1[коэф],"1,4",Таблица1[р/р],"4/24",Таблица1[Ф. И. О.],B253)</f>
        <v>0</v>
      </c>
      <c r="X257" s="291">
        <f>ROUND(U257*V257*W257,2)</f>
        <v>0</v>
      </c>
      <c r="Y257" s="803"/>
      <c r="Z257" s="794"/>
      <c r="AA257" s="797"/>
    </row>
    <row r="258" spans="1:29" ht="19.5" customHeight="1" thickBot="1">
      <c r="A258" s="741"/>
      <c r="B258" s="188"/>
      <c r="C258" s="800"/>
      <c r="D258" s="802"/>
      <c r="E258" s="95"/>
      <c r="F258" s="252"/>
      <c r="G258" s="91"/>
      <c r="H258" s="84"/>
      <c r="I258" s="325"/>
      <c r="J258" s="258"/>
      <c r="K258" s="267"/>
      <c r="L258" s="267"/>
      <c r="M258" s="267"/>
      <c r="N258" s="267"/>
      <c r="O258" s="267"/>
      <c r="P258" s="293"/>
      <c r="Q258" s="95">
        <f>база!$L$6</f>
        <v>261.04640000000001</v>
      </c>
      <c r="R258" s="252">
        <v>1.4</v>
      </c>
      <c r="S258" s="91">
        <f>SUMIFS(Таблица1[сумма],Таблица1[коэф],"1,4",Таблица1[р/р],"5/16",Таблица1[Ф. И. О.],B253)</f>
        <v>0</v>
      </c>
      <c r="T258" s="84">
        <f t="shared" si="166"/>
        <v>0</v>
      </c>
      <c r="U258" s="324">
        <f>база!$M$6</f>
        <v>279.0496</v>
      </c>
      <c r="V258" s="252">
        <v>1.4</v>
      </c>
      <c r="W258" s="290">
        <f>SUMIFS(Таблица1[сумма],Таблица1[коэф],"1,4",Таблица1[р/р],"5/24",Таблица1[Ф. И. О.],B253)</f>
        <v>0</v>
      </c>
      <c r="X258" s="320">
        <f>ROUND(U258*V258*W258,2)</f>
        <v>0</v>
      </c>
      <c r="Y258" s="804"/>
      <c r="Z258" s="795"/>
      <c r="AA258" s="798"/>
    </row>
    <row r="259" spans="1:29" ht="18.75" customHeight="1">
      <c r="A259" s="739">
        <v>24</v>
      </c>
      <c r="B259" s="219"/>
      <c r="C259" s="805">
        <f>INDEX(база!$E$2:$E$81, MATCH(B264,база!$B$2:$B$50,0))</f>
        <v>17129</v>
      </c>
      <c r="D259" s="806">
        <f>INDEX(база!$D$2:$D$89, MATCH(B264,база!$B$2:$B$50,0))</f>
        <v>3</v>
      </c>
      <c r="E259" s="66">
        <f>IF(D259&lt;=3,база!$I$4,
IF(D259=4,база!$I$5,
IF(D259=5,база!$I$6)))</f>
        <v>188.7912</v>
      </c>
      <c r="F259" s="248">
        <v>1</v>
      </c>
      <c r="G259" s="89">
        <f>SUMIFS(Таблица1[сумма],Таблица1[коэф],"1",Таблица1[р/р],"2/4",Таблица1[Ф. И. О.],B264)</f>
        <v>0</v>
      </c>
      <c r="H259" s="81">
        <f>ROUND(E259*F259*G259,2)</f>
        <v>0</v>
      </c>
      <c r="I259" s="315">
        <f>IF(D259&lt;=3,база!$J$4,
IF(D259=4,база!$J$5,
IF(D259=5,база!$J$6)))</f>
        <v>196.05240000000001</v>
      </c>
      <c r="J259" s="255">
        <v>1</v>
      </c>
      <c r="K259" s="266">
        <f>SUMIFS(Таблица1[сумма],Таблица1[коэф],"1",Таблица1[р/р],"2/8",Таблица1[Ф. И. О.],B264)</f>
        <v>0</v>
      </c>
      <c r="L259" s="266">
        <f>ROUND(I259*J259*K259,2)</f>
        <v>0</v>
      </c>
      <c r="M259" s="266"/>
      <c r="N259" s="266">
        <v>1</v>
      </c>
      <c r="O259" s="266">
        <f>SUMIFS(Data_Tech!$AM$3:$AM$67,Data_Tech!$E$3:$E$67,"1",Data_Tech!$G$3:$G$67,"3/12",Data_Tech!$F$3:$F$67,B264)</f>
        <v>0</v>
      </c>
      <c r="P259" s="259">
        <f>ROUND(M259*N259*O259,2)</f>
        <v>0</v>
      </c>
      <c r="Q259" s="66">
        <f>IF(D259&lt;=3,база!$L$4,
IF(D259=4,база!$L$5,
IF(D259=5,база!$L$6)))</f>
        <v>210.57480000000001</v>
      </c>
      <c r="R259" s="248">
        <v>1</v>
      </c>
      <c r="S259" s="89">
        <f>SUMIFS(Таблица1[сумма],Таблица1[коэф],"1",Таблица1[р/р],"3/16",Таблица1[Ф. И. О.],B264)</f>
        <v>0</v>
      </c>
      <c r="T259" s="81">
        <f t="shared" si="160"/>
        <v>0</v>
      </c>
      <c r="U259" s="316">
        <f>IF(D259&lt;=3,база!$M$4,
IF(D259=4,база!$M$5,
IF(D259=5,база!$M$6)))</f>
        <v>225.09719999999999</v>
      </c>
      <c r="V259" s="248">
        <v>1</v>
      </c>
      <c r="W259" s="317">
        <f>SUMIFS(Таблица1[сумма],Таблица1[коэф],"1",Таблица1[р/р],"3/24",Таблица1[Ф. И. О.],B264)</f>
        <v>0</v>
      </c>
      <c r="X259" s="319">
        <f>ROUND(U259*V259*W259,2)</f>
        <v>0</v>
      </c>
      <c r="Y259" s="803">
        <f t="shared" ref="Y259" si="168">SUM(G259:G269,K259:K269,O259:O269,S259:S269,W259:W269)</f>
        <v>0</v>
      </c>
      <c r="Z259" s="794">
        <f t="shared" ref="Z259" si="169">IFERROR(SUM(H259:H269,L259:L269,T259:T269,X259:X269),"")</f>
        <v>0</v>
      </c>
      <c r="AA259" s="797"/>
    </row>
    <row r="260" spans="1:29" ht="18.75" customHeight="1">
      <c r="A260" s="740"/>
      <c r="B260" s="201"/>
      <c r="C260" s="799"/>
      <c r="D260" s="801"/>
      <c r="E260" s="72">
        <f>IF(D259&lt;=3,база!$I$4,
IF(D259=4,база!$I$5,
IF(D259=5,база!$I$6)))</f>
        <v>188.7912</v>
      </c>
      <c r="F260" s="250">
        <v>1</v>
      </c>
      <c r="G260" s="92">
        <f>SUMIFS(Таблица1[сумма],Таблица1[коэф],"1",Таблица1[р/р],"3/4",Таблица1[Ф. И. О.],B264)</f>
        <v>0</v>
      </c>
      <c r="H260" s="88">
        <f>ROUND(E260*F260*G260,2)</f>
        <v>0</v>
      </c>
      <c r="I260" s="311">
        <f>IF(D259&lt;=3,база!$J$4,
IF(D259=4,база!$J$5,
IF(D259=5,база!$J$6)))</f>
        <v>196.05240000000001</v>
      </c>
      <c r="J260" s="257">
        <v>1</v>
      </c>
      <c r="K260" s="202">
        <f>SUMIFS(Таблица1[сумма],Таблица1[коэф],"1",Таблица1[р/р],"3/8",Таблица1[Ф. И. О.],B264)</f>
        <v>0</v>
      </c>
      <c r="L260" s="202">
        <f>ROUND(I260*J260*K260,2)</f>
        <v>0</v>
      </c>
      <c r="M260" s="202"/>
      <c r="N260" s="202">
        <v>1</v>
      </c>
      <c r="O260" s="202">
        <f>SUMIFS(Data_Tech!$AM$3:$AM$67,Data_Tech!$E$3:$E$67,"1",Data_Tech!$G$3:$G$67,"4/12",Data_Tech!$F$3:$F$67,B264)</f>
        <v>0</v>
      </c>
      <c r="P260" s="28">
        <f>ROUND(M260*O260,2)</f>
        <v>0</v>
      </c>
      <c r="Q260" s="72">
        <f>база!$L$5</f>
        <v>231.45480000000001</v>
      </c>
      <c r="R260" s="250">
        <v>1</v>
      </c>
      <c r="S260" s="92">
        <f>SUMIFS(Таблица1[сумма],Таблица1[коэф],"1",Таблица1[р/р],"4/16",Таблица1[Ф. И. О.],B264)</f>
        <v>0</v>
      </c>
      <c r="T260" s="88">
        <f t="shared" si="160"/>
        <v>0</v>
      </c>
      <c r="U260" s="292">
        <f>база!$M$5</f>
        <v>247.41720000000001</v>
      </c>
      <c r="V260" s="250">
        <v>1</v>
      </c>
      <c r="W260" s="285">
        <f>SUMIFS(Таблица1[сумма],Таблица1[коэф],"1",Таблица1[р/р],"4/24",Таблица1[Ф. И. О.],B264)</f>
        <v>0</v>
      </c>
      <c r="X260" s="291">
        <f t="shared" ref="X260" si="170">ROUND(U260*V260*W260,2)</f>
        <v>0</v>
      </c>
      <c r="Y260" s="803"/>
      <c r="Z260" s="794"/>
      <c r="AA260" s="797"/>
    </row>
    <row r="261" spans="1:29" ht="19.5" customHeight="1">
      <c r="A261" s="740"/>
      <c r="B261" s="201"/>
      <c r="C261" s="799"/>
      <c r="D261" s="801"/>
      <c r="E261" s="72"/>
      <c r="F261" s="250"/>
      <c r="G261" s="92"/>
      <c r="H261" s="88"/>
      <c r="I261" s="311"/>
      <c r="J261" s="257"/>
      <c r="K261" s="202"/>
      <c r="L261" s="202"/>
      <c r="M261" s="202"/>
      <c r="N261" s="202"/>
      <c r="O261" s="202"/>
      <c r="P261" s="28"/>
      <c r="Q261" s="72">
        <f>база!$L$6</f>
        <v>261.04640000000001</v>
      </c>
      <c r="R261" s="250">
        <v>1</v>
      </c>
      <c r="S261" s="92">
        <f>SUMIFS(Таблица1[сумма],Таблица1[коэф],"1",Таблица1[р/р],"5/16",Таблица1[Ф. И. О.],B264)</f>
        <v>0</v>
      </c>
      <c r="T261" s="88">
        <f t="shared" si="160"/>
        <v>0</v>
      </c>
      <c r="U261" s="292">
        <f>база!$M$6</f>
        <v>279.0496</v>
      </c>
      <c r="V261" s="250">
        <v>1</v>
      </c>
      <c r="W261" s="285">
        <f>SUMIFS(Таблица1[сумма],Таблица1[коэф],"1",Таблица1[р/р],"5/24",Таблица1[Ф. И. О.],B264)</f>
        <v>0</v>
      </c>
      <c r="X261" s="291">
        <f>ROUND(U261*V261*W261,2)</f>
        <v>0</v>
      </c>
      <c r="Y261" s="803"/>
      <c r="Z261" s="794"/>
      <c r="AA261" s="797"/>
    </row>
    <row r="262" spans="1:29" ht="19.5" customHeight="1">
      <c r="A262" s="740"/>
      <c r="B262" s="201"/>
      <c r="C262" s="799"/>
      <c r="D262" s="801"/>
      <c r="E262" s="72"/>
      <c r="F262" s="250"/>
      <c r="G262" s="92"/>
      <c r="H262" s="88"/>
      <c r="I262" s="311">
        <f>база!$J$5</f>
        <v>215.4924</v>
      </c>
      <c r="J262" s="257">
        <v>1.5</v>
      </c>
      <c r="K262" s="202">
        <f>SUMIFS(Таблица1[сумма],Таблица1[коэф],"1,5",Таблица1[р/р],"4/8",Таблица1[Ф. И. О.],B264)</f>
        <v>0</v>
      </c>
      <c r="L262" s="202">
        <f>ROUND(I262*J262*K262,2)</f>
        <v>0</v>
      </c>
      <c r="M262" s="202"/>
      <c r="N262" s="202"/>
      <c r="O262" s="202"/>
      <c r="P262" s="28"/>
      <c r="Q262" s="72">
        <f>IF(D259&lt;=3,база!$L$4,
IF(D259=4,база!$L$5,
IF(D259=5,база!$L$6)))</f>
        <v>210.57480000000001</v>
      </c>
      <c r="R262" s="250">
        <v>1.2</v>
      </c>
      <c r="S262" s="92">
        <f>SUMIFS(Таблица1[сумма],Таблица1[коэф],"1,2",Таблица1[р/р],"3/16",Таблица1[Ф. И. О.],B264)</f>
        <v>0</v>
      </c>
      <c r="T262" s="88">
        <f t="shared" ref="T262:T263" si="171">ROUND(Q262*R262*S262,2)</f>
        <v>0</v>
      </c>
      <c r="U262" s="292">
        <f>IF(D259&lt;=3,база!$M$4,
IF(D259=4,база!$M$5,
IF(D259=5,база!$M$6)))</f>
        <v>225.09719999999999</v>
      </c>
      <c r="V262" s="250">
        <v>1.2</v>
      </c>
      <c r="W262" s="285">
        <f>SUMIFS(Таблица1[сумма],Таблица1[коэф],"1,2",Таблица1[р/р],"3/24",Таблица1[Ф. И. О.],B264)</f>
        <v>0</v>
      </c>
      <c r="X262" s="291">
        <f t="shared" ref="X262:X263" si="172">ROUND(U262*V262*W262,2)</f>
        <v>0</v>
      </c>
      <c r="Y262" s="803"/>
      <c r="Z262" s="794"/>
      <c r="AA262" s="797"/>
    </row>
    <row r="263" spans="1:29" ht="19.5" customHeight="1">
      <c r="A263" s="740"/>
      <c r="B263" s="201"/>
      <c r="C263" s="799"/>
      <c r="D263" s="801"/>
      <c r="E263" s="72"/>
      <c r="F263" s="250"/>
      <c r="G263" s="92"/>
      <c r="H263" s="88"/>
      <c r="I263" s="311">
        <f>база!$J$6</f>
        <v>243.04319999999998</v>
      </c>
      <c r="J263" s="257">
        <v>1.5</v>
      </c>
      <c r="K263" s="202">
        <f>SUMIFS(Таблица1[сумма],Таблица1[коэф],"1,5",Таблица1[р/р],"5/8",Таблица1[Ф. И. О.],B264)</f>
        <v>0</v>
      </c>
      <c r="L263" s="202">
        <f>ROUND(I263*J263*K263,2)</f>
        <v>0</v>
      </c>
      <c r="M263" s="202"/>
      <c r="N263" s="202"/>
      <c r="O263" s="202"/>
      <c r="P263" s="28"/>
      <c r="Q263" s="72">
        <f>база!$L$5</f>
        <v>231.45480000000001</v>
      </c>
      <c r="R263" s="250">
        <v>1.2</v>
      </c>
      <c r="S263" s="92">
        <f>SUMIFS(Таблица1[сумма],Таблица1[коэф],"1,2",Таблица1[р/р],"4/16",Таблица1[Ф. И. О.],B264)</f>
        <v>0</v>
      </c>
      <c r="T263" s="88">
        <f t="shared" si="171"/>
        <v>0</v>
      </c>
      <c r="U263" s="292">
        <f>база!$M$5</f>
        <v>247.41720000000001</v>
      </c>
      <c r="V263" s="250">
        <v>1.2</v>
      </c>
      <c r="W263" s="285">
        <f>SUMIFS(Таблица1[сумма],Таблица1[коэф],"1,2",Таблица1[р/р],"4/24",Таблица1[Ф. И. О.],B264)</f>
        <v>0</v>
      </c>
      <c r="X263" s="291">
        <f t="shared" si="172"/>
        <v>0</v>
      </c>
      <c r="Y263" s="803"/>
      <c r="Z263" s="794"/>
      <c r="AA263" s="797"/>
      <c r="AC263" s="688" t="str">
        <f>IF(SUMIFS(Таблица1[Столбец2],Таблица1[Ф. И. О.],B264)-Z259=0,"",SUMIFS(Таблица1[Столбец2],Таблица1[Ф. И. О.],B264)-Z259)</f>
        <v/>
      </c>
    </row>
    <row r="264" spans="1:29" ht="19.5" customHeight="1">
      <c r="A264" s="740"/>
      <c r="B264" s="201" t="str">
        <f>база!B25</f>
        <v>Зинина Екатерина Олеговна</v>
      </c>
      <c r="C264" s="799"/>
      <c r="D264" s="801"/>
      <c r="E264" s="72"/>
      <c r="F264" s="250"/>
      <c r="G264" s="92"/>
      <c r="H264" s="88"/>
      <c r="I264" s="311"/>
      <c r="J264" s="257"/>
      <c r="K264" s="202"/>
      <c r="L264" s="202"/>
      <c r="M264" s="202"/>
      <c r="N264" s="202"/>
      <c r="O264" s="202"/>
      <c r="P264" s="28"/>
      <c r="Q264" s="72">
        <f>база!$L$6</f>
        <v>261.04640000000001</v>
      </c>
      <c r="R264" s="250">
        <v>1.2</v>
      </c>
      <c r="S264" s="92">
        <f>SUMIFS(Таблица1[сумма],Таблица1[коэф],"1,2",Таблица1[р/р],"5/16",Таблица1[Ф. И. О.],B264)</f>
        <v>0</v>
      </c>
      <c r="T264" s="88">
        <f>ROUND(Q264*R264*S264,2)</f>
        <v>0</v>
      </c>
      <c r="U264" s="292">
        <f>база!$M$6</f>
        <v>279.0496</v>
      </c>
      <c r="V264" s="250">
        <v>1.2</v>
      </c>
      <c r="W264" s="285">
        <f>SUMIFS(Таблица1[сумма],Таблица1[коэф],"1,2",Таблица1[р/р],"5/24",Таблица1[Ф. И. О.],B264)</f>
        <v>0</v>
      </c>
      <c r="X264" s="291">
        <f>ROUND(U264*V264*W264,2)</f>
        <v>0</v>
      </c>
      <c r="Y264" s="803"/>
      <c r="Z264" s="794"/>
      <c r="AA264" s="797"/>
      <c r="AC264" s="688" t="str">
        <f>IF(SUMIFS(Таблица1[сумма],Таблица1[Ф. И. О.],B264)=Y259,"",B259&amp;"  часы не верны")</f>
        <v/>
      </c>
    </row>
    <row r="265" spans="1:29" ht="19.5" customHeight="1">
      <c r="A265" s="740"/>
      <c r="B265" s="201"/>
      <c r="C265" s="799"/>
      <c r="D265" s="801"/>
      <c r="E265" s="72"/>
      <c r="F265" s="250"/>
      <c r="G265" s="92"/>
      <c r="H265" s="88"/>
      <c r="I265" s="311"/>
      <c r="J265" s="257"/>
      <c r="K265" s="202"/>
      <c r="L265" s="202"/>
      <c r="M265" s="202"/>
      <c r="N265" s="202"/>
      <c r="O265" s="202"/>
      <c r="P265" s="28"/>
      <c r="Q265" s="72">
        <f>IF($D$6&lt;=3,база!$L$4,
IF($D$6=4,база!$L$5,
IF($D$6=5,база!$L$6)))</f>
        <v>231.45480000000001</v>
      </c>
      <c r="R265" s="250">
        <v>1.3</v>
      </c>
      <c r="S265" s="92">
        <f>SUMIFS(Таблица1[сумма],Таблица1[коэф],"1,3",Таблица1[р/р],"3/16",Таблица1[Ф. И. О.],B264)</f>
        <v>0</v>
      </c>
      <c r="T265" s="88">
        <f t="shared" ref="T265:T266" si="173">ROUND(Q265*R265*S265,2)</f>
        <v>0</v>
      </c>
      <c r="U265" s="292">
        <f>IF(D259&lt;=3,база!$M$4,
IF(D259=4,база!$M$5,
IF(D259=5,база!$M$6)))</f>
        <v>225.09719999999999</v>
      </c>
      <c r="V265" s="250">
        <v>1.3</v>
      </c>
      <c r="W265" s="285">
        <f>SUMIFS(Таблица1[сумма],Таблица1[коэф],"1,3",Таблица1[р/р],"3/24",Таблица1[Ф. И. О.],B264)</f>
        <v>0</v>
      </c>
      <c r="X265" s="291">
        <f t="shared" ref="X265:X266" si="174">ROUND(U265*V265*W265,2)</f>
        <v>0</v>
      </c>
      <c r="Y265" s="803"/>
      <c r="Z265" s="794"/>
      <c r="AA265" s="797"/>
    </row>
    <row r="266" spans="1:29" ht="19.5" customHeight="1">
      <c r="A266" s="740"/>
      <c r="B266" s="201"/>
      <c r="C266" s="799"/>
      <c r="D266" s="801"/>
      <c r="E266" s="72"/>
      <c r="F266" s="250"/>
      <c r="G266" s="92"/>
      <c r="H266" s="88"/>
      <c r="I266" s="311"/>
      <c r="J266" s="257"/>
      <c r="K266" s="202"/>
      <c r="L266" s="202"/>
      <c r="M266" s="202"/>
      <c r="N266" s="202"/>
      <c r="O266" s="202"/>
      <c r="P266" s="28"/>
      <c r="Q266" s="72">
        <f>база!$L$5</f>
        <v>231.45480000000001</v>
      </c>
      <c r="R266" s="250">
        <v>1.3</v>
      </c>
      <c r="S266" s="92">
        <f>SUMIFS(Таблица1[сумма],Таблица1[коэф],"1,3",Таблица1[р/р],"4/16",Таблица1[Ф. И. О.],B264)</f>
        <v>0</v>
      </c>
      <c r="T266" s="88">
        <f t="shared" si="173"/>
        <v>0</v>
      </c>
      <c r="U266" s="292">
        <f>база!$M$5</f>
        <v>247.41720000000001</v>
      </c>
      <c r="V266" s="250">
        <v>1.3</v>
      </c>
      <c r="W266" s="285">
        <f>SUMIFS(Таблица1[сумма],Таблица1[коэф],"1,3",Таблица1[р/р],"4/24",Таблица1[Ф. И. О.],B264)</f>
        <v>0</v>
      </c>
      <c r="X266" s="291">
        <f t="shared" si="174"/>
        <v>0</v>
      </c>
      <c r="Y266" s="803"/>
      <c r="Z266" s="794"/>
      <c r="AA266" s="797"/>
    </row>
    <row r="267" spans="1:29" ht="19.5" customHeight="1">
      <c r="A267" s="740"/>
      <c r="B267" s="201"/>
      <c r="C267" s="799"/>
      <c r="D267" s="801"/>
      <c r="E267" s="72"/>
      <c r="F267" s="250"/>
      <c r="G267" s="92"/>
      <c r="H267" s="88"/>
      <c r="I267" s="311"/>
      <c r="J267" s="257"/>
      <c r="K267" s="202"/>
      <c r="L267" s="202"/>
      <c r="M267" s="202"/>
      <c r="N267" s="202"/>
      <c r="O267" s="202"/>
      <c r="P267" s="28"/>
      <c r="Q267" s="72">
        <f>IF(D259&lt;=3,база!$L$4,
IF(D259=4,база!$L$5,
IF(D259=5,база!$L$6)))</f>
        <v>210.57480000000001</v>
      </c>
      <c r="R267" s="250">
        <v>1.4</v>
      </c>
      <c r="S267" s="92">
        <f>SUMIFS(Таблица1[сумма],Таблица1[коэф],"1,4",Таблица1[р/р],"3/16",Таблица1[Ф. И. О.],B264)</f>
        <v>0</v>
      </c>
      <c r="T267" s="88">
        <f t="shared" ref="T267:T888" si="175">ROUND(Q267*R267*S267,2)</f>
        <v>0</v>
      </c>
      <c r="U267" s="292">
        <f>IF(D259&lt;=3,база!$M$4,
IF(D259=4,база!$M$5,
IF(D259=5,база!$M$6)))</f>
        <v>225.09719999999999</v>
      </c>
      <c r="V267" s="250">
        <v>1.4</v>
      </c>
      <c r="W267" s="285">
        <f>SUMIFS(Таблица1[сумма],Таблица1[коэф],"1,4",Таблица1[р/р],"3/24",Таблица1[Ф. И. О.],B264)</f>
        <v>0</v>
      </c>
      <c r="X267" s="291">
        <f>ROUND(U267*V267*W267,2)</f>
        <v>0</v>
      </c>
      <c r="Y267" s="803"/>
      <c r="Z267" s="794"/>
      <c r="AA267" s="797"/>
    </row>
    <row r="268" spans="1:29" ht="19.5" customHeight="1">
      <c r="A268" s="740"/>
      <c r="B268" s="201"/>
      <c r="C268" s="799"/>
      <c r="D268" s="801"/>
      <c r="E268" s="72"/>
      <c r="F268" s="250"/>
      <c r="G268" s="92"/>
      <c r="H268" s="88"/>
      <c r="I268" s="311"/>
      <c r="J268" s="257"/>
      <c r="K268" s="202"/>
      <c r="L268" s="202"/>
      <c r="M268" s="202"/>
      <c r="N268" s="202"/>
      <c r="O268" s="202"/>
      <c r="P268" s="28"/>
      <c r="Q268" s="72">
        <f>база!$L$5</f>
        <v>231.45480000000001</v>
      </c>
      <c r="R268" s="250">
        <v>1.4</v>
      </c>
      <c r="S268" s="92">
        <f>SUMIFS(Таблица1[сумма],Таблица1[коэф],"1,4",Таблица1[р/р],"4/16",Таблица1[Ф. И. О.],B264)</f>
        <v>0</v>
      </c>
      <c r="T268" s="88">
        <f t="shared" si="175"/>
        <v>0</v>
      </c>
      <c r="U268" s="292">
        <f>база!$M$5</f>
        <v>247.41720000000001</v>
      </c>
      <c r="V268" s="250">
        <v>1.4</v>
      </c>
      <c r="W268" s="285">
        <f>SUMIFS(Таблица1[сумма],Таблица1[коэф],"1,4",Таблица1[р/р],"4/24",Таблица1[Ф. И. О.],B264)</f>
        <v>0</v>
      </c>
      <c r="X268" s="291">
        <f>ROUND(U268*V268*W268,2)</f>
        <v>0</v>
      </c>
      <c r="Y268" s="803"/>
      <c r="Z268" s="794"/>
      <c r="AA268" s="797"/>
    </row>
    <row r="269" spans="1:29" ht="19.5" customHeight="1" thickBot="1">
      <c r="A269" s="741"/>
      <c r="B269" s="188"/>
      <c r="C269" s="800"/>
      <c r="D269" s="802"/>
      <c r="E269" s="95"/>
      <c r="F269" s="252"/>
      <c r="G269" s="91"/>
      <c r="H269" s="84"/>
      <c r="I269" s="325"/>
      <c r="J269" s="258"/>
      <c r="K269" s="267"/>
      <c r="L269" s="267"/>
      <c r="M269" s="267"/>
      <c r="N269" s="267"/>
      <c r="O269" s="267"/>
      <c r="P269" s="293"/>
      <c r="Q269" s="95">
        <f>база!$L$6</f>
        <v>261.04640000000001</v>
      </c>
      <c r="R269" s="252">
        <v>1.4</v>
      </c>
      <c r="S269" s="91">
        <f>SUMIFS(Таблица1[сумма],Таблица1[коэф],"1,4",Таблица1[р/р],"5/16",Таблица1[Ф. И. О.],B264)</f>
        <v>0</v>
      </c>
      <c r="T269" s="84">
        <f t="shared" si="175"/>
        <v>0</v>
      </c>
      <c r="U269" s="324">
        <f>база!$M$6</f>
        <v>279.0496</v>
      </c>
      <c r="V269" s="252">
        <v>1.4</v>
      </c>
      <c r="W269" s="290">
        <f>SUMIFS(Таблица1[сумма],Таблица1[коэф],"1,4",Таблица1[р/р],"5/24",Таблица1[Ф. И. О.],B264)</f>
        <v>0</v>
      </c>
      <c r="X269" s="320">
        <f>ROUND(U269*V269*W269,2)</f>
        <v>0</v>
      </c>
      <c r="Y269" s="804"/>
      <c r="Z269" s="795"/>
      <c r="AA269" s="798"/>
    </row>
    <row r="270" spans="1:29" ht="18.75" customHeight="1">
      <c r="A270" s="739">
        <v>25</v>
      </c>
      <c r="B270" s="219"/>
      <c r="C270" s="805">
        <f>INDEX(база!$E$2:$E$81, MATCH(B275,база!$B$2:$B$50,0))</f>
        <v>13676</v>
      </c>
      <c r="D270" s="806">
        <f>INDEX(база!$D$2:$D$89, MATCH(B275,база!$B$2:$B$50,0))</f>
        <v>4</v>
      </c>
      <c r="E270" s="66">
        <f>IF(D270&lt;=3,база!$I$4,
IF(D270=4,база!$I$5,
IF(D270=5,база!$I$6)))</f>
        <v>207.5112</v>
      </c>
      <c r="F270" s="248">
        <v>1</v>
      </c>
      <c r="G270" s="89">
        <f>SUMIFS(Таблица1[сумма],Таблица1[коэф],"1",Таблица1[р/р],"2/4",Таблица1[Ф. И. О.],B275)</f>
        <v>0</v>
      </c>
      <c r="H270" s="81">
        <f>ROUND(E270*F270*G270,2)</f>
        <v>0</v>
      </c>
      <c r="I270" s="315">
        <f>IF(D270&lt;=3,база!$J$4,
IF(D270=4,база!$J$5,
IF(D270=5,база!$J$6)))</f>
        <v>215.4924</v>
      </c>
      <c r="J270" s="255">
        <v>1</v>
      </c>
      <c r="K270" s="266">
        <f>SUMIFS(Таблица1[сумма],Таблица1[коэф],"1",Таблица1[р/р],"2/8",Таблица1[Ф. И. О.],B275)</f>
        <v>0</v>
      </c>
      <c r="L270" s="266">
        <f>ROUND(I270*J270*K270,2)</f>
        <v>0</v>
      </c>
      <c r="M270" s="266"/>
      <c r="N270" s="266">
        <v>1</v>
      </c>
      <c r="O270" s="266">
        <f>SUMIFS(Data_Tech!$AM$3:$AM$67,Data_Tech!$E$3:$E$67,"1",Data_Tech!$G$3:$G$67,"3/12",Data_Tech!$F$3:$F$67,B275)</f>
        <v>0</v>
      </c>
      <c r="P270" s="259">
        <f>ROUND(M270*N270*O270,2)</f>
        <v>0</v>
      </c>
      <c r="Q270" s="66">
        <f>IF(D270&lt;=3,база!$L$4,
IF(D270=4,база!$L$5,
IF(D270=5,база!$L$6)))</f>
        <v>231.45480000000001</v>
      </c>
      <c r="R270" s="248">
        <v>1</v>
      </c>
      <c r="S270" s="89">
        <f>SUMIFS(Таблица1[сумма],Таблица1[коэф],"1",Таблица1[р/р],"3/16",Таблица1[Ф. И. О.],B275)</f>
        <v>0</v>
      </c>
      <c r="T270" s="81">
        <f t="shared" si="175"/>
        <v>0</v>
      </c>
      <c r="U270" s="316">
        <f>IF(D270&lt;=3,база!$M$4,
IF(D270=4,база!$M$5,
IF(D270=5,база!$M$6)))</f>
        <v>247.41720000000001</v>
      </c>
      <c r="V270" s="248">
        <v>1</v>
      </c>
      <c r="W270" s="317">
        <f>SUMIFS(Таблица1[сумма],Таблица1[коэф],"1",Таблица1[р/р],"3/24",Таблица1[Ф. И. О.],B275)</f>
        <v>0</v>
      </c>
      <c r="X270" s="319">
        <f>ROUND(U270*V270*W270,2)</f>
        <v>0</v>
      </c>
      <c r="Y270" s="803">
        <f t="shared" ref="Y270" si="176">SUM(G270:G280,K270:K280,O270:O280,S270:S280,W270:W280)</f>
        <v>0</v>
      </c>
      <c r="Z270" s="794">
        <f t="shared" ref="Z270" si="177">IFERROR(SUM(H270:H280,L270:L280,T270:T280,X270:X280),"")</f>
        <v>0</v>
      </c>
      <c r="AA270" s="797"/>
    </row>
    <row r="271" spans="1:29" ht="18.75" customHeight="1">
      <c r="A271" s="740"/>
      <c r="B271" s="201"/>
      <c r="C271" s="799"/>
      <c r="D271" s="801"/>
      <c r="E271" s="72">
        <f>IF(D270&lt;=3,база!$I$4,
IF(D270=4,база!$I$5,
IF(D270=5,база!$I$6)))</f>
        <v>207.5112</v>
      </c>
      <c r="F271" s="250">
        <v>1</v>
      </c>
      <c r="G271" s="92">
        <f>SUMIFS(Таблица1[сумма],Таблица1[коэф],"1",Таблица1[р/р],"3/4",Таблица1[Ф. И. О.],B275)</f>
        <v>0</v>
      </c>
      <c r="H271" s="88">
        <f>ROUND(E271*F271*G271,2)</f>
        <v>0</v>
      </c>
      <c r="I271" s="311">
        <f>IF(D270&lt;=3,база!$J$4,
IF(D270=4,база!$J$5,
IF(D270=5,база!$J$6)))</f>
        <v>215.4924</v>
      </c>
      <c r="J271" s="257">
        <v>1</v>
      </c>
      <c r="K271" s="202">
        <f>SUMIFS(Таблица1[сумма],Таблица1[коэф],"1",Таблица1[р/р],"3/8",Таблица1[Ф. И. О.],B275)</f>
        <v>0</v>
      </c>
      <c r="L271" s="202">
        <f>ROUND(I271*J271*K271,2)</f>
        <v>0</v>
      </c>
      <c r="M271" s="202"/>
      <c r="N271" s="202">
        <v>1</v>
      </c>
      <c r="O271" s="202">
        <f>SUMIFS(Data_Tech!$AM$3:$AM$67,Data_Tech!$E$3:$E$67,"1",Data_Tech!$G$3:$G$67,"4/12",Data_Tech!$F$3:$F$67,B275)</f>
        <v>0</v>
      </c>
      <c r="P271" s="28">
        <f>ROUND(M271*O271,2)</f>
        <v>0</v>
      </c>
      <c r="Q271" s="72">
        <f>база!$L$5</f>
        <v>231.45480000000001</v>
      </c>
      <c r="R271" s="250">
        <v>1</v>
      </c>
      <c r="S271" s="92">
        <f>SUMIFS(Таблица1[сумма],Таблица1[коэф],"1",Таблица1[р/р],"4/16",Таблица1[Ф. И. О.],B275)</f>
        <v>0</v>
      </c>
      <c r="T271" s="88">
        <f t="shared" si="175"/>
        <v>0</v>
      </c>
      <c r="U271" s="292">
        <f>база!$M$5</f>
        <v>247.41720000000001</v>
      </c>
      <c r="V271" s="250">
        <v>1</v>
      </c>
      <c r="W271" s="285">
        <f>SUMIFS(Таблица1[сумма],Таблица1[коэф],"1",Таблица1[р/р],"4/24",Таблица1[Ф. И. О.],B275)</f>
        <v>0</v>
      </c>
      <c r="X271" s="291">
        <f t="shared" ref="X271" si="178">ROUND(U271*V271*W271,2)</f>
        <v>0</v>
      </c>
      <c r="Y271" s="803"/>
      <c r="Z271" s="794"/>
      <c r="AA271" s="797"/>
    </row>
    <row r="272" spans="1:29" ht="19.5" customHeight="1">
      <c r="A272" s="740"/>
      <c r="B272" s="201"/>
      <c r="C272" s="799"/>
      <c r="D272" s="801"/>
      <c r="E272" s="72"/>
      <c r="F272" s="250"/>
      <c r="G272" s="92"/>
      <c r="H272" s="88"/>
      <c r="I272" s="311"/>
      <c r="J272" s="257"/>
      <c r="K272" s="202"/>
      <c r="L272" s="202"/>
      <c r="M272" s="202"/>
      <c r="N272" s="202"/>
      <c r="O272" s="202"/>
      <c r="P272" s="28"/>
      <c r="Q272" s="72">
        <f>база!$L$6</f>
        <v>261.04640000000001</v>
      </c>
      <c r="R272" s="250">
        <v>1</v>
      </c>
      <c r="S272" s="92">
        <f>SUMIFS(Таблица1[сумма],Таблица1[коэф],"1",Таблица1[р/р],"5/16",Таблица1[Ф. И. О.],B275)</f>
        <v>0</v>
      </c>
      <c r="T272" s="88">
        <f t="shared" si="175"/>
        <v>0</v>
      </c>
      <c r="U272" s="292">
        <f>база!$M$6</f>
        <v>279.0496</v>
      </c>
      <c r="V272" s="250">
        <v>1</v>
      </c>
      <c r="W272" s="285">
        <f>SUMIFS(Таблица1[сумма],Таблица1[коэф],"1",Таблица1[р/р],"5/24",Таблица1[Ф. И. О.],B275)</f>
        <v>0</v>
      </c>
      <c r="X272" s="291">
        <f>ROUND(U272*V272*W272,2)</f>
        <v>0</v>
      </c>
      <c r="Y272" s="803"/>
      <c r="Z272" s="794"/>
      <c r="AA272" s="797"/>
    </row>
    <row r="273" spans="1:29" ht="19.5" customHeight="1">
      <c r="A273" s="740"/>
      <c r="B273" s="201"/>
      <c r="C273" s="799"/>
      <c r="D273" s="801"/>
      <c r="E273" s="72"/>
      <c r="F273" s="250"/>
      <c r="G273" s="92"/>
      <c r="H273" s="88"/>
      <c r="I273" s="311">
        <f>база!$J$5</f>
        <v>215.4924</v>
      </c>
      <c r="J273" s="257">
        <v>1.5</v>
      </c>
      <c r="K273" s="202">
        <f>SUMIFS(Таблица1[сумма],Таблица1[коэф],"1,5",Таблица1[р/р],"4/8",Таблица1[Ф. И. О.],B275)</f>
        <v>0</v>
      </c>
      <c r="L273" s="202">
        <f>ROUND(I273*J273*K273,2)</f>
        <v>0</v>
      </c>
      <c r="M273" s="202"/>
      <c r="N273" s="202"/>
      <c r="O273" s="202"/>
      <c r="P273" s="28"/>
      <c r="Q273" s="72">
        <f>IF(D270&lt;=3,база!$L$4,
IF(D270=4,база!$L$5,
IF(D270=5,база!$L$6)))</f>
        <v>231.45480000000001</v>
      </c>
      <c r="R273" s="250">
        <v>1.2</v>
      </c>
      <c r="S273" s="92">
        <f>SUMIFS(Таблица1[сумма],Таблица1[коэф],"1,2",Таблица1[р/р],"3/16",Таблица1[Ф. И. О.],B275)</f>
        <v>0</v>
      </c>
      <c r="T273" s="88">
        <f t="shared" si="175"/>
        <v>0</v>
      </c>
      <c r="U273" s="292">
        <f>IF(D270&lt;=3,база!$M$4,
IF(D270=4,база!$M$5,
IF(D270=5,база!$M$6)))</f>
        <v>247.41720000000001</v>
      </c>
      <c r="V273" s="250">
        <v>1.2</v>
      </c>
      <c r="W273" s="285">
        <f>SUMIFS(Таблица1[сумма],Таблица1[коэф],"1,2",Таблица1[р/р],"3/24",Таблица1[Ф. И. О.],B275)</f>
        <v>0</v>
      </c>
      <c r="X273" s="291">
        <f t="shared" ref="X273:X274" si="179">ROUND(U273*V273*W273,2)</f>
        <v>0</v>
      </c>
      <c r="Y273" s="803"/>
      <c r="Z273" s="794"/>
      <c r="AA273" s="797"/>
    </row>
    <row r="274" spans="1:29" ht="19.5" customHeight="1">
      <c r="A274" s="740"/>
      <c r="B274" s="201"/>
      <c r="C274" s="799"/>
      <c r="D274" s="801"/>
      <c r="E274" s="72"/>
      <c r="F274" s="250"/>
      <c r="G274" s="92"/>
      <c r="H274" s="88"/>
      <c r="I274" s="311">
        <f>база!$J$6</f>
        <v>243.04319999999998</v>
      </c>
      <c r="J274" s="257">
        <v>1.5</v>
      </c>
      <c r="K274" s="202">
        <f>SUMIFS(Таблица1[сумма],Таблица1[коэф],"1,5",Таблица1[р/р],"5/8",Таблица1[Ф. И. О.],B275)</f>
        <v>0</v>
      </c>
      <c r="L274" s="202">
        <f>ROUND(I274*J274*K274,2)</f>
        <v>0</v>
      </c>
      <c r="M274" s="202"/>
      <c r="N274" s="202"/>
      <c r="O274" s="202"/>
      <c r="P274" s="28"/>
      <c r="Q274" s="72">
        <f>база!$L$5</f>
        <v>231.45480000000001</v>
      </c>
      <c r="R274" s="250">
        <v>1.2</v>
      </c>
      <c r="S274" s="92">
        <f>SUMIFS(Таблица1[сумма],Таблица1[коэф],"1,2",Таблица1[р/р],"4/16",Таблица1[Ф. И. О.],B275)</f>
        <v>0</v>
      </c>
      <c r="T274" s="88">
        <f t="shared" si="175"/>
        <v>0</v>
      </c>
      <c r="U274" s="292">
        <f>база!$M$5</f>
        <v>247.41720000000001</v>
      </c>
      <c r="V274" s="250">
        <v>1.2</v>
      </c>
      <c r="W274" s="285">
        <f>SUMIFS(Таблица1[сумма],Таблица1[коэф],"1,2",Таблица1[р/р],"4/24",Таблица1[Ф. И. О.],B275)</f>
        <v>0</v>
      </c>
      <c r="X274" s="291">
        <f t="shared" si="179"/>
        <v>0</v>
      </c>
      <c r="Y274" s="803"/>
      <c r="Z274" s="794"/>
      <c r="AA274" s="797"/>
      <c r="AC274" s="688" t="str">
        <f>IF(SUMIFS(Таблица1[Столбец2],Таблица1[Ф. И. О.],B275)-Z270=0,"",SUMIFS(Таблица1[Столбец2],Таблица1[Ф. И. О.],B275)-Z270)</f>
        <v/>
      </c>
    </row>
    <row r="275" spans="1:29" ht="19.5" customHeight="1">
      <c r="A275" s="740"/>
      <c r="B275" s="201" t="str">
        <f>база!B26</f>
        <v>Зоидзе Ирина Сергеевна</v>
      </c>
      <c r="C275" s="799"/>
      <c r="D275" s="801"/>
      <c r="E275" s="72"/>
      <c r="F275" s="250"/>
      <c r="G275" s="92"/>
      <c r="H275" s="88"/>
      <c r="I275" s="311"/>
      <c r="J275" s="257"/>
      <c r="K275" s="202"/>
      <c r="L275" s="202"/>
      <c r="M275" s="202"/>
      <c r="N275" s="202"/>
      <c r="O275" s="202"/>
      <c r="P275" s="28"/>
      <c r="Q275" s="72">
        <f>база!$L$6</f>
        <v>261.04640000000001</v>
      </c>
      <c r="R275" s="250">
        <v>1.2</v>
      </c>
      <c r="S275" s="92">
        <f>SUMIFS(Таблица1[сумма],Таблица1[коэф],"1,2",Таблица1[р/р],"5/16",Таблица1[Ф. И. О.],B275)</f>
        <v>0</v>
      </c>
      <c r="T275" s="88">
        <f>ROUND(Q275*R275*S275,2)</f>
        <v>0</v>
      </c>
      <c r="U275" s="292">
        <f>база!$M$6</f>
        <v>279.0496</v>
      </c>
      <c r="V275" s="250">
        <v>1.2</v>
      </c>
      <c r="W275" s="285">
        <f>SUMIFS(Таблица1[сумма],Таблица1[коэф],"1,2",Таблица1[р/р],"5/24",Таблица1[Ф. И. О.],B275)</f>
        <v>0</v>
      </c>
      <c r="X275" s="291">
        <f>ROUND(U275*V275*W275,2)</f>
        <v>0</v>
      </c>
      <c r="Y275" s="803"/>
      <c r="Z275" s="794"/>
      <c r="AA275" s="797"/>
      <c r="AC275" s="688" t="str">
        <f>IF(SUMIFS(Таблица1[сумма],Таблица1[Ф. И. О.],B275)=Y270,"",B270&amp;"  часы не верны")</f>
        <v/>
      </c>
    </row>
    <row r="276" spans="1:29" ht="19.5" customHeight="1">
      <c r="A276" s="740"/>
      <c r="B276" s="201"/>
      <c r="C276" s="799"/>
      <c r="D276" s="801"/>
      <c r="E276" s="72"/>
      <c r="F276" s="250"/>
      <c r="G276" s="92"/>
      <c r="H276" s="88"/>
      <c r="I276" s="311"/>
      <c r="J276" s="257"/>
      <c r="K276" s="202"/>
      <c r="L276" s="202"/>
      <c r="M276" s="202"/>
      <c r="N276" s="202"/>
      <c r="O276" s="202"/>
      <c r="P276" s="28"/>
      <c r="Q276" s="72">
        <f>IF($D$6&lt;=3,база!$L$4,
IF($D$6=4,база!$L$5,
IF($D$6=5,база!$L$6)))</f>
        <v>231.45480000000001</v>
      </c>
      <c r="R276" s="250">
        <v>1.3</v>
      </c>
      <c r="S276" s="92">
        <f>SUMIFS(Таблица1[сумма],Таблица1[коэф],"1,3",Таблица1[р/р],"3/16",Таблица1[Ф. И. О.],B275)</f>
        <v>0</v>
      </c>
      <c r="T276" s="88">
        <f t="shared" ref="T276:T285" si="180">ROUND(Q276*R276*S276,2)</f>
        <v>0</v>
      </c>
      <c r="U276" s="292">
        <f>IF(D270&lt;=3,база!$M$4,
IF(D270=4,база!$M$5,
IF(D270=5,база!$M$6)))</f>
        <v>247.41720000000001</v>
      </c>
      <c r="V276" s="250">
        <v>1.3</v>
      </c>
      <c r="W276" s="285">
        <f>SUMIFS(Таблица1[сумма],Таблица1[коэф],"1,3",Таблица1[р/р],"3/24",Таблица1[Ф. И. О.],B275)</f>
        <v>0</v>
      </c>
      <c r="X276" s="291">
        <f t="shared" ref="X276:X277" si="181">ROUND(U276*V276*W276,2)</f>
        <v>0</v>
      </c>
      <c r="Y276" s="803"/>
      <c r="Z276" s="794"/>
      <c r="AA276" s="797"/>
    </row>
    <row r="277" spans="1:29" ht="19.5" customHeight="1">
      <c r="A277" s="740"/>
      <c r="B277" s="201"/>
      <c r="C277" s="799"/>
      <c r="D277" s="801"/>
      <c r="E277" s="72"/>
      <c r="F277" s="250"/>
      <c r="G277" s="92"/>
      <c r="H277" s="88"/>
      <c r="I277" s="311"/>
      <c r="J277" s="257"/>
      <c r="K277" s="202"/>
      <c r="L277" s="202"/>
      <c r="M277" s="202"/>
      <c r="N277" s="202"/>
      <c r="O277" s="202"/>
      <c r="P277" s="28"/>
      <c r="Q277" s="72">
        <f>база!$L$5</f>
        <v>231.45480000000001</v>
      </c>
      <c r="R277" s="250">
        <v>1.3</v>
      </c>
      <c r="S277" s="92">
        <f>SUMIFS(Таблица1[сумма],Таблица1[коэф],"1,3",Таблица1[р/р],"4/16",Таблица1[Ф. И. О.],B275)</f>
        <v>0</v>
      </c>
      <c r="T277" s="88">
        <f t="shared" si="180"/>
        <v>0</v>
      </c>
      <c r="U277" s="292">
        <f>база!$M$5</f>
        <v>247.41720000000001</v>
      </c>
      <c r="V277" s="250">
        <v>1.3</v>
      </c>
      <c r="W277" s="285">
        <f>SUMIFS(Таблица1[сумма],Таблица1[коэф],"1,3",Таблица1[р/р],"4/24",Таблица1[Ф. И. О.],B275)</f>
        <v>0</v>
      </c>
      <c r="X277" s="291">
        <f t="shared" si="181"/>
        <v>0</v>
      </c>
      <c r="Y277" s="803"/>
      <c r="Z277" s="794"/>
      <c r="AA277" s="797"/>
    </row>
    <row r="278" spans="1:29" ht="19.5" customHeight="1">
      <c r="A278" s="740"/>
      <c r="B278" s="201"/>
      <c r="C278" s="799"/>
      <c r="D278" s="801"/>
      <c r="E278" s="72"/>
      <c r="F278" s="250"/>
      <c r="G278" s="92"/>
      <c r="H278" s="88"/>
      <c r="I278" s="311"/>
      <c r="J278" s="257"/>
      <c r="K278" s="202"/>
      <c r="L278" s="202"/>
      <c r="M278" s="202"/>
      <c r="N278" s="202"/>
      <c r="O278" s="202"/>
      <c r="P278" s="28"/>
      <c r="Q278" s="72">
        <f>IF(D270&lt;=3,база!$L$4,
IF(D270=4,база!$L$5,
IF(D270=5,база!$L$6)))</f>
        <v>231.45480000000001</v>
      </c>
      <c r="R278" s="250">
        <v>1.4</v>
      </c>
      <c r="S278" s="92">
        <f>SUMIFS(Таблица1[сумма],Таблица1[коэф],"1,4",Таблица1[р/р],"3/16",Таблица1[Ф. И. О.],B275)</f>
        <v>0</v>
      </c>
      <c r="T278" s="88">
        <f t="shared" si="180"/>
        <v>0</v>
      </c>
      <c r="U278" s="292">
        <f>IF(D270&lt;=3,база!$M$4,
IF(D270=4,база!$M$5,
IF(D270=5,база!$M$6)))</f>
        <v>247.41720000000001</v>
      </c>
      <c r="V278" s="250">
        <v>1.4</v>
      </c>
      <c r="W278" s="285">
        <f>SUMIFS(Таблица1[сумма],Таблица1[коэф],"1,4",Таблица1[р/р],"3/24",Таблица1[Ф. И. О.],B275)</f>
        <v>0</v>
      </c>
      <c r="X278" s="291">
        <f>ROUND(U278*V278*W278,2)</f>
        <v>0</v>
      </c>
      <c r="Y278" s="803"/>
      <c r="Z278" s="794"/>
      <c r="AA278" s="797"/>
    </row>
    <row r="279" spans="1:29" ht="19.5" customHeight="1">
      <c r="A279" s="740"/>
      <c r="B279" s="201"/>
      <c r="C279" s="799"/>
      <c r="D279" s="801"/>
      <c r="E279" s="72"/>
      <c r="F279" s="250"/>
      <c r="G279" s="92"/>
      <c r="H279" s="88"/>
      <c r="I279" s="311"/>
      <c r="J279" s="257"/>
      <c r="K279" s="202"/>
      <c r="L279" s="202"/>
      <c r="M279" s="202"/>
      <c r="N279" s="202"/>
      <c r="O279" s="202"/>
      <c r="P279" s="28"/>
      <c r="Q279" s="72">
        <f>база!$L$5</f>
        <v>231.45480000000001</v>
      </c>
      <c r="R279" s="250">
        <v>1.4</v>
      </c>
      <c r="S279" s="92">
        <f>SUMIFS(Таблица1[сумма],Таблица1[коэф],"1,4",Таблица1[р/р],"4/16",Таблица1[Ф. И. О.],B275)</f>
        <v>0</v>
      </c>
      <c r="T279" s="88">
        <f t="shared" si="180"/>
        <v>0</v>
      </c>
      <c r="U279" s="292">
        <f>база!$M$5</f>
        <v>247.41720000000001</v>
      </c>
      <c r="V279" s="250">
        <v>1.4</v>
      </c>
      <c r="W279" s="285">
        <f>SUMIFS(Таблица1[сумма],Таблица1[коэф],"1,4",Таблица1[р/р],"4/24",Таблица1[Ф. И. О.],B275)</f>
        <v>0</v>
      </c>
      <c r="X279" s="291">
        <f>ROUND(U279*V279*W279,2)</f>
        <v>0</v>
      </c>
      <c r="Y279" s="803"/>
      <c r="Z279" s="794"/>
      <c r="AA279" s="797"/>
    </row>
    <row r="280" spans="1:29" ht="19.5" customHeight="1" thickBot="1">
      <c r="A280" s="741"/>
      <c r="B280" s="188"/>
      <c r="C280" s="800"/>
      <c r="D280" s="802"/>
      <c r="E280" s="95"/>
      <c r="F280" s="252"/>
      <c r="G280" s="91"/>
      <c r="H280" s="84"/>
      <c r="I280" s="325"/>
      <c r="J280" s="258"/>
      <c r="K280" s="267"/>
      <c r="L280" s="267"/>
      <c r="M280" s="267"/>
      <c r="N280" s="267"/>
      <c r="O280" s="267"/>
      <c r="P280" s="293"/>
      <c r="Q280" s="95">
        <f>база!$L$6</f>
        <v>261.04640000000001</v>
      </c>
      <c r="R280" s="252">
        <v>1.4</v>
      </c>
      <c r="S280" s="91">
        <f>SUMIFS(Таблица1[сумма],Таблица1[коэф],"1,4",Таблица1[р/р],"5/16",Таблица1[Ф. И. О.],B275)</f>
        <v>0</v>
      </c>
      <c r="T280" s="84">
        <f t="shared" si="180"/>
        <v>0</v>
      </c>
      <c r="U280" s="324">
        <f>база!$M$6</f>
        <v>279.0496</v>
      </c>
      <c r="V280" s="252">
        <v>1.4</v>
      </c>
      <c r="W280" s="290">
        <f>SUMIFS(Таблица1[сумма],Таблица1[коэф],"1,4",Таблица1[р/р],"5/24",Таблица1[Ф. И. О.],B275)</f>
        <v>0</v>
      </c>
      <c r="X280" s="320">
        <f>ROUND(U280*V280*W280,2)</f>
        <v>0</v>
      </c>
      <c r="Y280" s="804"/>
      <c r="Z280" s="795"/>
      <c r="AA280" s="798"/>
    </row>
    <row r="281" spans="1:29" ht="18.75" customHeight="1">
      <c r="A281" s="739">
        <v>26</v>
      </c>
      <c r="B281" s="219"/>
      <c r="C281" s="805">
        <f>INDEX(база!$E$2:$E$81, MATCH(B286,база!$B$2:$B$50,0))</f>
        <v>17122</v>
      </c>
      <c r="D281" s="806">
        <f>INDEX(база!$D$2:$D$89, MATCH(B286,база!$B$2:$B$50,0))</f>
        <v>3</v>
      </c>
      <c r="E281" s="66">
        <f>IF(D281&lt;=3,база!$I$4,
IF(D281=4,база!$I$5,
IF(D281=5,база!$I$6)))</f>
        <v>188.7912</v>
      </c>
      <c r="F281" s="248">
        <v>1</v>
      </c>
      <c r="G281" s="89">
        <f>SUMIFS(Таблица1[сумма],Таблица1[коэф],"1",Таблица1[р/р],"2/4",Таблица1[Ф. И. О.],B286)</f>
        <v>0</v>
      </c>
      <c r="H281" s="81">
        <f>ROUND(E281*F281*G281,2)</f>
        <v>0</v>
      </c>
      <c r="I281" s="315">
        <f>IF(D281&lt;=3,база!$J$4,
IF(D281=4,база!$J$5,
IF(D281=5,база!$J$6)))</f>
        <v>196.05240000000001</v>
      </c>
      <c r="J281" s="255">
        <v>1</v>
      </c>
      <c r="K281" s="266">
        <f>SUMIFS(Таблица1[сумма],Таблица1[коэф],"1",Таблица1[р/р],"2/8",Таблица1[Ф. И. О.],B286)</f>
        <v>0</v>
      </c>
      <c r="L281" s="266">
        <f>ROUND(I281*J281*K281,2)</f>
        <v>0</v>
      </c>
      <c r="M281" s="266"/>
      <c r="N281" s="266">
        <v>1</v>
      </c>
      <c r="O281" s="266">
        <f>SUMIFS(Data_Tech!$AM$3:$AM$67,Data_Tech!$E$3:$E$67,"1",Data_Tech!$G$3:$G$67,"3/12",Data_Tech!$F$3:$F$67,B286)</f>
        <v>0</v>
      </c>
      <c r="P281" s="259">
        <f>ROUND(M281*N281*O281,2)</f>
        <v>0</v>
      </c>
      <c r="Q281" s="66">
        <f>IF(D281&lt;=3,база!$L$4,
IF(D281=4,база!$L$5,
IF(D281=5,база!$L$6)))</f>
        <v>210.57480000000001</v>
      </c>
      <c r="R281" s="248">
        <v>1</v>
      </c>
      <c r="S281" s="89">
        <f>SUMIFS(Таблица1[сумма],Таблица1[коэф],"1",Таблица1[р/р],"3/16",Таблица1[Ф. И. О.],B286)</f>
        <v>0</v>
      </c>
      <c r="T281" s="81">
        <f t="shared" si="180"/>
        <v>0</v>
      </c>
      <c r="U281" s="316">
        <f>IF(D281&lt;=3,база!$M$4,
IF(D281=4,база!$M$5,
IF(D281=5,база!$M$6)))</f>
        <v>225.09719999999999</v>
      </c>
      <c r="V281" s="248">
        <v>1</v>
      </c>
      <c r="W281" s="317">
        <f>SUMIFS(Таблица1[сумма],Таблица1[коэф],"1",Таблица1[р/р],"3/24",Таблица1[Ф. И. О.],B286)</f>
        <v>0</v>
      </c>
      <c r="X281" s="319">
        <f>ROUND(U281*V281*W281,2)</f>
        <v>0</v>
      </c>
      <c r="Y281" s="803">
        <f t="shared" ref="Y281" si="182">SUM(G281:G291,K281:K291,O281:O291,S281:S291,W281:W291)</f>
        <v>0</v>
      </c>
      <c r="Z281" s="794">
        <f t="shared" ref="Z281" si="183">IFERROR(SUM(H281:H291,L281:L291,T281:T291,X281:X291),"")</f>
        <v>0</v>
      </c>
      <c r="AA281" s="797"/>
    </row>
    <row r="282" spans="1:29" ht="18.75" customHeight="1">
      <c r="A282" s="740"/>
      <c r="B282" s="201"/>
      <c r="C282" s="799"/>
      <c r="D282" s="801"/>
      <c r="E282" s="72">
        <f>IF(D281&lt;=3,база!$I$4,
IF(D281=4,база!$I$5,
IF(D281=5,база!$I$6)))</f>
        <v>188.7912</v>
      </c>
      <c r="F282" s="250">
        <v>1</v>
      </c>
      <c r="G282" s="92">
        <f>SUMIFS(Таблица1[сумма],Таблица1[коэф],"1",Таблица1[р/р],"3/4",Таблица1[Ф. И. О.],B286)</f>
        <v>0</v>
      </c>
      <c r="H282" s="88">
        <f>ROUND(E282*F282*G282,2)</f>
        <v>0</v>
      </c>
      <c r="I282" s="311">
        <f>IF(D281&lt;=3,база!$J$4,
IF(D281=4,база!$J$5,
IF(D281=5,база!$J$6)))</f>
        <v>196.05240000000001</v>
      </c>
      <c r="J282" s="257">
        <v>1</v>
      </c>
      <c r="K282" s="202">
        <f>SUMIFS(Таблица1[сумма],Таблица1[коэф],"1",Таблица1[р/р],"3/8",Таблица1[Ф. И. О.],B286)</f>
        <v>0</v>
      </c>
      <c r="L282" s="202">
        <f>ROUND(I282*J282*K282,2)</f>
        <v>0</v>
      </c>
      <c r="M282" s="202"/>
      <c r="N282" s="202">
        <v>1</v>
      </c>
      <c r="O282" s="202">
        <f>SUMIFS(Data_Tech!$AM$3:$AM$67,Data_Tech!$E$3:$E$67,"1",Data_Tech!$G$3:$G$67,"4/12",Data_Tech!$F$3:$F$67,B286)</f>
        <v>0</v>
      </c>
      <c r="P282" s="28">
        <f>ROUND(M282*O282,2)</f>
        <v>0</v>
      </c>
      <c r="Q282" s="72">
        <f>база!$L$5</f>
        <v>231.45480000000001</v>
      </c>
      <c r="R282" s="250">
        <v>1</v>
      </c>
      <c r="S282" s="92">
        <f>SUMIFS(Таблица1[сумма],Таблица1[коэф],"1",Таблица1[р/р],"4/16",Таблица1[Ф. И. О.],B286)</f>
        <v>0</v>
      </c>
      <c r="T282" s="88">
        <f t="shared" si="180"/>
        <v>0</v>
      </c>
      <c r="U282" s="292">
        <f>база!$M$5</f>
        <v>247.41720000000001</v>
      </c>
      <c r="V282" s="250">
        <v>1</v>
      </c>
      <c r="W282" s="285">
        <f>SUMIFS(Таблица1[сумма],Таблица1[коэф],"1",Таблица1[р/р],"4/24",Таблица1[Ф. И. О.],B286)</f>
        <v>0</v>
      </c>
      <c r="X282" s="291">
        <f t="shared" ref="X282" si="184">ROUND(U282*V282*W282,2)</f>
        <v>0</v>
      </c>
      <c r="Y282" s="803"/>
      <c r="Z282" s="794"/>
      <c r="AA282" s="797"/>
    </row>
    <row r="283" spans="1:29" ht="19.5" customHeight="1">
      <c r="A283" s="740"/>
      <c r="B283" s="201"/>
      <c r="C283" s="799"/>
      <c r="D283" s="801"/>
      <c r="E283" s="72"/>
      <c r="F283" s="250"/>
      <c r="G283" s="92"/>
      <c r="H283" s="88"/>
      <c r="I283" s="311"/>
      <c r="J283" s="257"/>
      <c r="K283" s="202"/>
      <c r="L283" s="202"/>
      <c r="M283" s="202"/>
      <c r="N283" s="202"/>
      <c r="O283" s="202"/>
      <c r="P283" s="28"/>
      <c r="Q283" s="72">
        <f>база!$L$6</f>
        <v>261.04640000000001</v>
      </c>
      <c r="R283" s="250">
        <v>1</v>
      </c>
      <c r="S283" s="92">
        <f>SUMIFS(Таблица1[сумма],Таблица1[коэф],"1",Таблица1[р/р],"5/16",Таблица1[Ф. И. О.],B286)</f>
        <v>0</v>
      </c>
      <c r="T283" s="88">
        <f t="shared" si="180"/>
        <v>0</v>
      </c>
      <c r="U283" s="292">
        <f>база!$M$6</f>
        <v>279.0496</v>
      </c>
      <c r="V283" s="250">
        <v>1</v>
      </c>
      <c r="W283" s="285">
        <f>SUMIFS(Таблица1[сумма],Таблица1[коэф],"1",Таблица1[р/р],"5/24",Таблица1[Ф. И. О.],B286)</f>
        <v>0</v>
      </c>
      <c r="X283" s="291">
        <f>ROUND(U283*V283*W283,2)</f>
        <v>0</v>
      </c>
      <c r="Y283" s="803"/>
      <c r="Z283" s="794"/>
      <c r="AA283" s="797"/>
    </row>
    <row r="284" spans="1:29" ht="19.5" customHeight="1">
      <c r="A284" s="740"/>
      <c r="B284" s="201"/>
      <c r="C284" s="799"/>
      <c r="D284" s="801"/>
      <c r="E284" s="72"/>
      <c r="F284" s="250"/>
      <c r="G284" s="92"/>
      <c r="H284" s="88"/>
      <c r="I284" s="311">
        <f>база!$J$5</f>
        <v>215.4924</v>
      </c>
      <c r="J284" s="257">
        <v>1.5</v>
      </c>
      <c r="K284" s="202">
        <f>SUMIFS(Таблица1[сумма],Таблица1[коэф],"1,5",Таблица1[р/р],"4/8",Таблица1[Ф. И. О.],B286)</f>
        <v>0</v>
      </c>
      <c r="L284" s="202">
        <f>ROUND(I284*J284*K284,2)</f>
        <v>0</v>
      </c>
      <c r="M284" s="202"/>
      <c r="N284" s="202"/>
      <c r="O284" s="202"/>
      <c r="P284" s="28"/>
      <c r="Q284" s="72">
        <f>IF(D281&lt;=3,база!$L$4,
IF(D281=4,база!$L$5,
IF(D281=5,база!$L$6)))</f>
        <v>210.57480000000001</v>
      </c>
      <c r="R284" s="250">
        <v>1.2</v>
      </c>
      <c r="S284" s="92">
        <f>SUMIFS(Таблица1[сумма],Таблица1[коэф],"1,2",Таблица1[р/р],"3/16",Таблица1[Ф. И. О.],B286)</f>
        <v>0</v>
      </c>
      <c r="T284" s="88">
        <f t="shared" si="180"/>
        <v>0</v>
      </c>
      <c r="U284" s="292">
        <f>IF(D281&lt;=3,база!$M$4,
IF(D281=4,база!$M$5,
IF(D281=5,база!$M$6)))</f>
        <v>225.09719999999999</v>
      </c>
      <c r="V284" s="250">
        <v>1.2</v>
      </c>
      <c r="W284" s="285">
        <f>SUMIFS(Таблица1[сумма],Таблица1[коэф],"1,2",Таблица1[р/р],"3/24",Таблица1[Ф. И. О.],B286)</f>
        <v>0</v>
      </c>
      <c r="X284" s="291">
        <f t="shared" ref="X284:X285" si="185">ROUND(U284*V284*W284,2)</f>
        <v>0</v>
      </c>
      <c r="Y284" s="803"/>
      <c r="Z284" s="794"/>
      <c r="AA284" s="797"/>
    </row>
    <row r="285" spans="1:29" ht="19.5" customHeight="1">
      <c r="A285" s="740"/>
      <c r="B285" s="201"/>
      <c r="C285" s="799"/>
      <c r="D285" s="801"/>
      <c r="E285" s="72"/>
      <c r="F285" s="250"/>
      <c r="G285" s="92"/>
      <c r="H285" s="88"/>
      <c r="I285" s="311">
        <f>база!$J$6</f>
        <v>243.04319999999998</v>
      </c>
      <c r="J285" s="257">
        <v>1.5</v>
      </c>
      <c r="K285" s="202">
        <f>SUMIFS(Таблица1[сумма],Таблица1[коэф],"1,5",Таблица1[р/р],"5/8",Таблица1[Ф. И. О.],B286)</f>
        <v>0</v>
      </c>
      <c r="L285" s="202">
        <f>ROUND(I285*J285*K285,2)</f>
        <v>0</v>
      </c>
      <c r="M285" s="202"/>
      <c r="N285" s="202"/>
      <c r="O285" s="202"/>
      <c r="P285" s="28"/>
      <c r="Q285" s="72">
        <f>база!$L$5</f>
        <v>231.45480000000001</v>
      </c>
      <c r="R285" s="250">
        <v>1.2</v>
      </c>
      <c r="S285" s="92">
        <f>SUMIFS(Таблица1[сумма],Таблица1[коэф],"1,2",Таблица1[р/р],"4/16",Таблица1[Ф. И. О.],B286)</f>
        <v>0</v>
      </c>
      <c r="T285" s="88">
        <f t="shared" si="180"/>
        <v>0</v>
      </c>
      <c r="U285" s="292">
        <f>база!$M$5</f>
        <v>247.41720000000001</v>
      </c>
      <c r="V285" s="250">
        <v>1.2</v>
      </c>
      <c r="W285" s="285">
        <f>SUMIFS(Таблица1[сумма],Таблица1[коэф],"1,2",Таблица1[р/р],"4/24",Таблица1[Ф. И. О.],B286)</f>
        <v>0</v>
      </c>
      <c r="X285" s="291">
        <f t="shared" si="185"/>
        <v>0</v>
      </c>
      <c r="Y285" s="803"/>
      <c r="Z285" s="794"/>
      <c r="AA285" s="797"/>
      <c r="AC285" s="688" t="str">
        <f>IF(SUMIFS(Таблица1[Столбец2],Таблица1[Ф. И. О.],B286)-Z281=0,"",SUMIFS(Таблица1[Столбец2],Таблица1[Ф. И. О.],B286)-Z281)</f>
        <v/>
      </c>
    </row>
    <row r="286" spans="1:29" ht="19.5" customHeight="1">
      <c r="A286" s="740"/>
      <c r="B286" s="201" t="str">
        <f>база!B27</f>
        <v>Иванова Екатерина Борисовна</v>
      </c>
      <c r="C286" s="799"/>
      <c r="D286" s="801"/>
      <c r="E286" s="72"/>
      <c r="F286" s="250"/>
      <c r="G286" s="92"/>
      <c r="H286" s="88"/>
      <c r="I286" s="311"/>
      <c r="J286" s="257"/>
      <c r="K286" s="202"/>
      <c r="L286" s="202"/>
      <c r="M286" s="202"/>
      <c r="N286" s="202"/>
      <c r="O286" s="202"/>
      <c r="P286" s="28"/>
      <c r="Q286" s="72">
        <f>база!$L$6</f>
        <v>261.04640000000001</v>
      </c>
      <c r="R286" s="250">
        <v>1.2</v>
      </c>
      <c r="S286" s="92">
        <f>SUMIFS(Таблица1[сумма],Таблица1[коэф],"1,2",Таблица1[р/р],"5/16",Таблица1[Ф. И. О.],B286)</f>
        <v>0</v>
      </c>
      <c r="T286" s="88">
        <f>ROUND(Q286*R286*S286,2)</f>
        <v>0</v>
      </c>
      <c r="U286" s="292">
        <f>база!$M$6</f>
        <v>279.0496</v>
      </c>
      <c r="V286" s="250">
        <v>1.2</v>
      </c>
      <c r="W286" s="285">
        <f>SUMIFS(Таблица1[сумма],Таблица1[коэф],"1,2",Таблица1[р/р],"5/24",Таблица1[Ф. И. О.],B286)</f>
        <v>0</v>
      </c>
      <c r="X286" s="291">
        <f>ROUND(U286*V286*W286,2)</f>
        <v>0</v>
      </c>
      <c r="Y286" s="803"/>
      <c r="Z286" s="794"/>
      <c r="AA286" s="797"/>
      <c r="AC286" s="688" t="str">
        <f>IF(SUMIFS(Таблица1[сумма],Таблица1[Ф. И. О.],B286)=Y281,"",B281&amp;"  часы не верны")</f>
        <v/>
      </c>
    </row>
    <row r="287" spans="1:29" ht="19.5" customHeight="1">
      <c r="A287" s="740"/>
      <c r="B287" s="201"/>
      <c r="C287" s="799"/>
      <c r="D287" s="801"/>
      <c r="E287" s="72"/>
      <c r="F287" s="250"/>
      <c r="G287" s="92"/>
      <c r="H287" s="88"/>
      <c r="I287" s="311"/>
      <c r="J287" s="257"/>
      <c r="K287" s="202"/>
      <c r="L287" s="202"/>
      <c r="M287" s="202"/>
      <c r="N287" s="202"/>
      <c r="O287" s="202"/>
      <c r="P287" s="28"/>
      <c r="Q287" s="72">
        <f>IF($D$6&lt;=3,база!$L$4,
IF($D$6=4,база!$L$5,
IF($D$6=5,база!$L$6)))</f>
        <v>231.45480000000001</v>
      </c>
      <c r="R287" s="250">
        <v>1.3</v>
      </c>
      <c r="S287" s="92">
        <f>SUMIFS(Таблица1[сумма],Таблица1[коэф],"1,3",Таблица1[р/р],"3/16",Таблица1[Ф. И. О.],B286)</f>
        <v>0</v>
      </c>
      <c r="T287" s="88">
        <f t="shared" ref="T287:T296" si="186">ROUND(Q287*R287*S287,2)</f>
        <v>0</v>
      </c>
      <c r="U287" s="292">
        <f>IF(D281&lt;=3,база!$M$4,
IF(D281=4,база!$M$5,
IF(D281=5,база!$M$6)))</f>
        <v>225.09719999999999</v>
      </c>
      <c r="V287" s="250">
        <v>1.3</v>
      </c>
      <c r="W287" s="285">
        <f>SUMIFS(Таблица1[сумма],Таблица1[коэф],"1,3",Таблица1[р/р],"3/24",Таблица1[Ф. И. О.],B286)</f>
        <v>0</v>
      </c>
      <c r="X287" s="291">
        <f t="shared" ref="X287:X288" si="187">ROUND(U287*V287*W287,2)</f>
        <v>0</v>
      </c>
      <c r="Y287" s="803"/>
      <c r="Z287" s="794"/>
      <c r="AA287" s="797"/>
    </row>
    <row r="288" spans="1:29" ht="19.5" customHeight="1">
      <c r="A288" s="740"/>
      <c r="B288" s="201"/>
      <c r="C288" s="799"/>
      <c r="D288" s="801"/>
      <c r="E288" s="72"/>
      <c r="F288" s="250"/>
      <c r="G288" s="92"/>
      <c r="H288" s="88"/>
      <c r="I288" s="311"/>
      <c r="J288" s="257"/>
      <c r="K288" s="202"/>
      <c r="L288" s="202"/>
      <c r="M288" s="202"/>
      <c r="N288" s="202"/>
      <c r="O288" s="202"/>
      <c r="P288" s="28"/>
      <c r="Q288" s="72">
        <f>база!$L$5</f>
        <v>231.45480000000001</v>
      </c>
      <c r="R288" s="250">
        <v>1.3</v>
      </c>
      <c r="S288" s="92">
        <f>SUMIFS(Таблица1[сумма],Таблица1[коэф],"1,3",Таблица1[р/р],"4/16",Таблица1[Ф. И. О.],B286)</f>
        <v>0</v>
      </c>
      <c r="T288" s="88">
        <f t="shared" si="186"/>
        <v>0</v>
      </c>
      <c r="U288" s="292">
        <f>база!$M$5</f>
        <v>247.41720000000001</v>
      </c>
      <c r="V288" s="250">
        <v>1.3</v>
      </c>
      <c r="W288" s="285">
        <f>SUMIFS(Таблица1[сумма],Таблица1[коэф],"1,3",Таблица1[р/р],"4/24",Таблица1[Ф. И. О.],B286)</f>
        <v>0</v>
      </c>
      <c r="X288" s="291">
        <f t="shared" si="187"/>
        <v>0</v>
      </c>
      <c r="Y288" s="803"/>
      <c r="Z288" s="794"/>
      <c r="AA288" s="797"/>
    </row>
    <row r="289" spans="1:29" ht="19.5" customHeight="1">
      <c r="A289" s="740"/>
      <c r="B289" s="201"/>
      <c r="C289" s="799"/>
      <c r="D289" s="801"/>
      <c r="E289" s="72"/>
      <c r="F289" s="250"/>
      <c r="G289" s="92"/>
      <c r="H289" s="88"/>
      <c r="I289" s="311"/>
      <c r="J289" s="257"/>
      <c r="K289" s="202"/>
      <c r="L289" s="202"/>
      <c r="M289" s="202"/>
      <c r="N289" s="202"/>
      <c r="O289" s="202"/>
      <c r="P289" s="28"/>
      <c r="Q289" s="72">
        <f>IF(D281&lt;=3,база!$L$4,
IF(D281=4,база!$L$5,
IF(D281=5,база!$L$6)))</f>
        <v>210.57480000000001</v>
      </c>
      <c r="R289" s="250">
        <v>1.4</v>
      </c>
      <c r="S289" s="92">
        <f>SUMIFS(Таблица1[сумма],Таблица1[коэф],"1,4",Таблица1[р/р],"3/16",Таблица1[Ф. И. О.],B286)</f>
        <v>0</v>
      </c>
      <c r="T289" s="88">
        <f t="shared" si="186"/>
        <v>0</v>
      </c>
      <c r="U289" s="292">
        <f>IF(D281&lt;=3,база!$M$4,
IF(D281=4,база!$M$5,
IF(D281=5,база!$M$6)))</f>
        <v>225.09719999999999</v>
      </c>
      <c r="V289" s="250">
        <v>1.4</v>
      </c>
      <c r="W289" s="285">
        <f>SUMIFS(Таблица1[сумма],Таблица1[коэф],"1,4",Таблица1[р/р],"3/24",Таблица1[Ф. И. О.],B286)</f>
        <v>0</v>
      </c>
      <c r="X289" s="291">
        <f>ROUND(U289*V289*W289,2)</f>
        <v>0</v>
      </c>
      <c r="Y289" s="803"/>
      <c r="Z289" s="794"/>
      <c r="AA289" s="797"/>
    </row>
    <row r="290" spans="1:29" ht="19.5" customHeight="1">
      <c r="A290" s="740"/>
      <c r="B290" s="201"/>
      <c r="C290" s="799"/>
      <c r="D290" s="801"/>
      <c r="E290" s="72"/>
      <c r="F290" s="250"/>
      <c r="G290" s="92"/>
      <c r="H290" s="88"/>
      <c r="I290" s="311"/>
      <c r="J290" s="257"/>
      <c r="K290" s="202"/>
      <c r="L290" s="202"/>
      <c r="M290" s="202"/>
      <c r="N290" s="202"/>
      <c r="O290" s="202"/>
      <c r="P290" s="28"/>
      <c r="Q290" s="72">
        <f>база!$L$5</f>
        <v>231.45480000000001</v>
      </c>
      <c r="R290" s="250">
        <v>1.4</v>
      </c>
      <c r="S290" s="92">
        <f>SUMIFS(Таблица1[сумма],Таблица1[коэф],"1,4",Таблица1[р/р],"4/16",Таблица1[Ф. И. О.],B286)</f>
        <v>0</v>
      </c>
      <c r="T290" s="88">
        <f t="shared" si="186"/>
        <v>0</v>
      </c>
      <c r="U290" s="292">
        <f>база!$M$5</f>
        <v>247.41720000000001</v>
      </c>
      <c r="V290" s="250">
        <v>1.4</v>
      </c>
      <c r="W290" s="285">
        <f>SUMIFS(Таблица1[сумма],Таблица1[коэф],"1,4",Таблица1[р/р],"4/24",Таблица1[Ф. И. О.],B286)</f>
        <v>0</v>
      </c>
      <c r="X290" s="291">
        <f>ROUND(U290*V290*W290,2)</f>
        <v>0</v>
      </c>
      <c r="Y290" s="803"/>
      <c r="Z290" s="794"/>
      <c r="AA290" s="797"/>
    </row>
    <row r="291" spans="1:29" ht="19.5" customHeight="1" thickBot="1">
      <c r="A291" s="741"/>
      <c r="B291" s="188"/>
      <c r="C291" s="800"/>
      <c r="D291" s="802"/>
      <c r="E291" s="95"/>
      <c r="F291" s="252"/>
      <c r="G291" s="91"/>
      <c r="H291" s="84"/>
      <c r="I291" s="325"/>
      <c r="J291" s="258"/>
      <c r="K291" s="267"/>
      <c r="L291" s="267"/>
      <c r="M291" s="267"/>
      <c r="N291" s="267"/>
      <c r="O291" s="267"/>
      <c r="P291" s="293"/>
      <c r="Q291" s="95">
        <f>база!$L$6</f>
        <v>261.04640000000001</v>
      </c>
      <c r="R291" s="252">
        <v>1.4</v>
      </c>
      <c r="S291" s="91">
        <f>SUMIFS(Таблица1[сумма],Таблица1[коэф],"1,4",Таблица1[р/р],"5/16",Таблица1[Ф. И. О.],B286)</f>
        <v>0</v>
      </c>
      <c r="T291" s="84">
        <f t="shared" si="186"/>
        <v>0</v>
      </c>
      <c r="U291" s="324">
        <f>база!$M$6</f>
        <v>279.0496</v>
      </c>
      <c r="V291" s="252">
        <v>1.4</v>
      </c>
      <c r="W291" s="290">
        <f>SUMIFS(Таблица1[сумма],Таблица1[коэф],"1,4",Таблица1[р/р],"5/24",Таблица1[Ф. И. О.],B286)</f>
        <v>0</v>
      </c>
      <c r="X291" s="320">
        <f>ROUND(U291*V291*W291,2)</f>
        <v>0</v>
      </c>
      <c r="Y291" s="804"/>
      <c r="Z291" s="795"/>
      <c r="AA291" s="798"/>
    </row>
    <row r="292" spans="1:29" ht="18.75" customHeight="1">
      <c r="A292" s="739">
        <v>27</v>
      </c>
      <c r="B292" s="219"/>
      <c r="C292" s="805">
        <f>INDEX(база!$E$2:$E$81, MATCH(B297,база!$B$2:$B$50,0))</f>
        <v>17068</v>
      </c>
      <c r="D292" s="806">
        <f>INDEX(база!$D$2:$D$89, MATCH(B297,база!$B$2:$B$50,0))</f>
        <v>3</v>
      </c>
      <c r="E292" s="66">
        <f>IF(D292&lt;=3,база!$I$4,
IF(D292=4,база!$I$5,
IF(D292=5,база!$I$6)))</f>
        <v>188.7912</v>
      </c>
      <c r="F292" s="248">
        <v>1</v>
      </c>
      <c r="G292" s="89">
        <f>SUMIFS(Таблица1[сумма],Таблица1[коэф],"1",Таблица1[р/р],"2/4",Таблица1[Ф. И. О.],B297)</f>
        <v>0</v>
      </c>
      <c r="H292" s="81">
        <f>ROUND(E292*F292*G292,2)</f>
        <v>0</v>
      </c>
      <c r="I292" s="315">
        <f>IF(D292&lt;=3,база!$J$4,
IF(D292=4,база!$J$5,
IF(D292=5,база!$J$6)))</f>
        <v>196.05240000000001</v>
      </c>
      <c r="J292" s="255">
        <v>1</v>
      </c>
      <c r="K292" s="266">
        <f>SUMIFS(Таблица1[сумма],Таблица1[коэф],"1",Таблица1[р/р],"2/8",Таблица1[Ф. И. О.],B297)</f>
        <v>0</v>
      </c>
      <c r="L292" s="266">
        <f>ROUND(I292*J292*K292,2)</f>
        <v>0</v>
      </c>
      <c r="M292" s="266"/>
      <c r="N292" s="266">
        <v>1</v>
      </c>
      <c r="O292" s="266">
        <f>SUMIFS(Data_Tech!$AM$3:$AM$67,Data_Tech!$E$3:$E$67,"1",Data_Tech!$G$3:$G$67,"3/12",Data_Tech!$F$3:$F$67,B297)</f>
        <v>0</v>
      </c>
      <c r="P292" s="259">
        <f>ROUND(M292*N292*O292,2)</f>
        <v>0</v>
      </c>
      <c r="Q292" s="66">
        <f>IF(D292&lt;=3,база!$L$4,
IF(D292=4,база!$L$5,
IF(D292=5,база!$L$6)))</f>
        <v>210.57480000000001</v>
      </c>
      <c r="R292" s="248">
        <v>1</v>
      </c>
      <c r="S292" s="89">
        <f>SUMIFS(Таблица1[сумма],Таблица1[коэф],"1",Таблица1[р/р],"3/16",Таблица1[Ф. И. О.],B297)</f>
        <v>0</v>
      </c>
      <c r="T292" s="81">
        <f t="shared" si="186"/>
        <v>0</v>
      </c>
      <c r="U292" s="316">
        <f>IF(D292&lt;=3,база!$M$4,
IF(D292=4,база!$M$5,
IF(D292=5,база!$M$6)))</f>
        <v>225.09719999999999</v>
      </c>
      <c r="V292" s="248">
        <v>1</v>
      </c>
      <c r="W292" s="317">
        <f>SUMIFS(Таблица1[сумма],Таблица1[коэф],"1",Таблица1[р/р],"3/24",Таблица1[Ф. И. О.],B297)</f>
        <v>0</v>
      </c>
      <c r="X292" s="319">
        <f>ROUND(U292*V292*W292,2)</f>
        <v>0</v>
      </c>
      <c r="Y292" s="803">
        <f t="shared" ref="Y292" si="188">SUM(G292:G302,K292:K302,O292:O302,S292:S302,W292:W302)</f>
        <v>0</v>
      </c>
      <c r="Z292" s="794">
        <f t="shared" ref="Z292" si="189">IFERROR(SUM(H292:H302,L292:L302,T292:T302,X292:X302),"")</f>
        <v>0</v>
      </c>
      <c r="AA292" s="797"/>
    </row>
    <row r="293" spans="1:29" ht="18.75" customHeight="1">
      <c r="A293" s="740"/>
      <c r="B293" s="201"/>
      <c r="C293" s="799"/>
      <c r="D293" s="801"/>
      <c r="E293" s="72">
        <f>IF(D292&lt;=3,база!$I$4,
IF(D292=4,база!$I$5,
IF(D292=5,база!$I$6)))</f>
        <v>188.7912</v>
      </c>
      <c r="F293" s="250">
        <v>1</v>
      </c>
      <c r="G293" s="92">
        <f>SUMIFS(Таблица1[сумма],Таблица1[коэф],"1",Таблица1[р/р],"3/4",Таблица1[Ф. И. О.],B297)</f>
        <v>0</v>
      </c>
      <c r="H293" s="88">
        <f>ROUND(E293*F293*G293,2)</f>
        <v>0</v>
      </c>
      <c r="I293" s="311">
        <f>IF(D292&lt;=3,база!$J$4,
IF(D292=4,база!$J$5,
IF(D292=5,база!$J$6)))</f>
        <v>196.05240000000001</v>
      </c>
      <c r="J293" s="257">
        <v>1</v>
      </c>
      <c r="K293" s="202">
        <f>SUMIFS(Таблица1[сумма],Таблица1[коэф],"1",Таблица1[р/р],"3/8",Таблица1[Ф. И. О.],B297)</f>
        <v>0</v>
      </c>
      <c r="L293" s="202">
        <f>ROUND(I293*J293*K293,2)</f>
        <v>0</v>
      </c>
      <c r="M293" s="202"/>
      <c r="N293" s="202">
        <v>1</v>
      </c>
      <c r="O293" s="202">
        <f>SUMIFS(Data_Tech!$AM$3:$AM$67,Data_Tech!$E$3:$E$67,"1",Data_Tech!$G$3:$G$67,"4/12",Data_Tech!$F$3:$F$67,B297)</f>
        <v>0</v>
      </c>
      <c r="P293" s="28">
        <f>ROUND(M293*O293,2)</f>
        <v>0</v>
      </c>
      <c r="Q293" s="72">
        <f>база!$L$5</f>
        <v>231.45480000000001</v>
      </c>
      <c r="R293" s="250">
        <v>1</v>
      </c>
      <c r="S293" s="92">
        <f>SUMIFS(Таблица1[сумма],Таблица1[коэф],"1",Таблица1[р/р],"4/16",Таблица1[Ф. И. О.],B297)</f>
        <v>0</v>
      </c>
      <c r="T293" s="88">
        <f t="shared" si="186"/>
        <v>0</v>
      </c>
      <c r="U293" s="292">
        <f>база!$M$5</f>
        <v>247.41720000000001</v>
      </c>
      <c r="V293" s="250">
        <v>1</v>
      </c>
      <c r="W293" s="285">
        <f>SUMIFS(Таблица1[сумма],Таблица1[коэф],"1",Таблица1[р/р],"4/24",Таблица1[Ф. И. О.],B297)</f>
        <v>0</v>
      </c>
      <c r="X293" s="291">
        <f t="shared" ref="X293" si="190">ROUND(U293*V293*W293,2)</f>
        <v>0</v>
      </c>
      <c r="Y293" s="803"/>
      <c r="Z293" s="794"/>
      <c r="AA293" s="797"/>
    </row>
    <row r="294" spans="1:29" ht="19.5" customHeight="1">
      <c r="A294" s="740"/>
      <c r="B294" s="201"/>
      <c r="C294" s="799"/>
      <c r="D294" s="801"/>
      <c r="E294" s="72"/>
      <c r="F294" s="250"/>
      <c r="G294" s="92"/>
      <c r="H294" s="88"/>
      <c r="I294" s="311"/>
      <c r="J294" s="257"/>
      <c r="K294" s="202"/>
      <c r="L294" s="202"/>
      <c r="M294" s="202"/>
      <c r="N294" s="202"/>
      <c r="O294" s="202"/>
      <c r="P294" s="28"/>
      <c r="Q294" s="72">
        <f>база!$L$6</f>
        <v>261.04640000000001</v>
      </c>
      <c r="R294" s="250">
        <v>1</v>
      </c>
      <c r="S294" s="92">
        <f>SUMIFS(Таблица1[сумма],Таблица1[коэф],"1",Таблица1[р/р],"5/16",Таблица1[Ф. И. О.],B297)</f>
        <v>0</v>
      </c>
      <c r="T294" s="88">
        <f t="shared" si="186"/>
        <v>0</v>
      </c>
      <c r="U294" s="292">
        <f>база!$M$6</f>
        <v>279.0496</v>
      </c>
      <c r="V294" s="250">
        <v>1</v>
      </c>
      <c r="W294" s="285">
        <f>SUMIFS(Таблица1[сумма],Таблица1[коэф],"1",Таблица1[р/р],"5/24",Таблица1[Ф. И. О.],B297)</f>
        <v>0</v>
      </c>
      <c r="X294" s="291">
        <f>ROUND(U294*V294*W294,2)</f>
        <v>0</v>
      </c>
      <c r="Y294" s="803"/>
      <c r="Z294" s="794"/>
      <c r="AA294" s="797"/>
    </row>
    <row r="295" spans="1:29" ht="19.5" customHeight="1">
      <c r="A295" s="740"/>
      <c r="B295" s="201"/>
      <c r="C295" s="799"/>
      <c r="D295" s="801"/>
      <c r="E295" s="72"/>
      <c r="F295" s="250"/>
      <c r="G295" s="92"/>
      <c r="H295" s="88"/>
      <c r="I295" s="311">
        <f>база!$J$5</f>
        <v>215.4924</v>
      </c>
      <c r="J295" s="257">
        <v>1.5</v>
      </c>
      <c r="K295" s="202">
        <f>SUMIFS(Таблица1[сумма],Таблица1[коэф],"1,5",Таблица1[р/р],"4/8",Таблица1[Ф. И. О.],B297)</f>
        <v>0</v>
      </c>
      <c r="L295" s="202">
        <f>ROUND(I295*J295*K295,2)</f>
        <v>0</v>
      </c>
      <c r="M295" s="202"/>
      <c r="N295" s="202"/>
      <c r="O295" s="202"/>
      <c r="P295" s="28"/>
      <c r="Q295" s="72">
        <f>IF(D292&lt;=3,база!$L$4,
IF(D292=4,база!$L$5,
IF(D292=5,база!$L$6)))</f>
        <v>210.57480000000001</v>
      </c>
      <c r="R295" s="250">
        <v>1.2</v>
      </c>
      <c r="S295" s="92">
        <f>SUMIFS(Таблица1[сумма],Таблица1[коэф],"1,2",Таблица1[р/р],"3/16",Таблица1[Ф. И. О.],B297)</f>
        <v>0</v>
      </c>
      <c r="T295" s="88">
        <f t="shared" si="186"/>
        <v>0</v>
      </c>
      <c r="U295" s="292">
        <f>IF(D292&lt;=3,база!$M$4,
IF(D292=4,база!$M$5,
IF(D292=5,база!$M$6)))</f>
        <v>225.09719999999999</v>
      </c>
      <c r="V295" s="250">
        <v>1.2</v>
      </c>
      <c r="W295" s="285">
        <f>SUMIFS(Таблица1[сумма],Таблица1[коэф],"1,2",Таблица1[р/р],"3/24",Таблица1[Ф. И. О.],B297)</f>
        <v>0</v>
      </c>
      <c r="X295" s="291">
        <f t="shared" ref="X295:X296" si="191">ROUND(U295*V295*W295,2)</f>
        <v>0</v>
      </c>
      <c r="Y295" s="803"/>
      <c r="Z295" s="794"/>
      <c r="AA295" s="797"/>
    </row>
    <row r="296" spans="1:29" ht="19.5" customHeight="1">
      <c r="A296" s="740"/>
      <c r="B296" s="201"/>
      <c r="C296" s="799"/>
      <c r="D296" s="801"/>
      <c r="E296" s="72"/>
      <c r="F296" s="250"/>
      <c r="G296" s="92"/>
      <c r="H296" s="88"/>
      <c r="I296" s="311">
        <f>база!$J$6</f>
        <v>243.04319999999998</v>
      </c>
      <c r="J296" s="257">
        <v>1.5</v>
      </c>
      <c r="K296" s="202">
        <f>SUMIFS(Таблица1[сумма],Таблица1[коэф],"1,5",Таблица1[р/р],"5/8",Таблица1[Ф. И. О.],B297)</f>
        <v>0</v>
      </c>
      <c r="L296" s="202">
        <f>ROUND(I296*J296*K296,2)</f>
        <v>0</v>
      </c>
      <c r="M296" s="202"/>
      <c r="N296" s="202"/>
      <c r="O296" s="202"/>
      <c r="P296" s="28"/>
      <c r="Q296" s="72">
        <f>база!$L$5</f>
        <v>231.45480000000001</v>
      </c>
      <c r="R296" s="250">
        <v>1.2</v>
      </c>
      <c r="S296" s="92">
        <f>SUMIFS(Таблица1[сумма],Таблица1[коэф],"1,2",Таблица1[р/р],"4/16",Таблица1[Ф. И. О.],B297)</f>
        <v>0</v>
      </c>
      <c r="T296" s="88">
        <f t="shared" si="186"/>
        <v>0</v>
      </c>
      <c r="U296" s="292">
        <f>база!$M$5</f>
        <v>247.41720000000001</v>
      </c>
      <c r="V296" s="250">
        <v>1.2</v>
      </c>
      <c r="W296" s="285">
        <f>SUMIFS(Таблица1[сумма],Таблица1[коэф],"1,2",Таблица1[р/р],"4/24",Таблица1[Ф. И. О.],B297)</f>
        <v>0</v>
      </c>
      <c r="X296" s="291">
        <f t="shared" si="191"/>
        <v>0</v>
      </c>
      <c r="Y296" s="803"/>
      <c r="Z296" s="794"/>
      <c r="AA296" s="797"/>
      <c r="AC296" s="688" t="str">
        <f>IF(SUMIFS(Таблица1[Столбец2],Таблица1[Ф. И. О.],B297)-Z292=0,"",SUMIFS(Таблица1[Столбец2],Таблица1[Ф. И. О.],B297)-Z292)</f>
        <v/>
      </c>
    </row>
    <row r="297" spans="1:29" ht="19.5" customHeight="1">
      <c r="A297" s="740"/>
      <c r="B297" s="201" t="str">
        <f>база!B28</f>
        <v>Иванова Оксана Михайловна</v>
      </c>
      <c r="C297" s="799"/>
      <c r="D297" s="801"/>
      <c r="E297" s="72"/>
      <c r="F297" s="250"/>
      <c r="G297" s="92"/>
      <c r="H297" s="88"/>
      <c r="I297" s="311"/>
      <c r="J297" s="257"/>
      <c r="K297" s="202"/>
      <c r="L297" s="202"/>
      <c r="M297" s="202"/>
      <c r="N297" s="202"/>
      <c r="O297" s="202"/>
      <c r="P297" s="28"/>
      <c r="Q297" s="72">
        <f>база!$L$6</f>
        <v>261.04640000000001</v>
      </c>
      <c r="R297" s="250">
        <v>1.2</v>
      </c>
      <c r="S297" s="92">
        <f>SUMIFS(Таблица1[сумма],Таблица1[коэф],"1,2",Таблица1[р/р],"5/16",Таблица1[Ф. И. О.],B297)</f>
        <v>0</v>
      </c>
      <c r="T297" s="88">
        <f>ROUND(Q297*R297*S297,2)</f>
        <v>0</v>
      </c>
      <c r="U297" s="292">
        <f>база!$M$6</f>
        <v>279.0496</v>
      </c>
      <c r="V297" s="250">
        <v>1.2</v>
      </c>
      <c r="W297" s="285">
        <f>SUMIFS(Таблица1[сумма],Таблица1[коэф],"1,2",Таблица1[р/р],"5/24",Таблица1[Ф. И. О.],B297)</f>
        <v>0</v>
      </c>
      <c r="X297" s="291">
        <f>ROUND(U297*V297*W297,2)</f>
        <v>0</v>
      </c>
      <c r="Y297" s="803"/>
      <c r="Z297" s="794"/>
      <c r="AA297" s="797"/>
      <c r="AC297" s="688" t="str">
        <f>IF(SUMIFS(Таблица1[сумма],Таблица1[Ф. И. О.],B297)=Y292,"",B292&amp;"  часы не верны")</f>
        <v/>
      </c>
    </row>
    <row r="298" spans="1:29" ht="19.5" customHeight="1">
      <c r="A298" s="740"/>
      <c r="B298" s="201"/>
      <c r="C298" s="799"/>
      <c r="D298" s="801"/>
      <c r="E298" s="72"/>
      <c r="F298" s="250"/>
      <c r="G298" s="92"/>
      <c r="H298" s="88"/>
      <c r="I298" s="311"/>
      <c r="J298" s="257"/>
      <c r="K298" s="202"/>
      <c r="L298" s="202"/>
      <c r="M298" s="202"/>
      <c r="N298" s="202"/>
      <c r="O298" s="202"/>
      <c r="P298" s="28"/>
      <c r="Q298" s="72">
        <f>IF($D$6&lt;=3,база!$L$4,
IF($D$6=4,база!$L$5,
IF($D$6=5,база!$L$6)))</f>
        <v>231.45480000000001</v>
      </c>
      <c r="R298" s="250">
        <v>1.3</v>
      </c>
      <c r="S298" s="92">
        <f>SUMIFS(Таблица1[сумма],Таблица1[коэф],"1,3",Таблица1[р/р],"3/16",Таблица1[Ф. И. О.],B297)</f>
        <v>0</v>
      </c>
      <c r="T298" s="88">
        <f t="shared" ref="T298:T307" si="192">ROUND(Q298*R298*S298,2)</f>
        <v>0</v>
      </c>
      <c r="U298" s="292">
        <f>IF(D292&lt;=3,база!$M$4,
IF(D292=4,база!$M$5,
IF(D292=5,база!$M$6)))</f>
        <v>225.09719999999999</v>
      </c>
      <c r="V298" s="250">
        <v>1.3</v>
      </c>
      <c r="W298" s="285">
        <f>SUMIFS(Таблица1[сумма],Таблица1[коэф],"1,3",Таблица1[р/р],"3/24",Таблица1[Ф. И. О.],B297)</f>
        <v>0</v>
      </c>
      <c r="X298" s="291">
        <f t="shared" ref="X298:X299" si="193">ROUND(U298*V298*W298,2)</f>
        <v>0</v>
      </c>
      <c r="Y298" s="803"/>
      <c r="Z298" s="794"/>
      <c r="AA298" s="797"/>
    </row>
    <row r="299" spans="1:29" ht="19.5" customHeight="1">
      <c r="A299" s="740"/>
      <c r="B299" s="201"/>
      <c r="C299" s="799"/>
      <c r="D299" s="801"/>
      <c r="E299" s="72"/>
      <c r="F299" s="250"/>
      <c r="G299" s="92"/>
      <c r="H299" s="88"/>
      <c r="I299" s="311"/>
      <c r="J299" s="257"/>
      <c r="K299" s="202"/>
      <c r="L299" s="202"/>
      <c r="M299" s="202"/>
      <c r="N299" s="202"/>
      <c r="O299" s="202"/>
      <c r="P299" s="28"/>
      <c r="Q299" s="72">
        <f>база!$L$5</f>
        <v>231.45480000000001</v>
      </c>
      <c r="R299" s="250">
        <v>1.3</v>
      </c>
      <c r="S299" s="92">
        <f>SUMIFS(Таблица1[сумма],Таблица1[коэф],"1,3",Таблица1[р/р],"4/16",Таблица1[Ф. И. О.],B297)</f>
        <v>0</v>
      </c>
      <c r="T299" s="88">
        <f t="shared" si="192"/>
        <v>0</v>
      </c>
      <c r="U299" s="292">
        <f>база!$M$5</f>
        <v>247.41720000000001</v>
      </c>
      <c r="V299" s="250">
        <v>1.3</v>
      </c>
      <c r="W299" s="285">
        <f>SUMIFS(Таблица1[сумма],Таблица1[коэф],"1,3",Таблица1[р/р],"4/24",Таблица1[Ф. И. О.],B297)</f>
        <v>0</v>
      </c>
      <c r="X299" s="291">
        <f t="shared" si="193"/>
        <v>0</v>
      </c>
      <c r="Y299" s="803"/>
      <c r="Z299" s="794"/>
      <c r="AA299" s="797"/>
    </row>
    <row r="300" spans="1:29" ht="19.5" customHeight="1">
      <c r="A300" s="740"/>
      <c r="B300" s="201"/>
      <c r="C300" s="799"/>
      <c r="D300" s="801"/>
      <c r="E300" s="72"/>
      <c r="F300" s="250"/>
      <c r="G300" s="92"/>
      <c r="H300" s="88"/>
      <c r="I300" s="311"/>
      <c r="J300" s="257"/>
      <c r="K300" s="202"/>
      <c r="L300" s="202"/>
      <c r="M300" s="202"/>
      <c r="N300" s="202"/>
      <c r="O300" s="202"/>
      <c r="P300" s="28"/>
      <c r="Q300" s="72">
        <f>IF(D292&lt;=3,база!$L$4,
IF(D292=4,база!$L$5,
IF(D292=5,база!$L$6)))</f>
        <v>210.57480000000001</v>
      </c>
      <c r="R300" s="250">
        <v>1.4</v>
      </c>
      <c r="S300" s="92">
        <f>SUMIFS(Таблица1[сумма],Таблица1[коэф],"1,4",Таблица1[р/р],"3/16",Таблица1[Ф. И. О.],B297)</f>
        <v>0</v>
      </c>
      <c r="T300" s="88">
        <f t="shared" si="192"/>
        <v>0</v>
      </c>
      <c r="U300" s="292">
        <f>IF(D292&lt;=3,база!$M$4,
IF(D292=4,база!$M$5,
IF(D292=5,база!$M$6)))</f>
        <v>225.09719999999999</v>
      </c>
      <c r="V300" s="250">
        <v>1.4</v>
      </c>
      <c r="W300" s="285">
        <f>SUMIFS(Таблица1[сумма],Таблица1[коэф],"1,4",Таблица1[р/р],"3/24",Таблица1[Ф. И. О.],B297)</f>
        <v>0</v>
      </c>
      <c r="X300" s="291">
        <f>ROUND(U300*V300*W300,2)</f>
        <v>0</v>
      </c>
      <c r="Y300" s="803"/>
      <c r="Z300" s="794"/>
      <c r="AA300" s="797"/>
    </row>
    <row r="301" spans="1:29" ht="19.5" customHeight="1">
      <c r="A301" s="740"/>
      <c r="B301" s="201"/>
      <c r="C301" s="799"/>
      <c r="D301" s="801"/>
      <c r="E301" s="72"/>
      <c r="F301" s="250"/>
      <c r="G301" s="92"/>
      <c r="H301" s="88"/>
      <c r="I301" s="311"/>
      <c r="J301" s="257"/>
      <c r="K301" s="202"/>
      <c r="L301" s="202"/>
      <c r="M301" s="202"/>
      <c r="N301" s="202"/>
      <c r="O301" s="202"/>
      <c r="P301" s="28"/>
      <c r="Q301" s="72">
        <f>база!$L$5</f>
        <v>231.45480000000001</v>
      </c>
      <c r="R301" s="250">
        <v>1.4</v>
      </c>
      <c r="S301" s="92">
        <f>SUMIFS(Таблица1[сумма],Таблица1[коэф],"1,4",Таблица1[р/р],"4/16",Таблица1[Ф. И. О.],B297)</f>
        <v>0</v>
      </c>
      <c r="T301" s="88">
        <f t="shared" si="192"/>
        <v>0</v>
      </c>
      <c r="U301" s="292">
        <f>база!$M$5</f>
        <v>247.41720000000001</v>
      </c>
      <c r="V301" s="250">
        <v>1.4</v>
      </c>
      <c r="W301" s="285">
        <f>SUMIFS(Таблица1[сумма],Таблица1[коэф],"1,4",Таблица1[р/р],"4/24",Таблица1[Ф. И. О.],B297)</f>
        <v>0</v>
      </c>
      <c r="X301" s="291">
        <f>ROUND(U301*V301*W301,2)</f>
        <v>0</v>
      </c>
      <c r="Y301" s="803"/>
      <c r="Z301" s="794"/>
      <c r="AA301" s="797"/>
    </row>
    <row r="302" spans="1:29" ht="19.5" customHeight="1" thickBot="1">
      <c r="A302" s="741"/>
      <c r="B302" s="188"/>
      <c r="C302" s="800"/>
      <c r="D302" s="802"/>
      <c r="E302" s="95"/>
      <c r="F302" s="252"/>
      <c r="G302" s="91"/>
      <c r="H302" s="84"/>
      <c r="I302" s="325"/>
      <c r="J302" s="258"/>
      <c r="K302" s="267"/>
      <c r="L302" s="267"/>
      <c r="M302" s="267"/>
      <c r="N302" s="267"/>
      <c r="O302" s="267"/>
      <c r="P302" s="293"/>
      <c r="Q302" s="95">
        <f>база!$L$6</f>
        <v>261.04640000000001</v>
      </c>
      <c r="R302" s="252">
        <v>1.4</v>
      </c>
      <c r="S302" s="91">
        <f>SUMIFS(Таблица1[сумма],Таблица1[коэф],"1,4",Таблица1[р/р],"5/16",Таблица1[Ф. И. О.],B297)</f>
        <v>0</v>
      </c>
      <c r="T302" s="84">
        <f t="shared" si="192"/>
        <v>0</v>
      </c>
      <c r="U302" s="324">
        <f>база!$M$6</f>
        <v>279.0496</v>
      </c>
      <c r="V302" s="252">
        <v>1.4</v>
      </c>
      <c r="W302" s="290">
        <f>SUMIFS(Таблица1[сумма],Таблица1[коэф],"1,4",Таблица1[р/р],"5/24",Таблица1[Ф. И. О.],B297)</f>
        <v>0</v>
      </c>
      <c r="X302" s="320">
        <f>ROUND(U302*V302*W302,2)</f>
        <v>0</v>
      </c>
      <c r="Y302" s="804"/>
      <c r="Z302" s="795"/>
      <c r="AA302" s="798"/>
    </row>
    <row r="303" spans="1:29">
      <c r="A303" s="739">
        <v>28</v>
      </c>
      <c r="B303" s="219"/>
      <c r="C303" s="805">
        <f>INDEX(база!$E$2:$E$81, MATCH(B308,база!$B$2:$B$50,0))</f>
        <v>14578</v>
      </c>
      <c r="D303" s="806">
        <f>INDEX(база!$D$2:$D$89, MATCH(B308,база!$B$2:$B$50,0))</f>
        <v>3</v>
      </c>
      <c r="E303" s="66">
        <f>IF(D303&lt;=3,база!$I$4,
IF(D303=4,база!$I$5,
IF(D303=5,база!$I$6)))</f>
        <v>188.7912</v>
      </c>
      <c r="F303" s="248">
        <v>1</v>
      </c>
      <c r="G303" s="89">
        <f>SUMIFS(Таблица1[сумма],Таблица1[коэф],"1",Таблица1[р/р],"2/4",Таблица1[Ф. И. О.],B308)</f>
        <v>0</v>
      </c>
      <c r="H303" s="81">
        <f>ROUND(E303*F303*G303,2)</f>
        <v>0</v>
      </c>
      <c r="I303" s="315">
        <f>IF(D303&lt;=3,база!$J$4,
IF(D303=4,база!$J$5,
IF(D303=5,база!$J$6)))</f>
        <v>196.05240000000001</v>
      </c>
      <c r="J303" s="255">
        <v>1</v>
      </c>
      <c r="K303" s="266">
        <f>SUMIFS(Таблица1[сумма],Таблица1[коэф],"1",Таблица1[р/р],"2/8",Таблица1[Ф. И. О.],B308)</f>
        <v>0</v>
      </c>
      <c r="L303" s="266">
        <f>ROUND(I303*J303*K303,2)</f>
        <v>0</v>
      </c>
      <c r="M303" s="266"/>
      <c r="N303" s="266">
        <v>1</v>
      </c>
      <c r="O303" s="266">
        <f>SUMIFS(Data_Tech!$AM$3:$AM$67,Data_Tech!$E$3:$E$67,"1",Data_Tech!$G$3:$G$67,"3/12",Data_Tech!$F$3:$F$67,B308)</f>
        <v>0</v>
      </c>
      <c r="P303" s="259">
        <f>ROUND(M303*N303*O303,2)</f>
        <v>0</v>
      </c>
      <c r="Q303" s="66">
        <f>IF(D303&lt;=3,база!$L$4,
IF(D303=4,база!$L$5,
IF(D303=5,база!$L$6)))</f>
        <v>210.57480000000001</v>
      </c>
      <c r="R303" s="248">
        <v>1</v>
      </c>
      <c r="S303" s="89">
        <f>SUMIFS(Таблица1[сумма],Таблица1[коэф],"1",Таблица1[р/р],"3/16",Таблица1[Ф. И. О.],B308)</f>
        <v>0</v>
      </c>
      <c r="T303" s="81">
        <f t="shared" si="192"/>
        <v>0</v>
      </c>
      <c r="U303" s="316">
        <f>IF(D303&lt;=3,база!$M$4,
IF(D303=4,база!$M$5,
IF(D303=5,база!$M$6)))</f>
        <v>225.09719999999999</v>
      </c>
      <c r="V303" s="248">
        <v>1</v>
      </c>
      <c r="W303" s="317">
        <f>SUMIFS(Таблица1[сумма],Таблица1[коэф],"1",Таблица1[р/р],"3/24",Таблица1[Ф. И. О.],B308)</f>
        <v>0</v>
      </c>
      <c r="X303" s="319">
        <f>ROUND(U303*V303*W303,2)</f>
        <v>0</v>
      </c>
      <c r="Y303" s="803">
        <f t="shared" ref="Y303" si="194">SUM(G303:G313,K303:K313,O303:O313,S303:S313,W303:W313)</f>
        <v>0</v>
      </c>
      <c r="Z303" s="794">
        <f t="shared" ref="Z303" si="195">IFERROR(SUM(H303:H313,L303:L313,T303:T313,X303:X313),"")</f>
        <v>0</v>
      </c>
      <c r="AA303" s="797"/>
    </row>
    <row r="304" spans="1:29">
      <c r="A304" s="740"/>
      <c r="B304" s="201"/>
      <c r="C304" s="799"/>
      <c r="D304" s="801"/>
      <c r="E304" s="72">
        <f>IF(D303&lt;=3,база!$I$4,
IF(D303=4,база!$I$5,
IF(D303=5,база!$I$6)))</f>
        <v>188.7912</v>
      </c>
      <c r="F304" s="250">
        <v>1</v>
      </c>
      <c r="G304" s="92">
        <f>SUMIFS(Таблица1[сумма],Таблица1[коэф],"1",Таблица1[р/р],"3/4",Таблица1[Ф. И. О.],B308)</f>
        <v>0</v>
      </c>
      <c r="H304" s="88">
        <f>ROUND(E304*F304*G304,2)</f>
        <v>0</v>
      </c>
      <c r="I304" s="311">
        <f>IF(D303&lt;=3,база!$J$4,
IF(D303=4,база!$J$5,
IF(D303=5,база!$J$6)))</f>
        <v>196.05240000000001</v>
      </c>
      <c r="J304" s="257">
        <v>1</v>
      </c>
      <c r="K304" s="202">
        <f>SUMIFS(Таблица1[сумма],Таблица1[коэф],"1",Таблица1[р/р],"3/8",Таблица1[Ф. И. О.],B308)</f>
        <v>0</v>
      </c>
      <c r="L304" s="202">
        <f>ROUND(I304*J304*K304,2)</f>
        <v>0</v>
      </c>
      <c r="M304" s="202"/>
      <c r="N304" s="202">
        <v>1</v>
      </c>
      <c r="O304" s="202">
        <f>SUMIFS(Data_Tech!$AM$3:$AM$67,Data_Tech!$E$3:$E$67,"1",Data_Tech!$G$3:$G$67,"4/12",Data_Tech!$F$3:$F$67,B308)</f>
        <v>0</v>
      </c>
      <c r="P304" s="28">
        <f>ROUND(M304*O304,2)</f>
        <v>0</v>
      </c>
      <c r="Q304" s="72">
        <f>база!$L$5</f>
        <v>231.45480000000001</v>
      </c>
      <c r="R304" s="250">
        <v>1</v>
      </c>
      <c r="S304" s="92">
        <f>SUMIFS(Таблица1[сумма],Таблица1[коэф],"1",Таблица1[р/р],"4/16",Таблица1[Ф. И. О.],B308)</f>
        <v>0</v>
      </c>
      <c r="T304" s="88">
        <f t="shared" si="192"/>
        <v>0</v>
      </c>
      <c r="U304" s="292">
        <f>база!$M$5</f>
        <v>247.41720000000001</v>
      </c>
      <c r="V304" s="250">
        <v>1</v>
      </c>
      <c r="W304" s="285">
        <f>SUMIFS(Таблица1[сумма],Таблица1[коэф],"1",Таблица1[р/р],"4/24",Таблица1[Ф. И. О.],B308)</f>
        <v>0</v>
      </c>
      <c r="X304" s="291">
        <f t="shared" ref="X304" si="196">ROUND(U304*V304*W304,2)</f>
        <v>0</v>
      </c>
      <c r="Y304" s="803"/>
      <c r="Z304" s="794"/>
      <c r="AA304" s="797"/>
    </row>
    <row r="305" spans="1:29">
      <c r="A305" s="740"/>
      <c r="B305" s="201"/>
      <c r="C305" s="799"/>
      <c r="D305" s="801"/>
      <c r="E305" s="72"/>
      <c r="F305" s="250"/>
      <c r="G305" s="92"/>
      <c r="H305" s="88"/>
      <c r="I305" s="311"/>
      <c r="J305" s="257"/>
      <c r="K305" s="202"/>
      <c r="L305" s="202"/>
      <c r="M305" s="202"/>
      <c r="N305" s="202"/>
      <c r="O305" s="202"/>
      <c r="P305" s="28"/>
      <c r="Q305" s="72">
        <f>база!$L$6</f>
        <v>261.04640000000001</v>
      </c>
      <c r="R305" s="250">
        <v>1</v>
      </c>
      <c r="S305" s="92">
        <f>SUMIFS(Таблица1[сумма],Таблица1[коэф],"1",Таблица1[р/р],"5/16",Таблица1[Ф. И. О.],B308)</f>
        <v>0</v>
      </c>
      <c r="T305" s="88">
        <f t="shared" si="192"/>
        <v>0</v>
      </c>
      <c r="U305" s="292">
        <f>база!$M$6</f>
        <v>279.0496</v>
      </c>
      <c r="V305" s="250">
        <v>1</v>
      </c>
      <c r="W305" s="285">
        <f>SUMIFS(Таблица1[сумма],Таблица1[коэф],"1",Таблица1[р/р],"5/24",Таблица1[Ф. И. О.],B308)</f>
        <v>0</v>
      </c>
      <c r="X305" s="291">
        <f>ROUND(U305*V305*W305,2)</f>
        <v>0</v>
      </c>
      <c r="Y305" s="803"/>
      <c r="Z305" s="794"/>
      <c r="AA305" s="797"/>
    </row>
    <row r="306" spans="1:29">
      <c r="A306" s="740"/>
      <c r="B306" s="201"/>
      <c r="C306" s="799"/>
      <c r="D306" s="801"/>
      <c r="E306" s="72"/>
      <c r="F306" s="250"/>
      <c r="G306" s="92"/>
      <c r="H306" s="88"/>
      <c r="I306" s="311">
        <f>база!$J$5</f>
        <v>215.4924</v>
      </c>
      <c r="J306" s="257">
        <v>1.5</v>
      </c>
      <c r="K306" s="202">
        <f>SUMIFS(Таблица1[сумма],Таблица1[коэф],"1,5",Таблица1[р/р],"4/8",Таблица1[Ф. И. О.],B308)</f>
        <v>0</v>
      </c>
      <c r="L306" s="202">
        <f>ROUND(I306*J306*K306,2)</f>
        <v>0</v>
      </c>
      <c r="M306" s="202"/>
      <c r="N306" s="202"/>
      <c r="O306" s="202"/>
      <c r="P306" s="28"/>
      <c r="Q306" s="72">
        <f>IF(D303&lt;=3,база!$L$4,
IF(D303=4,база!$L$5,
IF(D303=5,база!$L$6)))</f>
        <v>210.57480000000001</v>
      </c>
      <c r="R306" s="250">
        <v>1.2</v>
      </c>
      <c r="S306" s="92">
        <f>SUMIFS(Таблица1[сумма],Таблица1[коэф],"1,2",Таблица1[р/р],"3/16",Таблица1[Ф. И. О.],B308)</f>
        <v>0</v>
      </c>
      <c r="T306" s="88">
        <f t="shared" si="192"/>
        <v>0</v>
      </c>
      <c r="U306" s="292">
        <f>IF(D303&lt;=3,база!$M$4,
IF(D303=4,база!$M$5,
IF(D303=5,база!$M$6)))</f>
        <v>225.09719999999999</v>
      </c>
      <c r="V306" s="250">
        <v>1.2</v>
      </c>
      <c r="W306" s="285">
        <f>SUMIFS(Таблица1[сумма],Таблица1[коэф],"1,2",Таблица1[р/р],"3/24",Таблица1[Ф. И. О.],B308)</f>
        <v>0</v>
      </c>
      <c r="X306" s="291">
        <f t="shared" ref="X306:X307" si="197">ROUND(U306*V306*W306,2)</f>
        <v>0</v>
      </c>
      <c r="Y306" s="803"/>
      <c r="Z306" s="794"/>
      <c r="AA306" s="797"/>
    </row>
    <row r="307" spans="1:29">
      <c r="A307" s="740"/>
      <c r="B307" s="201"/>
      <c r="C307" s="799"/>
      <c r="D307" s="801"/>
      <c r="E307" s="72"/>
      <c r="F307" s="250"/>
      <c r="G307" s="92"/>
      <c r="H307" s="88"/>
      <c r="I307" s="311">
        <f>база!$J$6</f>
        <v>243.04319999999998</v>
      </c>
      <c r="J307" s="257">
        <v>1.5</v>
      </c>
      <c r="K307" s="202">
        <f>SUMIFS(Таблица1[сумма],Таблица1[коэф],"1,5",Таблица1[р/р],"5/8",Таблица1[Ф. И. О.],B308)</f>
        <v>0</v>
      </c>
      <c r="L307" s="202">
        <f>ROUND(I307*J307*K307,2)</f>
        <v>0</v>
      </c>
      <c r="M307" s="202"/>
      <c r="N307" s="202"/>
      <c r="O307" s="202"/>
      <c r="P307" s="28"/>
      <c r="Q307" s="72">
        <f>база!$L$5</f>
        <v>231.45480000000001</v>
      </c>
      <c r="R307" s="250">
        <v>1.2</v>
      </c>
      <c r="S307" s="92">
        <f>SUMIFS(Таблица1[сумма],Таблица1[коэф],"1,2",Таблица1[р/р],"4/16",Таблица1[Ф. И. О.],B308)</f>
        <v>0</v>
      </c>
      <c r="T307" s="88">
        <f t="shared" si="192"/>
        <v>0</v>
      </c>
      <c r="U307" s="292">
        <f>база!$M$5</f>
        <v>247.41720000000001</v>
      </c>
      <c r="V307" s="250">
        <v>1.2</v>
      </c>
      <c r="W307" s="285">
        <f>SUMIFS(Таблица1[сумма],Таблица1[коэф],"1,2",Таблица1[р/р],"4/24",Таблица1[Ф. И. О.],B308)</f>
        <v>0</v>
      </c>
      <c r="X307" s="291">
        <f t="shared" si="197"/>
        <v>0</v>
      </c>
      <c r="Y307" s="803"/>
      <c r="Z307" s="794"/>
      <c r="AA307" s="797"/>
      <c r="AC307" s="688" t="str">
        <f>IF(SUMIFS(Таблица1[Столбец2],Таблица1[Ф. И. О.],B308)-Z303=0,"",SUMIFS(Таблица1[Столбец2],Таблица1[Ф. И. О.],B308)-Z303)</f>
        <v/>
      </c>
    </row>
    <row r="308" spans="1:29">
      <c r="A308" s="740"/>
      <c r="B308" s="201" t="str">
        <f>база!B29</f>
        <v>Иванова Ольга Анатольевна</v>
      </c>
      <c r="C308" s="799"/>
      <c r="D308" s="801"/>
      <c r="E308" s="72"/>
      <c r="F308" s="250"/>
      <c r="G308" s="92"/>
      <c r="H308" s="88"/>
      <c r="I308" s="311"/>
      <c r="J308" s="257"/>
      <c r="K308" s="202"/>
      <c r="L308" s="202"/>
      <c r="M308" s="202"/>
      <c r="N308" s="202"/>
      <c r="O308" s="202"/>
      <c r="P308" s="28"/>
      <c r="Q308" s="72">
        <f>база!$L$6</f>
        <v>261.04640000000001</v>
      </c>
      <c r="R308" s="250">
        <v>1.2</v>
      </c>
      <c r="S308" s="92">
        <f>SUMIFS(Таблица1[сумма],Таблица1[коэф],"1,2",Таблица1[р/р],"5/16",Таблица1[Ф. И. О.],B308)</f>
        <v>0</v>
      </c>
      <c r="T308" s="88">
        <f>ROUND(Q308*R308*S308,2)</f>
        <v>0</v>
      </c>
      <c r="U308" s="292">
        <f>база!$M$6</f>
        <v>279.0496</v>
      </c>
      <c r="V308" s="250">
        <v>1.2</v>
      </c>
      <c r="W308" s="285">
        <f>SUMIFS(Таблица1[сумма],Таблица1[коэф],"1,2",Таблица1[р/р],"5/24",Таблица1[Ф. И. О.],B308)</f>
        <v>0</v>
      </c>
      <c r="X308" s="291">
        <f>ROUND(U308*V308*W308,2)</f>
        <v>0</v>
      </c>
      <c r="Y308" s="803"/>
      <c r="Z308" s="794"/>
      <c r="AA308" s="797"/>
      <c r="AC308" s="688" t="str">
        <f>IF(SUMIFS(Таблица1[сумма],Таблица1[Ф. И. О.],B308)=Y303,"",B303&amp;"  часы не верны")</f>
        <v/>
      </c>
    </row>
    <row r="309" spans="1:29">
      <c r="A309" s="740"/>
      <c r="B309" s="201"/>
      <c r="C309" s="799"/>
      <c r="D309" s="801"/>
      <c r="E309" s="72"/>
      <c r="F309" s="250"/>
      <c r="G309" s="92"/>
      <c r="H309" s="88"/>
      <c r="I309" s="311"/>
      <c r="J309" s="257"/>
      <c r="K309" s="202"/>
      <c r="L309" s="202"/>
      <c r="M309" s="202"/>
      <c r="N309" s="202"/>
      <c r="O309" s="202"/>
      <c r="P309" s="28"/>
      <c r="Q309" s="72">
        <f>IF($D$6&lt;=3,база!$L$4,
IF($D$6=4,база!$L$5,
IF($D$6=5,база!$L$6)))</f>
        <v>231.45480000000001</v>
      </c>
      <c r="R309" s="250">
        <v>1.3</v>
      </c>
      <c r="S309" s="92">
        <f>SUMIFS(Таблица1[сумма],Таблица1[коэф],"1,3",Таблица1[р/р],"3/16",Таблица1[Ф. И. О.],B308)</f>
        <v>0</v>
      </c>
      <c r="T309" s="88">
        <f t="shared" ref="T309:T318" si="198">ROUND(Q309*R309*S309,2)</f>
        <v>0</v>
      </c>
      <c r="U309" s="292">
        <f>IF(D303&lt;=3,база!$M$4,
IF(D303=4,база!$M$5,
IF(D303=5,база!$M$6)))</f>
        <v>225.09719999999999</v>
      </c>
      <c r="V309" s="250">
        <v>1.3</v>
      </c>
      <c r="W309" s="285">
        <f>SUMIFS(Таблица1[сумма],Таблица1[коэф],"1,3",Таблица1[р/р],"3/24",Таблица1[Ф. И. О.],B308)</f>
        <v>0</v>
      </c>
      <c r="X309" s="291">
        <f t="shared" ref="X309:X310" si="199">ROUND(U309*V309*W309,2)</f>
        <v>0</v>
      </c>
      <c r="Y309" s="803"/>
      <c r="Z309" s="794"/>
      <c r="AA309" s="797"/>
    </row>
    <row r="310" spans="1:29">
      <c r="A310" s="740"/>
      <c r="B310" s="201"/>
      <c r="C310" s="799"/>
      <c r="D310" s="801"/>
      <c r="E310" s="72"/>
      <c r="F310" s="250"/>
      <c r="G310" s="92"/>
      <c r="H310" s="88"/>
      <c r="I310" s="311"/>
      <c r="J310" s="257"/>
      <c r="K310" s="202"/>
      <c r="L310" s="202"/>
      <c r="M310" s="202"/>
      <c r="N310" s="202"/>
      <c r="O310" s="202"/>
      <c r="P310" s="28"/>
      <c r="Q310" s="72">
        <f>база!$L$5</f>
        <v>231.45480000000001</v>
      </c>
      <c r="R310" s="250">
        <v>1.3</v>
      </c>
      <c r="S310" s="92">
        <f>SUMIFS(Таблица1[сумма],Таблица1[коэф],"1,3",Таблица1[р/р],"4/16",Таблица1[Ф. И. О.],B308)</f>
        <v>0</v>
      </c>
      <c r="T310" s="88">
        <f t="shared" si="198"/>
        <v>0</v>
      </c>
      <c r="U310" s="292">
        <f>база!$M$5</f>
        <v>247.41720000000001</v>
      </c>
      <c r="V310" s="250">
        <v>1.3</v>
      </c>
      <c r="W310" s="285">
        <f>SUMIFS(Таблица1[сумма],Таблица1[коэф],"1,3",Таблица1[р/р],"4/24",Таблица1[Ф. И. О.],B308)</f>
        <v>0</v>
      </c>
      <c r="X310" s="291">
        <f t="shared" si="199"/>
        <v>0</v>
      </c>
      <c r="Y310" s="803"/>
      <c r="Z310" s="794"/>
      <c r="AA310" s="797"/>
    </row>
    <row r="311" spans="1:29">
      <c r="A311" s="740"/>
      <c r="B311" s="201"/>
      <c r="C311" s="799"/>
      <c r="D311" s="801"/>
      <c r="E311" s="72"/>
      <c r="F311" s="250"/>
      <c r="G311" s="92"/>
      <c r="H311" s="88"/>
      <c r="I311" s="311"/>
      <c r="J311" s="257"/>
      <c r="K311" s="202"/>
      <c r="L311" s="202"/>
      <c r="M311" s="202"/>
      <c r="N311" s="202"/>
      <c r="O311" s="202"/>
      <c r="P311" s="28"/>
      <c r="Q311" s="72">
        <f>IF(D303&lt;=3,база!$L$4,
IF(D303=4,база!$L$5,
IF(D303=5,база!$L$6)))</f>
        <v>210.57480000000001</v>
      </c>
      <c r="R311" s="250">
        <v>1.4</v>
      </c>
      <c r="S311" s="92">
        <f>SUMIFS(Таблица1[сумма],Таблица1[коэф],"1,4",Таблица1[р/р],"3/16",Таблица1[Ф. И. О.],B308)</f>
        <v>0</v>
      </c>
      <c r="T311" s="88">
        <f t="shared" si="198"/>
        <v>0</v>
      </c>
      <c r="U311" s="292">
        <f>IF(D303&lt;=3,база!$M$4,
IF(D303=4,база!$M$5,
IF(D303=5,база!$M$6)))</f>
        <v>225.09719999999999</v>
      </c>
      <c r="V311" s="250">
        <v>1.4</v>
      </c>
      <c r="W311" s="285">
        <f>SUMIFS(Таблица1[сумма],Таблица1[коэф],"1,4",Таблица1[р/р],"3/24",Таблица1[Ф. И. О.],B308)</f>
        <v>0</v>
      </c>
      <c r="X311" s="291">
        <f>ROUND(U311*V311*W311,2)</f>
        <v>0</v>
      </c>
      <c r="Y311" s="803"/>
      <c r="Z311" s="794"/>
      <c r="AA311" s="797"/>
    </row>
    <row r="312" spans="1:29">
      <c r="A312" s="740"/>
      <c r="B312" s="201"/>
      <c r="C312" s="799"/>
      <c r="D312" s="801"/>
      <c r="E312" s="72"/>
      <c r="F312" s="250"/>
      <c r="G312" s="92"/>
      <c r="H312" s="88"/>
      <c r="I312" s="311"/>
      <c r="J312" s="257"/>
      <c r="K312" s="202"/>
      <c r="L312" s="202"/>
      <c r="M312" s="202"/>
      <c r="N312" s="202"/>
      <c r="O312" s="202"/>
      <c r="P312" s="28"/>
      <c r="Q312" s="72">
        <f>база!$L$5</f>
        <v>231.45480000000001</v>
      </c>
      <c r="R312" s="250">
        <v>1.4</v>
      </c>
      <c r="S312" s="92">
        <f>SUMIFS(Таблица1[сумма],Таблица1[коэф],"1,4",Таблица1[р/р],"4/16",Таблица1[Ф. И. О.],B308)</f>
        <v>0</v>
      </c>
      <c r="T312" s="88">
        <f t="shared" si="198"/>
        <v>0</v>
      </c>
      <c r="U312" s="292">
        <f>база!$M$5</f>
        <v>247.41720000000001</v>
      </c>
      <c r="V312" s="250">
        <v>1.4</v>
      </c>
      <c r="W312" s="285">
        <f>SUMIFS(Таблица1[сумма],Таблица1[коэф],"1,4",Таблица1[р/р],"4/24",Таблица1[Ф. И. О.],B308)</f>
        <v>0</v>
      </c>
      <c r="X312" s="291">
        <f>ROUND(U312*V312*W312,2)</f>
        <v>0</v>
      </c>
      <c r="Y312" s="803"/>
      <c r="Z312" s="794"/>
      <c r="AA312" s="797"/>
    </row>
    <row r="313" spans="1:29" ht="24" thickBot="1">
      <c r="A313" s="741"/>
      <c r="B313" s="188"/>
      <c r="C313" s="800"/>
      <c r="D313" s="802"/>
      <c r="E313" s="95"/>
      <c r="F313" s="252"/>
      <c r="G313" s="91"/>
      <c r="H313" s="84"/>
      <c r="I313" s="325"/>
      <c r="J313" s="258"/>
      <c r="K313" s="267"/>
      <c r="L313" s="267"/>
      <c r="M313" s="267"/>
      <c r="N313" s="267"/>
      <c r="O313" s="267"/>
      <c r="P313" s="293"/>
      <c r="Q313" s="95">
        <f>база!$L$6</f>
        <v>261.04640000000001</v>
      </c>
      <c r="R313" s="252">
        <v>1.4</v>
      </c>
      <c r="S313" s="91">
        <f>SUMIFS(Таблица1[сумма],Таблица1[коэф],"1,4",Таблица1[р/р],"5/16",Таблица1[Ф. И. О.],B308)</f>
        <v>0</v>
      </c>
      <c r="T313" s="84">
        <f t="shared" si="198"/>
        <v>0</v>
      </c>
      <c r="U313" s="324">
        <f>база!$M$6</f>
        <v>279.0496</v>
      </c>
      <c r="V313" s="252">
        <v>1.4</v>
      </c>
      <c r="W313" s="290">
        <f>SUMIFS(Таблица1[сумма],Таблица1[коэф],"1,4",Таблица1[р/р],"5/24",Таблица1[Ф. И. О.],B308)</f>
        <v>0</v>
      </c>
      <c r="X313" s="320">
        <f>ROUND(U313*V313*W313,2)</f>
        <v>0</v>
      </c>
      <c r="Y313" s="804"/>
      <c r="Z313" s="795"/>
      <c r="AA313" s="798"/>
    </row>
    <row r="314" spans="1:29">
      <c r="A314" s="739">
        <v>29</v>
      </c>
      <c r="B314" s="219"/>
      <c r="C314" s="805">
        <f>INDEX(база!$E$2:$E$81, MATCH(B319,база!$B$2:$B$50,0))</f>
        <v>16799</v>
      </c>
      <c r="D314" s="806">
        <f>INDEX(база!$D$2:$D$89, MATCH(B319,база!$B$2:$B$50,0))</f>
        <v>3</v>
      </c>
      <c r="E314" s="66">
        <f>IF(D314&lt;=3,база!$I$4,
IF(D314=4,база!$I$5,
IF(D314=5,база!$I$6)))</f>
        <v>188.7912</v>
      </c>
      <c r="F314" s="248">
        <v>1</v>
      </c>
      <c r="G314" s="89">
        <f>SUMIFS(Таблица1[сумма],Таблица1[коэф],"1",Таблица1[р/р],"2/4",Таблица1[Ф. И. О.],B319)</f>
        <v>0</v>
      </c>
      <c r="H314" s="81">
        <f>ROUND(E314*F314*G314,2)</f>
        <v>0</v>
      </c>
      <c r="I314" s="315">
        <f>IF(D314&lt;=3,база!$J$4,
IF(D314=4,база!$J$5,
IF(D314=5,база!$J$6)))</f>
        <v>196.05240000000001</v>
      </c>
      <c r="J314" s="255">
        <v>1</v>
      </c>
      <c r="K314" s="266">
        <f>SUMIFS(Таблица1[сумма],Таблица1[коэф],"1",Таблица1[р/р],"2/8",Таблица1[Ф. И. О.],B319)</f>
        <v>0</v>
      </c>
      <c r="L314" s="266">
        <f>ROUND(I314*J314*K314,2)</f>
        <v>0</v>
      </c>
      <c r="M314" s="266"/>
      <c r="N314" s="266">
        <v>1</v>
      </c>
      <c r="O314" s="266">
        <f>SUMIFS(Data_Tech!$AM$3:$AM$67,Data_Tech!$E$3:$E$67,"1",Data_Tech!$G$3:$G$67,"3/12",Data_Tech!$F$3:$F$67,B319)</f>
        <v>0</v>
      </c>
      <c r="P314" s="259">
        <f>ROUND(M314*N314*O314,2)</f>
        <v>0</v>
      </c>
      <c r="Q314" s="66">
        <f>IF(D314&lt;=3,база!$L$4,
IF(D314=4,база!$L$5,
IF(D314=5,база!$L$6)))</f>
        <v>210.57480000000001</v>
      </c>
      <c r="R314" s="248">
        <v>1</v>
      </c>
      <c r="S314" s="89">
        <f>SUMIFS(Таблица1[сумма],Таблица1[коэф],"1",Таблица1[р/р],"3/16",Таблица1[Ф. И. О.],B319)</f>
        <v>0</v>
      </c>
      <c r="T314" s="81">
        <f t="shared" si="198"/>
        <v>0</v>
      </c>
      <c r="U314" s="316">
        <f>IF(D314&lt;=3,база!$M$4,
IF(D314=4,база!$M$5,
IF(D314=5,база!$M$6)))</f>
        <v>225.09719999999999</v>
      </c>
      <c r="V314" s="248">
        <v>1</v>
      </c>
      <c r="W314" s="317">
        <f>SUMIFS(Таблица1[сумма],Таблица1[коэф],"1",Таблица1[р/р],"3/24",Таблица1[Ф. И. О.],B319)</f>
        <v>0</v>
      </c>
      <c r="X314" s="319">
        <f>ROUND(U314*V314*W314,2)</f>
        <v>0</v>
      </c>
      <c r="Y314" s="803">
        <f t="shared" ref="Y314" si="200">SUM(G314:G324,K314:K324,O314:O324,S314:S324,W314:W324)</f>
        <v>0</v>
      </c>
      <c r="Z314" s="794">
        <f t="shared" ref="Z314" si="201">IFERROR(SUM(H314:H324,L314:L324,T314:T324,X314:X324),"")</f>
        <v>0</v>
      </c>
      <c r="AA314" s="797"/>
    </row>
    <row r="315" spans="1:29">
      <c r="A315" s="740"/>
      <c r="B315" s="201"/>
      <c r="C315" s="799"/>
      <c r="D315" s="801"/>
      <c r="E315" s="72">
        <f>IF(D314&lt;=3,база!$I$4,
IF(D314=4,база!$I$5,
IF(D314=5,база!$I$6)))</f>
        <v>188.7912</v>
      </c>
      <c r="F315" s="250">
        <v>1</v>
      </c>
      <c r="G315" s="92">
        <f>SUMIFS(Таблица1[сумма],Таблица1[коэф],"1",Таблица1[р/р],"3/4",Таблица1[Ф. И. О.],B319)</f>
        <v>0</v>
      </c>
      <c r="H315" s="88">
        <f>ROUND(E315*F315*G315,2)</f>
        <v>0</v>
      </c>
      <c r="I315" s="311">
        <f>IF(D314&lt;=3,база!$J$4,
IF(D314=4,база!$J$5,
IF(D314=5,база!$J$6)))</f>
        <v>196.05240000000001</v>
      </c>
      <c r="J315" s="257">
        <v>1</v>
      </c>
      <c r="K315" s="202">
        <f>SUMIFS(Таблица1[сумма],Таблица1[коэф],"1",Таблица1[р/р],"3/8",Таблица1[Ф. И. О.],B319)</f>
        <v>0</v>
      </c>
      <c r="L315" s="202">
        <f>ROUND(I315*J315*K315,2)</f>
        <v>0</v>
      </c>
      <c r="M315" s="202"/>
      <c r="N315" s="202">
        <v>1</v>
      </c>
      <c r="O315" s="202">
        <f>SUMIFS(Data_Tech!$AM$3:$AM$67,Data_Tech!$E$3:$E$67,"1",Data_Tech!$G$3:$G$67,"4/12",Data_Tech!$F$3:$F$67,B319)</f>
        <v>0</v>
      </c>
      <c r="P315" s="28">
        <f>ROUND(M315*O315,2)</f>
        <v>0</v>
      </c>
      <c r="Q315" s="72">
        <f>база!$L$5</f>
        <v>231.45480000000001</v>
      </c>
      <c r="R315" s="250">
        <v>1</v>
      </c>
      <c r="S315" s="92">
        <f>SUMIFS(Таблица1[сумма],Таблица1[коэф],"1",Таблица1[р/р],"4/16",Таблица1[Ф. И. О.],B319)</f>
        <v>0</v>
      </c>
      <c r="T315" s="88">
        <f t="shared" si="198"/>
        <v>0</v>
      </c>
      <c r="U315" s="292">
        <f>база!$M$5</f>
        <v>247.41720000000001</v>
      </c>
      <c r="V315" s="250">
        <v>1</v>
      </c>
      <c r="W315" s="285">
        <f>SUMIFS(Таблица1[сумма],Таблица1[коэф],"1",Таблица1[р/р],"4/24",Таблица1[Ф. И. О.],B319)</f>
        <v>0</v>
      </c>
      <c r="X315" s="291">
        <f t="shared" ref="X315" si="202">ROUND(U315*V315*W315,2)</f>
        <v>0</v>
      </c>
      <c r="Y315" s="803"/>
      <c r="Z315" s="794"/>
      <c r="AA315" s="797"/>
    </row>
    <row r="316" spans="1:29">
      <c r="A316" s="740"/>
      <c r="B316" s="201"/>
      <c r="C316" s="799"/>
      <c r="D316" s="801"/>
      <c r="E316" s="72"/>
      <c r="F316" s="250"/>
      <c r="G316" s="92"/>
      <c r="H316" s="88"/>
      <c r="I316" s="311"/>
      <c r="J316" s="257"/>
      <c r="K316" s="202"/>
      <c r="L316" s="202"/>
      <c r="M316" s="202"/>
      <c r="N316" s="202"/>
      <c r="O316" s="202"/>
      <c r="P316" s="28"/>
      <c r="Q316" s="72">
        <f>база!$L$6</f>
        <v>261.04640000000001</v>
      </c>
      <c r="R316" s="250">
        <v>1</v>
      </c>
      <c r="S316" s="92">
        <f>SUMIFS(Таблица1[сумма],Таблица1[коэф],"1",Таблица1[р/р],"5/16",Таблица1[Ф. И. О.],B319)</f>
        <v>0</v>
      </c>
      <c r="T316" s="88">
        <f t="shared" si="198"/>
        <v>0</v>
      </c>
      <c r="U316" s="292">
        <f>база!$M$6</f>
        <v>279.0496</v>
      </c>
      <c r="V316" s="250">
        <v>1</v>
      </c>
      <c r="W316" s="285">
        <f>SUMIFS(Таблица1[сумма],Таблица1[коэф],"1",Таблица1[р/р],"5/24",Таблица1[Ф. И. О.],B319)</f>
        <v>0</v>
      </c>
      <c r="X316" s="291">
        <f>ROUND(U316*V316*W316,2)</f>
        <v>0</v>
      </c>
      <c r="Y316" s="803"/>
      <c r="Z316" s="794"/>
      <c r="AA316" s="797"/>
    </row>
    <row r="317" spans="1:29">
      <c r="A317" s="740"/>
      <c r="B317" s="201"/>
      <c r="C317" s="799"/>
      <c r="D317" s="801"/>
      <c r="E317" s="72"/>
      <c r="F317" s="250"/>
      <c r="G317" s="92"/>
      <c r="H317" s="88"/>
      <c r="I317" s="311">
        <f>база!$J$5</f>
        <v>215.4924</v>
      </c>
      <c r="J317" s="257">
        <v>1.5</v>
      </c>
      <c r="K317" s="202">
        <f>SUMIFS(Таблица1[сумма],Таблица1[коэф],"1,5",Таблица1[р/р],"4/8",Таблица1[Ф. И. О.],B319)</f>
        <v>0</v>
      </c>
      <c r="L317" s="202">
        <f>ROUND(I317*J317*K317,2)</f>
        <v>0</v>
      </c>
      <c r="M317" s="202"/>
      <c r="N317" s="202"/>
      <c r="O317" s="202"/>
      <c r="P317" s="28"/>
      <c r="Q317" s="72">
        <f>IF(D314&lt;=3,база!$L$4,
IF(D314=4,база!$L$5,
IF(D314=5,база!$L$6)))</f>
        <v>210.57480000000001</v>
      </c>
      <c r="R317" s="250">
        <v>1.2</v>
      </c>
      <c r="S317" s="92">
        <f>SUMIFS(Таблица1[сумма],Таблица1[коэф],"1,2",Таблица1[р/р],"3/16",Таблица1[Ф. И. О.],B319)</f>
        <v>0</v>
      </c>
      <c r="T317" s="88">
        <f t="shared" si="198"/>
        <v>0</v>
      </c>
      <c r="U317" s="292">
        <f>IF(D314&lt;=3,база!$M$4,
IF(D314=4,база!$M$5,
IF(D314=5,база!$M$6)))</f>
        <v>225.09719999999999</v>
      </c>
      <c r="V317" s="250">
        <v>1.2</v>
      </c>
      <c r="W317" s="285">
        <f>SUMIFS(Таблица1[сумма],Таблица1[коэф],"1,2",Таблица1[р/р],"3/24",Таблица1[Ф. И. О.],B319)</f>
        <v>0</v>
      </c>
      <c r="X317" s="291">
        <f t="shared" ref="X317:X318" si="203">ROUND(U317*V317*W317,2)</f>
        <v>0</v>
      </c>
      <c r="Y317" s="803"/>
      <c r="Z317" s="794"/>
      <c r="AA317" s="797"/>
    </row>
    <row r="318" spans="1:29">
      <c r="A318" s="740"/>
      <c r="B318" s="201"/>
      <c r="C318" s="799"/>
      <c r="D318" s="801"/>
      <c r="E318" s="72"/>
      <c r="F318" s="250"/>
      <c r="G318" s="92"/>
      <c r="H318" s="88"/>
      <c r="I318" s="311">
        <f>база!$J$6</f>
        <v>243.04319999999998</v>
      </c>
      <c r="J318" s="257">
        <v>1.5</v>
      </c>
      <c r="K318" s="202">
        <f>SUMIFS(Таблица1[сумма],Таблица1[коэф],"1,5",Таблица1[р/р],"5/8",Таблица1[Ф. И. О.],B319)</f>
        <v>0</v>
      </c>
      <c r="L318" s="202">
        <f>ROUND(I318*J318*K318,2)</f>
        <v>0</v>
      </c>
      <c r="M318" s="202"/>
      <c r="N318" s="202"/>
      <c r="O318" s="202"/>
      <c r="P318" s="28"/>
      <c r="Q318" s="72">
        <f>база!$L$5</f>
        <v>231.45480000000001</v>
      </c>
      <c r="R318" s="250">
        <v>1.2</v>
      </c>
      <c r="S318" s="92">
        <f>SUMIFS(Таблица1[сумма],Таблица1[коэф],"1,2",Таблица1[р/р],"4/16",Таблица1[Ф. И. О.],B319)</f>
        <v>0</v>
      </c>
      <c r="T318" s="88">
        <f t="shared" si="198"/>
        <v>0</v>
      </c>
      <c r="U318" s="292">
        <f>база!$M$5</f>
        <v>247.41720000000001</v>
      </c>
      <c r="V318" s="250">
        <v>1.2</v>
      </c>
      <c r="W318" s="285">
        <f>SUMIFS(Таблица1[сумма],Таблица1[коэф],"1,2",Таблица1[р/р],"4/24",Таблица1[Ф. И. О.],B319)</f>
        <v>0</v>
      </c>
      <c r="X318" s="291">
        <f t="shared" si="203"/>
        <v>0</v>
      </c>
      <c r="Y318" s="803"/>
      <c r="Z318" s="794"/>
      <c r="AA318" s="797"/>
      <c r="AC318" s="688" t="str">
        <f>IF(SUMIFS(Таблица1[Столбец2],Таблица1[Ф. И. О.],B319)-Z314=0,"",SUMIFS(Таблица1[Столбец2],Таблица1[Ф. И. О.],B319)-Z314)</f>
        <v/>
      </c>
    </row>
    <row r="319" spans="1:29">
      <c r="A319" s="740"/>
      <c r="B319" s="201" t="str">
        <f>база!B30</f>
        <v>Иванченко Ульяна Леонидовна</v>
      </c>
      <c r="C319" s="799"/>
      <c r="D319" s="801"/>
      <c r="E319" s="72"/>
      <c r="F319" s="250"/>
      <c r="G319" s="92"/>
      <c r="H319" s="88"/>
      <c r="I319" s="311"/>
      <c r="J319" s="257"/>
      <c r="K319" s="202"/>
      <c r="L319" s="202"/>
      <c r="M319" s="202"/>
      <c r="N319" s="202"/>
      <c r="O319" s="202"/>
      <c r="P319" s="28"/>
      <c r="Q319" s="72">
        <f>база!$L$6</f>
        <v>261.04640000000001</v>
      </c>
      <c r="R319" s="250">
        <v>1.2</v>
      </c>
      <c r="S319" s="92">
        <f>SUMIFS(Таблица1[сумма],Таблица1[коэф],"1,2",Таблица1[р/р],"5/16",Таблица1[Ф. И. О.],B319)</f>
        <v>0</v>
      </c>
      <c r="T319" s="88">
        <f>ROUND(Q319*R319*S319,2)</f>
        <v>0</v>
      </c>
      <c r="U319" s="292">
        <f>база!$M$6</f>
        <v>279.0496</v>
      </c>
      <c r="V319" s="250">
        <v>1.2</v>
      </c>
      <c r="W319" s="285">
        <f>SUMIFS(Таблица1[сумма],Таблица1[коэф],"1,2",Таблица1[р/р],"5/24",Таблица1[Ф. И. О.],B319)</f>
        <v>0</v>
      </c>
      <c r="X319" s="291">
        <f>ROUND(U319*V319*W319,2)</f>
        <v>0</v>
      </c>
      <c r="Y319" s="803"/>
      <c r="Z319" s="794"/>
      <c r="AA319" s="797"/>
      <c r="AC319" s="688" t="str">
        <f>IF(SUMIFS(Таблица1[сумма],Таблица1[Ф. И. О.],B319)=Y314,"",B314&amp;"  часы не верны")</f>
        <v/>
      </c>
    </row>
    <row r="320" spans="1:29">
      <c r="A320" s="740"/>
      <c r="B320" s="201"/>
      <c r="C320" s="799"/>
      <c r="D320" s="801"/>
      <c r="E320" s="72"/>
      <c r="F320" s="250"/>
      <c r="G320" s="92"/>
      <c r="H320" s="88"/>
      <c r="I320" s="311"/>
      <c r="J320" s="257"/>
      <c r="K320" s="202"/>
      <c r="L320" s="202"/>
      <c r="M320" s="202"/>
      <c r="N320" s="202"/>
      <c r="O320" s="202"/>
      <c r="P320" s="28"/>
      <c r="Q320" s="72">
        <f>IF($D$6&lt;=3,база!$L$4,
IF($D$6=4,база!$L$5,
IF($D$6=5,база!$L$6)))</f>
        <v>231.45480000000001</v>
      </c>
      <c r="R320" s="250">
        <v>1.3</v>
      </c>
      <c r="S320" s="92">
        <f>SUMIFS(Таблица1[сумма],Таблица1[коэф],"1,3",Таблица1[р/р],"3/16",Таблица1[Ф. И. О.],B319)</f>
        <v>0</v>
      </c>
      <c r="T320" s="88">
        <f t="shared" ref="T320:T329" si="204">ROUND(Q320*R320*S320,2)</f>
        <v>0</v>
      </c>
      <c r="U320" s="292">
        <f>IF(D314&lt;=3,база!$M$4,
IF(D314=4,база!$M$5,
IF(D314=5,база!$M$6)))</f>
        <v>225.09719999999999</v>
      </c>
      <c r="V320" s="250">
        <v>1.3</v>
      </c>
      <c r="W320" s="285">
        <f>SUMIFS(Таблица1[сумма],Таблица1[коэф],"1,3",Таблица1[р/р],"3/24",Таблица1[Ф. И. О.],B319)</f>
        <v>0</v>
      </c>
      <c r="X320" s="291">
        <f t="shared" ref="X320:X321" si="205">ROUND(U320*V320*W320,2)</f>
        <v>0</v>
      </c>
      <c r="Y320" s="803"/>
      <c r="Z320" s="794"/>
      <c r="AA320" s="797"/>
    </row>
    <row r="321" spans="1:29">
      <c r="A321" s="740"/>
      <c r="B321" s="201"/>
      <c r="C321" s="799"/>
      <c r="D321" s="801"/>
      <c r="E321" s="72"/>
      <c r="F321" s="250"/>
      <c r="G321" s="92"/>
      <c r="H321" s="88"/>
      <c r="I321" s="311"/>
      <c r="J321" s="257"/>
      <c r="K321" s="202"/>
      <c r="L321" s="202"/>
      <c r="M321" s="202"/>
      <c r="N321" s="202"/>
      <c r="O321" s="202"/>
      <c r="P321" s="28"/>
      <c r="Q321" s="72">
        <f>база!$L$5</f>
        <v>231.45480000000001</v>
      </c>
      <c r="R321" s="250">
        <v>1.3</v>
      </c>
      <c r="S321" s="92">
        <f>SUMIFS(Таблица1[сумма],Таблица1[коэф],"1,3",Таблица1[р/р],"4/16",Таблица1[Ф. И. О.],B319)</f>
        <v>0</v>
      </c>
      <c r="T321" s="88">
        <f t="shared" si="204"/>
        <v>0</v>
      </c>
      <c r="U321" s="292">
        <f>база!$M$5</f>
        <v>247.41720000000001</v>
      </c>
      <c r="V321" s="250">
        <v>1.3</v>
      </c>
      <c r="W321" s="285">
        <f>SUMIFS(Таблица1[сумма],Таблица1[коэф],"1,3",Таблица1[р/р],"4/24",Таблица1[Ф. И. О.],B319)</f>
        <v>0</v>
      </c>
      <c r="X321" s="291">
        <f t="shared" si="205"/>
        <v>0</v>
      </c>
      <c r="Y321" s="803"/>
      <c r="Z321" s="794"/>
      <c r="AA321" s="797"/>
    </row>
    <row r="322" spans="1:29">
      <c r="A322" s="740"/>
      <c r="B322" s="201"/>
      <c r="C322" s="799"/>
      <c r="D322" s="801"/>
      <c r="E322" s="72"/>
      <c r="F322" s="250"/>
      <c r="G322" s="92"/>
      <c r="H322" s="88"/>
      <c r="I322" s="311"/>
      <c r="J322" s="257"/>
      <c r="K322" s="202"/>
      <c r="L322" s="202"/>
      <c r="M322" s="202"/>
      <c r="N322" s="202"/>
      <c r="O322" s="202"/>
      <c r="P322" s="28"/>
      <c r="Q322" s="72">
        <f>IF(D314&lt;=3,база!$L$4,
IF(D314=4,база!$L$5,
IF(D314=5,база!$L$6)))</f>
        <v>210.57480000000001</v>
      </c>
      <c r="R322" s="250">
        <v>1.4</v>
      </c>
      <c r="S322" s="92">
        <f>SUMIFS(Таблица1[сумма],Таблица1[коэф],"1,4",Таблица1[р/р],"3/16",Таблица1[Ф. И. О.],B319)</f>
        <v>0</v>
      </c>
      <c r="T322" s="88">
        <f t="shared" si="204"/>
        <v>0</v>
      </c>
      <c r="U322" s="292">
        <f>IF(D314&lt;=3,база!$M$4,
IF(D314=4,база!$M$5,
IF(D314=5,база!$M$6)))</f>
        <v>225.09719999999999</v>
      </c>
      <c r="V322" s="250">
        <v>1.4</v>
      </c>
      <c r="W322" s="285">
        <f>SUMIFS(Таблица1[сумма],Таблица1[коэф],"1,4",Таблица1[р/р],"3/24",Таблица1[Ф. И. О.],B319)</f>
        <v>0</v>
      </c>
      <c r="X322" s="291">
        <f>ROUND(U322*V322*W322,2)</f>
        <v>0</v>
      </c>
      <c r="Y322" s="803"/>
      <c r="Z322" s="794"/>
      <c r="AA322" s="797"/>
    </row>
    <row r="323" spans="1:29">
      <c r="A323" s="740"/>
      <c r="B323" s="201"/>
      <c r="C323" s="799"/>
      <c r="D323" s="801"/>
      <c r="E323" s="72"/>
      <c r="F323" s="250"/>
      <c r="G323" s="92"/>
      <c r="H323" s="88"/>
      <c r="I323" s="311"/>
      <c r="J323" s="257"/>
      <c r="K323" s="202"/>
      <c r="L323" s="202"/>
      <c r="M323" s="202"/>
      <c r="N323" s="202"/>
      <c r="O323" s="202"/>
      <c r="P323" s="28"/>
      <c r="Q323" s="72">
        <f>база!$L$5</f>
        <v>231.45480000000001</v>
      </c>
      <c r="R323" s="250">
        <v>1.4</v>
      </c>
      <c r="S323" s="92">
        <f>SUMIFS(Таблица1[сумма],Таблица1[коэф],"1,4",Таблица1[р/р],"4/16",Таблица1[Ф. И. О.],B319)</f>
        <v>0</v>
      </c>
      <c r="T323" s="88">
        <f t="shared" si="204"/>
        <v>0</v>
      </c>
      <c r="U323" s="292">
        <f>база!$M$5</f>
        <v>247.41720000000001</v>
      </c>
      <c r="V323" s="250">
        <v>1.4</v>
      </c>
      <c r="W323" s="285">
        <f>SUMIFS(Таблица1[сумма],Таблица1[коэф],"1,4",Таблица1[р/р],"4/24",Таблица1[Ф. И. О.],B319)</f>
        <v>0</v>
      </c>
      <c r="X323" s="291">
        <f>ROUND(U323*V323*W323,2)</f>
        <v>0</v>
      </c>
      <c r="Y323" s="803"/>
      <c r="Z323" s="794"/>
      <c r="AA323" s="797"/>
    </row>
    <row r="324" spans="1:29" ht="24" thickBot="1">
      <c r="A324" s="741"/>
      <c r="B324" s="188"/>
      <c r="C324" s="800"/>
      <c r="D324" s="802"/>
      <c r="E324" s="95"/>
      <c r="F324" s="252"/>
      <c r="G324" s="91"/>
      <c r="H324" s="84"/>
      <c r="I324" s="325"/>
      <c r="J324" s="258"/>
      <c r="K324" s="267"/>
      <c r="L324" s="267"/>
      <c r="M324" s="267"/>
      <c r="N324" s="267"/>
      <c r="O324" s="267"/>
      <c r="P324" s="293"/>
      <c r="Q324" s="95">
        <f>база!$L$6</f>
        <v>261.04640000000001</v>
      </c>
      <c r="R324" s="252">
        <v>1.4</v>
      </c>
      <c r="S324" s="91">
        <f>SUMIFS(Таблица1[сумма],Таблица1[коэф],"1,4",Таблица1[р/р],"5/16",Таблица1[Ф. И. О.],B319)</f>
        <v>0</v>
      </c>
      <c r="T324" s="84">
        <f t="shared" si="204"/>
        <v>0</v>
      </c>
      <c r="U324" s="324">
        <f>база!$M$6</f>
        <v>279.0496</v>
      </c>
      <c r="V324" s="252">
        <v>1.4</v>
      </c>
      <c r="W324" s="290">
        <f>SUMIFS(Таблица1[сумма],Таблица1[коэф],"1,4",Таблица1[р/р],"5/24",Таблица1[Ф. И. О.],B319)</f>
        <v>0</v>
      </c>
      <c r="X324" s="320">
        <f>ROUND(U324*V324*W324,2)</f>
        <v>0</v>
      </c>
      <c r="Y324" s="804"/>
      <c r="Z324" s="795"/>
      <c r="AA324" s="798"/>
    </row>
    <row r="325" spans="1:29">
      <c r="A325" s="739">
        <v>30</v>
      </c>
      <c r="B325" s="219"/>
      <c r="C325" s="805">
        <f>INDEX(база!$E$2:$E$81, MATCH(B330,база!$B$2:$B$50,0))</f>
        <v>17305</v>
      </c>
      <c r="D325" s="806">
        <f>INDEX(база!$D$2:$D$89, MATCH(B330,база!$B$2:$B$50,0))</f>
        <v>3</v>
      </c>
      <c r="E325" s="66">
        <f>IF(D325&lt;=3,база!$I$4,
IF(D325=4,база!$I$5,
IF(D325=5,база!$I$6)))</f>
        <v>188.7912</v>
      </c>
      <c r="F325" s="248">
        <v>1</v>
      </c>
      <c r="G325" s="89">
        <f>SUMIFS(Таблица1[сумма],Таблица1[коэф],"1",Таблица1[р/р],"2/4",Таблица1[Ф. И. О.],B330)</f>
        <v>0</v>
      </c>
      <c r="H325" s="81">
        <f>ROUND(E325*F325*G325,2)</f>
        <v>0</v>
      </c>
      <c r="I325" s="315">
        <f>IF(D325&lt;=3,база!$J$4,
IF(D325=4,база!$J$5,
IF(D325=5,база!$J$6)))</f>
        <v>196.05240000000001</v>
      </c>
      <c r="J325" s="255">
        <v>1</v>
      </c>
      <c r="K325" s="266">
        <f>SUMIFS(Таблица1[сумма],Таблица1[коэф],"1",Таблица1[р/р],"2/8",Таблица1[Ф. И. О.],B330)</f>
        <v>0</v>
      </c>
      <c r="L325" s="266">
        <f>ROUND(I325*J325*K325,2)</f>
        <v>0</v>
      </c>
      <c r="M325" s="266"/>
      <c r="N325" s="266">
        <v>1</v>
      </c>
      <c r="O325" s="266">
        <f>SUMIFS(Data_Tech!$AM$3:$AM$67,Data_Tech!$E$3:$E$67,"1",Data_Tech!$G$3:$G$67,"3/12",Data_Tech!$F$3:$F$67,B330)</f>
        <v>0</v>
      </c>
      <c r="P325" s="259">
        <f>ROUND(M325*N325*O325,2)</f>
        <v>0</v>
      </c>
      <c r="Q325" s="66">
        <f>IF(D325&lt;=3,база!$L$4,
IF(D325=4,база!$L$5,
IF(D325=5,база!$L$6)))</f>
        <v>210.57480000000001</v>
      </c>
      <c r="R325" s="248">
        <v>1</v>
      </c>
      <c r="S325" s="89">
        <f>SUMIFS(Таблица1[сумма],Таблица1[коэф],"1",Таблица1[р/р],"3/16",Таблица1[Ф. И. О.],B330)</f>
        <v>0</v>
      </c>
      <c r="T325" s="81">
        <f t="shared" si="204"/>
        <v>0</v>
      </c>
      <c r="U325" s="316">
        <f>IF(D325&lt;=3,база!$M$4,
IF(D325=4,база!$M$5,
IF(D325=5,база!$M$6)))</f>
        <v>225.09719999999999</v>
      </c>
      <c r="V325" s="248">
        <v>1</v>
      </c>
      <c r="W325" s="317">
        <f>SUMIFS(Таблица1[сумма],Таблица1[коэф],"1",Таблица1[р/р],"3/24",Таблица1[Ф. И. О.],B330)</f>
        <v>0</v>
      </c>
      <c r="X325" s="319">
        <f>ROUND(U325*V325*W325,2)</f>
        <v>0</v>
      </c>
      <c r="Y325" s="803">
        <f t="shared" ref="Y325" si="206">SUM(G325:G335,K325:K335,O325:O335,S325:S335,W325:W335)</f>
        <v>0</v>
      </c>
      <c r="Z325" s="794">
        <f t="shared" ref="Z325" si="207">IFERROR(SUM(H325:H335,L325:L335,T325:T335,X325:X335),"")</f>
        <v>0</v>
      </c>
      <c r="AA325" s="797"/>
    </row>
    <row r="326" spans="1:29">
      <c r="A326" s="740"/>
      <c r="B326" s="201"/>
      <c r="C326" s="799"/>
      <c r="D326" s="801"/>
      <c r="E326" s="72">
        <f>IF(D325&lt;=3,база!$I$4,
IF(D325=4,база!$I$5,
IF(D325=5,база!$I$6)))</f>
        <v>188.7912</v>
      </c>
      <c r="F326" s="250">
        <v>1</v>
      </c>
      <c r="G326" s="92">
        <f>SUMIFS(Таблица1[сумма],Таблица1[коэф],"1",Таблица1[р/р],"3/4",Таблица1[Ф. И. О.],B330)</f>
        <v>0</v>
      </c>
      <c r="H326" s="88">
        <f>ROUND(E326*F326*G326,2)</f>
        <v>0</v>
      </c>
      <c r="I326" s="311">
        <f>IF(D325&lt;=3,база!$J$4,
IF(D325=4,база!$J$5,
IF(D325=5,база!$J$6)))</f>
        <v>196.05240000000001</v>
      </c>
      <c r="J326" s="257">
        <v>1</v>
      </c>
      <c r="K326" s="202">
        <f>SUMIFS(Таблица1[сумма],Таблица1[коэф],"1",Таблица1[р/р],"3/8",Таблица1[Ф. И. О.],B330)</f>
        <v>0</v>
      </c>
      <c r="L326" s="202">
        <f>ROUND(I326*J326*K326,2)</f>
        <v>0</v>
      </c>
      <c r="M326" s="202"/>
      <c r="N326" s="202">
        <v>1</v>
      </c>
      <c r="O326" s="202">
        <f>SUMIFS(Data_Tech!$AM$3:$AM$67,Data_Tech!$E$3:$E$67,"1",Data_Tech!$G$3:$G$67,"4/12",Data_Tech!$F$3:$F$67,B330)</f>
        <v>0</v>
      </c>
      <c r="P326" s="28">
        <f>ROUND(M326*O326,2)</f>
        <v>0</v>
      </c>
      <c r="Q326" s="72">
        <f>база!$L$5</f>
        <v>231.45480000000001</v>
      </c>
      <c r="R326" s="250">
        <v>1</v>
      </c>
      <c r="S326" s="92">
        <f>SUMIFS(Таблица1[сумма],Таблица1[коэф],"1",Таблица1[р/р],"4/16",Таблица1[Ф. И. О.],B330)</f>
        <v>0</v>
      </c>
      <c r="T326" s="88">
        <f t="shared" si="204"/>
        <v>0</v>
      </c>
      <c r="U326" s="292">
        <f>база!$M$5</f>
        <v>247.41720000000001</v>
      </c>
      <c r="V326" s="250">
        <v>1</v>
      </c>
      <c r="W326" s="285">
        <f>SUMIFS(Таблица1[сумма],Таблица1[коэф],"1",Таблица1[р/р],"4/24",Таблица1[Ф. И. О.],B330)</f>
        <v>0</v>
      </c>
      <c r="X326" s="291">
        <f t="shared" ref="X326" si="208">ROUND(U326*V326*W326,2)</f>
        <v>0</v>
      </c>
      <c r="Y326" s="803"/>
      <c r="Z326" s="794"/>
      <c r="AA326" s="797"/>
    </row>
    <row r="327" spans="1:29">
      <c r="A327" s="740"/>
      <c r="B327" s="201"/>
      <c r="C327" s="799"/>
      <c r="D327" s="801"/>
      <c r="E327" s="72"/>
      <c r="F327" s="250"/>
      <c r="G327" s="92"/>
      <c r="H327" s="88"/>
      <c r="I327" s="311"/>
      <c r="J327" s="257"/>
      <c r="K327" s="202"/>
      <c r="L327" s="202"/>
      <c r="M327" s="202"/>
      <c r="N327" s="202"/>
      <c r="O327" s="202"/>
      <c r="P327" s="28"/>
      <c r="Q327" s="72">
        <f>база!$L$6</f>
        <v>261.04640000000001</v>
      </c>
      <c r="R327" s="250">
        <v>1</v>
      </c>
      <c r="S327" s="92">
        <f>SUMIFS(Таблица1[сумма],Таблица1[коэф],"1",Таблица1[р/р],"5/16",Таблица1[Ф. И. О.],B330)</f>
        <v>0</v>
      </c>
      <c r="T327" s="88">
        <f t="shared" si="204"/>
        <v>0</v>
      </c>
      <c r="U327" s="292">
        <f>база!$M$6</f>
        <v>279.0496</v>
      </c>
      <c r="V327" s="250">
        <v>1</v>
      </c>
      <c r="W327" s="285">
        <f>SUMIFS(Таблица1[сумма],Таблица1[коэф],"1",Таблица1[р/р],"5/24",Таблица1[Ф. И. О.],B330)</f>
        <v>0</v>
      </c>
      <c r="X327" s="291">
        <f>ROUND(U327*V327*W327,2)</f>
        <v>0</v>
      </c>
      <c r="Y327" s="803"/>
      <c r="Z327" s="794"/>
      <c r="AA327" s="797"/>
    </row>
    <row r="328" spans="1:29" ht="24" thickBot="1">
      <c r="A328" s="740"/>
      <c r="B328" s="201"/>
      <c r="C328" s="799"/>
      <c r="D328" s="801"/>
      <c r="E328" s="72"/>
      <c r="F328" s="250"/>
      <c r="G328" s="92"/>
      <c r="H328" s="88"/>
      <c r="I328" s="311">
        <f>база!$J$5</f>
        <v>215.4924</v>
      </c>
      <c r="J328" s="257">
        <v>1.5</v>
      </c>
      <c r="K328" s="202">
        <f>SUMIFS(Таблица1[сумма],Таблица1[коэф],"1,5",Таблица1[р/р],"4/8",Таблица1[Ф. И. О.],B330)</f>
        <v>0</v>
      </c>
      <c r="L328" s="202">
        <f>ROUND(I328*J328*K328,2)</f>
        <v>0</v>
      </c>
      <c r="M328" s="202"/>
      <c r="N328" s="202"/>
      <c r="O328" s="202"/>
      <c r="P328" s="28"/>
      <c r="Q328" s="72">
        <f>IF(D325&lt;=3,база!$L$4,
IF(D325=4,база!$L$5,
IF(D325=5,база!$L$6)))</f>
        <v>210.57480000000001</v>
      </c>
      <c r="R328" s="250">
        <v>1.2</v>
      </c>
      <c r="S328" s="92">
        <f>SUMIFS(Таблица1[сумма],Таблица1[коэф],"1,2",Таблица1[р/р],"3/16",Таблица1[Ф. И. О.],B330)</f>
        <v>0</v>
      </c>
      <c r="T328" s="88">
        <f t="shared" si="204"/>
        <v>0</v>
      </c>
      <c r="U328" s="292">
        <f>IF(D325&lt;=3,база!$M$4,
IF(D325=4,база!$M$5,
IF(D325=5,база!$M$6)))</f>
        <v>225.09719999999999</v>
      </c>
      <c r="V328" s="250">
        <v>1.2</v>
      </c>
      <c r="W328" s="285">
        <f>SUMIFS(Таблица1[сумма],Таблица1[коэф],"1,2",Таблица1[р/р],"3/24",Таблица1[Ф. И. О.],B330)</f>
        <v>0</v>
      </c>
      <c r="X328" s="291">
        <f t="shared" ref="X328:X329" si="209">ROUND(U328*V328*W328,2)</f>
        <v>0</v>
      </c>
      <c r="Y328" s="803"/>
      <c r="Z328" s="794"/>
      <c r="AA328" s="797"/>
    </row>
    <row r="329" spans="1:29" ht="24" thickBot="1">
      <c r="A329" s="740"/>
      <c r="B329" s="201"/>
      <c r="C329" s="799"/>
      <c r="D329" s="801"/>
      <c r="E329" s="72"/>
      <c r="F329" s="250"/>
      <c r="G329" s="92"/>
      <c r="H329" s="88"/>
      <c r="I329" s="311">
        <f>база!$J$6</f>
        <v>243.04319999999998</v>
      </c>
      <c r="J329" s="257">
        <v>1.5</v>
      </c>
      <c r="K329" s="202">
        <f>SUMIFS(Таблица1[сумма],Таблица1[коэф],"1,5",Таблица1[р/р],"5/8",Таблица1[Ф. И. О.],B330)</f>
        <v>0</v>
      </c>
      <c r="L329" s="202">
        <f>ROUND(I329*J329*K329,2)</f>
        <v>0</v>
      </c>
      <c r="M329" s="202"/>
      <c r="N329" s="202"/>
      <c r="O329" s="202"/>
      <c r="P329" s="28"/>
      <c r="Q329" s="72">
        <f>база!$L$5</f>
        <v>231.45480000000001</v>
      </c>
      <c r="R329" s="250">
        <v>1.2</v>
      </c>
      <c r="S329" s="92">
        <f>SUMIFS(Таблица1[сумма],Таблица1[коэф],"1,2",Таблица1[р/р],"4/16",Таблица1[Ф. И. О.],B330)</f>
        <v>0</v>
      </c>
      <c r="T329" s="88">
        <f t="shared" si="204"/>
        <v>0</v>
      </c>
      <c r="U329" s="292">
        <f>база!$M$5</f>
        <v>247.41720000000001</v>
      </c>
      <c r="V329" s="250">
        <v>1.2</v>
      </c>
      <c r="W329" s="285">
        <f>SUMIFS(Таблица1[сумма],Таблица1[коэф],"1,2",Таблица1[р/р],"4/24",Таблица1[Ф. И. О.],B330)</f>
        <v>0</v>
      </c>
      <c r="X329" s="291">
        <f t="shared" si="209"/>
        <v>0</v>
      </c>
      <c r="Y329" s="803"/>
      <c r="Z329" s="794"/>
      <c r="AA329" s="797"/>
      <c r="AC329" s="688" t="str">
        <f>IF(SUMIFS(Таблица1[Столбец2],Таблица1[Ф. И. О.],B330)-Z325=0,"",SUMIFS(Таблица1[Столбец2],Таблица1[Ф. И. О.],B330)-Z325)</f>
        <v/>
      </c>
    </row>
    <row r="330" spans="1:29" ht="24" thickBot="1">
      <c r="A330" s="740"/>
      <c r="B330" s="201" t="str">
        <f>база!B31</f>
        <v>Исаева Инна Игоревна</v>
      </c>
      <c r="C330" s="799"/>
      <c r="D330" s="801"/>
      <c r="E330" s="72"/>
      <c r="F330" s="250"/>
      <c r="G330" s="92"/>
      <c r="H330" s="88"/>
      <c r="I330" s="311"/>
      <c r="J330" s="257"/>
      <c r="K330" s="202"/>
      <c r="L330" s="202"/>
      <c r="M330" s="202"/>
      <c r="N330" s="202"/>
      <c r="O330" s="202"/>
      <c r="P330" s="28"/>
      <c r="Q330" s="72">
        <f>база!$L$6</f>
        <v>261.04640000000001</v>
      </c>
      <c r="R330" s="250">
        <v>1.2</v>
      </c>
      <c r="S330" s="92">
        <f>SUMIFS(Таблица1[сумма],Таблица1[коэф],"1,2",Таблица1[р/р],"5/16",Таблица1[Ф. И. О.],B330)</f>
        <v>0</v>
      </c>
      <c r="T330" s="88">
        <f>ROUND(Q330*R330*S330,2)</f>
        <v>0</v>
      </c>
      <c r="U330" s="292">
        <f>база!$M$6</f>
        <v>279.0496</v>
      </c>
      <c r="V330" s="250">
        <v>1.2</v>
      </c>
      <c r="W330" s="285">
        <f>SUMIFS(Таблица1[сумма],Таблица1[коэф],"1,2",Таблица1[р/р],"5/24",Таблица1[Ф. И. О.],B330)</f>
        <v>0</v>
      </c>
      <c r="X330" s="291">
        <f>ROUND(U330*V330*W330,2)</f>
        <v>0</v>
      </c>
      <c r="Y330" s="803"/>
      <c r="Z330" s="794"/>
      <c r="AA330" s="797"/>
      <c r="AC330" s="688" t="str">
        <f>IF(SUMIFS(Таблица1[сумма],Таблица1[Ф. И. О.],B330)=Y325,"",B325&amp;"  часы не верны")</f>
        <v/>
      </c>
    </row>
    <row r="331" spans="1:29" ht="24" thickBot="1">
      <c r="A331" s="740"/>
      <c r="B331" s="201"/>
      <c r="C331" s="799"/>
      <c r="D331" s="801"/>
      <c r="E331" s="72"/>
      <c r="F331" s="250"/>
      <c r="G331" s="92"/>
      <c r="H331" s="88"/>
      <c r="I331" s="311"/>
      <c r="J331" s="257"/>
      <c r="K331" s="202"/>
      <c r="L331" s="202"/>
      <c r="M331" s="202"/>
      <c r="N331" s="202"/>
      <c r="O331" s="202"/>
      <c r="P331" s="28"/>
      <c r="Q331" s="72">
        <f>IF($D$6&lt;=3,база!$L$4,
IF($D$6=4,база!$L$5,
IF($D$6=5,база!$L$6)))</f>
        <v>231.45480000000001</v>
      </c>
      <c r="R331" s="250">
        <v>1.3</v>
      </c>
      <c r="S331" s="92">
        <f>SUMIFS(Таблица1[сумма],Таблица1[коэф],"1,3",Таблица1[р/р],"3/16",Таблица1[Ф. И. О.],B330)</f>
        <v>0</v>
      </c>
      <c r="T331" s="88">
        <f t="shared" ref="T331:T340" si="210">ROUND(Q331*R331*S331,2)</f>
        <v>0</v>
      </c>
      <c r="U331" s="292">
        <f>IF(D325&lt;=3,база!$M$4,
IF(D325=4,база!$M$5,
IF(D325=5,база!$M$6)))</f>
        <v>225.09719999999999</v>
      </c>
      <c r="V331" s="250">
        <v>1.3</v>
      </c>
      <c r="W331" s="285">
        <f>SUMIFS(Таблица1[сумма],Таблица1[коэф],"1,3",Таблица1[р/р],"3/24",Таблица1[Ф. И. О.],B330)</f>
        <v>0</v>
      </c>
      <c r="X331" s="291">
        <f t="shared" ref="X331:X332" si="211">ROUND(U331*V331*W331,2)</f>
        <v>0</v>
      </c>
      <c r="Y331" s="803"/>
      <c r="Z331" s="794"/>
      <c r="AA331" s="797"/>
    </row>
    <row r="332" spans="1:29" ht="24" thickBot="1">
      <c r="A332" s="740"/>
      <c r="B332" s="201"/>
      <c r="C332" s="799"/>
      <c r="D332" s="801"/>
      <c r="E332" s="72"/>
      <c r="F332" s="250"/>
      <c r="G332" s="92"/>
      <c r="H332" s="88"/>
      <c r="I332" s="311"/>
      <c r="J332" s="257"/>
      <c r="K332" s="202"/>
      <c r="L332" s="202"/>
      <c r="M332" s="202"/>
      <c r="N332" s="202"/>
      <c r="O332" s="202"/>
      <c r="P332" s="28"/>
      <c r="Q332" s="72">
        <f>база!$L$5</f>
        <v>231.45480000000001</v>
      </c>
      <c r="R332" s="250">
        <v>1.3</v>
      </c>
      <c r="S332" s="92">
        <f>SUMIFS(Таблица1[сумма],Таблица1[коэф],"1,3",Таблица1[р/р],"4/16",Таблица1[Ф. И. О.],B330)</f>
        <v>0</v>
      </c>
      <c r="T332" s="88">
        <f t="shared" si="210"/>
        <v>0</v>
      </c>
      <c r="U332" s="292">
        <f>база!$M$5</f>
        <v>247.41720000000001</v>
      </c>
      <c r="V332" s="250">
        <v>1.3</v>
      </c>
      <c r="W332" s="285">
        <f>SUMIFS(Таблица1[сумма],Таблица1[коэф],"1,3",Таблица1[р/р],"4/24",Таблица1[Ф. И. О.],B330)</f>
        <v>0</v>
      </c>
      <c r="X332" s="291">
        <f t="shared" si="211"/>
        <v>0</v>
      </c>
      <c r="Y332" s="803"/>
      <c r="Z332" s="794"/>
      <c r="AA332" s="797"/>
    </row>
    <row r="333" spans="1:29" ht="24" thickBot="1">
      <c r="A333" s="740"/>
      <c r="B333" s="201"/>
      <c r="C333" s="799"/>
      <c r="D333" s="801"/>
      <c r="E333" s="72"/>
      <c r="F333" s="250"/>
      <c r="G333" s="92"/>
      <c r="H333" s="88"/>
      <c r="I333" s="311"/>
      <c r="J333" s="257"/>
      <c r="K333" s="202"/>
      <c r="L333" s="202"/>
      <c r="M333" s="202"/>
      <c r="N333" s="202"/>
      <c r="O333" s="202"/>
      <c r="P333" s="28"/>
      <c r="Q333" s="72">
        <f>IF(D325&lt;=3,база!$L$4,
IF(D325=4,база!$L$5,
IF(D325=5,база!$L$6)))</f>
        <v>210.57480000000001</v>
      </c>
      <c r="R333" s="250">
        <v>1.4</v>
      </c>
      <c r="S333" s="92">
        <f>SUMIFS(Таблица1[сумма],Таблица1[коэф],"1,4",Таблица1[р/р],"3/16",Таблица1[Ф. И. О.],B330)</f>
        <v>0</v>
      </c>
      <c r="T333" s="88">
        <f t="shared" si="210"/>
        <v>0</v>
      </c>
      <c r="U333" s="292">
        <f>IF(D325&lt;=3,база!$M$4,
IF(D325=4,база!$M$5,
IF(D325=5,база!$M$6)))</f>
        <v>225.09719999999999</v>
      </c>
      <c r="V333" s="250">
        <v>1.4</v>
      </c>
      <c r="W333" s="285">
        <f>SUMIFS(Таблица1[сумма],Таблица1[коэф],"1,4",Таблица1[р/р],"3/24",Таблица1[Ф. И. О.],B330)</f>
        <v>0</v>
      </c>
      <c r="X333" s="291">
        <f>ROUND(U333*V333*W333,2)</f>
        <v>0</v>
      </c>
      <c r="Y333" s="803"/>
      <c r="Z333" s="794"/>
      <c r="AA333" s="797"/>
    </row>
    <row r="334" spans="1:29" ht="24" thickBot="1">
      <c r="A334" s="740"/>
      <c r="B334" s="201"/>
      <c r="C334" s="799"/>
      <c r="D334" s="801"/>
      <c r="E334" s="72"/>
      <c r="F334" s="250"/>
      <c r="G334" s="92"/>
      <c r="H334" s="88"/>
      <c r="I334" s="311"/>
      <c r="J334" s="257"/>
      <c r="K334" s="202"/>
      <c r="L334" s="202"/>
      <c r="M334" s="202"/>
      <c r="N334" s="202"/>
      <c r="O334" s="202"/>
      <c r="P334" s="28"/>
      <c r="Q334" s="72">
        <f>база!$L$5</f>
        <v>231.45480000000001</v>
      </c>
      <c r="R334" s="250">
        <v>1.4</v>
      </c>
      <c r="S334" s="92">
        <f>SUMIFS(Таблица1[сумма],Таблица1[коэф],"1,4",Таблица1[р/р],"4/16",Таблица1[Ф. И. О.],B330)</f>
        <v>0</v>
      </c>
      <c r="T334" s="88">
        <f t="shared" si="210"/>
        <v>0</v>
      </c>
      <c r="U334" s="292">
        <f>база!$M$5</f>
        <v>247.41720000000001</v>
      </c>
      <c r="V334" s="250">
        <v>1.4</v>
      </c>
      <c r="W334" s="285">
        <f>SUMIFS(Таблица1[сумма],Таблица1[коэф],"1,4",Таблица1[р/р],"4/24",Таблица1[Ф. И. О.],B330)</f>
        <v>0</v>
      </c>
      <c r="X334" s="291">
        <f>ROUND(U334*V334*W334,2)</f>
        <v>0</v>
      </c>
      <c r="Y334" s="803"/>
      <c r="Z334" s="794"/>
      <c r="AA334" s="797"/>
    </row>
    <row r="335" spans="1:29" ht="24" thickBot="1">
      <c r="A335" s="741"/>
      <c r="B335" s="188"/>
      <c r="C335" s="800"/>
      <c r="D335" s="802"/>
      <c r="E335" s="95"/>
      <c r="F335" s="252"/>
      <c r="G335" s="91"/>
      <c r="H335" s="84"/>
      <c r="I335" s="325"/>
      <c r="J335" s="258"/>
      <c r="K335" s="267"/>
      <c r="L335" s="267"/>
      <c r="M335" s="267"/>
      <c r="N335" s="267"/>
      <c r="O335" s="267"/>
      <c r="P335" s="293"/>
      <c r="Q335" s="95">
        <f>база!$L$6</f>
        <v>261.04640000000001</v>
      </c>
      <c r="R335" s="252">
        <v>1.4</v>
      </c>
      <c r="S335" s="91">
        <f>SUMIFS(Таблица1[сумма],Таблица1[коэф],"1,4",Таблица1[р/р],"5/16",Таблица1[Ф. И. О.],B330)</f>
        <v>0</v>
      </c>
      <c r="T335" s="84">
        <f t="shared" si="210"/>
        <v>0</v>
      </c>
      <c r="U335" s="324">
        <f>база!$M$6</f>
        <v>279.0496</v>
      </c>
      <c r="V335" s="252">
        <v>1.4</v>
      </c>
      <c r="W335" s="290">
        <f>SUMIFS(Таблица1[сумма],Таблица1[коэф],"1,4",Таблица1[р/р],"5/24",Таблица1[Ф. И. О.],B330)</f>
        <v>0</v>
      </c>
      <c r="X335" s="320">
        <f>ROUND(U335*V335*W335,2)</f>
        <v>0</v>
      </c>
      <c r="Y335" s="804"/>
      <c r="Z335" s="795"/>
      <c r="AA335" s="798"/>
    </row>
    <row r="336" spans="1:29">
      <c r="A336" s="739">
        <v>31</v>
      </c>
      <c r="B336" s="219"/>
      <c r="C336" s="805">
        <f>INDEX(база!$E$2:$E$81, MATCH(B341,база!$B$2:$B$50,0))</f>
        <v>17270</v>
      </c>
      <c r="D336" s="806">
        <f>INDEX(база!$D$2:$D$89, MATCH(B341,база!$B$2:$B$50,0))</f>
        <v>3</v>
      </c>
      <c r="E336" s="66">
        <f>IF(D336&lt;=3,база!$I$4,
IF(D336=4,база!$I$5,
IF(D336=5,база!$I$6)))</f>
        <v>188.7912</v>
      </c>
      <c r="F336" s="248">
        <v>1</v>
      </c>
      <c r="G336" s="89">
        <f>SUMIFS(Таблица1[сумма],Таблица1[коэф],"1",Таблица1[р/р],"2/4",Таблица1[Ф. И. О.],B341)</f>
        <v>0</v>
      </c>
      <c r="H336" s="81">
        <f>ROUND(E336*F336*G336,2)</f>
        <v>0</v>
      </c>
      <c r="I336" s="315">
        <f>IF(D336&lt;=3,база!$J$4,
IF(D336=4,база!$J$5,
IF(D336=5,база!$J$6)))</f>
        <v>196.05240000000001</v>
      </c>
      <c r="J336" s="255">
        <v>1</v>
      </c>
      <c r="K336" s="266">
        <f>SUMIFS(Таблица1[сумма],Таблица1[коэф],"1",Таблица1[р/р],"2/8",Таблица1[Ф. И. О.],B341)</f>
        <v>0</v>
      </c>
      <c r="L336" s="266">
        <f>ROUND(I336*J336*K336,2)</f>
        <v>0</v>
      </c>
      <c r="M336" s="266"/>
      <c r="N336" s="266">
        <v>1</v>
      </c>
      <c r="O336" s="266">
        <f>SUMIFS(Data_Tech!$AM$3:$AM$67,Data_Tech!$E$3:$E$67,"1",Data_Tech!$G$3:$G$67,"3/12",Data_Tech!$F$3:$F$67,B341)</f>
        <v>0</v>
      </c>
      <c r="P336" s="259">
        <f>ROUND(M336*N336*O336,2)</f>
        <v>0</v>
      </c>
      <c r="Q336" s="66">
        <f>IF(D336&lt;=3,база!$L$4,
IF(D336=4,база!$L$5,
IF(D336=5,база!$L$6)))</f>
        <v>210.57480000000001</v>
      </c>
      <c r="R336" s="248">
        <v>1</v>
      </c>
      <c r="S336" s="89">
        <f>SUMIFS(Таблица1[сумма],Таблица1[коэф],"1",Таблица1[р/р],"3/16",Таблица1[Ф. И. О.],B341)</f>
        <v>0</v>
      </c>
      <c r="T336" s="81">
        <f t="shared" si="210"/>
        <v>0</v>
      </c>
      <c r="U336" s="316">
        <f>IF(D336&lt;=3,база!$M$4,
IF(D336=4,база!$M$5,
IF(D336=5,база!$M$6)))</f>
        <v>225.09719999999999</v>
      </c>
      <c r="V336" s="248">
        <v>1</v>
      </c>
      <c r="W336" s="317">
        <f>SUMIFS(Таблица1[сумма],Таблица1[коэф],"1",Таблица1[р/р],"3/24",Таблица1[Ф. И. О.],B341)</f>
        <v>0</v>
      </c>
      <c r="X336" s="319">
        <f>ROUND(U336*V336*W336,2)</f>
        <v>0</v>
      </c>
      <c r="Y336" s="803">
        <f t="shared" ref="Y336" si="212">SUM(G336:G346,K336:K346,O336:O346,S336:S346,W336:W346)</f>
        <v>0</v>
      </c>
      <c r="Z336" s="794">
        <f t="shared" ref="Z336" si="213">IFERROR(SUM(H336:H346,L336:L346,T336:T346,X336:X346),"")</f>
        <v>0</v>
      </c>
      <c r="AA336" s="797"/>
    </row>
    <row r="337" spans="1:29">
      <c r="A337" s="740"/>
      <c r="B337" s="201"/>
      <c r="C337" s="799"/>
      <c r="D337" s="801"/>
      <c r="E337" s="72">
        <f>IF(D336&lt;=3,база!$I$4,
IF(D336=4,база!$I$5,
IF(D336=5,база!$I$6)))</f>
        <v>188.7912</v>
      </c>
      <c r="F337" s="250">
        <v>1</v>
      </c>
      <c r="G337" s="92">
        <f>SUMIFS(Таблица1[сумма],Таблица1[коэф],"1",Таблица1[р/р],"3/4",Таблица1[Ф. И. О.],B341)</f>
        <v>0</v>
      </c>
      <c r="H337" s="88">
        <f>ROUND(E337*F337*G337,2)</f>
        <v>0</v>
      </c>
      <c r="I337" s="311">
        <f>IF(D336&lt;=3,база!$J$4,
IF(D336=4,база!$J$5,
IF(D336=5,база!$J$6)))</f>
        <v>196.05240000000001</v>
      </c>
      <c r="J337" s="257">
        <v>1</v>
      </c>
      <c r="K337" s="202">
        <f>SUMIFS(Таблица1[сумма],Таблица1[коэф],"1",Таблица1[р/р],"3/8",Таблица1[Ф. И. О.],B341)</f>
        <v>0</v>
      </c>
      <c r="L337" s="202">
        <f>ROUND(I337*J337*K337,2)</f>
        <v>0</v>
      </c>
      <c r="M337" s="202"/>
      <c r="N337" s="202">
        <v>1</v>
      </c>
      <c r="O337" s="202">
        <f>SUMIFS(Data_Tech!$AM$3:$AM$67,Data_Tech!$E$3:$E$67,"1",Data_Tech!$G$3:$G$67,"4/12",Data_Tech!$F$3:$F$67,B341)</f>
        <v>0</v>
      </c>
      <c r="P337" s="28">
        <f>ROUND(M337*O337,2)</f>
        <v>0</v>
      </c>
      <c r="Q337" s="72">
        <f>база!$L$5</f>
        <v>231.45480000000001</v>
      </c>
      <c r="R337" s="250">
        <v>1</v>
      </c>
      <c r="S337" s="92">
        <f>SUMIFS(Таблица1[сумма],Таблица1[коэф],"1",Таблица1[р/р],"4/16",Таблица1[Ф. И. О.],B341)</f>
        <v>0</v>
      </c>
      <c r="T337" s="88">
        <f t="shared" si="210"/>
        <v>0</v>
      </c>
      <c r="U337" s="292">
        <f>база!$M$5</f>
        <v>247.41720000000001</v>
      </c>
      <c r="V337" s="250">
        <v>1</v>
      </c>
      <c r="W337" s="285">
        <f>SUMIFS(Таблица1[сумма],Таблица1[коэф],"1",Таблица1[р/р],"4/24",Таблица1[Ф. И. О.],B341)</f>
        <v>0</v>
      </c>
      <c r="X337" s="291">
        <f t="shared" ref="X337" si="214">ROUND(U337*V337*W337,2)</f>
        <v>0</v>
      </c>
      <c r="Y337" s="803"/>
      <c r="Z337" s="794"/>
      <c r="AA337" s="797"/>
    </row>
    <row r="338" spans="1:29" ht="24" thickBot="1">
      <c r="A338" s="740"/>
      <c r="B338" s="201"/>
      <c r="C338" s="799"/>
      <c r="D338" s="801"/>
      <c r="E338" s="72"/>
      <c r="F338" s="250"/>
      <c r="G338" s="92"/>
      <c r="H338" s="88"/>
      <c r="I338" s="311"/>
      <c r="J338" s="257"/>
      <c r="K338" s="202"/>
      <c r="L338" s="202"/>
      <c r="M338" s="202"/>
      <c r="N338" s="202"/>
      <c r="O338" s="202"/>
      <c r="P338" s="28"/>
      <c r="Q338" s="72">
        <f>база!$L$6</f>
        <v>261.04640000000001</v>
      </c>
      <c r="R338" s="250">
        <v>1</v>
      </c>
      <c r="S338" s="92">
        <f>SUMIFS(Таблица1[сумма],Таблица1[коэф],"1",Таблица1[р/р],"5/16",Таблица1[Ф. И. О.],B341)</f>
        <v>0</v>
      </c>
      <c r="T338" s="88">
        <f t="shared" si="210"/>
        <v>0</v>
      </c>
      <c r="U338" s="292">
        <f>база!$M$6</f>
        <v>279.0496</v>
      </c>
      <c r="V338" s="250">
        <v>1</v>
      </c>
      <c r="W338" s="285">
        <f>SUMIFS(Таблица1[сумма],Таблица1[коэф],"1",Таблица1[р/р],"5/24",Таблица1[Ф. И. О.],B341)</f>
        <v>0</v>
      </c>
      <c r="X338" s="291">
        <f>ROUND(U338*V338*W338,2)</f>
        <v>0</v>
      </c>
      <c r="Y338" s="803"/>
      <c r="Z338" s="794"/>
      <c r="AA338" s="797"/>
    </row>
    <row r="339" spans="1:29" ht="24" thickBot="1">
      <c r="A339" s="740"/>
      <c r="B339" s="201"/>
      <c r="C339" s="799"/>
      <c r="D339" s="801"/>
      <c r="E339" s="72"/>
      <c r="F339" s="250"/>
      <c r="G339" s="92"/>
      <c r="H339" s="88"/>
      <c r="I339" s="311">
        <f>база!$J$5</f>
        <v>215.4924</v>
      </c>
      <c r="J339" s="257">
        <v>1.5</v>
      </c>
      <c r="K339" s="202">
        <f>SUMIFS(Таблица1[сумма],Таблица1[коэф],"1,5",Таблица1[р/р],"4/8",Таблица1[Ф. И. О.],B341)</f>
        <v>0</v>
      </c>
      <c r="L339" s="202">
        <f>ROUND(I339*J339*K339,2)</f>
        <v>0</v>
      </c>
      <c r="M339" s="202"/>
      <c r="N339" s="202"/>
      <c r="O339" s="202"/>
      <c r="P339" s="28"/>
      <c r="Q339" s="72">
        <f>IF(D336&lt;=3,база!$L$4,
IF(D336=4,база!$L$5,
IF(D336=5,база!$L$6)))</f>
        <v>210.57480000000001</v>
      </c>
      <c r="R339" s="250">
        <v>1.2</v>
      </c>
      <c r="S339" s="92">
        <f>SUMIFS(Таблица1[сумма],Таблица1[коэф],"1,2",Таблица1[р/р],"3/16",Таблица1[Ф. И. О.],B341)</f>
        <v>0</v>
      </c>
      <c r="T339" s="88">
        <f t="shared" si="210"/>
        <v>0</v>
      </c>
      <c r="U339" s="292">
        <f>IF(D336&lt;=3,база!$M$4,
IF(D336=4,база!$M$5,
IF(D336=5,база!$M$6)))</f>
        <v>225.09719999999999</v>
      </c>
      <c r="V339" s="250">
        <v>1.2</v>
      </c>
      <c r="W339" s="285">
        <f>SUMIFS(Таблица1[сумма],Таблица1[коэф],"1,2",Таблица1[р/р],"3/24",Таблица1[Ф. И. О.],B341)</f>
        <v>0</v>
      </c>
      <c r="X339" s="291">
        <f t="shared" ref="X339:X340" si="215">ROUND(U339*V339*W339,2)</f>
        <v>0</v>
      </c>
      <c r="Y339" s="803"/>
      <c r="Z339" s="794"/>
      <c r="AA339" s="797"/>
    </row>
    <row r="340" spans="1:29" ht="24" thickBot="1">
      <c r="A340" s="740"/>
      <c r="B340" s="201"/>
      <c r="C340" s="799"/>
      <c r="D340" s="801"/>
      <c r="E340" s="72"/>
      <c r="F340" s="250"/>
      <c r="G340" s="92"/>
      <c r="H340" s="88"/>
      <c r="I340" s="311">
        <f>база!$J$6</f>
        <v>243.04319999999998</v>
      </c>
      <c r="J340" s="257">
        <v>1.5</v>
      </c>
      <c r="K340" s="202">
        <f>SUMIFS(Таблица1[сумма],Таблица1[коэф],"1,5",Таблица1[р/р],"5/8",Таблица1[Ф. И. О.],B341)</f>
        <v>0</v>
      </c>
      <c r="L340" s="202">
        <f>ROUND(I340*J340*K340,2)</f>
        <v>0</v>
      </c>
      <c r="M340" s="202"/>
      <c r="N340" s="202"/>
      <c r="O340" s="202"/>
      <c r="P340" s="28"/>
      <c r="Q340" s="72">
        <f>база!$L$5</f>
        <v>231.45480000000001</v>
      </c>
      <c r="R340" s="250">
        <v>1.2</v>
      </c>
      <c r="S340" s="92">
        <f>SUMIFS(Таблица1[сумма],Таблица1[коэф],"1,2",Таблица1[р/р],"4/16",Таблица1[Ф. И. О.],B341)</f>
        <v>0</v>
      </c>
      <c r="T340" s="88">
        <f t="shared" si="210"/>
        <v>0</v>
      </c>
      <c r="U340" s="292">
        <f>база!$M$5</f>
        <v>247.41720000000001</v>
      </c>
      <c r="V340" s="250">
        <v>1.2</v>
      </c>
      <c r="W340" s="285">
        <f>SUMIFS(Таблица1[сумма],Таблица1[коэф],"1,2",Таблица1[р/р],"4/24",Таблица1[Ф. И. О.],B341)</f>
        <v>0</v>
      </c>
      <c r="X340" s="291">
        <f t="shared" si="215"/>
        <v>0</v>
      </c>
      <c r="Y340" s="803"/>
      <c r="Z340" s="794"/>
      <c r="AA340" s="797"/>
      <c r="AC340" s="688" t="e">
        <f>IF(SUMIFS([1]!Таблица1[Столбец2],[1]!Таблица1[Ф. И. О.],B341)-Z336=0,"",SUMIFS([1]!Таблица1[Столбец2],[1]!Таблица1[Ф. И. О.],B341)-Z336)</f>
        <v>#REF!</v>
      </c>
    </row>
    <row r="341" spans="1:29" ht="24" thickBot="1">
      <c r="A341" s="740"/>
      <c r="B341" s="201" t="str">
        <f>база!B32</f>
        <v>Кабакова Алина Дмитриевна</v>
      </c>
      <c r="C341" s="799"/>
      <c r="D341" s="801"/>
      <c r="E341" s="72"/>
      <c r="F341" s="250"/>
      <c r="G341" s="92"/>
      <c r="H341" s="88"/>
      <c r="I341" s="311"/>
      <c r="J341" s="257"/>
      <c r="K341" s="202"/>
      <c r="L341" s="202"/>
      <c r="M341" s="202"/>
      <c r="N341" s="202"/>
      <c r="O341" s="202"/>
      <c r="P341" s="28"/>
      <c r="Q341" s="72">
        <f>база!$L$6</f>
        <v>261.04640000000001</v>
      </c>
      <c r="R341" s="250">
        <v>1.2</v>
      </c>
      <c r="S341" s="92">
        <f>SUMIFS(Таблица1[сумма],Таблица1[коэф],"1,2",Таблица1[р/р],"5/16",Таблица1[Ф. И. О.],B341)</f>
        <v>0</v>
      </c>
      <c r="T341" s="88">
        <f>ROUND(Q341*R341*S341,2)</f>
        <v>0</v>
      </c>
      <c r="U341" s="292">
        <f>база!$M$6</f>
        <v>279.0496</v>
      </c>
      <c r="V341" s="250">
        <v>1.2</v>
      </c>
      <c r="W341" s="285">
        <f>SUMIFS(Таблица1[сумма],Таблица1[коэф],"1,2",Таблица1[р/р],"5/24",Таблица1[Ф. И. О.],B341)</f>
        <v>0</v>
      </c>
      <c r="X341" s="291">
        <f>ROUND(U341*V341*W341,2)</f>
        <v>0</v>
      </c>
      <c r="Y341" s="803"/>
      <c r="Z341" s="794"/>
      <c r="AA341" s="797"/>
      <c r="AC341" s="688" t="e">
        <f>IF(SUMIFS([1]!Таблица1[[                                                     ]],[1]!Таблица1[Ф. И. О.],B341)=Y336,"",B341&amp;"  часы не верны")</f>
        <v>#REF!</v>
      </c>
    </row>
    <row r="342" spans="1:29" ht="24" thickBot="1">
      <c r="A342" s="740"/>
      <c r="B342" s="201"/>
      <c r="C342" s="799"/>
      <c r="D342" s="801"/>
      <c r="E342" s="72"/>
      <c r="F342" s="250"/>
      <c r="G342" s="92"/>
      <c r="H342" s="88"/>
      <c r="I342" s="311"/>
      <c r="J342" s="257"/>
      <c r="K342" s="202"/>
      <c r="L342" s="202"/>
      <c r="M342" s="202"/>
      <c r="N342" s="202"/>
      <c r="O342" s="202"/>
      <c r="P342" s="28"/>
      <c r="Q342" s="72">
        <f>IF($D$6&lt;=3,база!$L$4,
IF($D$6=4,база!$L$5,
IF($D$6=5,база!$L$6)))</f>
        <v>231.45480000000001</v>
      </c>
      <c r="R342" s="250">
        <v>1.3</v>
      </c>
      <c r="S342" s="92">
        <f>SUMIFS(Таблица1[сумма],Таблица1[коэф],"1,3",Таблица1[р/р],"3/16",Таблица1[Ф. И. О.],B341)</f>
        <v>0</v>
      </c>
      <c r="T342" s="88">
        <f t="shared" ref="T342:T351" si="216">ROUND(Q342*R342*S342,2)</f>
        <v>0</v>
      </c>
      <c r="U342" s="292">
        <f>IF(D336&lt;=3,база!$M$4,
IF(D336=4,база!$M$5,
IF(D336=5,база!$M$6)))</f>
        <v>225.09719999999999</v>
      </c>
      <c r="V342" s="250">
        <v>1.3</v>
      </c>
      <c r="W342" s="285">
        <f>SUMIFS(Таблица1[сумма],Таблица1[коэф],"1,3",Таблица1[р/р],"3/24",Таблица1[Ф. И. О.],B341)</f>
        <v>0</v>
      </c>
      <c r="X342" s="291">
        <f t="shared" ref="X342:X343" si="217">ROUND(U342*V342*W342,2)</f>
        <v>0</v>
      </c>
      <c r="Y342" s="803"/>
      <c r="Z342" s="794"/>
      <c r="AA342" s="797"/>
    </row>
    <row r="343" spans="1:29" ht="24" thickBot="1">
      <c r="A343" s="740"/>
      <c r="B343" s="201"/>
      <c r="C343" s="799"/>
      <c r="D343" s="801"/>
      <c r="E343" s="72"/>
      <c r="F343" s="250"/>
      <c r="G343" s="92"/>
      <c r="H343" s="88"/>
      <c r="I343" s="311"/>
      <c r="J343" s="257"/>
      <c r="K343" s="202"/>
      <c r="L343" s="202"/>
      <c r="M343" s="202"/>
      <c r="N343" s="202"/>
      <c r="O343" s="202"/>
      <c r="P343" s="28"/>
      <c r="Q343" s="72">
        <f>база!$L$5</f>
        <v>231.45480000000001</v>
      </c>
      <c r="R343" s="250">
        <v>1.3</v>
      </c>
      <c r="S343" s="92">
        <f>SUMIFS(Таблица1[сумма],Таблица1[коэф],"1,3",Таблица1[р/р],"4/16",Таблица1[Ф. И. О.],B341)</f>
        <v>0</v>
      </c>
      <c r="T343" s="88">
        <f t="shared" si="216"/>
        <v>0</v>
      </c>
      <c r="U343" s="292">
        <f>база!$M$5</f>
        <v>247.41720000000001</v>
      </c>
      <c r="V343" s="250">
        <v>1.3</v>
      </c>
      <c r="W343" s="285">
        <f>SUMIFS(Таблица1[сумма],Таблица1[коэф],"1,3",Таблица1[р/р],"4/24",Таблица1[Ф. И. О.],B341)</f>
        <v>0</v>
      </c>
      <c r="X343" s="291">
        <f t="shared" si="217"/>
        <v>0</v>
      </c>
      <c r="Y343" s="803"/>
      <c r="Z343" s="794"/>
      <c r="AA343" s="797"/>
    </row>
    <row r="344" spans="1:29" ht="24" thickBot="1">
      <c r="A344" s="740"/>
      <c r="B344" s="201"/>
      <c r="C344" s="799"/>
      <c r="D344" s="801"/>
      <c r="E344" s="72"/>
      <c r="F344" s="250"/>
      <c r="G344" s="92"/>
      <c r="H344" s="88"/>
      <c r="I344" s="311"/>
      <c r="J344" s="257"/>
      <c r="K344" s="202"/>
      <c r="L344" s="202"/>
      <c r="M344" s="202"/>
      <c r="N344" s="202"/>
      <c r="O344" s="202"/>
      <c r="P344" s="28"/>
      <c r="Q344" s="72">
        <f>IF(D336&lt;=3,база!$L$4,
IF(D336=4,база!$L$5,
IF(D336=5,база!$L$6)))</f>
        <v>210.57480000000001</v>
      </c>
      <c r="R344" s="250">
        <v>1.4</v>
      </c>
      <c r="S344" s="92">
        <f>SUMIFS(Таблица1[сумма],Таблица1[коэф],"1,4",Таблица1[р/р],"3/16",Таблица1[Ф. И. О.],B341)</f>
        <v>0</v>
      </c>
      <c r="T344" s="88">
        <f t="shared" si="216"/>
        <v>0</v>
      </c>
      <c r="U344" s="292">
        <f>IF(D336&lt;=3,база!$M$4,
IF(D336=4,база!$M$5,
IF(D336=5,база!$M$6)))</f>
        <v>225.09719999999999</v>
      </c>
      <c r="V344" s="250">
        <v>1.4</v>
      </c>
      <c r="W344" s="285">
        <f>SUMIFS(Таблица1[сумма],Таблица1[коэф],"1,4",Таблица1[р/р],"3/24",Таблица1[Ф. И. О.],B341)</f>
        <v>0</v>
      </c>
      <c r="X344" s="291">
        <f>ROUND(U344*V344*W344,2)</f>
        <v>0</v>
      </c>
      <c r="Y344" s="803"/>
      <c r="Z344" s="794"/>
      <c r="AA344" s="797"/>
    </row>
    <row r="345" spans="1:29" ht="24" thickBot="1">
      <c r="A345" s="740"/>
      <c r="B345" s="201"/>
      <c r="C345" s="799"/>
      <c r="D345" s="801"/>
      <c r="E345" s="72"/>
      <c r="F345" s="250"/>
      <c r="G345" s="92"/>
      <c r="H345" s="88"/>
      <c r="I345" s="311"/>
      <c r="J345" s="257"/>
      <c r="K345" s="202"/>
      <c r="L345" s="202"/>
      <c r="M345" s="202"/>
      <c r="N345" s="202"/>
      <c r="O345" s="202"/>
      <c r="P345" s="28"/>
      <c r="Q345" s="72">
        <f>база!$L$5</f>
        <v>231.45480000000001</v>
      </c>
      <c r="R345" s="250">
        <v>1.4</v>
      </c>
      <c r="S345" s="92">
        <f>SUMIFS(Таблица1[сумма],Таблица1[коэф],"1,4",Таблица1[р/р],"4/16",Таблица1[Ф. И. О.],B341)</f>
        <v>0</v>
      </c>
      <c r="T345" s="88">
        <f t="shared" si="216"/>
        <v>0</v>
      </c>
      <c r="U345" s="292">
        <f>база!$M$5</f>
        <v>247.41720000000001</v>
      </c>
      <c r="V345" s="250">
        <v>1.4</v>
      </c>
      <c r="W345" s="285">
        <f>SUMIFS(Таблица1[сумма],Таблица1[коэф],"1,4",Таблица1[р/р],"4/24",Таблица1[Ф. И. О.],B341)</f>
        <v>0</v>
      </c>
      <c r="X345" s="291">
        <f>ROUND(U345*V345*W345,2)</f>
        <v>0</v>
      </c>
      <c r="Y345" s="803"/>
      <c r="Z345" s="794"/>
      <c r="AA345" s="797"/>
    </row>
    <row r="346" spans="1:29" ht="24" thickBot="1">
      <c r="A346" s="741"/>
      <c r="B346" s="188"/>
      <c r="C346" s="800"/>
      <c r="D346" s="802"/>
      <c r="E346" s="95"/>
      <c r="F346" s="252"/>
      <c r="G346" s="91"/>
      <c r="H346" s="84"/>
      <c r="I346" s="325"/>
      <c r="J346" s="258"/>
      <c r="K346" s="267"/>
      <c r="L346" s="267"/>
      <c r="M346" s="267"/>
      <c r="N346" s="267"/>
      <c r="O346" s="267"/>
      <c r="P346" s="293"/>
      <c r="Q346" s="95">
        <f>база!$L$6</f>
        <v>261.04640000000001</v>
      </c>
      <c r="R346" s="252">
        <v>1.4</v>
      </c>
      <c r="S346" s="91">
        <f>SUMIFS(Таблица1[сумма],Таблица1[коэф],"1,4",Таблица1[р/р],"5/16",Таблица1[Ф. И. О.],B341)</f>
        <v>0</v>
      </c>
      <c r="T346" s="84">
        <f t="shared" si="216"/>
        <v>0</v>
      </c>
      <c r="U346" s="324">
        <f>база!$M$6</f>
        <v>279.0496</v>
      </c>
      <c r="V346" s="252">
        <v>1.4</v>
      </c>
      <c r="W346" s="290">
        <f>SUMIFS(Таблица1[сумма],Таблица1[коэф],"1,4",Таблица1[р/р],"5/24",Таблица1[Ф. И. О.],B341)</f>
        <v>0</v>
      </c>
      <c r="X346" s="320">
        <f>ROUND(U346*V346*W346,2)</f>
        <v>0</v>
      </c>
      <c r="Y346" s="804"/>
      <c r="Z346" s="795"/>
      <c r="AA346" s="798"/>
    </row>
    <row r="347" spans="1:29">
      <c r="A347" s="739">
        <v>32</v>
      </c>
      <c r="B347" s="219"/>
      <c r="C347" s="805">
        <f>INDEX(база!$E$2:$E$81, MATCH(B352,база!$B$2:$B$50,0))</f>
        <v>16919</v>
      </c>
      <c r="D347" s="806">
        <f>INDEX(база!$D$2:$D$89, MATCH(B352,база!$B$2:$B$50,0))</f>
        <v>3</v>
      </c>
      <c r="E347" s="66">
        <f>IF(D347&lt;=3,база!$I$4,
IF(D347=4,база!$I$5,
IF(D347=5,база!$I$6)))</f>
        <v>188.7912</v>
      </c>
      <c r="F347" s="248">
        <v>1</v>
      </c>
      <c r="G347" s="89">
        <f>SUMIFS(Таблица1[сумма],Таблица1[коэф],"1",Таблица1[р/р],"2/4",Таблица1[Ф. И. О.],B352)</f>
        <v>0</v>
      </c>
      <c r="H347" s="81">
        <f>ROUND(E347*F347*G347,2)</f>
        <v>0</v>
      </c>
      <c r="I347" s="315">
        <f>IF(D347&lt;=3,база!$J$4,
IF(D347=4,база!$J$5,
IF(D347=5,база!$J$6)))</f>
        <v>196.05240000000001</v>
      </c>
      <c r="J347" s="255">
        <v>1</v>
      </c>
      <c r="K347" s="266">
        <f>SUMIFS(Таблица1[сумма],Таблица1[коэф],"1",Таблица1[р/р],"2/8",Таблица1[Ф. И. О.],B352)</f>
        <v>0</v>
      </c>
      <c r="L347" s="266">
        <f>ROUND(I347*J347*K347,2)</f>
        <v>0</v>
      </c>
      <c r="M347" s="266"/>
      <c r="N347" s="266">
        <v>1</v>
      </c>
      <c r="O347" s="266">
        <f>SUMIFS(Data_Tech!$AM$3:$AM$67,Data_Tech!$E$3:$E$67,"1",Data_Tech!$G$3:$G$67,"3/12",Data_Tech!$F$3:$F$67,B352)</f>
        <v>0</v>
      </c>
      <c r="P347" s="259">
        <f>ROUND(M347*N347*O347,2)</f>
        <v>0</v>
      </c>
      <c r="Q347" s="66">
        <f>IF(D347&lt;=3,база!$L$4,
IF(D347=4,база!$L$5,
IF(D347=5,база!$L$6)))</f>
        <v>210.57480000000001</v>
      </c>
      <c r="R347" s="248">
        <v>1</v>
      </c>
      <c r="S347" s="89">
        <f>SUMIFS(Таблица1[сумма],Таблица1[коэф],"1",Таблица1[р/р],"3/16",Таблица1[Ф. И. О.],B352)</f>
        <v>0</v>
      </c>
      <c r="T347" s="81">
        <f t="shared" si="216"/>
        <v>0</v>
      </c>
      <c r="U347" s="316">
        <f>IF(D347&lt;=3,база!$M$4,
IF(D347=4,база!$M$5,
IF(D347=5,база!$M$6)))</f>
        <v>225.09719999999999</v>
      </c>
      <c r="V347" s="248">
        <v>1</v>
      </c>
      <c r="W347" s="317">
        <f>SUMIFS(Таблица1[сумма],Таблица1[коэф],"1",Таблица1[р/р],"3/24",Таблица1[Ф. И. О.],B352)</f>
        <v>0</v>
      </c>
      <c r="X347" s="319">
        <f>ROUND(U347*V347*W347,2)</f>
        <v>0</v>
      </c>
      <c r="Y347" s="803">
        <f t="shared" ref="Y347" si="218">SUM(G347:G357,K347:K357,O347:O357,S347:S357,W347:W357)</f>
        <v>0</v>
      </c>
      <c r="Z347" s="794">
        <f t="shared" ref="Z347" si="219">IFERROR(SUM(H347:H357,L347:L357,T347:T357,X347:X357),"")</f>
        <v>0</v>
      </c>
      <c r="AA347" s="797"/>
    </row>
    <row r="348" spans="1:29">
      <c r="A348" s="740"/>
      <c r="B348" s="201"/>
      <c r="C348" s="799"/>
      <c r="D348" s="801"/>
      <c r="E348" s="72">
        <f>IF(D347&lt;=3,база!$I$4,
IF(D347=4,база!$I$5,
IF(D347=5,база!$I$6)))</f>
        <v>188.7912</v>
      </c>
      <c r="F348" s="250">
        <v>1</v>
      </c>
      <c r="G348" s="92">
        <f>SUMIFS(Таблица1[сумма],Таблица1[коэф],"1",Таблица1[р/р],"3/4",Таблица1[Ф. И. О.],B352)</f>
        <v>0</v>
      </c>
      <c r="H348" s="88">
        <f>ROUND(E348*F348*G348,2)</f>
        <v>0</v>
      </c>
      <c r="I348" s="311">
        <f>IF(D347&lt;=3,база!$J$4,
IF(D347=4,база!$J$5,
IF(D347=5,база!$J$6)))</f>
        <v>196.05240000000001</v>
      </c>
      <c r="J348" s="257">
        <v>1</v>
      </c>
      <c r="K348" s="202">
        <f>SUMIFS(Таблица1[сумма],Таблица1[коэф],"1",Таблица1[р/р],"3/8",Таблица1[Ф. И. О.],B352)</f>
        <v>0</v>
      </c>
      <c r="L348" s="202">
        <f>ROUND(I348*J348*K348,2)</f>
        <v>0</v>
      </c>
      <c r="M348" s="202"/>
      <c r="N348" s="202">
        <v>1</v>
      </c>
      <c r="O348" s="202">
        <f>SUMIFS(Data_Tech!$AM$3:$AM$67,Data_Tech!$E$3:$E$67,"1",Data_Tech!$G$3:$G$67,"4/12",Data_Tech!$F$3:$F$67,B352)</f>
        <v>0</v>
      </c>
      <c r="P348" s="28">
        <f>ROUND(M348*O348,2)</f>
        <v>0</v>
      </c>
      <c r="Q348" s="72">
        <f>база!$L$5</f>
        <v>231.45480000000001</v>
      </c>
      <c r="R348" s="250">
        <v>1</v>
      </c>
      <c r="S348" s="92">
        <f>SUMIFS(Таблица1[сумма],Таблица1[коэф],"1",Таблица1[р/р],"4/16",Таблица1[Ф. И. О.],B352)</f>
        <v>0</v>
      </c>
      <c r="T348" s="88">
        <f t="shared" si="216"/>
        <v>0</v>
      </c>
      <c r="U348" s="292">
        <f>база!$M$5</f>
        <v>247.41720000000001</v>
      </c>
      <c r="V348" s="250">
        <v>1</v>
      </c>
      <c r="W348" s="285">
        <f>SUMIFS(Таблица1[сумма],Таблица1[коэф],"1",Таблица1[р/р],"4/24",Таблица1[Ф. И. О.],B352)</f>
        <v>0</v>
      </c>
      <c r="X348" s="291">
        <f t="shared" ref="X348" si="220">ROUND(U348*V348*W348,2)</f>
        <v>0</v>
      </c>
      <c r="Y348" s="803"/>
      <c r="Z348" s="794"/>
      <c r="AA348" s="797"/>
    </row>
    <row r="349" spans="1:29" ht="24" thickBot="1">
      <c r="A349" s="740"/>
      <c r="B349" s="201"/>
      <c r="C349" s="799"/>
      <c r="D349" s="801"/>
      <c r="E349" s="72"/>
      <c r="F349" s="250"/>
      <c r="G349" s="92"/>
      <c r="H349" s="88"/>
      <c r="I349" s="311"/>
      <c r="J349" s="257"/>
      <c r="K349" s="202"/>
      <c r="L349" s="202"/>
      <c r="M349" s="202"/>
      <c r="N349" s="202"/>
      <c r="O349" s="202"/>
      <c r="P349" s="28"/>
      <c r="Q349" s="72">
        <f>база!$L$6</f>
        <v>261.04640000000001</v>
      </c>
      <c r="R349" s="250">
        <v>1</v>
      </c>
      <c r="S349" s="92">
        <f>SUMIFS(Таблица1[сумма],Таблица1[коэф],"1",Таблица1[р/р],"5/16",Таблица1[Ф. И. О.],B352)</f>
        <v>0</v>
      </c>
      <c r="T349" s="88">
        <f t="shared" si="216"/>
        <v>0</v>
      </c>
      <c r="U349" s="292">
        <f>база!$M$6</f>
        <v>279.0496</v>
      </c>
      <c r="V349" s="250">
        <v>1</v>
      </c>
      <c r="W349" s="285">
        <f>SUMIFS(Таблица1[сумма],Таблица1[коэф],"1",Таблица1[р/р],"5/24",Таблица1[Ф. И. О.],B352)</f>
        <v>0</v>
      </c>
      <c r="X349" s="291">
        <f>ROUND(U349*V349*W349,2)</f>
        <v>0</v>
      </c>
      <c r="Y349" s="803"/>
      <c r="Z349" s="794"/>
      <c r="AA349" s="797"/>
    </row>
    <row r="350" spans="1:29" ht="24" thickBot="1">
      <c r="A350" s="740"/>
      <c r="B350" s="201"/>
      <c r="C350" s="799"/>
      <c r="D350" s="801"/>
      <c r="E350" s="72"/>
      <c r="F350" s="250"/>
      <c r="G350" s="92"/>
      <c r="H350" s="88"/>
      <c r="I350" s="311">
        <f>база!$J$5</f>
        <v>215.4924</v>
      </c>
      <c r="J350" s="257">
        <v>1.5</v>
      </c>
      <c r="K350" s="202">
        <f>SUMIFS(Таблица1[сумма],Таблица1[коэф],"1,5",Таблица1[р/р],"4/8",Таблица1[Ф. И. О.],B352)</f>
        <v>0</v>
      </c>
      <c r="L350" s="202">
        <f>ROUND(I350*J350*K350,2)</f>
        <v>0</v>
      </c>
      <c r="M350" s="202"/>
      <c r="N350" s="202"/>
      <c r="O350" s="202"/>
      <c r="P350" s="28"/>
      <c r="Q350" s="72">
        <f>IF(D347&lt;=3,база!$L$4,
IF(D347=4,база!$L$5,
IF(D347=5,база!$L$6)))</f>
        <v>210.57480000000001</v>
      </c>
      <c r="R350" s="250">
        <v>1.2</v>
      </c>
      <c r="S350" s="92">
        <f>SUMIFS(Таблица1[сумма],Таблица1[коэф],"1,2",Таблица1[р/р],"3/16",Таблица1[Ф. И. О.],B352)</f>
        <v>0</v>
      </c>
      <c r="T350" s="88">
        <f t="shared" si="216"/>
        <v>0</v>
      </c>
      <c r="U350" s="292">
        <f>IF(D347&lt;=3,база!$M$4,
IF(D347=4,база!$M$5,
IF(D347=5,база!$M$6)))</f>
        <v>225.09719999999999</v>
      </c>
      <c r="V350" s="250">
        <v>1.2</v>
      </c>
      <c r="W350" s="285">
        <f>SUMIFS(Таблица1[сумма],Таблица1[коэф],"1,2",Таблица1[р/р],"3/24",Таблица1[Ф. И. О.],B352)</f>
        <v>0</v>
      </c>
      <c r="X350" s="291">
        <f t="shared" ref="X350:X351" si="221">ROUND(U350*V350*W350,2)</f>
        <v>0</v>
      </c>
      <c r="Y350" s="803"/>
      <c r="Z350" s="794"/>
      <c r="AA350" s="797"/>
    </row>
    <row r="351" spans="1:29" ht="24" thickBot="1">
      <c r="A351" s="740"/>
      <c r="B351" s="201"/>
      <c r="C351" s="799"/>
      <c r="D351" s="801"/>
      <c r="E351" s="72"/>
      <c r="F351" s="250"/>
      <c r="G351" s="92"/>
      <c r="H351" s="88"/>
      <c r="I351" s="311">
        <f>база!$J$6</f>
        <v>243.04319999999998</v>
      </c>
      <c r="J351" s="257">
        <v>1.5</v>
      </c>
      <c r="K351" s="202">
        <f>SUMIFS(Таблица1[сумма],Таблица1[коэф],"1,5",Таблица1[р/р],"5/8",Таблица1[Ф. И. О.],B352)</f>
        <v>0</v>
      </c>
      <c r="L351" s="202">
        <f>ROUND(I351*J351*K351,2)</f>
        <v>0</v>
      </c>
      <c r="M351" s="202"/>
      <c r="N351" s="202"/>
      <c r="O351" s="202"/>
      <c r="P351" s="28"/>
      <c r="Q351" s="72">
        <f>база!$L$5</f>
        <v>231.45480000000001</v>
      </c>
      <c r="R351" s="250">
        <v>1.2</v>
      </c>
      <c r="S351" s="92">
        <f>SUMIFS(Таблица1[сумма],Таблица1[коэф],"1,2",Таблица1[р/р],"4/16",Таблица1[Ф. И. О.],B352)</f>
        <v>0</v>
      </c>
      <c r="T351" s="88">
        <f t="shared" si="216"/>
        <v>0</v>
      </c>
      <c r="U351" s="292">
        <f>база!$M$5</f>
        <v>247.41720000000001</v>
      </c>
      <c r="V351" s="250">
        <v>1.2</v>
      </c>
      <c r="W351" s="285">
        <f>SUMIFS(Таблица1[сумма],Таблица1[коэф],"1,2",Таблица1[р/р],"4/24",Таблица1[Ф. И. О.],B352)</f>
        <v>0</v>
      </c>
      <c r="X351" s="291">
        <f t="shared" si="221"/>
        <v>0</v>
      </c>
      <c r="Y351" s="803"/>
      <c r="Z351" s="794"/>
      <c r="AA351" s="797"/>
      <c r="AC351" s="688" t="str">
        <f>IF(SUMIFS(Таблица1[Столбец2],Таблица1[Ф. И. О.],B352)-Z347=0,"",SUMIFS(Таблица1[Столбец2],Таблица1[Ф. И. О.],B352)-Z347)</f>
        <v/>
      </c>
    </row>
    <row r="352" spans="1:29" ht="24" thickBot="1">
      <c r="A352" s="740"/>
      <c r="B352" s="201" t="str">
        <f>база!B33</f>
        <v>Кабанова Анастасия Евгеньевна</v>
      </c>
      <c r="C352" s="799"/>
      <c r="D352" s="801"/>
      <c r="E352" s="72"/>
      <c r="F352" s="250"/>
      <c r="G352" s="92"/>
      <c r="H352" s="88"/>
      <c r="I352" s="311"/>
      <c r="J352" s="257"/>
      <c r="K352" s="202"/>
      <c r="L352" s="202"/>
      <c r="M352" s="202"/>
      <c r="N352" s="202"/>
      <c r="O352" s="202"/>
      <c r="P352" s="28"/>
      <c r="Q352" s="72">
        <f>база!$L$6</f>
        <v>261.04640000000001</v>
      </c>
      <c r="R352" s="250">
        <v>1.2</v>
      </c>
      <c r="S352" s="92">
        <f>SUMIFS(Таблица1[сумма],Таблица1[коэф],"1,2",Таблица1[р/р],"5/16",Таблица1[Ф. И. О.],B352)</f>
        <v>0</v>
      </c>
      <c r="T352" s="88">
        <f>ROUND(Q352*R352*S352,2)</f>
        <v>0</v>
      </c>
      <c r="U352" s="292">
        <f>база!$M$6</f>
        <v>279.0496</v>
      </c>
      <c r="V352" s="250">
        <v>1.2</v>
      </c>
      <c r="W352" s="285">
        <f>SUMIFS(Таблица1[сумма],Таблица1[коэф],"1,2",Таблица1[р/р],"5/24",Таблица1[Ф. И. О.],B352)</f>
        <v>0</v>
      </c>
      <c r="X352" s="291">
        <f>ROUND(U352*V352*W352,2)</f>
        <v>0</v>
      </c>
      <c r="Y352" s="803"/>
      <c r="Z352" s="794"/>
      <c r="AA352" s="797"/>
      <c r="AC352" s="688" t="str">
        <f>IF(SUMIFS(Таблица1[сумма],Таблица1[Ф. И. О.],B352)=Y347,"",B347&amp;"  часы не верны")</f>
        <v/>
      </c>
    </row>
    <row r="353" spans="1:29" ht="24" thickBot="1">
      <c r="A353" s="740"/>
      <c r="B353" s="201"/>
      <c r="C353" s="799"/>
      <c r="D353" s="801"/>
      <c r="E353" s="72"/>
      <c r="F353" s="250"/>
      <c r="G353" s="92"/>
      <c r="H353" s="88"/>
      <c r="I353" s="311"/>
      <c r="J353" s="257"/>
      <c r="K353" s="202"/>
      <c r="L353" s="202"/>
      <c r="M353" s="202"/>
      <c r="N353" s="202"/>
      <c r="O353" s="202"/>
      <c r="P353" s="28"/>
      <c r="Q353" s="72">
        <f>IF($D$6&lt;=3,база!$L$4,
IF($D$6=4,база!$L$5,
IF($D$6=5,база!$L$6)))</f>
        <v>231.45480000000001</v>
      </c>
      <c r="R353" s="250">
        <v>1.3</v>
      </c>
      <c r="S353" s="92">
        <f>SUMIFS(Таблица1[сумма],Таблица1[коэф],"1,3",Таблица1[р/р],"3/16",Таблица1[Ф. И. О.],B352)</f>
        <v>0</v>
      </c>
      <c r="T353" s="88">
        <f t="shared" ref="T353:T362" si="222">ROUND(Q353*R353*S353,2)</f>
        <v>0</v>
      </c>
      <c r="U353" s="292">
        <f>IF(D347&lt;=3,база!$M$4,
IF(D347=4,база!$M$5,
IF(D347=5,база!$M$6)))</f>
        <v>225.09719999999999</v>
      </c>
      <c r="V353" s="250">
        <v>1.3</v>
      </c>
      <c r="W353" s="285">
        <f>SUMIFS(Таблица1[сумма],Таблица1[коэф],"1,3",Таблица1[р/р],"3/24",Таблица1[Ф. И. О.],B352)</f>
        <v>0</v>
      </c>
      <c r="X353" s="291">
        <f t="shared" ref="X353:X354" si="223">ROUND(U353*V353*W353,2)</f>
        <v>0</v>
      </c>
      <c r="Y353" s="803"/>
      <c r="Z353" s="794"/>
      <c r="AA353" s="797"/>
    </row>
    <row r="354" spans="1:29" ht="24" thickBot="1">
      <c r="A354" s="740"/>
      <c r="B354" s="201"/>
      <c r="C354" s="799"/>
      <c r="D354" s="801"/>
      <c r="E354" s="72"/>
      <c r="F354" s="250"/>
      <c r="G354" s="92"/>
      <c r="H354" s="88"/>
      <c r="I354" s="311"/>
      <c r="J354" s="257"/>
      <c r="K354" s="202"/>
      <c r="L354" s="202"/>
      <c r="M354" s="202"/>
      <c r="N354" s="202"/>
      <c r="O354" s="202"/>
      <c r="P354" s="28"/>
      <c r="Q354" s="72">
        <f>база!$L$5</f>
        <v>231.45480000000001</v>
      </c>
      <c r="R354" s="250">
        <v>1.3</v>
      </c>
      <c r="S354" s="92">
        <f>SUMIFS(Таблица1[сумма],Таблица1[коэф],"1,3",Таблица1[р/р],"4/16",Таблица1[Ф. И. О.],B352)</f>
        <v>0</v>
      </c>
      <c r="T354" s="88">
        <f t="shared" si="222"/>
        <v>0</v>
      </c>
      <c r="U354" s="292">
        <f>база!$M$5</f>
        <v>247.41720000000001</v>
      </c>
      <c r="V354" s="250">
        <v>1.3</v>
      </c>
      <c r="W354" s="285">
        <f>SUMIFS(Таблица1[сумма],Таблица1[коэф],"1,3",Таблица1[р/р],"4/24",Таблица1[Ф. И. О.],B352)</f>
        <v>0</v>
      </c>
      <c r="X354" s="291">
        <f t="shared" si="223"/>
        <v>0</v>
      </c>
      <c r="Y354" s="803"/>
      <c r="Z354" s="794"/>
      <c r="AA354" s="797"/>
    </row>
    <row r="355" spans="1:29" ht="24" thickBot="1">
      <c r="A355" s="740"/>
      <c r="B355" s="201"/>
      <c r="C355" s="799"/>
      <c r="D355" s="801"/>
      <c r="E355" s="72"/>
      <c r="F355" s="250"/>
      <c r="G355" s="92"/>
      <c r="H355" s="88"/>
      <c r="I355" s="311"/>
      <c r="J355" s="257"/>
      <c r="K355" s="202"/>
      <c r="L355" s="202"/>
      <c r="M355" s="202"/>
      <c r="N355" s="202"/>
      <c r="O355" s="202"/>
      <c r="P355" s="28"/>
      <c r="Q355" s="72">
        <f>IF(D347&lt;=3,база!$L$4,
IF(D347=4,база!$L$5,
IF(D347=5,база!$L$6)))</f>
        <v>210.57480000000001</v>
      </c>
      <c r="R355" s="250">
        <v>1.4</v>
      </c>
      <c r="S355" s="92">
        <f>SUMIFS(Таблица1[сумма],Таблица1[коэф],"1,4",Таблица1[р/р],"3/16",Таблица1[Ф. И. О.],B352)</f>
        <v>0</v>
      </c>
      <c r="T355" s="88">
        <f t="shared" si="222"/>
        <v>0</v>
      </c>
      <c r="U355" s="292">
        <f>IF(D347&lt;=3,база!$M$4,
IF(D347=4,база!$M$5,
IF(D347=5,база!$M$6)))</f>
        <v>225.09719999999999</v>
      </c>
      <c r="V355" s="250">
        <v>1.4</v>
      </c>
      <c r="W355" s="285">
        <f>SUMIFS(Таблица1[сумма],Таблица1[коэф],"1,4",Таблица1[р/р],"3/24",Таблица1[Ф. И. О.],B352)</f>
        <v>0</v>
      </c>
      <c r="X355" s="291">
        <f>ROUND(U355*V355*W355,2)</f>
        <v>0</v>
      </c>
      <c r="Y355" s="803"/>
      <c r="Z355" s="794"/>
      <c r="AA355" s="797"/>
    </row>
    <row r="356" spans="1:29" ht="24" thickBot="1">
      <c r="A356" s="740"/>
      <c r="B356" s="201"/>
      <c r="C356" s="799"/>
      <c r="D356" s="801"/>
      <c r="E356" s="72"/>
      <c r="F356" s="250"/>
      <c r="G356" s="92"/>
      <c r="H356" s="88"/>
      <c r="I356" s="311"/>
      <c r="J356" s="257"/>
      <c r="K356" s="202"/>
      <c r="L356" s="202"/>
      <c r="M356" s="202"/>
      <c r="N356" s="202"/>
      <c r="O356" s="202"/>
      <c r="P356" s="28"/>
      <c r="Q356" s="72">
        <f>база!$L$5</f>
        <v>231.45480000000001</v>
      </c>
      <c r="R356" s="250">
        <v>1.4</v>
      </c>
      <c r="S356" s="92">
        <f>SUMIFS(Таблица1[сумма],Таблица1[коэф],"1,4",Таблица1[р/р],"4/16",Таблица1[Ф. И. О.],B352)</f>
        <v>0</v>
      </c>
      <c r="T356" s="88">
        <f t="shared" si="222"/>
        <v>0</v>
      </c>
      <c r="U356" s="292">
        <f>база!$M$5</f>
        <v>247.41720000000001</v>
      </c>
      <c r="V356" s="250">
        <v>1.4</v>
      </c>
      <c r="W356" s="285">
        <f>SUMIFS(Таблица1[сумма],Таблица1[коэф],"1,4",Таблица1[р/р],"4/24",Таблица1[Ф. И. О.],B352)</f>
        <v>0</v>
      </c>
      <c r="X356" s="291">
        <f>ROUND(U356*V356*W356,2)</f>
        <v>0</v>
      </c>
      <c r="Y356" s="803"/>
      <c r="Z356" s="794"/>
      <c r="AA356" s="797"/>
    </row>
    <row r="357" spans="1:29" ht="24" thickBot="1">
      <c r="A357" s="741"/>
      <c r="B357" s="188"/>
      <c r="C357" s="800"/>
      <c r="D357" s="802"/>
      <c r="E357" s="95"/>
      <c r="F357" s="252"/>
      <c r="G357" s="91"/>
      <c r="H357" s="84"/>
      <c r="I357" s="325"/>
      <c r="J357" s="258"/>
      <c r="K357" s="267"/>
      <c r="L357" s="267"/>
      <c r="M357" s="267"/>
      <c r="N357" s="267"/>
      <c r="O357" s="267"/>
      <c r="P357" s="293"/>
      <c r="Q357" s="95">
        <f>база!$L$6</f>
        <v>261.04640000000001</v>
      </c>
      <c r="R357" s="252">
        <v>1.4</v>
      </c>
      <c r="S357" s="91">
        <f>SUMIFS(Таблица1[сумма],Таблица1[коэф],"1,4",Таблица1[р/р],"5/16",Таблица1[Ф. И. О.],B352)</f>
        <v>0</v>
      </c>
      <c r="T357" s="84">
        <f t="shared" si="222"/>
        <v>0</v>
      </c>
      <c r="U357" s="324">
        <f>база!$M$6</f>
        <v>279.0496</v>
      </c>
      <c r="V357" s="252">
        <v>1.4</v>
      </c>
      <c r="W357" s="290">
        <f>SUMIFS(Таблица1[сумма],Таблица1[коэф],"1,4",Таблица1[р/р],"5/24",Таблица1[Ф. И. О.],B352)</f>
        <v>0</v>
      </c>
      <c r="X357" s="320">
        <f>ROUND(U357*V357*W357,2)</f>
        <v>0</v>
      </c>
      <c r="Y357" s="804"/>
      <c r="Z357" s="795"/>
      <c r="AA357" s="798"/>
    </row>
    <row r="358" spans="1:29">
      <c r="A358" s="739">
        <v>33</v>
      </c>
      <c r="B358" s="219"/>
      <c r="C358" s="805">
        <f>INDEX(база!$E$2:$E$81, MATCH(B363,база!$B$2:$B$50,0))</f>
        <v>17282</v>
      </c>
      <c r="D358" s="806">
        <f>INDEX(база!$D$2:$D$89, MATCH(B363,база!$B$2:$B$50,0))</f>
        <v>3</v>
      </c>
      <c r="E358" s="66">
        <f>IF(D358&lt;=3,база!$I$4,
IF(D358=4,база!$I$5,
IF(D358=5,база!$I$6)))</f>
        <v>188.7912</v>
      </c>
      <c r="F358" s="248">
        <v>1</v>
      </c>
      <c r="G358" s="89">
        <f>SUMIFS(Таблица1[сумма],Таблица1[коэф],"1",Таблица1[р/р],"2/4",Таблица1[Ф. И. О.],B363)</f>
        <v>0</v>
      </c>
      <c r="H358" s="81">
        <f>ROUND(E358*F358*G358,2)</f>
        <v>0</v>
      </c>
      <c r="I358" s="315">
        <f>IF(D358&lt;=3,база!$J$4,
IF(D358=4,база!$J$5,
IF(D358=5,база!$J$6)))</f>
        <v>196.05240000000001</v>
      </c>
      <c r="J358" s="255">
        <v>1</v>
      </c>
      <c r="K358" s="266">
        <f>SUMIFS(Таблица1[сумма],Таблица1[коэф],"1",Таблица1[р/р],"2/8",Таблица1[Ф. И. О.],B363)</f>
        <v>0</v>
      </c>
      <c r="L358" s="266">
        <f>ROUND(I358*J358*K358,2)</f>
        <v>0</v>
      </c>
      <c r="M358" s="266"/>
      <c r="N358" s="266">
        <v>1</v>
      </c>
      <c r="O358" s="266">
        <f>SUMIFS(Data_Tech!$AM$3:$AM$67,Data_Tech!$E$3:$E$67,"1",Data_Tech!$G$3:$G$67,"3/12",Data_Tech!$F$3:$F$67,B363)</f>
        <v>0</v>
      </c>
      <c r="P358" s="259">
        <f>ROUND(M358*N358*O358,2)</f>
        <v>0</v>
      </c>
      <c r="Q358" s="66">
        <f>IF(D358&lt;=3,база!$L$4,
IF(D358=4,база!$L$5,
IF(D358=5,база!$L$6)))</f>
        <v>210.57480000000001</v>
      </c>
      <c r="R358" s="248">
        <v>1</v>
      </c>
      <c r="S358" s="89">
        <f>SUMIFS(Таблица1[сумма],Таблица1[коэф],"1",Таблица1[р/р],"3/16",Таблица1[Ф. И. О.],B363)</f>
        <v>0</v>
      </c>
      <c r="T358" s="81">
        <f t="shared" si="222"/>
        <v>0</v>
      </c>
      <c r="U358" s="316">
        <f>IF(D358&lt;=3,база!$M$4,
IF(D358=4,база!$M$5,
IF(D358=5,база!$M$6)))</f>
        <v>225.09719999999999</v>
      </c>
      <c r="V358" s="248">
        <v>1</v>
      </c>
      <c r="W358" s="317">
        <f>SUMIFS(Таблица1[сумма],Таблица1[коэф],"1",Таблица1[р/р],"3/24",Таблица1[Ф. И. О.],B363)</f>
        <v>0</v>
      </c>
      <c r="X358" s="319">
        <f>ROUND(U358*V358*W358,2)</f>
        <v>0</v>
      </c>
      <c r="Y358" s="803">
        <f t="shared" ref="Y358" si="224">SUM(G358:G368,K358:K368,O358:O368,S358:S368,W358:W368)</f>
        <v>0</v>
      </c>
      <c r="Z358" s="794">
        <f t="shared" ref="Z358" si="225">IFERROR(SUM(H358:H368,L358:L368,T358:T368,X358:X368),"")</f>
        <v>0</v>
      </c>
      <c r="AA358" s="797"/>
    </row>
    <row r="359" spans="1:29">
      <c r="A359" s="740"/>
      <c r="B359" s="201"/>
      <c r="C359" s="799"/>
      <c r="D359" s="801"/>
      <c r="E359" s="72">
        <f>IF(D358&lt;=3,база!$I$4,
IF(D358=4,база!$I$5,
IF(D358=5,база!$I$6)))</f>
        <v>188.7912</v>
      </c>
      <c r="F359" s="250">
        <v>1</v>
      </c>
      <c r="G359" s="92">
        <f>SUMIFS(Таблица1[сумма],Таблица1[коэф],"1",Таблица1[р/р],"3/4",Таблица1[Ф. И. О.],B363)</f>
        <v>0</v>
      </c>
      <c r="H359" s="88">
        <f>ROUND(E359*F359*G359,2)</f>
        <v>0</v>
      </c>
      <c r="I359" s="311">
        <f>IF(D358&lt;=3,база!$J$4,
IF(D358=4,база!$J$5,
IF(D358=5,база!$J$6)))</f>
        <v>196.05240000000001</v>
      </c>
      <c r="J359" s="257">
        <v>1</v>
      </c>
      <c r="K359" s="202">
        <f>SUMIFS(Таблица1[сумма],Таблица1[коэф],"1",Таблица1[р/р],"3/8",Таблица1[Ф. И. О.],B363)</f>
        <v>0</v>
      </c>
      <c r="L359" s="202">
        <f>ROUND(I359*J359*K359,2)</f>
        <v>0</v>
      </c>
      <c r="M359" s="202"/>
      <c r="N359" s="202">
        <v>1</v>
      </c>
      <c r="O359" s="202">
        <f>SUMIFS(Data_Tech!$AM$3:$AM$67,Data_Tech!$E$3:$E$67,"1",Data_Tech!$G$3:$G$67,"4/12",Data_Tech!$F$3:$F$67,B363)</f>
        <v>0</v>
      </c>
      <c r="P359" s="28">
        <f>ROUND(M359*O359,2)</f>
        <v>0</v>
      </c>
      <c r="Q359" s="72">
        <f>база!$L$5</f>
        <v>231.45480000000001</v>
      </c>
      <c r="R359" s="250">
        <v>1</v>
      </c>
      <c r="S359" s="92">
        <f>SUMIFS(Таблица1[сумма],Таблица1[коэф],"1",Таблица1[р/р],"4/16",Таблица1[Ф. И. О.],B363)</f>
        <v>0</v>
      </c>
      <c r="T359" s="88">
        <f t="shared" si="222"/>
        <v>0</v>
      </c>
      <c r="U359" s="292">
        <f>база!$M$5</f>
        <v>247.41720000000001</v>
      </c>
      <c r="V359" s="250">
        <v>1</v>
      </c>
      <c r="W359" s="285">
        <f>SUMIFS(Таблица1[сумма],Таблица1[коэф],"1",Таблица1[р/р],"4/24",Таблица1[Ф. И. О.],B363)</f>
        <v>0</v>
      </c>
      <c r="X359" s="291">
        <f t="shared" ref="X359" si="226">ROUND(U359*V359*W359,2)</f>
        <v>0</v>
      </c>
      <c r="Y359" s="803"/>
      <c r="Z359" s="794"/>
      <c r="AA359" s="797"/>
    </row>
    <row r="360" spans="1:29" ht="24" thickBot="1">
      <c r="A360" s="740"/>
      <c r="B360" s="201"/>
      <c r="C360" s="799"/>
      <c r="D360" s="801"/>
      <c r="E360" s="72"/>
      <c r="F360" s="250"/>
      <c r="G360" s="92"/>
      <c r="H360" s="88"/>
      <c r="I360" s="311"/>
      <c r="J360" s="257"/>
      <c r="K360" s="202"/>
      <c r="L360" s="202"/>
      <c r="M360" s="202"/>
      <c r="N360" s="202"/>
      <c r="O360" s="202"/>
      <c r="P360" s="28"/>
      <c r="Q360" s="72">
        <f>база!$L$6</f>
        <v>261.04640000000001</v>
      </c>
      <c r="R360" s="250">
        <v>1</v>
      </c>
      <c r="S360" s="92">
        <f>SUMIFS(Таблица1[сумма],Таблица1[коэф],"1",Таблица1[р/р],"5/16",Таблица1[Ф. И. О.],B363)</f>
        <v>0</v>
      </c>
      <c r="T360" s="88">
        <f t="shared" si="222"/>
        <v>0</v>
      </c>
      <c r="U360" s="292">
        <f>база!$M$6</f>
        <v>279.0496</v>
      </c>
      <c r="V360" s="250">
        <v>1</v>
      </c>
      <c r="W360" s="285">
        <f>SUMIFS(Таблица1[сумма],Таблица1[коэф],"1",Таблица1[р/р],"5/24",Таблица1[Ф. И. О.],B363)</f>
        <v>0</v>
      </c>
      <c r="X360" s="291">
        <f>ROUND(U360*V360*W360,2)</f>
        <v>0</v>
      </c>
      <c r="Y360" s="803"/>
      <c r="Z360" s="794"/>
      <c r="AA360" s="797"/>
    </row>
    <row r="361" spans="1:29" ht="24" thickBot="1">
      <c r="A361" s="740"/>
      <c r="B361" s="201"/>
      <c r="C361" s="799"/>
      <c r="D361" s="801"/>
      <c r="E361" s="72"/>
      <c r="F361" s="250"/>
      <c r="G361" s="92"/>
      <c r="H361" s="88"/>
      <c r="I361" s="311">
        <f>база!$J$5</f>
        <v>215.4924</v>
      </c>
      <c r="J361" s="257">
        <v>1.5</v>
      </c>
      <c r="K361" s="202">
        <f>SUMIFS(Таблица1[сумма],Таблица1[коэф],"1,5",Таблица1[р/р],"4/8",Таблица1[Ф. И. О.],B363)</f>
        <v>0</v>
      </c>
      <c r="L361" s="202">
        <f>ROUND(I361*J361*K361,2)</f>
        <v>0</v>
      </c>
      <c r="M361" s="202"/>
      <c r="N361" s="202"/>
      <c r="O361" s="202"/>
      <c r="P361" s="28"/>
      <c r="Q361" s="72">
        <f>IF(D358&lt;=3,база!$L$4,
IF(D358=4,база!$L$5,
IF(D358=5,база!$L$6)))</f>
        <v>210.57480000000001</v>
      </c>
      <c r="R361" s="250">
        <v>1.2</v>
      </c>
      <c r="S361" s="92">
        <f>SUMIFS(Таблица1[сумма],Таблица1[коэф],"1,2",Таблица1[р/р],"3/16",Таблица1[Ф. И. О.],B363)</f>
        <v>0</v>
      </c>
      <c r="T361" s="88">
        <f t="shared" si="222"/>
        <v>0</v>
      </c>
      <c r="U361" s="292">
        <f>IF(D358&lt;=3,база!$M$4,
IF(D358=4,база!$M$5,
IF(D358=5,база!$M$6)))</f>
        <v>225.09719999999999</v>
      </c>
      <c r="V361" s="250">
        <v>1.2</v>
      </c>
      <c r="W361" s="285">
        <f>SUMIFS(Таблица1[сумма],Таблица1[коэф],"1,2",Таблица1[р/р],"3/24",Таблица1[Ф. И. О.],B363)</f>
        <v>0</v>
      </c>
      <c r="X361" s="291">
        <f t="shared" ref="X361:X362" si="227">ROUND(U361*V361*W361,2)</f>
        <v>0</v>
      </c>
      <c r="Y361" s="803"/>
      <c r="Z361" s="794"/>
      <c r="AA361" s="797"/>
    </row>
    <row r="362" spans="1:29" ht="24" thickBot="1">
      <c r="A362" s="740"/>
      <c r="B362" s="201"/>
      <c r="C362" s="799"/>
      <c r="D362" s="801"/>
      <c r="E362" s="72"/>
      <c r="F362" s="250"/>
      <c r="G362" s="92"/>
      <c r="H362" s="88"/>
      <c r="I362" s="311">
        <f>база!$J$6</f>
        <v>243.04319999999998</v>
      </c>
      <c r="J362" s="257">
        <v>1.5</v>
      </c>
      <c r="K362" s="202">
        <f>SUMIFS(Таблица1[сумма],Таблица1[коэф],"1,5",Таблица1[р/р],"5/8",Таблица1[Ф. И. О.],B363)</f>
        <v>0</v>
      </c>
      <c r="L362" s="202">
        <f>ROUND(I362*J362*K362,2)</f>
        <v>0</v>
      </c>
      <c r="M362" s="202"/>
      <c r="N362" s="202"/>
      <c r="O362" s="202"/>
      <c r="P362" s="28"/>
      <c r="Q362" s="72">
        <f>база!$L$5</f>
        <v>231.45480000000001</v>
      </c>
      <c r="R362" s="250">
        <v>1.2</v>
      </c>
      <c r="S362" s="92">
        <f>SUMIFS(Таблица1[сумма],Таблица1[коэф],"1,2",Таблица1[р/р],"4/16",Таблица1[Ф. И. О.],B363)</f>
        <v>0</v>
      </c>
      <c r="T362" s="88">
        <f t="shared" si="222"/>
        <v>0</v>
      </c>
      <c r="U362" s="292">
        <f>база!$M$5</f>
        <v>247.41720000000001</v>
      </c>
      <c r="V362" s="250">
        <v>1.2</v>
      </c>
      <c r="W362" s="285">
        <f>SUMIFS(Таблица1[сумма],Таблица1[коэф],"1,2",Таблица1[р/р],"4/24",Таблица1[Ф. И. О.],B363)</f>
        <v>0</v>
      </c>
      <c r="X362" s="291">
        <f t="shared" si="227"/>
        <v>0</v>
      </c>
      <c r="Y362" s="803"/>
      <c r="Z362" s="794"/>
      <c r="AA362" s="797"/>
      <c r="AC362" s="688" t="str">
        <f>IF(SUMIFS(Таблица1[Столбец2],Таблица1[Ф. И. О.],B363)-Z358=0,"",SUMIFS(Таблица1[Столбец2],Таблица1[Ф. И. О.],B363)-Z358)</f>
        <v/>
      </c>
    </row>
    <row r="363" spans="1:29" ht="24" thickBot="1">
      <c r="A363" s="740"/>
      <c r="B363" s="201" t="str">
        <f>база!B34</f>
        <v>Кириллова Надежда Вячеславовна</v>
      </c>
      <c r="C363" s="799"/>
      <c r="D363" s="801"/>
      <c r="E363" s="72"/>
      <c r="F363" s="250"/>
      <c r="G363" s="92"/>
      <c r="H363" s="88"/>
      <c r="I363" s="311"/>
      <c r="J363" s="257"/>
      <c r="K363" s="202"/>
      <c r="L363" s="202"/>
      <c r="M363" s="202"/>
      <c r="N363" s="202"/>
      <c r="O363" s="202"/>
      <c r="P363" s="28"/>
      <c r="Q363" s="72">
        <f>база!$L$6</f>
        <v>261.04640000000001</v>
      </c>
      <c r="R363" s="250">
        <v>1.2</v>
      </c>
      <c r="S363" s="92">
        <f>SUMIFS(Таблица1[сумма],Таблица1[коэф],"1,2",Таблица1[р/р],"5/16",Таблица1[Ф. И. О.],B363)</f>
        <v>0</v>
      </c>
      <c r="T363" s="88">
        <f>ROUND(Q363*R363*S363,2)</f>
        <v>0</v>
      </c>
      <c r="U363" s="292">
        <f>база!$M$6</f>
        <v>279.0496</v>
      </c>
      <c r="V363" s="250">
        <v>1.2</v>
      </c>
      <c r="W363" s="285">
        <f>SUMIFS(Таблица1[сумма],Таблица1[коэф],"1,2",Таблица1[р/р],"5/24",Таблица1[Ф. И. О.],B363)</f>
        <v>0</v>
      </c>
      <c r="X363" s="291">
        <f>ROUND(U363*V363*W363,2)</f>
        <v>0</v>
      </c>
      <c r="Y363" s="803"/>
      <c r="Z363" s="794"/>
      <c r="AA363" s="797"/>
      <c r="AC363" s="688" t="str">
        <f>IF(SUMIFS(Таблица1[сумма],Таблица1[Ф. И. О.],B363)=Y358,"",B358&amp;"  часы не верны")</f>
        <v/>
      </c>
    </row>
    <row r="364" spans="1:29" ht="24" thickBot="1">
      <c r="A364" s="740"/>
      <c r="B364" s="201"/>
      <c r="C364" s="799"/>
      <c r="D364" s="801"/>
      <c r="E364" s="72"/>
      <c r="F364" s="250"/>
      <c r="G364" s="92"/>
      <c r="H364" s="88"/>
      <c r="I364" s="311"/>
      <c r="J364" s="257"/>
      <c r="K364" s="202"/>
      <c r="L364" s="202"/>
      <c r="M364" s="202"/>
      <c r="N364" s="202"/>
      <c r="O364" s="202"/>
      <c r="P364" s="28"/>
      <c r="Q364" s="72">
        <f>IF($D$6&lt;=3,база!$L$4,
IF($D$6=4,база!$L$5,
IF($D$6=5,база!$L$6)))</f>
        <v>231.45480000000001</v>
      </c>
      <c r="R364" s="250">
        <v>1.3</v>
      </c>
      <c r="S364" s="92">
        <f>SUMIFS(Таблица1[сумма],Таблица1[коэф],"1,3",Таблица1[р/р],"3/16",Таблица1[Ф. И. О.],B363)</f>
        <v>0</v>
      </c>
      <c r="T364" s="88">
        <f t="shared" ref="T364:T373" si="228">ROUND(Q364*R364*S364,2)</f>
        <v>0</v>
      </c>
      <c r="U364" s="292">
        <f>IF(D358&lt;=3,база!$M$4,
IF(D358=4,база!$M$5,
IF(D358=5,база!$M$6)))</f>
        <v>225.09719999999999</v>
      </c>
      <c r="V364" s="250">
        <v>1.3</v>
      </c>
      <c r="W364" s="285">
        <f>SUMIFS(Таблица1[сумма],Таблица1[коэф],"1,3",Таблица1[р/р],"3/24",Таблица1[Ф. И. О.],B363)</f>
        <v>0</v>
      </c>
      <c r="X364" s="291">
        <f t="shared" ref="X364:X365" si="229">ROUND(U364*V364*W364,2)</f>
        <v>0</v>
      </c>
      <c r="Y364" s="803"/>
      <c r="Z364" s="794"/>
      <c r="AA364" s="797"/>
    </row>
    <row r="365" spans="1:29" ht="24" thickBot="1">
      <c r="A365" s="740"/>
      <c r="B365" s="201"/>
      <c r="C365" s="799"/>
      <c r="D365" s="801"/>
      <c r="E365" s="72"/>
      <c r="F365" s="250"/>
      <c r="G365" s="92"/>
      <c r="H365" s="88"/>
      <c r="I365" s="311"/>
      <c r="J365" s="257"/>
      <c r="K365" s="202"/>
      <c r="L365" s="202"/>
      <c r="M365" s="202"/>
      <c r="N365" s="202"/>
      <c r="O365" s="202"/>
      <c r="P365" s="28"/>
      <c r="Q365" s="72">
        <f>база!$L$5</f>
        <v>231.45480000000001</v>
      </c>
      <c r="R365" s="250">
        <v>1.3</v>
      </c>
      <c r="S365" s="92">
        <f>SUMIFS(Таблица1[сумма],Таблица1[коэф],"1,3",Таблица1[р/р],"4/16",Таблица1[Ф. И. О.],B363)</f>
        <v>0</v>
      </c>
      <c r="T365" s="88">
        <f t="shared" si="228"/>
        <v>0</v>
      </c>
      <c r="U365" s="292">
        <f>база!$M$5</f>
        <v>247.41720000000001</v>
      </c>
      <c r="V365" s="250">
        <v>1.3</v>
      </c>
      <c r="W365" s="285">
        <f>SUMIFS(Таблица1[сумма],Таблица1[коэф],"1,3",Таблица1[р/р],"4/24",Таблица1[Ф. И. О.],B363)</f>
        <v>0</v>
      </c>
      <c r="X365" s="291">
        <f t="shared" si="229"/>
        <v>0</v>
      </c>
      <c r="Y365" s="803"/>
      <c r="Z365" s="794"/>
      <c r="AA365" s="797"/>
    </row>
    <row r="366" spans="1:29" ht="24" thickBot="1">
      <c r="A366" s="740"/>
      <c r="B366" s="201"/>
      <c r="C366" s="799"/>
      <c r="D366" s="801"/>
      <c r="E366" s="72"/>
      <c r="F366" s="250"/>
      <c r="G366" s="92"/>
      <c r="H366" s="88"/>
      <c r="I366" s="311"/>
      <c r="J366" s="257"/>
      <c r="K366" s="202"/>
      <c r="L366" s="202"/>
      <c r="M366" s="202"/>
      <c r="N366" s="202"/>
      <c r="O366" s="202"/>
      <c r="P366" s="28"/>
      <c r="Q366" s="72">
        <f>IF(D358&lt;=3,база!$L$4,
IF(D358=4,база!$L$5,
IF(D358=5,база!$L$6)))</f>
        <v>210.57480000000001</v>
      </c>
      <c r="R366" s="250">
        <v>1.4</v>
      </c>
      <c r="S366" s="92">
        <f>SUMIFS(Таблица1[сумма],Таблица1[коэф],"1,4",Таблица1[р/р],"3/16",Таблица1[Ф. И. О.],B363)</f>
        <v>0</v>
      </c>
      <c r="T366" s="88">
        <f t="shared" si="228"/>
        <v>0</v>
      </c>
      <c r="U366" s="292">
        <f>IF(D358&lt;=3,база!$M$4,
IF(D358=4,база!$M$5,
IF(D358=5,база!$M$6)))</f>
        <v>225.09719999999999</v>
      </c>
      <c r="V366" s="250">
        <v>1.4</v>
      </c>
      <c r="W366" s="285">
        <f>SUMIFS(Таблица1[сумма],Таблица1[коэф],"1,4",Таблица1[р/р],"3/24",Таблица1[Ф. И. О.],B363)</f>
        <v>0</v>
      </c>
      <c r="X366" s="291">
        <f>ROUND(U366*V366*W366,2)</f>
        <v>0</v>
      </c>
      <c r="Y366" s="803"/>
      <c r="Z366" s="794"/>
      <c r="AA366" s="797"/>
    </row>
    <row r="367" spans="1:29" ht="24" thickBot="1">
      <c r="A367" s="740"/>
      <c r="B367" s="201"/>
      <c r="C367" s="799"/>
      <c r="D367" s="801"/>
      <c r="E367" s="72"/>
      <c r="F367" s="250"/>
      <c r="G367" s="92"/>
      <c r="H367" s="88"/>
      <c r="I367" s="311"/>
      <c r="J367" s="257"/>
      <c r="K367" s="202"/>
      <c r="L367" s="202"/>
      <c r="M367" s="202"/>
      <c r="N367" s="202"/>
      <c r="O367" s="202"/>
      <c r="P367" s="28"/>
      <c r="Q367" s="72">
        <f>база!$L$5</f>
        <v>231.45480000000001</v>
      </c>
      <c r="R367" s="250">
        <v>1.4</v>
      </c>
      <c r="S367" s="92">
        <f>SUMIFS(Таблица1[сумма],Таблица1[коэф],"1,4",Таблица1[р/р],"4/16",Таблица1[Ф. И. О.],B363)</f>
        <v>0</v>
      </c>
      <c r="T367" s="88">
        <f t="shared" si="228"/>
        <v>0</v>
      </c>
      <c r="U367" s="292">
        <f>база!$M$5</f>
        <v>247.41720000000001</v>
      </c>
      <c r="V367" s="250">
        <v>1.4</v>
      </c>
      <c r="W367" s="285">
        <f>SUMIFS(Таблица1[сумма],Таблица1[коэф],"1,4",Таблица1[р/р],"4/24",Таблица1[Ф. И. О.],B363)</f>
        <v>0</v>
      </c>
      <c r="X367" s="291">
        <f>ROUND(U367*V367*W367,2)</f>
        <v>0</v>
      </c>
      <c r="Y367" s="803"/>
      <c r="Z367" s="794"/>
      <c r="AA367" s="797"/>
    </row>
    <row r="368" spans="1:29" ht="24" thickBot="1">
      <c r="A368" s="741"/>
      <c r="B368" s="188"/>
      <c r="C368" s="800"/>
      <c r="D368" s="802"/>
      <c r="E368" s="95"/>
      <c r="F368" s="252"/>
      <c r="G368" s="91"/>
      <c r="H368" s="84"/>
      <c r="I368" s="325"/>
      <c r="J368" s="258"/>
      <c r="K368" s="267"/>
      <c r="L368" s="267"/>
      <c r="M368" s="267"/>
      <c r="N368" s="267"/>
      <c r="O368" s="267"/>
      <c r="P368" s="293"/>
      <c r="Q368" s="95">
        <f>база!$L$6</f>
        <v>261.04640000000001</v>
      </c>
      <c r="R368" s="252">
        <v>1.4</v>
      </c>
      <c r="S368" s="91">
        <f>SUMIFS(Таблица1[сумма],Таблица1[коэф],"1,4",Таблица1[р/р],"5/16",Таблица1[Ф. И. О.],B363)</f>
        <v>0</v>
      </c>
      <c r="T368" s="84">
        <f t="shared" si="228"/>
        <v>0</v>
      </c>
      <c r="U368" s="324">
        <f>база!$M$6</f>
        <v>279.0496</v>
      </c>
      <c r="V368" s="252">
        <v>1.4</v>
      </c>
      <c r="W368" s="290">
        <f>SUMIFS(Таблица1[сумма],Таблица1[коэф],"1,4",Таблица1[р/р],"5/24",Таблица1[Ф. И. О.],B363)</f>
        <v>0</v>
      </c>
      <c r="X368" s="320">
        <f>ROUND(U368*V368*W368,2)</f>
        <v>0</v>
      </c>
      <c r="Y368" s="804"/>
      <c r="Z368" s="795"/>
      <c r="AA368" s="798"/>
    </row>
    <row r="369" spans="1:29">
      <c r="A369" s="739">
        <v>34</v>
      </c>
      <c r="B369" s="219"/>
      <c r="C369" s="805">
        <f>INDEX(база!$E$2:$E$81, MATCH(B374,база!$B$2:$B$50,0))</f>
        <v>15575</v>
      </c>
      <c r="D369" s="806">
        <f>INDEX(база!$D$2:$D$89, MATCH(B374,база!$B$2:$B$50,0))</f>
        <v>3</v>
      </c>
      <c r="E369" s="66">
        <f>IF(D369&lt;=3,база!$I$4,
IF(D369=4,база!$I$5,
IF(D369=5,база!$I$6)))</f>
        <v>188.7912</v>
      </c>
      <c r="F369" s="248">
        <v>1</v>
      </c>
      <c r="G369" s="89">
        <f>SUMIFS(Таблица1[сумма],Таблица1[коэф],"1",Таблица1[р/р],"2/4",Таблица1[Ф. И. О.],B374)</f>
        <v>0</v>
      </c>
      <c r="H369" s="81">
        <f>ROUND(E369*F369*G369,2)</f>
        <v>0</v>
      </c>
      <c r="I369" s="315">
        <f>IF(D369&lt;=3,база!$J$4,
IF(D369=4,база!$J$5,
IF(D369=5,база!$J$6)))</f>
        <v>196.05240000000001</v>
      </c>
      <c r="J369" s="255">
        <v>1</v>
      </c>
      <c r="K369" s="266">
        <f>SUMIFS(Таблица1[сумма],Таблица1[коэф],"1",Таблица1[р/р],"2/8",Таблица1[Ф. И. О.],B374)</f>
        <v>0</v>
      </c>
      <c r="L369" s="266">
        <f>ROUND(I369*J369*K369,2)</f>
        <v>0</v>
      </c>
      <c r="M369" s="266"/>
      <c r="N369" s="266">
        <v>1</v>
      </c>
      <c r="O369" s="266">
        <f>SUMIFS(Data_Tech!$AM$3:$AM$67,Data_Tech!$E$3:$E$67,"1",Data_Tech!$G$3:$G$67,"3/12",Data_Tech!$F$3:$F$67,B374)</f>
        <v>0</v>
      </c>
      <c r="P369" s="259">
        <f>ROUND(M369*N369*O369,2)</f>
        <v>0</v>
      </c>
      <c r="Q369" s="66">
        <f>IF(D369&lt;=3,база!$L$4,
IF(D369=4,база!$L$5,
IF(D369=5,база!$L$6)))</f>
        <v>210.57480000000001</v>
      </c>
      <c r="R369" s="248">
        <v>1</v>
      </c>
      <c r="S369" s="89">
        <f>SUMIFS(Таблица1[сумма],Таблица1[коэф],"1",Таблица1[р/р],"3/16",Таблица1[Ф. И. О.],B374)</f>
        <v>0</v>
      </c>
      <c r="T369" s="81">
        <f t="shared" si="228"/>
        <v>0</v>
      </c>
      <c r="U369" s="316">
        <f>IF(D369&lt;=3,база!$M$4,
IF(D369=4,база!$M$5,
IF(D369=5,база!$M$6)))</f>
        <v>225.09719999999999</v>
      </c>
      <c r="V369" s="248">
        <v>1</v>
      </c>
      <c r="W369" s="317">
        <f>SUMIFS(Таблица1[сумма],Таблица1[коэф],"1",Таблица1[р/р],"3/24",Таблица1[Ф. И. О.],B374)</f>
        <v>0</v>
      </c>
      <c r="X369" s="319">
        <f>ROUND(U369*V369*W369,2)</f>
        <v>0</v>
      </c>
      <c r="Y369" s="803">
        <f t="shared" ref="Y369" si="230">SUM(G369:G379,K369:K379,O369:O379,S369:S379,W369:W379)</f>
        <v>0</v>
      </c>
      <c r="Z369" s="794">
        <f t="shared" ref="Z369" si="231">IFERROR(SUM(H369:H379,L369:L379,T369:T379,X369:X379),"")</f>
        <v>0</v>
      </c>
      <c r="AA369" s="797"/>
    </row>
    <row r="370" spans="1:29">
      <c r="A370" s="740"/>
      <c r="B370" s="201"/>
      <c r="C370" s="799"/>
      <c r="D370" s="801"/>
      <c r="E370" s="72">
        <f>IF(D369&lt;=3,база!$I$4,
IF(D369=4,база!$I$5,
IF(D369=5,база!$I$6)))</f>
        <v>188.7912</v>
      </c>
      <c r="F370" s="250">
        <v>1</v>
      </c>
      <c r="G370" s="92">
        <f>SUMIFS(Таблица1[сумма],Таблица1[коэф],"1",Таблица1[р/р],"3/4",Таблица1[Ф. И. О.],B374)</f>
        <v>0</v>
      </c>
      <c r="H370" s="88">
        <f>ROUND(E370*F370*G370,2)</f>
        <v>0</v>
      </c>
      <c r="I370" s="311">
        <f>IF(D369&lt;=3,база!$J$4,
IF(D369=4,база!$J$5,
IF(D369=5,база!$J$6)))</f>
        <v>196.05240000000001</v>
      </c>
      <c r="J370" s="257">
        <v>1</v>
      </c>
      <c r="K370" s="202">
        <f>SUMIFS(Таблица1[сумма],Таблица1[коэф],"1",Таблица1[р/р],"3/8",Таблица1[Ф. И. О.],B374)</f>
        <v>0</v>
      </c>
      <c r="L370" s="202">
        <f>ROUND(I370*J370*K370,2)</f>
        <v>0</v>
      </c>
      <c r="M370" s="202"/>
      <c r="N370" s="202">
        <v>1</v>
      </c>
      <c r="O370" s="202">
        <f>SUMIFS(Data_Tech!$AM$3:$AM$67,Data_Tech!$E$3:$E$67,"1",Data_Tech!$G$3:$G$67,"4/12",Data_Tech!$F$3:$F$67,B374)</f>
        <v>0</v>
      </c>
      <c r="P370" s="28">
        <f>ROUND(M370*O370,2)</f>
        <v>0</v>
      </c>
      <c r="Q370" s="72">
        <f>база!$L$5</f>
        <v>231.45480000000001</v>
      </c>
      <c r="R370" s="250">
        <v>1</v>
      </c>
      <c r="S370" s="92">
        <f>SUMIFS(Таблица1[сумма],Таблица1[коэф],"1",Таблица1[р/р],"4/16",Таблица1[Ф. И. О.],B374)</f>
        <v>0</v>
      </c>
      <c r="T370" s="88">
        <f t="shared" si="228"/>
        <v>0</v>
      </c>
      <c r="U370" s="292">
        <f>база!$M$5</f>
        <v>247.41720000000001</v>
      </c>
      <c r="V370" s="250">
        <v>1</v>
      </c>
      <c r="W370" s="285">
        <f>SUMIFS(Таблица1[сумма],Таблица1[коэф],"1",Таблица1[р/р],"4/24",Таблица1[Ф. И. О.],B374)</f>
        <v>0</v>
      </c>
      <c r="X370" s="291">
        <f t="shared" ref="X370" si="232">ROUND(U370*V370*W370,2)</f>
        <v>0</v>
      </c>
      <c r="Y370" s="803"/>
      <c r="Z370" s="794"/>
      <c r="AA370" s="797"/>
    </row>
    <row r="371" spans="1:29" ht="24" thickBot="1">
      <c r="A371" s="740"/>
      <c r="B371" s="201"/>
      <c r="C371" s="799"/>
      <c r="D371" s="801"/>
      <c r="E371" s="72"/>
      <c r="F371" s="250"/>
      <c r="G371" s="92"/>
      <c r="H371" s="88"/>
      <c r="I371" s="311"/>
      <c r="J371" s="257"/>
      <c r="K371" s="202"/>
      <c r="L371" s="202"/>
      <c r="M371" s="202"/>
      <c r="N371" s="202"/>
      <c r="O371" s="202"/>
      <c r="P371" s="28"/>
      <c r="Q371" s="72">
        <f>база!$L$6</f>
        <v>261.04640000000001</v>
      </c>
      <c r="R371" s="250">
        <v>1</v>
      </c>
      <c r="S371" s="92">
        <f>SUMIFS(Таблица1[сумма],Таблица1[коэф],"1",Таблица1[р/р],"5/16",Таблица1[Ф. И. О.],B374)</f>
        <v>0</v>
      </c>
      <c r="T371" s="88">
        <f t="shared" si="228"/>
        <v>0</v>
      </c>
      <c r="U371" s="292">
        <f>база!$M$6</f>
        <v>279.0496</v>
      </c>
      <c r="V371" s="250">
        <v>1</v>
      </c>
      <c r="W371" s="285">
        <f>SUMIFS(Таблица1[сумма],Таблица1[коэф],"1",Таблица1[р/р],"5/24",Таблица1[Ф. И. О.],B374)</f>
        <v>0</v>
      </c>
      <c r="X371" s="291">
        <f>ROUND(U371*V371*W371,2)</f>
        <v>0</v>
      </c>
      <c r="Y371" s="803"/>
      <c r="Z371" s="794"/>
      <c r="AA371" s="797"/>
    </row>
    <row r="372" spans="1:29" ht="24" thickBot="1">
      <c r="A372" s="740"/>
      <c r="B372" s="201"/>
      <c r="C372" s="799"/>
      <c r="D372" s="801"/>
      <c r="E372" s="72"/>
      <c r="F372" s="250"/>
      <c r="G372" s="92"/>
      <c r="H372" s="88"/>
      <c r="I372" s="311">
        <f>база!$J$5</f>
        <v>215.4924</v>
      </c>
      <c r="J372" s="257">
        <v>1.5</v>
      </c>
      <c r="K372" s="202">
        <f>SUMIFS(Таблица1[сумма],Таблица1[коэф],"1,5",Таблица1[р/р],"4/8",Таблица1[Ф. И. О.],B374)</f>
        <v>0</v>
      </c>
      <c r="L372" s="202">
        <f>ROUND(I372*J372*K372,2)</f>
        <v>0</v>
      </c>
      <c r="M372" s="202"/>
      <c r="N372" s="202"/>
      <c r="O372" s="202"/>
      <c r="P372" s="28"/>
      <c r="Q372" s="72">
        <f>IF(D369&lt;=3,база!$L$4,
IF(D369=4,база!$L$5,
IF(D369=5,база!$L$6)))</f>
        <v>210.57480000000001</v>
      </c>
      <c r="R372" s="250">
        <v>1.2</v>
      </c>
      <c r="S372" s="92">
        <f>SUMIFS(Таблица1[сумма],Таблица1[коэф],"1,2",Таблица1[р/р],"3/16",Таблица1[Ф. И. О.],B374)</f>
        <v>0</v>
      </c>
      <c r="T372" s="88">
        <f t="shared" si="228"/>
        <v>0</v>
      </c>
      <c r="U372" s="292">
        <f>IF(D369&lt;=3,база!$M$4,
IF(D369=4,база!$M$5,
IF(D369=5,база!$M$6)))</f>
        <v>225.09719999999999</v>
      </c>
      <c r="V372" s="250">
        <v>1.2</v>
      </c>
      <c r="W372" s="285">
        <f>SUMIFS(Таблица1[сумма],Таблица1[коэф],"1,2",Таблица1[р/р],"3/24",Таблица1[Ф. И. О.],B374)</f>
        <v>0</v>
      </c>
      <c r="X372" s="291">
        <f t="shared" ref="X372:X373" si="233">ROUND(U372*V372*W372,2)</f>
        <v>0</v>
      </c>
      <c r="Y372" s="803"/>
      <c r="Z372" s="794"/>
      <c r="AA372" s="797"/>
    </row>
    <row r="373" spans="1:29" ht="24" thickBot="1">
      <c r="A373" s="740"/>
      <c r="B373" s="201"/>
      <c r="C373" s="799"/>
      <c r="D373" s="801"/>
      <c r="E373" s="72"/>
      <c r="F373" s="250"/>
      <c r="G373" s="92"/>
      <c r="H373" s="88"/>
      <c r="I373" s="311">
        <f>база!$J$6</f>
        <v>243.04319999999998</v>
      </c>
      <c r="J373" s="257">
        <v>1.5</v>
      </c>
      <c r="K373" s="202">
        <f>SUMIFS(Таблица1[сумма],Таблица1[коэф],"1,5",Таблица1[р/р],"5/8",Таблица1[Ф. И. О.],B374)</f>
        <v>0</v>
      </c>
      <c r="L373" s="202">
        <f>ROUND(I373*J373*K373,2)</f>
        <v>0</v>
      </c>
      <c r="M373" s="202"/>
      <c r="N373" s="202"/>
      <c r="O373" s="202"/>
      <c r="P373" s="28"/>
      <c r="Q373" s="72">
        <f>база!$L$5</f>
        <v>231.45480000000001</v>
      </c>
      <c r="R373" s="250">
        <v>1.2</v>
      </c>
      <c r="S373" s="92">
        <f>SUMIFS(Таблица1[сумма],Таблица1[коэф],"1,2",Таблица1[р/р],"4/16",Таблица1[Ф. И. О.],B374)</f>
        <v>0</v>
      </c>
      <c r="T373" s="88">
        <f t="shared" si="228"/>
        <v>0</v>
      </c>
      <c r="U373" s="292">
        <f>база!$M$5</f>
        <v>247.41720000000001</v>
      </c>
      <c r="V373" s="250">
        <v>1.2</v>
      </c>
      <c r="W373" s="285">
        <f>SUMIFS(Таблица1[сумма],Таблица1[коэф],"1,2",Таблица1[р/р],"4/24",Таблица1[Ф. И. О.],B374)</f>
        <v>0</v>
      </c>
      <c r="X373" s="291">
        <f t="shared" si="233"/>
        <v>0</v>
      </c>
      <c r="Y373" s="803"/>
      <c r="Z373" s="794"/>
      <c r="AA373" s="797"/>
      <c r="AC373" s="688" t="str">
        <f>IF(SUMIFS(Таблица1[Столбец2],Таблица1[Ф. И. О.],B374)-Z369=0,"",SUMIFS(Таблица1[Столбец2],Таблица1[Ф. И. О.],B374)-Z369)</f>
        <v/>
      </c>
    </row>
    <row r="374" spans="1:29" ht="24" thickBot="1">
      <c r="A374" s="740"/>
      <c r="B374" s="201" t="str">
        <f>база!B35</f>
        <v>Киселёва Надежда Игоревна</v>
      </c>
      <c r="C374" s="799"/>
      <c r="D374" s="801"/>
      <c r="E374" s="72"/>
      <c r="F374" s="250"/>
      <c r="G374" s="92"/>
      <c r="H374" s="88"/>
      <c r="I374" s="311"/>
      <c r="J374" s="257"/>
      <c r="K374" s="202"/>
      <c r="L374" s="202"/>
      <c r="M374" s="202"/>
      <c r="N374" s="202"/>
      <c r="O374" s="202"/>
      <c r="P374" s="28"/>
      <c r="Q374" s="72">
        <f>база!$L$6</f>
        <v>261.04640000000001</v>
      </c>
      <c r="R374" s="250">
        <v>1.2</v>
      </c>
      <c r="S374" s="92">
        <f>SUMIFS(Таблица1[сумма],Таблица1[коэф],"1,2",Таблица1[р/р],"5/16",Таблица1[Ф. И. О.],B374)</f>
        <v>0</v>
      </c>
      <c r="T374" s="88">
        <f>ROUND(Q374*R374*S374,2)</f>
        <v>0</v>
      </c>
      <c r="U374" s="292">
        <f>база!$M$6</f>
        <v>279.0496</v>
      </c>
      <c r="V374" s="250">
        <v>1.2</v>
      </c>
      <c r="W374" s="285">
        <f>SUMIFS(Таблица1[сумма],Таблица1[коэф],"1,2",Таблица1[р/р],"5/24",Таблица1[Ф. И. О.],B374)</f>
        <v>0</v>
      </c>
      <c r="X374" s="291">
        <f>ROUND(U374*V374*W374,2)</f>
        <v>0</v>
      </c>
      <c r="Y374" s="803"/>
      <c r="Z374" s="794"/>
      <c r="AA374" s="797"/>
      <c r="AC374" s="688" t="str">
        <f>IF(SUMIFS(Таблица1[сумма],Таблица1[Ф. И. О.],B374)=Y369,"",B369&amp;"  часы не верны")</f>
        <v/>
      </c>
    </row>
    <row r="375" spans="1:29" ht="24" thickBot="1">
      <c r="A375" s="740"/>
      <c r="B375" s="201"/>
      <c r="C375" s="799"/>
      <c r="D375" s="801"/>
      <c r="E375" s="72"/>
      <c r="F375" s="250"/>
      <c r="G375" s="92"/>
      <c r="H375" s="88"/>
      <c r="I375" s="311"/>
      <c r="J375" s="257"/>
      <c r="K375" s="202"/>
      <c r="L375" s="202"/>
      <c r="M375" s="202"/>
      <c r="N375" s="202"/>
      <c r="O375" s="202"/>
      <c r="P375" s="28"/>
      <c r="Q375" s="72">
        <f>IF($D$6&lt;=3,база!$L$4,
IF($D$6=4,база!$L$5,
IF($D$6=5,база!$L$6)))</f>
        <v>231.45480000000001</v>
      </c>
      <c r="R375" s="250">
        <v>1.3</v>
      </c>
      <c r="S375" s="92">
        <f>SUMIFS(Таблица1[сумма],Таблица1[коэф],"1,3",Таблица1[р/р],"3/16",Таблица1[Ф. И. О.],B374)</f>
        <v>0</v>
      </c>
      <c r="T375" s="88">
        <f t="shared" ref="T375:T384" si="234">ROUND(Q375*R375*S375,2)</f>
        <v>0</v>
      </c>
      <c r="U375" s="292">
        <f>IF(D369&lt;=3,база!$M$4,
IF(D369=4,база!$M$5,
IF(D369=5,база!$M$6)))</f>
        <v>225.09719999999999</v>
      </c>
      <c r="V375" s="250">
        <v>1.3</v>
      </c>
      <c r="W375" s="285">
        <f>SUMIFS(Таблица1[сумма],Таблица1[коэф],"1,3",Таблица1[р/р],"3/24",Таблица1[Ф. И. О.],B374)</f>
        <v>0</v>
      </c>
      <c r="X375" s="291">
        <f t="shared" ref="X375:X376" si="235">ROUND(U375*V375*W375,2)</f>
        <v>0</v>
      </c>
      <c r="Y375" s="803"/>
      <c r="Z375" s="794"/>
      <c r="AA375" s="797"/>
    </row>
    <row r="376" spans="1:29" ht="24" thickBot="1">
      <c r="A376" s="740"/>
      <c r="B376" s="201"/>
      <c r="C376" s="799"/>
      <c r="D376" s="801"/>
      <c r="E376" s="72"/>
      <c r="F376" s="250"/>
      <c r="G376" s="92"/>
      <c r="H376" s="88"/>
      <c r="I376" s="311"/>
      <c r="J376" s="257"/>
      <c r="K376" s="202"/>
      <c r="L376" s="202"/>
      <c r="M376" s="202"/>
      <c r="N376" s="202"/>
      <c r="O376" s="202"/>
      <c r="P376" s="28"/>
      <c r="Q376" s="72">
        <f>база!$L$5</f>
        <v>231.45480000000001</v>
      </c>
      <c r="R376" s="250">
        <v>1.3</v>
      </c>
      <c r="S376" s="92">
        <f>SUMIFS(Таблица1[сумма],Таблица1[коэф],"1,3",Таблица1[р/р],"4/16",Таблица1[Ф. И. О.],B374)</f>
        <v>0</v>
      </c>
      <c r="T376" s="88">
        <f t="shared" si="234"/>
        <v>0</v>
      </c>
      <c r="U376" s="292">
        <f>база!$M$5</f>
        <v>247.41720000000001</v>
      </c>
      <c r="V376" s="250">
        <v>1.3</v>
      </c>
      <c r="W376" s="285">
        <f>SUMIFS(Таблица1[сумма],Таблица1[коэф],"1,3",Таблица1[р/р],"4/24",Таблица1[Ф. И. О.],B374)</f>
        <v>0</v>
      </c>
      <c r="X376" s="291">
        <f t="shared" si="235"/>
        <v>0</v>
      </c>
      <c r="Y376" s="803"/>
      <c r="Z376" s="794"/>
      <c r="AA376" s="797"/>
    </row>
    <row r="377" spans="1:29" ht="24" thickBot="1">
      <c r="A377" s="740"/>
      <c r="B377" s="201"/>
      <c r="C377" s="799"/>
      <c r="D377" s="801"/>
      <c r="E377" s="72"/>
      <c r="F377" s="250"/>
      <c r="G377" s="92"/>
      <c r="H377" s="88"/>
      <c r="I377" s="311"/>
      <c r="J377" s="257"/>
      <c r="K377" s="202"/>
      <c r="L377" s="202"/>
      <c r="M377" s="202"/>
      <c r="N377" s="202"/>
      <c r="O377" s="202"/>
      <c r="P377" s="28"/>
      <c r="Q377" s="72">
        <f>IF(D369&lt;=3,база!$L$4,
IF(D369=4,база!$L$5,
IF(D369=5,база!$L$6)))</f>
        <v>210.57480000000001</v>
      </c>
      <c r="R377" s="250">
        <v>1.4</v>
      </c>
      <c r="S377" s="92">
        <f>SUMIFS(Таблица1[сумма],Таблица1[коэф],"1,4",Таблица1[р/р],"3/16",Таблица1[Ф. И. О.],B374)</f>
        <v>0</v>
      </c>
      <c r="T377" s="88">
        <f t="shared" si="234"/>
        <v>0</v>
      </c>
      <c r="U377" s="292">
        <f>IF(D369&lt;=3,база!$M$4,
IF(D369=4,база!$M$5,
IF(D369=5,база!$M$6)))</f>
        <v>225.09719999999999</v>
      </c>
      <c r="V377" s="250">
        <v>1.4</v>
      </c>
      <c r="W377" s="285">
        <f>SUMIFS(Таблица1[сумма],Таблица1[коэф],"1,4",Таблица1[р/р],"3/24",Таблица1[Ф. И. О.],B374)</f>
        <v>0</v>
      </c>
      <c r="X377" s="291">
        <f>ROUND(U377*V377*W377,2)</f>
        <v>0</v>
      </c>
      <c r="Y377" s="803"/>
      <c r="Z377" s="794"/>
      <c r="AA377" s="797"/>
    </row>
    <row r="378" spans="1:29" ht="24" thickBot="1">
      <c r="A378" s="740"/>
      <c r="B378" s="201"/>
      <c r="C378" s="799"/>
      <c r="D378" s="801"/>
      <c r="E378" s="72"/>
      <c r="F378" s="250"/>
      <c r="G378" s="92"/>
      <c r="H378" s="88"/>
      <c r="I378" s="311"/>
      <c r="J378" s="257"/>
      <c r="K378" s="202"/>
      <c r="L378" s="202"/>
      <c r="M378" s="202"/>
      <c r="N378" s="202"/>
      <c r="O378" s="202"/>
      <c r="P378" s="28"/>
      <c r="Q378" s="72">
        <f>база!$L$5</f>
        <v>231.45480000000001</v>
      </c>
      <c r="R378" s="250">
        <v>1.4</v>
      </c>
      <c r="S378" s="92">
        <f>SUMIFS(Таблица1[сумма],Таблица1[коэф],"1,4",Таблица1[р/р],"4/16",Таблица1[Ф. И. О.],B374)</f>
        <v>0</v>
      </c>
      <c r="T378" s="88">
        <f t="shared" si="234"/>
        <v>0</v>
      </c>
      <c r="U378" s="292">
        <f>база!$M$5</f>
        <v>247.41720000000001</v>
      </c>
      <c r="V378" s="250">
        <v>1.4</v>
      </c>
      <c r="W378" s="285">
        <f>SUMIFS(Таблица1[сумма],Таблица1[коэф],"1,4",Таблица1[р/р],"4/24",Таблица1[Ф. И. О.],B374)</f>
        <v>0</v>
      </c>
      <c r="X378" s="291">
        <f>ROUND(U378*V378*W378,2)</f>
        <v>0</v>
      </c>
      <c r="Y378" s="803"/>
      <c r="Z378" s="794"/>
      <c r="AA378" s="797"/>
    </row>
    <row r="379" spans="1:29" ht="24" thickBot="1">
      <c r="A379" s="741"/>
      <c r="B379" s="188"/>
      <c r="C379" s="800"/>
      <c r="D379" s="802"/>
      <c r="E379" s="95"/>
      <c r="F379" s="252"/>
      <c r="G379" s="91"/>
      <c r="H379" s="84"/>
      <c r="I379" s="325"/>
      <c r="J379" s="258"/>
      <c r="K379" s="267"/>
      <c r="L379" s="267"/>
      <c r="M379" s="267"/>
      <c r="N379" s="267"/>
      <c r="O379" s="267"/>
      <c r="P379" s="293"/>
      <c r="Q379" s="95">
        <f>база!$L$6</f>
        <v>261.04640000000001</v>
      </c>
      <c r="R379" s="252">
        <v>1.4</v>
      </c>
      <c r="S379" s="91">
        <f>SUMIFS(Таблица1[сумма],Таблица1[коэф],"1,4",Таблица1[р/р],"5/16",Таблица1[Ф. И. О.],B374)</f>
        <v>0</v>
      </c>
      <c r="T379" s="84">
        <f t="shared" si="234"/>
        <v>0</v>
      </c>
      <c r="U379" s="324">
        <f>база!$M$6</f>
        <v>279.0496</v>
      </c>
      <c r="V379" s="252">
        <v>1.4</v>
      </c>
      <c r="W379" s="290">
        <f>SUMIFS(Таблица1[сумма],Таблица1[коэф],"1,4",Таблица1[р/р],"5/24",Таблица1[Ф. И. О.],B374)</f>
        <v>0</v>
      </c>
      <c r="X379" s="320">
        <f>ROUND(U379*V379*W379,2)</f>
        <v>0</v>
      </c>
      <c r="Y379" s="804"/>
      <c r="Z379" s="795"/>
      <c r="AA379" s="798"/>
    </row>
    <row r="380" spans="1:29">
      <c r="A380" s="739">
        <v>35</v>
      </c>
      <c r="B380" s="219"/>
      <c r="C380" s="805">
        <f>INDEX(база!$E$2:$E$81, MATCH(B385,база!$B$2:$B$50,0))</f>
        <v>17188</v>
      </c>
      <c r="D380" s="806">
        <f>INDEX(база!$D$2:$D$89, MATCH(B385,база!$B$2:$B$50,0))</f>
        <v>3</v>
      </c>
      <c r="E380" s="66">
        <f>IF(D380&lt;=3,база!$I$4,
IF(D380=4,база!$I$5,
IF(D380=5,база!$I$6)))</f>
        <v>188.7912</v>
      </c>
      <c r="F380" s="248">
        <v>1</v>
      </c>
      <c r="G380" s="89">
        <f>SUMIFS(Таблица1[сумма],Таблица1[коэф],"1",Таблица1[р/р],"2/4",Таблица1[Ф. И. О.],B385)</f>
        <v>0</v>
      </c>
      <c r="H380" s="81">
        <f>ROUND(E380*F380*G380,2)</f>
        <v>0</v>
      </c>
      <c r="I380" s="315">
        <f>IF(D380&lt;=3,база!$J$4,
IF(D380=4,база!$J$5,
IF(D380=5,база!$J$6)))</f>
        <v>196.05240000000001</v>
      </c>
      <c r="J380" s="255">
        <v>1</v>
      </c>
      <c r="K380" s="266">
        <f>SUMIFS(Таблица1[сумма],Таблица1[коэф],"1",Таблица1[р/р],"2/8",Таблица1[Ф. И. О.],B385)</f>
        <v>0</v>
      </c>
      <c r="L380" s="266">
        <f>ROUND(I380*J380*K380,2)</f>
        <v>0</v>
      </c>
      <c r="M380" s="266"/>
      <c r="N380" s="266">
        <v>1</v>
      </c>
      <c r="O380" s="266">
        <f>SUMIFS(Data_Tech!$AM$3:$AM$67,Data_Tech!$E$3:$E$67,"1",Data_Tech!$G$3:$G$67,"3/12",Data_Tech!$F$3:$F$67,B385)</f>
        <v>0</v>
      </c>
      <c r="P380" s="259">
        <f>ROUND(M380*N380*O380,2)</f>
        <v>0</v>
      </c>
      <c r="Q380" s="66">
        <f>IF(D380&lt;=3,база!$L$4,
IF(D380=4,база!$L$5,
IF(D380=5,база!$L$6)))</f>
        <v>210.57480000000001</v>
      </c>
      <c r="R380" s="248">
        <v>1</v>
      </c>
      <c r="S380" s="89">
        <f>SUMIFS(Таблица1[сумма],Таблица1[коэф],"1",Таблица1[р/р],"3/16",Таблица1[Ф. И. О.],B385)</f>
        <v>0</v>
      </c>
      <c r="T380" s="81">
        <f t="shared" si="234"/>
        <v>0</v>
      </c>
      <c r="U380" s="316">
        <f>IF(D380&lt;=3,база!$M$4,
IF(D380=4,база!$M$5,
IF(D380=5,база!$M$6)))</f>
        <v>225.09719999999999</v>
      </c>
      <c r="V380" s="248">
        <v>1</v>
      </c>
      <c r="W380" s="317">
        <f>SUMIFS(Таблица1[сумма],Таблица1[коэф],"1",Таблица1[р/р],"3/24",Таблица1[Ф. И. О.],B385)</f>
        <v>0</v>
      </c>
      <c r="X380" s="319">
        <f>ROUND(U380*V380*W380,2)</f>
        <v>0</v>
      </c>
      <c r="Y380" s="803">
        <f t="shared" ref="Y380" si="236">SUM(G380:G390,K380:K390,O380:O390,S380:S390,W380:W390)</f>
        <v>0</v>
      </c>
      <c r="Z380" s="794">
        <f t="shared" ref="Z380" si="237">IFERROR(SUM(H380:H390,L380:L390,T380:T390,X380:X390),"")</f>
        <v>0</v>
      </c>
      <c r="AA380" s="797"/>
    </row>
    <row r="381" spans="1:29">
      <c r="A381" s="740"/>
      <c r="B381" s="201"/>
      <c r="C381" s="799"/>
      <c r="D381" s="801"/>
      <c r="E381" s="72">
        <f>IF(D380&lt;=3,база!$I$4,
IF(D380=4,база!$I$5,
IF(D380=5,база!$I$6)))</f>
        <v>188.7912</v>
      </c>
      <c r="F381" s="250">
        <v>1</v>
      </c>
      <c r="G381" s="92">
        <f>SUMIFS(Таблица1[сумма],Таблица1[коэф],"1",Таблица1[р/р],"3/4",Таблица1[Ф. И. О.],B385)</f>
        <v>0</v>
      </c>
      <c r="H381" s="88">
        <f>ROUND(E381*F381*G381,2)</f>
        <v>0</v>
      </c>
      <c r="I381" s="311">
        <f>IF(D380&lt;=3,база!$J$4,
IF(D380=4,база!$J$5,
IF(D380=5,база!$J$6)))</f>
        <v>196.05240000000001</v>
      </c>
      <c r="J381" s="257">
        <v>1</v>
      </c>
      <c r="K381" s="202">
        <f>SUMIFS(Таблица1[сумма],Таблица1[коэф],"1",Таблица1[р/р],"3/8",Таблица1[Ф. И. О.],B385)</f>
        <v>0</v>
      </c>
      <c r="L381" s="202">
        <f>ROUND(I381*J381*K381,2)</f>
        <v>0</v>
      </c>
      <c r="M381" s="202"/>
      <c r="N381" s="202">
        <v>1</v>
      </c>
      <c r="O381" s="202">
        <f>SUMIFS(Data_Tech!$AM$3:$AM$67,Data_Tech!$E$3:$E$67,"1",Data_Tech!$G$3:$G$67,"4/12",Data_Tech!$F$3:$F$67,B385)</f>
        <v>0</v>
      </c>
      <c r="P381" s="28">
        <f>ROUND(M381*O381,2)</f>
        <v>0</v>
      </c>
      <c r="Q381" s="72">
        <f>база!$L$5</f>
        <v>231.45480000000001</v>
      </c>
      <c r="R381" s="250">
        <v>1</v>
      </c>
      <c r="S381" s="92">
        <f>SUMIFS(Таблица1[сумма],Таблица1[коэф],"1",Таблица1[р/р],"4/16",Таблица1[Ф. И. О.],B385)</f>
        <v>0</v>
      </c>
      <c r="T381" s="88">
        <f t="shared" si="234"/>
        <v>0</v>
      </c>
      <c r="U381" s="292">
        <f>база!$M$5</f>
        <v>247.41720000000001</v>
      </c>
      <c r="V381" s="250">
        <v>1</v>
      </c>
      <c r="W381" s="285">
        <f>SUMIFS(Таблица1[сумма],Таблица1[коэф],"1",Таблица1[р/р],"4/24",Таблица1[Ф. И. О.],B385)</f>
        <v>0</v>
      </c>
      <c r="X381" s="291">
        <f t="shared" ref="X381" si="238">ROUND(U381*V381*W381,2)</f>
        <v>0</v>
      </c>
      <c r="Y381" s="803"/>
      <c r="Z381" s="794"/>
      <c r="AA381" s="797"/>
    </row>
    <row r="382" spans="1:29">
      <c r="A382" s="740"/>
      <c r="B382" s="201"/>
      <c r="C382" s="799"/>
      <c r="D382" s="801"/>
      <c r="E382" s="72"/>
      <c r="F382" s="250"/>
      <c r="G382" s="92"/>
      <c r="H382" s="88"/>
      <c r="I382" s="311"/>
      <c r="J382" s="257"/>
      <c r="K382" s="202"/>
      <c r="L382" s="202"/>
      <c r="M382" s="202"/>
      <c r="N382" s="202"/>
      <c r="O382" s="202"/>
      <c r="P382" s="28"/>
      <c r="Q382" s="72">
        <f>база!$L$6</f>
        <v>261.04640000000001</v>
      </c>
      <c r="R382" s="250">
        <v>1</v>
      </c>
      <c r="S382" s="92">
        <f>SUMIFS(Таблица1[сумма],Таблица1[коэф],"1",Таблица1[р/р],"5/16",Таблица1[Ф. И. О.],B385)</f>
        <v>0</v>
      </c>
      <c r="T382" s="88">
        <f t="shared" si="234"/>
        <v>0</v>
      </c>
      <c r="U382" s="292">
        <f>база!$M$6</f>
        <v>279.0496</v>
      </c>
      <c r="V382" s="250">
        <v>1</v>
      </c>
      <c r="W382" s="285">
        <f>SUMIFS(Таблица1[сумма],Таблица1[коэф],"1",Таблица1[р/р],"5/24",Таблица1[Ф. И. О.],B385)</f>
        <v>0</v>
      </c>
      <c r="X382" s="291">
        <f>ROUND(U382*V382*W382,2)</f>
        <v>0</v>
      </c>
      <c r="Y382" s="803"/>
      <c r="Z382" s="794"/>
      <c r="AA382" s="797"/>
    </row>
    <row r="383" spans="1:29">
      <c r="A383" s="740"/>
      <c r="B383" s="201"/>
      <c r="C383" s="799"/>
      <c r="D383" s="801"/>
      <c r="E383" s="72"/>
      <c r="F383" s="250"/>
      <c r="G383" s="92"/>
      <c r="H383" s="88"/>
      <c r="I383" s="311">
        <f>база!$J$5</f>
        <v>215.4924</v>
      </c>
      <c r="J383" s="257">
        <v>1.5</v>
      </c>
      <c r="K383" s="202">
        <f>SUMIFS(Таблица1[сумма],Таблица1[коэф],"1,5",Таблица1[р/р],"4/8",Таблица1[Ф. И. О.],B385)</f>
        <v>0</v>
      </c>
      <c r="L383" s="202">
        <f>ROUND(I383*J383*K383,2)</f>
        <v>0</v>
      </c>
      <c r="M383" s="202"/>
      <c r="N383" s="202"/>
      <c r="O383" s="202"/>
      <c r="P383" s="28"/>
      <c r="Q383" s="72">
        <f>IF(D380&lt;=3,база!$L$4,
IF(D380=4,база!$L$5,
IF(D380=5,база!$L$6)))</f>
        <v>210.57480000000001</v>
      </c>
      <c r="R383" s="250">
        <v>1.2</v>
      </c>
      <c r="S383" s="92">
        <f>SUMIFS(Таблица1[сумма],Таблица1[коэф],"1,2",Таблица1[р/р],"3/16",Таблица1[Ф. И. О.],B385)</f>
        <v>0</v>
      </c>
      <c r="T383" s="88">
        <f t="shared" si="234"/>
        <v>0</v>
      </c>
      <c r="U383" s="292">
        <f>IF(D380&lt;=3,база!$M$4,
IF(D380=4,база!$M$5,
IF(D380=5,база!$M$6)))</f>
        <v>225.09719999999999</v>
      </c>
      <c r="V383" s="250">
        <v>1.2</v>
      </c>
      <c r="W383" s="285">
        <f>SUMIFS(Таблица1[сумма],Таблица1[коэф],"1,2",Таблица1[р/р],"3/24",Таблица1[Ф. И. О.],B385)</f>
        <v>0</v>
      </c>
      <c r="X383" s="291">
        <f t="shared" ref="X383:X384" si="239">ROUND(U383*V383*W383,2)</f>
        <v>0</v>
      </c>
      <c r="Y383" s="803"/>
      <c r="Z383" s="794"/>
      <c r="AA383" s="797"/>
    </row>
    <row r="384" spans="1:29">
      <c r="A384" s="740"/>
      <c r="B384" s="201"/>
      <c r="C384" s="799"/>
      <c r="D384" s="801"/>
      <c r="E384" s="72"/>
      <c r="F384" s="250"/>
      <c r="G384" s="92"/>
      <c r="H384" s="88"/>
      <c r="I384" s="311">
        <f>база!$J$6</f>
        <v>243.04319999999998</v>
      </c>
      <c r="J384" s="257">
        <v>1.5</v>
      </c>
      <c r="K384" s="202">
        <f>SUMIFS(Таблица1[сумма],Таблица1[коэф],"1,5",Таблица1[р/р],"5/8",Таблица1[Ф. И. О.],B385)</f>
        <v>0</v>
      </c>
      <c r="L384" s="202">
        <f>ROUND(I384*J384*K384,2)</f>
        <v>0</v>
      </c>
      <c r="M384" s="202"/>
      <c r="N384" s="202"/>
      <c r="O384" s="202"/>
      <c r="P384" s="28"/>
      <c r="Q384" s="72">
        <f>база!$L$5</f>
        <v>231.45480000000001</v>
      </c>
      <c r="R384" s="250">
        <v>1.2</v>
      </c>
      <c r="S384" s="92">
        <f>SUMIFS(Таблица1[сумма],Таблица1[коэф],"1,2",Таблица1[р/р],"4/16",Таблица1[Ф. И. О.],B385)</f>
        <v>0</v>
      </c>
      <c r="T384" s="88">
        <f t="shared" si="234"/>
        <v>0</v>
      </c>
      <c r="U384" s="292">
        <f>база!$M$5</f>
        <v>247.41720000000001</v>
      </c>
      <c r="V384" s="250">
        <v>1.2</v>
      </c>
      <c r="W384" s="285">
        <f>SUMIFS(Таблица1[сумма],Таблица1[коэф],"1,2",Таблица1[р/р],"4/24",Таблица1[Ф. И. О.],B385)</f>
        <v>0</v>
      </c>
      <c r="X384" s="291">
        <f t="shared" si="239"/>
        <v>0</v>
      </c>
      <c r="Y384" s="803"/>
      <c r="Z384" s="794"/>
      <c r="AA384" s="797"/>
      <c r="AC384" s="688" t="str">
        <f>IF(SUMIFS(Таблица1[Столбец2],Таблица1[Ф. И. О.],B385)-Z380=0,"",SUMIFS(Таблица1[Столбец2],Таблица1[Ф. И. О.],B385)-Z380)</f>
        <v/>
      </c>
    </row>
    <row r="385" spans="1:29" ht="24" thickBot="1">
      <c r="A385" s="740"/>
      <c r="B385" s="201" t="str">
        <f>база!B36</f>
        <v>Климонтович Янина Анатольевна</v>
      </c>
      <c r="C385" s="799"/>
      <c r="D385" s="801"/>
      <c r="E385" s="72"/>
      <c r="F385" s="250"/>
      <c r="G385" s="92"/>
      <c r="H385" s="88"/>
      <c r="I385" s="311"/>
      <c r="J385" s="257"/>
      <c r="K385" s="202"/>
      <c r="L385" s="202"/>
      <c r="M385" s="202"/>
      <c r="N385" s="202"/>
      <c r="O385" s="202"/>
      <c r="P385" s="28"/>
      <c r="Q385" s="72">
        <f>база!$L$6</f>
        <v>261.04640000000001</v>
      </c>
      <c r="R385" s="250">
        <v>1.2</v>
      </c>
      <c r="S385" s="92">
        <f>SUMIFS(Таблица1[сумма],Таблица1[коэф],"1,2",Таблица1[р/р],"5/16",Таблица1[Ф. И. О.],B385)</f>
        <v>0</v>
      </c>
      <c r="T385" s="88">
        <f>ROUND(Q385*R385*S385,2)</f>
        <v>0</v>
      </c>
      <c r="U385" s="292">
        <f>база!$M$6</f>
        <v>279.0496</v>
      </c>
      <c r="V385" s="250">
        <v>1.2</v>
      </c>
      <c r="W385" s="285">
        <f>SUMIFS(Таблица1[сумма],Таблица1[коэф],"1,2",Таблица1[р/р],"5/24",Таблица1[Ф. И. О.],B385)</f>
        <v>0</v>
      </c>
      <c r="X385" s="291">
        <f>ROUND(U385*V385*W385,2)</f>
        <v>0</v>
      </c>
      <c r="Y385" s="803"/>
      <c r="Z385" s="794"/>
      <c r="AA385" s="797"/>
      <c r="AC385" s="688" t="str">
        <f>IF(SUMIFS(Таблица1[сумма],Таблица1[Ф. И. О.],B385)=Y380,"",B380&amp;"  часы не верны")</f>
        <v/>
      </c>
    </row>
    <row r="386" spans="1:29" ht="24" thickBot="1">
      <c r="A386" s="740"/>
      <c r="B386" s="201"/>
      <c r="C386" s="799"/>
      <c r="D386" s="801"/>
      <c r="E386" s="72"/>
      <c r="F386" s="250"/>
      <c r="G386" s="92"/>
      <c r="H386" s="88"/>
      <c r="I386" s="311"/>
      <c r="J386" s="257"/>
      <c r="K386" s="202"/>
      <c r="L386" s="202"/>
      <c r="M386" s="202"/>
      <c r="N386" s="202"/>
      <c r="O386" s="202"/>
      <c r="P386" s="28"/>
      <c r="Q386" s="72">
        <f>IF($D$6&lt;=3,база!$L$4,
IF($D$6=4,база!$L$5,
IF($D$6=5,база!$L$6)))</f>
        <v>231.45480000000001</v>
      </c>
      <c r="R386" s="250">
        <v>1.3</v>
      </c>
      <c r="S386" s="92">
        <f>SUMIFS(Таблица1[сумма],Таблица1[коэф],"1,3",Таблица1[р/р],"3/16",Таблица1[Ф. И. О.],B385)</f>
        <v>0</v>
      </c>
      <c r="T386" s="88">
        <f t="shared" ref="T386:T395" si="240">ROUND(Q386*R386*S386,2)</f>
        <v>0</v>
      </c>
      <c r="U386" s="292">
        <f>IF(D380&lt;=3,база!$M$4,
IF(D380=4,база!$M$5,
IF(D380=5,база!$M$6)))</f>
        <v>225.09719999999999</v>
      </c>
      <c r="V386" s="250">
        <v>1.3</v>
      </c>
      <c r="W386" s="285">
        <f>SUMIFS(Таблица1[сумма],Таблица1[коэф],"1,3",Таблица1[р/р],"3/24",Таблица1[Ф. И. О.],B385)</f>
        <v>0</v>
      </c>
      <c r="X386" s="291">
        <f t="shared" ref="X386:X387" si="241">ROUND(U386*V386*W386,2)</f>
        <v>0</v>
      </c>
      <c r="Y386" s="803"/>
      <c r="Z386" s="794"/>
      <c r="AA386" s="797"/>
    </row>
    <row r="387" spans="1:29" ht="24" thickBot="1">
      <c r="A387" s="740"/>
      <c r="B387" s="201"/>
      <c r="C387" s="799"/>
      <c r="D387" s="801"/>
      <c r="E387" s="72"/>
      <c r="F387" s="250"/>
      <c r="G387" s="92"/>
      <c r="H387" s="88"/>
      <c r="I387" s="311"/>
      <c r="J387" s="257"/>
      <c r="K387" s="202"/>
      <c r="L387" s="202"/>
      <c r="M387" s="202"/>
      <c r="N387" s="202"/>
      <c r="O387" s="202"/>
      <c r="P387" s="28"/>
      <c r="Q387" s="72">
        <f>база!$L$5</f>
        <v>231.45480000000001</v>
      </c>
      <c r="R387" s="250">
        <v>1.3</v>
      </c>
      <c r="S387" s="92">
        <f>SUMIFS(Таблица1[сумма],Таблица1[коэф],"1,3",Таблица1[р/р],"4/16",Таблица1[Ф. И. О.],B385)</f>
        <v>0</v>
      </c>
      <c r="T387" s="88">
        <f t="shared" si="240"/>
        <v>0</v>
      </c>
      <c r="U387" s="292">
        <f>база!$M$5</f>
        <v>247.41720000000001</v>
      </c>
      <c r="V387" s="250">
        <v>1.3</v>
      </c>
      <c r="W387" s="285">
        <f>SUMIFS(Таблица1[сумма],Таблица1[коэф],"1,3",Таблица1[р/р],"4/24",Таблица1[Ф. И. О.],B385)</f>
        <v>0</v>
      </c>
      <c r="X387" s="291">
        <f t="shared" si="241"/>
        <v>0</v>
      </c>
      <c r="Y387" s="803"/>
      <c r="Z387" s="794"/>
      <c r="AA387" s="797"/>
    </row>
    <row r="388" spans="1:29" ht="24" thickBot="1">
      <c r="A388" s="740"/>
      <c r="B388" s="201"/>
      <c r="C388" s="799"/>
      <c r="D388" s="801"/>
      <c r="E388" s="72"/>
      <c r="F388" s="250"/>
      <c r="G388" s="92"/>
      <c r="H388" s="88"/>
      <c r="I388" s="311"/>
      <c r="J388" s="257"/>
      <c r="K388" s="202"/>
      <c r="L388" s="202"/>
      <c r="M388" s="202"/>
      <c r="N388" s="202"/>
      <c r="O388" s="202"/>
      <c r="P388" s="28"/>
      <c r="Q388" s="72">
        <f>IF(D380&lt;=3,база!$L$4,
IF(D380=4,база!$L$5,
IF(D380=5,база!$L$6)))</f>
        <v>210.57480000000001</v>
      </c>
      <c r="R388" s="250">
        <v>1.4</v>
      </c>
      <c r="S388" s="92">
        <f>SUMIFS(Таблица1[сумма],Таблица1[коэф],"1,4",Таблица1[р/р],"3/16",Таблица1[Ф. И. О.],B385)</f>
        <v>0</v>
      </c>
      <c r="T388" s="88">
        <f t="shared" si="240"/>
        <v>0</v>
      </c>
      <c r="U388" s="292">
        <f>IF(D380&lt;=3,база!$M$4,
IF(D380=4,база!$M$5,
IF(D380=5,база!$M$6)))</f>
        <v>225.09719999999999</v>
      </c>
      <c r="V388" s="250">
        <v>1.4</v>
      </c>
      <c r="W388" s="285">
        <f>SUMIFS(Таблица1[сумма],Таблица1[коэф],"1,4",Таблица1[р/р],"3/24",Таблица1[Ф. И. О.],B385)</f>
        <v>0</v>
      </c>
      <c r="X388" s="291">
        <f>ROUND(U388*V388*W388,2)</f>
        <v>0</v>
      </c>
      <c r="Y388" s="803"/>
      <c r="Z388" s="794"/>
      <c r="AA388" s="797"/>
    </row>
    <row r="389" spans="1:29" ht="24" thickBot="1">
      <c r="A389" s="740"/>
      <c r="B389" s="201"/>
      <c r="C389" s="799"/>
      <c r="D389" s="801"/>
      <c r="E389" s="72"/>
      <c r="F389" s="250"/>
      <c r="G389" s="92"/>
      <c r="H389" s="88"/>
      <c r="I389" s="311"/>
      <c r="J389" s="257"/>
      <c r="K389" s="202"/>
      <c r="L389" s="202"/>
      <c r="M389" s="202"/>
      <c r="N389" s="202"/>
      <c r="O389" s="202"/>
      <c r="P389" s="28"/>
      <c r="Q389" s="72">
        <f>база!$L$5</f>
        <v>231.45480000000001</v>
      </c>
      <c r="R389" s="250">
        <v>1.4</v>
      </c>
      <c r="S389" s="92">
        <f>SUMIFS(Таблица1[сумма],Таблица1[коэф],"1,4",Таблица1[р/р],"4/16",Таблица1[Ф. И. О.],B385)</f>
        <v>0</v>
      </c>
      <c r="T389" s="88">
        <f t="shared" si="240"/>
        <v>0</v>
      </c>
      <c r="U389" s="292">
        <f>база!$M$5</f>
        <v>247.41720000000001</v>
      </c>
      <c r="V389" s="250">
        <v>1.4</v>
      </c>
      <c r="W389" s="285">
        <f>SUMIFS(Таблица1[сумма],Таблица1[коэф],"1,4",Таблица1[р/р],"4/24",Таблица1[Ф. И. О.],B385)</f>
        <v>0</v>
      </c>
      <c r="X389" s="291">
        <f>ROUND(U389*V389*W389,2)</f>
        <v>0</v>
      </c>
      <c r="Y389" s="803"/>
      <c r="Z389" s="794"/>
      <c r="AA389" s="797"/>
    </row>
    <row r="390" spans="1:29" ht="24" thickBot="1">
      <c r="A390" s="741"/>
      <c r="B390" s="188"/>
      <c r="C390" s="800"/>
      <c r="D390" s="802"/>
      <c r="E390" s="95"/>
      <c r="F390" s="252"/>
      <c r="G390" s="91"/>
      <c r="H390" s="84"/>
      <c r="I390" s="325"/>
      <c r="J390" s="258"/>
      <c r="K390" s="267"/>
      <c r="L390" s="267"/>
      <c r="M390" s="267"/>
      <c r="N390" s="267"/>
      <c r="O390" s="267"/>
      <c r="P390" s="293"/>
      <c r="Q390" s="95">
        <f>база!$L$6</f>
        <v>261.04640000000001</v>
      </c>
      <c r="R390" s="252">
        <v>1.4</v>
      </c>
      <c r="S390" s="91">
        <f>SUMIFS(Таблица1[сумма],Таблица1[коэф],"1,4",Таблица1[р/р],"5/16",Таблица1[Ф. И. О.],B385)</f>
        <v>0</v>
      </c>
      <c r="T390" s="84">
        <f t="shared" si="240"/>
        <v>0</v>
      </c>
      <c r="U390" s="324">
        <f>база!$M$6</f>
        <v>279.0496</v>
      </c>
      <c r="V390" s="252">
        <v>1.4</v>
      </c>
      <c r="W390" s="290">
        <f>SUMIFS(Таблица1[сумма],Таблица1[коэф],"1,4",Таблица1[р/р],"5/24",Таблица1[Ф. И. О.],B385)</f>
        <v>0</v>
      </c>
      <c r="X390" s="320">
        <f>ROUND(U390*V390*W390,2)</f>
        <v>0</v>
      </c>
      <c r="Y390" s="804"/>
      <c r="Z390" s="795"/>
      <c r="AA390" s="798"/>
    </row>
    <row r="391" spans="1:29">
      <c r="A391" s="739">
        <v>36</v>
      </c>
      <c r="B391" s="219"/>
      <c r="C391" s="805">
        <f>INDEX(база!$E$2:$E$81, MATCH(B396,база!$B$2:$B$50,0))</f>
        <v>15888</v>
      </c>
      <c r="D391" s="806">
        <f>INDEX(база!$D$2:$D$89, MATCH(B396,база!$B$2:$B$50,0))</f>
        <v>3</v>
      </c>
      <c r="E391" s="66">
        <f>IF(D391&lt;=3,база!$I$4,
IF(D391=4,база!$I$5,
IF(D391=5,база!$I$6)))</f>
        <v>188.7912</v>
      </c>
      <c r="F391" s="248">
        <v>1</v>
      </c>
      <c r="G391" s="89">
        <f>SUMIFS(Таблица1[сумма],Таблица1[коэф],"1",Таблица1[р/р],"2/4",Таблица1[Ф. И. О.],B396)</f>
        <v>0</v>
      </c>
      <c r="H391" s="81">
        <f>ROUND(E391*F391*G391,2)</f>
        <v>0</v>
      </c>
      <c r="I391" s="315">
        <f>IF(D391&lt;=3,база!$J$4,
IF(D391=4,база!$J$5,
IF(D391=5,база!$J$6)))</f>
        <v>196.05240000000001</v>
      </c>
      <c r="J391" s="255">
        <v>1</v>
      </c>
      <c r="K391" s="266">
        <f>SUMIFS(Таблица1[сумма],Таблица1[коэф],"1",Таблица1[р/р],"2/8",Таблица1[Ф. И. О.],B396)</f>
        <v>0</v>
      </c>
      <c r="L391" s="266">
        <f>ROUND(I391*J391*K391,2)</f>
        <v>0</v>
      </c>
      <c r="M391" s="266"/>
      <c r="N391" s="266">
        <v>1</v>
      </c>
      <c r="O391" s="266">
        <f>SUMIFS(Data_Tech!$AM$3:$AM$67,Data_Tech!$E$3:$E$67,"1",Data_Tech!$G$3:$G$67,"3/12",Data_Tech!$F$3:$F$67,B396)</f>
        <v>0</v>
      </c>
      <c r="P391" s="259">
        <f>ROUND(M391*N391*O391,2)</f>
        <v>0</v>
      </c>
      <c r="Q391" s="66">
        <f>IF(D391&lt;=3,база!$L$4,
IF(D391=4,база!$L$5,
IF(D391=5,база!$L$6)))</f>
        <v>210.57480000000001</v>
      </c>
      <c r="R391" s="248">
        <v>1</v>
      </c>
      <c r="S391" s="89">
        <f>SUMIFS(Таблица1[сумма],Таблица1[коэф],"1",Таблица1[р/р],"3/16",Таблица1[Ф. И. О.],B396)</f>
        <v>0</v>
      </c>
      <c r="T391" s="81">
        <f t="shared" si="240"/>
        <v>0</v>
      </c>
      <c r="U391" s="316">
        <f>IF(D391&lt;=3,база!$M$4,
IF(D391=4,база!$M$5,
IF(D391=5,база!$M$6)))</f>
        <v>225.09719999999999</v>
      </c>
      <c r="V391" s="248">
        <v>1</v>
      </c>
      <c r="W391" s="317">
        <f>SUMIFS(Таблица1[сумма],Таблица1[коэф],"1",Таблица1[р/р],"3/24",Таблица1[Ф. И. О.],B396)</f>
        <v>0</v>
      </c>
      <c r="X391" s="319">
        <f>ROUND(U391*V391*W391,2)</f>
        <v>0</v>
      </c>
      <c r="Y391" s="803">
        <f t="shared" ref="Y391" si="242">SUM(G391:G401,K391:K401,O391:O401,S391:S401,W391:W401)</f>
        <v>0</v>
      </c>
      <c r="Z391" s="794">
        <f t="shared" ref="Z391" si="243">IFERROR(SUM(H391:H401,L391:L401,T391:T401,X391:X401),"")</f>
        <v>0</v>
      </c>
      <c r="AA391" s="797"/>
    </row>
    <row r="392" spans="1:29">
      <c r="A392" s="740"/>
      <c r="B392" s="201"/>
      <c r="C392" s="799"/>
      <c r="D392" s="801"/>
      <c r="E392" s="72">
        <f>IF(D391&lt;=3,база!$I$4,
IF(D391=4,база!$I$5,
IF(D391=5,база!$I$6)))</f>
        <v>188.7912</v>
      </c>
      <c r="F392" s="250">
        <v>1</v>
      </c>
      <c r="G392" s="92">
        <f>SUMIFS(Таблица1[сумма],Таблица1[коэф],"1",Таблица1[р/р],"3/4",Таблица1[Ф. И. О.],B396)</f>
        <v>0</v>
      </c>
      <c r="H392" s="88">
        <f>ROUND(E392*F392*G392,2)</f>
        <v>0</v>
      </c>
      <c r="I392" s="311">
        <f>IF(D391&lt;=3,база!$J$4,
IF(D391=4,база!$J$5,
IF(D391=5,база!$J$6)))</f>
        <v>196.05240000000001</v>
      </c>
      <c r="J392" s="257">
        <v>1</v>
      </c>
      <c r="K392" s="202">
        <f>SUMIFS(Таблица1[сумма],Таблица1[коэф],"1",Таблица1[р/р],"3/8",Таблица1[Ф. И. О.],B396)</f>
        <v>0</v>
      </c>
      <c r="L392" s="202">
        <f>ROUND(I392*J392*K392,2)</f>
        <v>0</v>
      </c>
      <c r="M392" s="202"/>
      <c r="N392" s="202">
        <v>1</v>
      </c>
      <c r="O392" s="202">
        <f>SUMIFS(Data_Tech!$AM$3:$AM$67,Data_Tech!$E$3:$E$67,"1",Data_Tech!$G$3:$G$67,"4/12",Data_Tech!$F$3:$F$67,B396)</f>
        <v>0</v>
      </c>
      <c r="P392" s="28">
        <f>ROUND(M392*O392,2)</f>
        <v>0</v>
      </c>
      <c r="Q392" s="72">
        <f>база!$L$5</f>
        <v>231.45480000000001</v>
      </c>
      <c r="R392" s="250">
        <v>1</v>
      </c>
      <c r="S392" s="92">
        <f>SUMIFS(Таблица1[сумма],Таблица1[коэф],"1",Таблица1[р/р],"4/16",Таблица1[Ф. И. О.],B396)</f>
        <v>0</v>
      </c>
      <c r="T392" s="88">
        <f t="shared" si="240"/>
        <v>0</v>
      </c>
      <c r="U392" s="292">
        <f>база!$M$5</f>
        <v>247.41720000000001</v>
      </c>
      <c r="V392" s="250">
        <v>1</v>
      </c>
      <c r="W392" s="285">
        <f>SUMIFS(Таблица1[сумма],Таблица1[коэф],"1",Таблица1[р/р],"4/24",Таблица1[Ф. И. О.],B396)</f>
        <v>0</v>
      </c>
      <c r="X392" s="291">
        <f t="shared" ref="X392" si="244">ROUND(U392*V392*W392,2)</f>
        <v>0</v>
      </c>
      <c r="Y392" s="803"/>
      <c r="Z392" s="794"/>
      <c r="AA392" s="797"/>
    </row>
    <row r="393" spans="1:29" ht="24" thickBot="1">
      <c r="A393" s="740"/>
      <c r="B393" s="201"/>
      <c r="C393" s="799"/>
      <c r="D393" s="801"/>
      <c r="E393" s="72"/>
      <c r="F393" s="250"/>
      <c r="G393" s="92"/>
      <c r="H393" s="88"/>
      <c r="I393" s="311"/>
      <c r="J393" s="257"/>
      <c r="K393" s="202"/>
      <c r="L393" s="202"/>
      <c r="M393" s="202"/>
      <c r="N393" s="202"/>
      <c r="O393" s="202"/>
      <c r="P393" s="28"/>
      <c r="Q393" s="72">
        <f>база!$L$6</f>
        <v>261.04640000000001</v>
      </c>
      <c r="R393" s="250">
        <v>1</v>
      </c>
      <c r="S393" s="92">
        <f>SUMIFS(Таблица1[сумма],Таблица1[коэф],"1",Таблица1[р/р],"5/16",Таблица1[Ф. И. О.],B396)</f>
        <v>0</v>
      </c>
      <c r="T393" s="88">
        <f t="shared" si="240"/>
        <v>0</v>
      </c>
      <c r="U393" s="292">
        <f>база!$M$6</f>
        <v>279.0496</v>
      </c>
      <c r="V393" s="250">
        <v>1</v>
      </c>
      <c r="W393" s="285">
        <f>SUMIFS(Таблица1[сумма],Таблица1[коэф],"1",Таблица1[р/р],"5/24",Таблица1[Ф. И. О.],B396)</f>
        <v>0</v>
      </c>
      <c r="X393" s="291">
        <f>ROUND(U393*V393*W393,2)</f>
        <v>0</v>
      </c>
      <c r="Y393" s="803"/>
      <c r="Z393" s="794"/>
      <c r="AA393" s="797"/>
    </row>
    <row r="394" spans="1:29" ht="24" thickBot="1">
      <c r="A394" s="740"/>
      <c r="B394" s="201"/>
      <c r="C394" s="799"/>
      <c r="D394" s="801"/>
      <c r="E394" s="72"/>
      <c r="F394" s="250"/>
      <c r="G394" s="92"/>
      <c r="H394" s="88"/>
      <c r="I394" s="311">
        <f>база!$J$5</f>
        <v>215.4924</v>
      </c>
      <c r="J394" s="257">
        <v>1.5</v>
      </c>
      <c r="K394" s="202">
        <f>SUMIFS(Таблица1[сумма],Таблица1[коэф],"1,5",Таблица1[р/р],"4/8",Таблица1[Ф. И. О.],B396)</f>
        <v>0</v>
      </c>
      <c r="L394" s="202">
        <f>ROUND(I394*J394*K394,2)</f>
        <v>0</v>
      </c>
      <c r="M394" s="202"/>
      <c r="N394" s="202"/>
      <c r="O394" s="202"/>
      <c r="P394" s="28"/>
      <c r="Q394" s="72">
        <f>IF(D391&lt;=3,база!$L$4,
IF(D391=4,база!$L$5,
IF(D391=5,база!$L$6)))</f>
        <v>210.57480000000001</v>
      </c>
      <c r="R394" s="250">
        <v>1.2</v>
      </c>
      <c r="S394" s="92">
        <f>SUMIFS(Таблица1[сумма],Таблица1[коэф],"1,2",Таблица1[р/р],"3/16",Таблица1[Ф. И. О.],B396)</f>
        <v>0</v>
      </c>
      <c r="T394" s="88">
        <f t="shared" si="240"/>
        <v>0</v>
      </c>
      <c r="U394" s="292">
        <f>IF(D391&lt;=3,база!$M$4,
IF(D391=4,база!$M$5,
IF(D391=5,база!$M$6)))</f>
        <v>225.09719999999999</v>
      </c>
      <c r="V394" s="250">
        <v>1.2</v>
      </c>
      <c r="W394" s="285">
        <f>SUMIFS(Таблица1[сумма],Таблица1[коэф],"1,2",Таблица1[р/р],"3/24",Таблица1[Ф. И. О.],B396)</f>
        <v>0</v>
      </c>
      <c r="X394" s="291">
        <f t="shared" ref="X394:X395" si="245">ROUND(U394*V394*W394,2)</f>
        <v>0</v>
      </c>
      <c r="Y394" s="803"/>
      <c r="Z394" s="794"/>
      <c r="AA394" s="797"/>
    </row>
    <row r="395" spans="1:29" ht="24" thickBot="1">
      <c r="A395" s="740"/>
      <c r="B395" s="201"/>
      <c r="C395" s="799"/>
      <c r="D395" s="801"/>
      <c r="E395" s="72"/>
      <c r="F395" s="250"/>
      <c r="G395" s="92"/>
      <c r="H395" s="88"/>
      <c r="I395" s="311">
        <f>база!$J$6</f>
        <v>243.04319999999998</v>
      </c>
      <c r="J395" s="257">
        <v>1.5</v>
      </c>
      <c r="K395" s="202">
        <f>SUMIFS(Таблица1[сумма],Таблица1[коэф],"1,5",Таблица1[р/р],"5/8",Таблица1[Ф. И. О.],B396)</f>
        <v>0</v>
      </c>
      <c r="L395" s="202">
        <f>ROUND(I395*J395*K395,2)</f>
        <v>0</v>
      </c>
      <c r="M395" s="202"/>
      <c r="N395" s="202"/>
      <c r="O395" s="202"/>
      <c r="P395" s="28"/>
      <c r="Q395" s="72">
        <f>база!$L$5</f>
        <v>231.45480000000001</v>
      </c>
      <c r="R395" s="250">
        <v>1.2</v>
      </c>
      <c r="S395" s="92">
        <f>SUMIFS(Таблица1[сумма],Таблица1[коэф],"1,2",Таблица1[р/р],"4/16",Таблица1[Ф. И. О.],B396)</f>
        <v>0</v>
      </c>
      <c r="T395" s="88">
        <f t="shared" si="240"/>
        <v>0</v>
      </c>
      <c r="U395" s="292">
        <f>база!$M$5</f>
        <v>247.41720000000001</v>
      </c>
      <c r="V395" s="250">
        <v>1.2</v>
      </c>
      <c r="W395" s="285">
        <f>SUMIFS(Таблица1[сумма],Таблица1[коэф],"1,2",Таблица1[р/р],"4/24",Таблица1[Ф. И. О.],B396)</f>
        <v>0</v>
      </c>
      <c r="X395" s="291">
        <f t="shared" si="245"/>
        <v>0</v>
      </c>
      <c r="Y395" s="803"/>
      <c r="Z395" s="794"/>
      <c r="AA395" s="797"/>
      <c r="AC395" s="688" t="str">
        <f>IF(SUMIFS(Таблица1[Столбец2],Таблица1[Ф. И. О.],B396)-Z391=0,"",SUMIFS(Таблица1[Столбец2],Таблица1[Ф. И. О.],B396)-Z391)</f>
        <v/>
      </c>
    </row>
    <row r="396" spans="1:29" ht="24" thickBot="1">
      <c r="A396" s="740"/>
      <c r="B396" s="201" t="str">
        <f>база!B37</f>
        <v>Коричева Юлия Владимировна</v>
      </c>
      <c r="C396" s="799"/>
      <c r="D396" s="801"/>
      <c r="E396" s="72"/>
      <c r="F396" s="250"/>
      <c r="G396" s="92"/>
      <c r="H396" s="88"/>
      <c r="I396" s="311"/>
      <c r="J396" s="257"/>
      <c r="K396" s="202"/>
      <c r="L396" s="202"/>
      <c r="M396" s="202"/>
      <c r="N396" s="202"/>
      <c r="O396" s="202"/>
      <c r="P396" s="28"/>
      <c r="Q396" s="72">
        <f>база!$L$6</f>
        <v>261.04640000000001</v>
      </c>
      <c r="R396" s="250">
        <v>1.2</v>
      </c>
      <c r="S396" s="92">
        <f>SUMIFS(Таблица1[сумма],Таблица1[коэф],"1,2",Таблица1[р/р],"5/16",Таблица1[Ф. И. О.],B396)</f>
        <v>0</v>
      </c>
      <c r="T396" s="88">
        <f>ROUND(Q396*R396*S396,2)</f>
        <v>0</v>
      </c>
      <c r="U396" s="292">
        <f>база!$M$6</f>
        <v>279.0496</v>
      </c>
      <c r="V396" s="250">
        <v>1.2</v>
      </c>
      <c r="W396" s="285">
        <f>SUMIFS(Таблица1[сумма],Таблица1[коэф],"1,2",Таблица1[р/р],"5/24",Таблица1[Ф. И. О.],B396)</f>
        <v>0</v>
      </c>
      <c r="X396" s="291">
        <f>ROUND(U396*V396*W396,2)</f>
        <v>0</v>
      </c>
      <c r="Y396" s="803"/>
      <c r="Z396" s="794"/>
      <c r="AA396" s="797"/>
      <c r="AC396" s="688" t="str">
        <f>IF(SUMIFS(Таблица1[сумма],Таблица1[Ф. И. О.],B396)=Y391,"",B391&amp;"  часы не верны")</f>
        <v/>
      </c>
    </row>
    <row r="397" spans="1:29" ht="24" thickBot="1">
      <c r="A397" s="740"/>
      <c r="B397" s="201"/>
      <c r="C397" s="799"/>
      <c r="D397" s="801"/>
      <c r="E397" s="72"/>
      <c r="F397" s="250"/>
      <c r="G397" s="92"/>
      <c r="H397" s="88"/>
      <c r="I397" s="311"/>
      <c r="J397" s="257"/>
      <c r="K397" s="202"/>
      <c r="L397" s="202"/>
      <c r="M397" s="202"/>
      <c r="N397" s="202"/>
      <c r="O397" s="202"/>
      <c r="P397" s="28"/>
      <c r="Q397" s="72">
        <f>IF($D$6&lt;=3,база!$L$4,
IF($D$6=4,база!$L$5,
IF($D$6=5,база!$L$6)))</f>
        <v>231.45480000000001</v>
      </c>
      <c r="R397" s="250">
        <v>1.3</v>
      </c>
      <c r="S397" s="92">
        <f>SUMIFS(Таблица1[сумма],Таблица1[коэф],"1,3",Таблица1[р/р],"3/16",Таблица1[Ф. И. О.],B396)</f>
        <v>0</v>
      </c>
      <c r="T397" s="88">
        <f t="shared" ref="T397:T406" si="246">ROUND(Q397*R397*S397,2)</f>
        <v>0</v>
      </c>
      <c r="U397" s="292">
        <f>IF(D391&lt;=3,база!$M$4,
IF(D391=4,база!$M$5,
IF(D391=5,база!$M$6)))</f>
        <v>225.09719999999999</v>
      </c>
      <c r="V397" s="250">
        <v>1.3</v>
      </c>
      <c r="W397" s="285">
        <f>SUMIFS(Таблица1[сумма],Таблица1[коэф],"1,3",Таблица1[р/р],"3/24",Таблица1[Ф. И. О.],B396)</f>
        <v>0</v>
      </c>
      <c r="X397" s="291">
        <f t="shared" ref="X397:X398" si="247">ROUND(U397*V397*W397,2)</f>
        <v>0</v>
      </c>
      <c r="Y397" s="803"/>
      <c r="Z397" s="794"/>
      <c r="AA397" s="797"/>
    </row>
    <row r="398" spans="1:29" ht="24" thickBot="1">
      <c r="A398" s="740"/>
      <c r="B398" s="201"/>
      <c r="C398" s="799"/>
      <c r="D398" s="801"/>
      <c r="E398" s="72"/>
      <c r="F398" s="250"/>
      <c r="G398" s="92"/>
      <c r="H398" s="88"/>
      <c r="I398" s="311"/>
      <c r="J398" s="257"/>
      <c r="K398" s="202"/>
      <c r="L398" s="202"/>
      <c r="M398" s="202"/>
      <c r="N398" s="202"/>
      <c r="O398" s="202"/>
      <c r="P398" s="28"/>
      <c r="Q398" s="72">
        <f>база!$L$5</f>
        <v>231.45480000000001</v>
      </c>
      <c r="R398" s="250">
        <v>1.3</v>
      </c>
      <c r="S398" s="92">
        <f>SUMIFS(Таблица1[сумма],Таблица1[коэф],"1,3",Таблица1[р/р],"4/16",Таблица1[Ф. И. О.],B396)</f>
        <v>0</v>
      </c>
      <c r="T398" s="88">
        <f t="shared" si="246"/>
        <v>0</v>
      </c>
      <c r="U398" s="292">
        <f>база!$M$5</f>
        <v>247.41720000000001</v>
      </c>
      <c r="V398" s="250">
        <v>1.3</v>
      </c>
      <c r="W398" s="285">
        <f>SUMIFS(Таблица1[сумма],Таблица1[коэф],"1,3",Таблица1[р/р],"4/24",Таблица1[Ф. И. О.],B396)</f>
        <v>0</v>
      </c>
      <c r="X398" s="291">
        <f t="shared" si="247"/>
        <v>0</v>
      </c>
      <c r="Y398" s="803"/>
      <c r="Z398" s="794"/>
      <c r="AA398" s="797"/>
    </row>
    <row r="399" spans="1:29" ht="24" thickBot="1">
      <c r="A399" s="740"/>
      <c r="B399" s="201"/>
      <c r="C399" s="799"/>
      <c r="D399" s="801"/>
      <c r="E399" s="72"/>
      <c r="F399" s="250"/>
      <c r="G399" s="92"/>
      <c r="H399" s="88"/>
      <c r="I399" s="311"/>
      <c r="J399" s="257"/>
      <c r="K399" s="202"/>
      <c r="L399" s="202"/>
      <c r="M399" s="202"/>
      <c r="N399" s="202"/>
      <c r="O399" s="202"/>
      <c r="P399" s="28"/>
      <c r="Q399" s="72">
        <f>IF(D391&lt;=3,база!$L$4,
IF(D391=4,база!$L$5,
IF(D391=5,база!$L$6)))</f>
        <v>210.57480000000001</v>
      </c>
      <c r="R399" s="250">
        <v>1.4</v>
      </c>
      <c r="S399" s="92">
        <f>SUMIFS(Таблица1[сумма],Таблица1[коэф],"1,4",Таблица1[р/р],"3/16",Таблица1[Ф. И. О.],B396)</f>
        <v>0</v>
      </c>
      <c r="T399" s="88">
        <f t="shared" si="246"/>
        <v>0</v>
      </c>
      <c r="U399" s="292">
        <f>IF(D391&lt;=3,база!$M$4,
IF(D391=4,база!$M$5,
IF(D391=5,база!$M$6)))</f>
        <v>225.09719999999999</v>
      </c>
      <c r="V399" s="250">
        <v>1.4</v>
      </c>
      <c r="W399" s="285">
        <f>SUMIFS(Таблица1[сумма],Таблица1[коэф],"1,4",Таблица1[р/р],"3/24",Таблица1[Ф. И. О.],B396)</f>
        <v>0</v>
      </c>
      <c r="X399" s="291">
        <f>ROUND(U399*V399*W399,2)</f>
        <v>0</v>
      </c>
      <c r="Y399" s="803"/>
      <c r="Z399" s="794"/>
      <c r="AA399" s="797"/>
    </row>
    <row r="400" spans="1:29" ht="24" thickBot="1">
      <c r="A400" s="740"/>
      <c r="B400" s="201"/>
      <c r="C400" s="799"/>
      <c r="D400" s="801"/>
      <c r="E400" s="72"/>
      <c r="F400" s="250"/>
      <c r="G400" s="92"/>
      <c r="H400" s="88"/>
      <c r="I400" s="311"/>
      <c r="J400" s="257"/>
      <c r="K400" s="202"/>
      <c r="L400" s="202"/>
      <c r="M400" s="202"/>
      <c r="N400" s="202"/>
      <c r="O400" s="202"/>
      <c r="P400" s="28"/>
      <c r="Q400" s="72">
        <f>база!$L$5</f>
        <v>231.45480000000001</v>
      </c>
      <c r="R400" s="250">
        <v>1.4</v>
      </c>
      <c r="S400" s="92">
        <f>SUMIFS(Таблица1[сумма],Таблица1[коэф],"1,4",Таблица1[р/р],"4/16",Таблица1[Ф. И. О.],B396)</f>
        <v>0</v>
      </c>
      <c r="T400" s="88">
        <f t="shared" si="246"/>
        <v>0</v>
      </c>
      <c r="U400" s="292">
        <f>база!$M$5</f>
        <v>247.41720000000001</v>
      </c>
      <c r="V400" s="250">
        <v>1.4</v>
      </c>
      <c r="W400" s="285">
        <f>SUMIFS(Таблица1[сумма],Таблица1[коэф],"1,4",Таблица1[р/р],"4/24",Таблица1[Ф. И. О.],B396)</f>
        <v>0</v>
      </c>
      <c r="X400" s="291">
        <f>ROUND(U400*V400*W400,2)</f>
        <v>0</v>
      </c>
      <c r="Y400" s="803"/>
      <c r="Z400" s="794"/>
      <c r="AA400" s="797"/>
    </row>
    <row r="401" spans="1:29" ht="24" thickBot="1">
      <c r="A401" s="741"/>
      <c r="B401" s="188"/>
      <c r="C401" s="800"/>
      <c r="D401" s="802"/>
      <c r="E401" s="95"/>
      <c r="F401" s="252"/>
      <c r="G401" s="91"/>
      <c r="H401" s="84"/>
      <c r="I401" s="325"/>
      <c r="J401" s="258"/>
      <c r="K401" s="267"/>
      <c r="L401" s="267"/>
      <c r="M401" s="267"/>
      <c r="N401" s="267"/>
      <c r="O401" s="267"/>
      <c r="P401" s="293"/>
      <c r="Q401" s="95">
        <f>база!$L$6</f>
        <v>261.04640000000001</v>
      </c>
      <c r="R401" s="252">
        <v>1.4</v>
      </c>
      <c r="S401" s="91">
        <f>SUMIFS(Таблица1[сумма],Таблица1[коэф],"1,4",Таблица1[р/р],"5/16",Таблица1[Ф. И. О.],B396)</f>
        <v>0</v>
      </c>
      <c r="T401" s="84">
        <f t="shared" si="246"/>
        <v>0</v>
      </c>
      <c r="U401" s="324">
        <f>база!$M$6</f>
        <v>279.0496</v>
      </c>
      <c r="V401" s="252">
        <v>1.4</v>
      </c>
      <c r="W401" s="290">
        <f>SUMIFS(Таблица1[сумма],Таблица1[коэф],"1,4",Таблица1[р/р],"5/24",Таблица1[Ф. И. О.],B396)</f>
        <v>0</v>
      </c>
      <c r="X401" s="320">
        <f>ROUND(U401*V401*W401,2)</f>
        <v>0</v>
      </c>
      <c r="Y401" s="804"/>
      <c r="Z401" s="795"/>
      <c r="AA401" s="798"/>
    </row>
    <row r="402" spans="1:29">
      <c r="A402" s="739">
        <v>37</v>
      </c>
      <c r="B402" s="219"/>
      <c r="C402" s="805">
        <f>INDEX(база!$E$2:$E$81, MATCH(B407,база!$B$2:$B$50,0))</f>
        <v>16664</v>
      </c>
      <c r="D402" s="806">
        <f>INDEX(база!$D$2:$D$89, MATCH(B407,база!$B$2:$B$50,0))</f>
        <v>4</v>
      </c>
      <c r="E402" s="66">
        <f>IF(D402&lt;=3,база!$I$4,
IF(D402=4,база!$I$5,
IF(D402=5,база!$I$6)))</f>
        <v>207.5112</v>
      </c>
      <c r="F402" s="248">
        <v>1</v>
      </c>
      <c r="G402" s="89">
        <f>SUMIFS(Таблица1[сумма],Таблица1[коэф],"1",Таблица1[р/р],"2/4",Таблица1[Ф. И. О.],B407)</f>
        <v>0</v>
      </c>
      <c r="H402" s="81">
        <f>ROUND(E402*F402*G402,2)</f>
        <v>0</v>
      </c>
      <c r="I402" s="315">
        <f>IF(D402&lt;=3,база!$J$4,
IF(D402=4,база!$J$5,
IF(D402=5,база!$J$6)))</f>
        <v>215.4924</v>
      </c>
      <c r="J402" s="255">
        <v>1</v>
      </c>
      <c r="K402" s="266">
        <f>SUMIFS(Таблица1[сумма],Таблица1[коэф],"1",Таблица1[р/р],"2/8",Таблица1[Ф. И. О.],B407)</f>
        <v>0</v>
      </c>
      <c r="L402" s="266">
        <f>ROUND(I402*J402*K402,2)</f>
        <v>0</v>
      </c>
      <c r="M402" s="266"/>
      <c r="N402" s="266">
        <v>1</v>
      </c>
      <c r="O402" s="266">
        <f>SUMIFS(Data_Tech!$AM$3:$AM$67,Data_Tech!$E$3:$E$67,"1",Data_Tech!$G$3:$G$67,"3/12",Data_Tech!$F$3:$F$67,B407)</f>
        <v>0</v>
      </c>
      <c r="P402" s="259">
        <f>ROUND(M402*N402*O402,2)</f>
        <v>0</v>
      </c>
      <c r="Q402" s="66">
        <f>IF(D402&lt;=3,база!$L$4,
IF(D402=4,база!$L$5,
IF(D402=5,база!$L$6)))</f>
        <v>231.45480000000001</v>
      </c>
      <c r="R402" s="248">
        <v>1</v>
      </c>
      <c r="S402" s="89">
        <f>SUMIFS(Таблица1[сумма],Таблица1[коэф],"1",Таблица1[р/р],"3/16",Таблица1[Ф. И. О.],B407)</f>
        <v>0</v>
      </c>
      <c r="T402" s="81">
        <f t="shared" si="246"/>
        <v>0</v>
      </c>
      <c r="U402" s="316">
        <f>IF(D402&lt;=3,база!$M$4,
IF(D402=4,база!$M$5,
IF(D402=5,база!$M$6)))</f>
        <v>247.41720000000001</v>
      </c>
      <c r="V402" s="248">
        <v>1</v>
      </c>
      <c r="W402" s="317">
        <f>SUMIFS(Таблица1[сумма],Таблица1[коэф],"1",Таблица1[р/р],"3/24",Таблица1[Ф. И. О.],B407)</f>
        <v>0</v>
      </c>
      <c r="X402" s="319">
        <f>ROUND(U402*V402*W402,2)</f>
        <v>0</v>
      </c>
      <c r="Y402" s="803">
        <f t="shared" ref="Y402" si="248">SUM(G402:G412,K402:K412,O402:O412,S402:S412,W402:W412)</f>
        <v>0</v>
      </c>
      <c r="Z402" s="794">
        <f t="shared" ref="Z402" si="249">IFERROR(SUM(H402:H412,L402:L412,T402:T412,X402:X412),"")</f>
        <v>0</v>
      </c>
      <c r="AA402" s="797"/>
    </row>
    <row r="403" spans="1:29">
      <c r="A403" s="740"/>
      <c r="B403" s="201"/>
      <c r="C403" s="799"/>
      <c r="D403" s="801"/>
      <c r="E403" s="72">
        <f>IF(D402&lt;=3,база!$I$4,
IF(D402=4,база!$I$5,
IF(D402=5,база!$I$6)))</f>
        <v>207.5112</v>
      </c>
      <c r="F403" s="250">
        <v>1</v>
      </c>
      <c r="G403" s="92">
        <f>SUMIFS(Таблица1[сумма],Таблица1[коэф],"1",Таблица1[р/р],"3/4",Таблица1[Ф. И. О.],B407)</f>
        <v>0</v>
      </c>
      <c r="H403" s="88">
        <f>ROUND(E403*F403*G403,2)</f>
        <v>0</v>
      </c>
      <c r="I403" s="311">
        <f>IF(D402&lt;=3,база!$J$4,
IF(D402=4,база!$J$5,
IF(D402=5,база!$J$6)))</f>
        <v>215.4924</v>
      </c>
      <c r="J403" s="257">
        <v>1</v>
      </c>
      <c r="K403" s="202">
        <f>SUMIFS(Таблица1[сумма],Таблица1[коэф],"1",Таблица1[р/р],"3/8",Таблица1[Ф. И. О.],B407)</f>
        <v>0</v>
      </c>
      <c r="L403" s="202">
        <f>ROUND(I403*J403*K403,2)</f>
        <v>0</v>
      </c>
      <c r="M403" s="202"/>
      <c r="N403" s="202">
        <v>1</v>
      </c>
      <c r="O403" s="202">
        <f>SUMIFS(Data_Tech!$AM$3:$AM$67,Data_Tech!$E$3:$E$67,"1",Data_Tech!$G$3:$G$67,"4/12",Data_Tech!$F$3:$F$67,B407)</f>
        <v>0</v>
      </c>
      <c r="P403" s="28">
        <f>ROUND(M403*O403,2)</f>
        <v>0</v>
      </c>
      <c r="Q403" s="72">
        <f>база!$L$5</f>
        <v>231.45480000000001</v>
      </c>
      <c r="R403" s="250">
        <v>1</v>
      </c>
      <c r="S403" s="92">
        <f>SUMIFS(Таблица1[сумма],Таблица1[коэф],"1",Таблица1[р/р],"4/16",Таблица1[Ф. И. О.],B407)</f>
        <v>0</v>
      </c>
      <c r="T403" s="88">
        <f t="shared" si="246"/>
        <v>0</v>
      </c>
      <c r="U403" s="292">
        <f>база!$M$5</f>
        <v>247.41720000000001</v>
      </c>
      <c r="V403" s="250">
        <v>1</v>
      </c>
      <c r="W403" s="285">
        <f>SUMIFS(Таблица1[сумма],Таблица1[коэф],"1",Таблица1[р/р],"4/24",Таблица1[Ф. И. О.],B407)</f>
        <v>0</v>
      </c>
      <c r="X403" s="291">
        <f t="shared" ref="X403" si="250">ROUND(U403*V403*W403,2)</f>
        <v>0</v>
      </c>
      <c r="Y403" s="803"/>
      <c r="Z403" s="794"/>
      <c r="AA403" s="797"/>
    </row>
    <row r="404" spans="1:29" ht="24" thickBot="1">
      <c r="A404" s="740"/>
      <c r="B404" s="201"/>
      <c r="C404" s="799"/>
      <c r="D404" s="801"/>
      <c r="E404" s="72"/>
      <c r="F404" s="250"/>
      <c r="G404" s="92"/>
      <c r="H404" s="88"/>
      <c r="I404" s="311"/>
      <c r="J404" s="257"/>
      <c r="K404" s="202"/>
      <c r="L404" s="202"/>
      <c r="M404" s="202"/>
      <c r="N404" s="202"/>
      <c r="O404" s="202"/>
      <c r="P404" s="28"/>
      <c r="Q404" s="72">
        <f>база!$L$6</f>
        <v>261.04640000000001</v>
      </c>
      <c r="R404" s="250">
        <v>1</v>
      </c>
      <c r="S404" s="92">
        <f>SUMIFS(Таблица1[сумма],Таблица1[коэф],"1",Таблица1[р/р],"5/16",Таблица1[Ф. И. О.],B407)</f>
        <v>0</v>
      </c>
      <c r="T404" s="88">
        <f t="shared" si="246"/>
        <v>0</v>
      </c>
      <c r="U404" s="292">
        <f>база!$M$6</f>
        <v>279.0496</v>
      </c>
      <c r="V404" s="250">
        <v>1</v>
      </c>
      <c r="W404" s="285">
        <f>SUMIFS(Таблица1[сумма],Таблица1[коэф],"1",Таблица1[р/р],"5/24",Таблица1[Ф. И. О.],B407)</f>
        <v>0</v>
      </c>
      <c r="X404" s="291">
        <f>ROUND(U404*V404*W404,2)</f>
        <v>0</v>
      </c>
      <c r="Y404" s="803"/>
      <c r="Z404" s="794"/>
      <c r="AA404" s="797"/>
    </row>
    <row r="405" spans="1:29" ht="24" thickBot="1">
      <c r="A405" s="740"/>
      <c r="B405" s="201"/>
      <c r="C405" s="799"/>
      <c r="D405" s="801"/>
      <c r="E405" s="72"/>
      <c r="F405" s="250"/>
      <c r="G405" s="92"/>
      <c r="H405" s="88"/>
      <c r="I405" s="311">
        <f>база!$J$5</f>
        <v>215.4924</v>
      </c>
      <c r="J405" s="257">
        <v>1.5</v>
      </c>
      <c r="K405" s="202">
        <f>SUMIFS(Таблица1[сумма],Таблица1[коэф],"1,5",Таблица1[р/р],"4/8",Таблица1[Ф. И. О.],B407)</f>
        <v>0</v>
      </c>
      <c r="L405" s="202">
        <f>ROUND(I405*J405*K405,2)</f>
        <v>0</v>
      </c>
      <c r="M405" s="202"/>
      <c r="N405" s="202"/>
      <c r="O405" s="202"/>
      <c r="P405" s="28"/>
      <c r="Q405" s="72">
        <f>IF(D402&lt;=3,база!$L$4,
IF(D402=4,база!$L$5,
IF(D402=5,база!$L$6)))</f>
        <v>231.45480000000001</v>
      </c>
      <c r="R405" s="250">
        <v>1.2</v>
      </c>
      <c r="S405" s="92">
        <f>SUMIFS(Таблица1[сумма],Таблица1[коэф],"1,2",Таблица1[р/р],"3/16",Таблица1[Ф. И. О.],B407)</f>
        <v>0</v>
      </c>
      <c r="T405" s="88">
        <f t="shared" si="246"/>
        <v>0</v>
      </c>
      <c r="U405" s="292">
        <f>IF(D402&lt;=3,база!$M$4,
IF(D402=4,база!$M$5,
IF(D402=5,база!$M$6)))</f>
        <v>247.41720000000001</v>
      </c>
      <c r="V405" s="250">
        <v>1.2</v>
      </c>
      <c r="W405" s="285">
        <f>SUMIFS(Таблица1[сумма],Таблица1[коэф],"1,2",Таблица1[р/р],"3/24",Таблица1[Ф. И. О.],B407)</f>
        <v>0</v>
      </c>
      <c r="X405" s="291">
        <f t="shared" ref="X405:X406" si="251">ROUND(U405*V405*W405,2)</f>
        <v>0</v>
      </c>
      <c r="Y405" s="803"/>
      <c r="Z405" s="794"/>
      <c r="AA405" s="797"/>
    </row>
    <row r="406" spans="1:29" ht="24" thickBot="1">
      <c r="A406" s="740"/>
      <c r="B406" s="201"/>
      <c r="C406" s="799"/>
      <c r="D406" s="801"/>
      <c r="E406" s="72"/>
      <c r="F406" s="250"/>
      <c r="G406" s="92"/>
      <c r="H406" s="88"/>
      <c r="I406" s="311">
        <f>база!$J$6</f>
        <v>243.04319999999998</v>
      </c>
      <c r="J406" s="257">
        <v>1.5</v>
      </c>
      <c r="K406" s="202">
        <f>SUMIFS(Таблица1[сумма],Таблица1[коэф],"1,5",Таблица1[р/р],"5/8",Таблица1[Ф. И. О.],B407)</f>
        <v>0</v>
      </c>
      <c r="L406" s="202">
        <f>ROUND(I406*J406*K406,2)</f>
        <v>0</v>
      </c>
      <c r="M406" s="202"/>
      <c r="N406" s="202"/>
      <c r="O406" s="202"/>
      <c r="P406" s="28"/>
      <c r="Q406" s="72">
        <f>база!$L$5</f>
        <v>231.45480000000001</v>
      </c>
      <c r="R406" s="250">
        <v>1.2</v>
      </c>
      <c r="S406" s="92">
        <f>SUMIFS(Таблица1[сумма],Таблица1[коэф],"1,2",Таблица1[р/р],"4/16",Таблица1[Ф. И. О.],B407)</f>
        <v>0</v>
      </c>
      <c r="T406" s="88">
        <f t="shared" si="246"/>
        <v>0</v>
      </c>
      <c r="U406" s="292">
        <f>база!$M$5</f>
        <v>247.41720000000001</v>
      </c>
      <c r="V406" s="250">
        <v>1.2</v>
      </c>
      <c r="W406" s="285">
        <f>SUMIFS(Таблица1[сумма],Таблица1[коэф],"1,2",Таблица1[р/р],"4/24",Таблица1[Ф. И. О.],B407)</f>
        <v>0</v>
      </c>
      <c r="X406" s="291">
        <f t="shared" si="251"/>
        <v>0</v>
      </c>
      <c r="Y406" s="803"/>
      <c r="Z406" s="794"/>
      <c r="AA406" s="797"/>
      <c r="AC406" s="688" t="str">
        <f>IF(SUMIFS(Таблица1[Столбец2],Таблица1[Ф. И. О.],B407)-Z402=0,"",SUMIFS(Таблица1[Столбец2],Таблица1[Ф. И. О.],B407)-Z402)</f>
        <v/>
      </c>
    </row>
    <row r="407" spans="1:29" ht="24" thickBot="1">
      <c r="A407" s="740"/>
      <c r="B407" s="201" t="str">
        <f>база!B38</f>
        <v>Костюченко Александр Валентинович</v>
      </c>
      <c r="C407" s="799"/>
      <c r="D407" s="801"/>
      <c r="E407" s="72"/>
      <c r="F407" s="250"/>
      <c r="G407" s="92"/>
      <c r="H407" s="88"/>
      <c r="I407" s="311"/>
      <c r="J407" s="257"/>
      <c r="K407" s="202"/>
      <c r="L407" s="202"/>
      <c r="M407" s="202"/>
      <c r="N407" s="202"/>
      <c r="O407" s="202"/>
      <c r="P407" s="28"/>
      <c r="Q407" s="72">
        <f>база!$L$6</f>
        <v>261.04640000000001</v>
      </c>
      <c r="R407" s="250">
        <v>1.2</v>
      </c>
      <c r="S407" s="92">
        <f>SUMIFS(Таблица1[сумма],Таблица1[коэф],"1,2",Таблица1[р/р],"5/16",Таблица1[Ф. И. О.],B407)</f>
        <v>0</v>
      </c>
      <c r="T407" s="88">
        <f>ROUND(Q407*R407*S407,2)</f>
        <v>0</v>
      </c>
      <c r="U407" s="292">
        <f>база!$M$6</f>
        <v>279.0496</v>
      </c>
      <c r="V407" s="250">
        <v>1.2</v>
      </c>
      <c r="W407" s="285">
        <f>SUMIFS(Таблица1[сумма],Таблица1[коэф],"1,2",Таблица1[р/р],"5/24",Таблица1[Ф. И. О.],B407)</f>
        <v>0</v>
      </c>
      <c r="X407" s="291">
        <f>ROUND(U407*V407*W407,2)</f>
        <v>0</v>
      </c>
      <c r="Y407" s="803"/>
      <c r="Z407" s="794"/>
      <c r="AA407" s="797"/>
      <c r="AC407" s="688" t="str">
        <f>IF(SUMIFS(Таблица1[сумма],Таблица1[Ф. И. О.],B407)=Y402,"",B402&amp;"  часы не верны")</f>
        <v/>
      </c>
    </row>
    <row r="408" spans="1:29" ht="24" thickBot="1">
      <c r="A408" s="740"/>
      <c r="B408" s="201"/>
      <c r="C408" s="799"/>
      <c r="D408" s="801"/>
      <c r="E408" s="72"/>
      <c r="F408" s="250"/>
      <c r="G408" s="92"/>
      <c r="H408" s="88"/>
      <c r="I408" s="311"/>
      <c r="J408" s="257"/>
      <c r="K408" s="202"/>
      <c r="L408" s="202"/>
      <c r="M408" s="202"/>
      <c r="N408" s="202"/>
      <c r="O408" s="202"/>
      <c r="P408" s="28"/>
      <c r="Q408" s="72">
        <f>IF($D$6&lt;=3,база!$L$4,
IF($D$6=4,база!$L$5,
IF($D$6=5,база!$L$6)))</f>
        <v>231.45480000000001</v>
      </c>
      <c r="R408" s="250">
        <v>1.3</v>
      </c>
      <c r="S408" s="92">
        <f>SUMIFS(Таблица1[сумма],Таблица1[коэф],"1,3",Таблица1[р/р],"3/16",Таблица1[Ф. И. О.],B407)</f>
        <v>0</v>
      </c>
      <c r="T408" s="88">
        <f t="shared" ref="T408:T417" si="252">ROUND(Q408*R408*S408,2)</f>
        <v>0</v>
      </c>
      <c r="U408" s="292">
        <f>IF(D402&lt;=3,база!$M$4,
IF(D402=4,база!$M$5,
IF(D402=5,база!$M$6)))</f>
        <v>247.41720000000001</v>
      </c>
      <c r="V408" s="250">
        <v>1.3</v>
      </c>
      <c r="W408" s="285">
        <f>SUMIFS(Таблица1[сумма],Таблица1[коэф],"1,3",Таблица1[р/р],"3/24",Таблица1[Ф. И. О.],B407)</f>
        <v>0</v>
      </c>
      <c r="X408" s="291">
        <f t="shared" ref="X408:X409" si="253">ROUND(U408*V408*W408,2)</f>
        <v>0</v>
      </c>
      <c r="Y408" s="803"/>
      <c r="Z408" s="794"/>
      <c r="AA408" s="797"/>
    </row>
    <row r="409" spans="1:29" ht="24" thickBot="1">
      <c r="A409" s="740"/>
      <c r="B409" s="201"/>
      <c r="C409" s="799"/>
      <c r="D409" s="801"/>
      <c r="E409" s="72"/>
      <c r="F409" s="250"/>
      <c r="G409" s="92"/>
      <c r="H409" s="88"/>
      <c r="I409" s="311"/>
      <c r="J409" s="257"/>
      <c r="K409" s="202"/>
      <c r="L409" s="202"/>
      <c r="M409" s="202"/>
      <c r="N409" s="202"/>
      <c r="O409" s="202"/>
      <c r="P409" s="28"/>
      <c r="Q409" s="72">
        <f>база!$L$5</f>
        <v>231.45480000000001</v>
      </c>
      <c r="R409" s="250">
        <v>1.3</v>
      </c>
      <c r="S409" s="92">
        <f>SUMIFS(Таблица1[сумма],Таблица1[коэф],"1,3",Таблица1[р/р],"4/16",Таблица1[Ф. И. О.],B407)</f>
        <v>0</v>
      </c>
      <c r="T409" s="88">
        <f t="shared" si="252"/>
        <v>0</v>
      </c>
      <c r="U409" s="292">
        <f>база!$M$5</f>
        <v>247.41720000000001</v>
      </c>
      <c r="V409" s="250">
        <v>1.3</v>
      </c>
      <c r="W409" s="285">
        <f>SUMIFS(Таблица1[сумма],Таблица1[коэф],"1,3",Таблица1[р/р],"4/24",Таблица1[Ф. И. О.],B407)</f>
        <v>0</v>
      </c>
      <c r="X409" s="291">
        <f t="shared" si="253"/>
        <v>0</v>
      </c>
      <c r="Y409" s="803"/>
      <c r="Z409" s="794"/>
      <c r="AA409" s="797"/>
    </row>
    <row r="410" spans="1:29" ht="24" thickBot="1">
      <c r="A410" s="740"/>
      <c r="B410" s="201"/>
      <c r="C410" s="799"/>
      <c r="D410" s="801"/>
      <c r="E410" s="72"/>
      <c r="F410" s="250"/>
      <c r="G410" s="92"/>
      <c r="H410" s="88"/>
      <c r="I410" s="311"/>
      <c r="J410" s="257"/>
      <c r="K410" s="202"/>
      <c r="L410" s="202"/>
      <c r="M410" s="202"/>
      <c r="N410" s="202"/>
      <c r="O410" s="202"/>
      <c r="P410" s="28"/>
      <c r="Q410" s="72">
        <f>IF(D402&lt;=3,база!$L$4,
IF(D402=4,база!$L$5,
IF(D402=5,база!$L$6)))</f>
        <v>231.45480000000001</v>
      </c>
      <c r="R410" s="250">
        <v>1.4</v>
      </c>
      <c r="S410" s="92">
        <f>SUMIFS(Таблица1[сумма],Таблица1[коэф],"1,4",Таблица1[р/р],"3/16",Таблица1[Ф. И. О.],B407)</f>
        <v>0</v>
      </c>
      <c r="T410" s="88">
        <f t="shared" si="252"/>
        <v>0</v>
      </c>
      <c r="U410" s="292">
        <f>IF(D402&lt;=3,база!$M$4,
IF(D402=4,база!$M$5,
IF(D402=5,база!$M$6)))</f>
        <v>247.41720000000001</v>
      </c>
      <c r="V410" s="250">
        <v>1.4</v>
      </c>
      <c r="W410" s="285">
        <f>SUMIFS(Таблица1[сумма],Таблица1[коэф],"1,4",Таблица1[р/р],"3/24",Таблица1[Ф. И. О.],B407)</f>
        <v>0</v>
      </c>
      <c r="X410" s="291">
        <f>ROUND(U410*V410*W410,2)</f>
        <v>0</v>
      </c>
      <c r="Y410" s="803"/>
      <c r="Z410" s="794"/>
      <c r="AA410" s="797"/>
    </row>
    <row r="411" spans="1:29" ht="24" thickBot="1">
      <c r="A411" s="740"/>
      <c r="B411" s="201"/>
      <c r="C411" s="799"/>
      <c r="D411" s="801"/>
      <c r="E411" s="72"/>
      <c r="F411" s="250"/>
      <c r="G411" s="92"/>
      <c r="H411" s="88"/>
      <c r="I411" s="311"/>
      <c r="J411" s="257"/>
      <c r="K411" s="202"/>
      <c r="L411" s="202"/>
      <c r="M411" s="202"/>
      <c r="N411" s="202"/>
      <c r="O411" s="202"/>
      <c r="P411" s="28"/>
      <c r="Q411" s="72">
        <f>база!$L$5</f>
        <v>231.45480000000001</v>
      </c>
      <c r="R411" s="250">
        <v>1.4</v>
      </c>
      <c r="S411" s="92">
        <f>SUMIFS(Таблица1[сумма],Таблица1[коэф],"1,4",Таблица1[р/р],"4/16",Таблица1[Ф. И. О.],B407)</f>
        <v>0</v>
      </c>
      <c r="T411" s="88">
        <f t="shared" si="252"/>
        <v>0</v>
      </c>
      <c r="U411" s="292">
        <f>база!$M$5</f>
        <v>247.41720000000001</v>
      </c>
      <c r="V411" s="250">
        <v>1.4</v>
      </c>
      <c r="W411" s="285">
        <f>SUMIFS(Таблица1[сумма],Таблица1[коэф],"1,4",Таблица1[р/р],"4/24",Таблица1[Ф. И. О.],B407)</f>
        <v>0</v>
      </c>
      <c r="X411" s="291">
        <f>ROUND(U411*V411*W411,2)</f>
        <v>0</v>
      </c>
      <c r="Y411" s="803"/>
      <c r="Z411" s="794"/>
      <c r="AA411" s="797"/>
    </row>
    <row r="412" spans="1:29" ht="24" thickBot="1">
      <c r="A412" s="741"/>
      <c r="B412" s="188"/>
      <c r="C412" s="800"/>
      <c r="D412" s="802"/>
      <c r="E412" s="95"/>
      <c r="F412" s="252"/>
      <c r="G412" s="91"/>
      <c r="H412" s="84"/>
      <c r="I412" s="325"/>
      <c r="J412" s="258"/>
      <c r="K412" s="267"/>
      <c r="L412" s="267"/>
      <c r="M412" s="267"/>
      <c r="N412" s="267"/>
      <c r="O412" s="267"/>
      <c r="P412" s="293"/>
      <c r="Q412" s="95">
        <f>база!$L$6</f>
        <v>261.04640000000001</v>
      </c>
      <c r="R412" s="252">
        <v>1.4</v>
      </c>
      <c r="S412" s="91">
        <f>SUMIFS(Таблица1[сумма],Таблица1[коэф],"1,4",Таблица1[р/р],"5/16",Таблица1[Ф. И. О.],B407)</f>
        <v>0</v>
      </c>
      <c r="T412" s="84">
        <f t="shared" si="252"/>
        <v>0</v>
      </c>
      <c r="U412" s="324">
        <f>база!$M$6</f>
        <v>279.0496</v>
      </c>
      <c r="V412" s="252">
        <v>1.4</v>
      </c>
      <c r="W412" s="290">
        <f>SUMIFS(Таблица1[сумма],Таблица1[коэф],"1,4",Таблица1[р/р],"5/24",Таблица1[Ф. И. О.],B407)</f>
        <v>0</v>
      </c>
      <c r="X412" s="320">
        <f>ROUND(U412*V412*W412,2)</f>
        <v>0</v>
      </c>
      <c r="Y412" s="804"/>
      <c r="Z412" s="795"/>
      <c r="AA412" s="798"/>
    </row>
    <row r="413" spans="1:29">
      <c r="A413" s="739">
        <v>38</v>
      </c>
      <c r="B413" s="219"/>
      <c r="C413" s="805">
        <f>INDEX(база!$E$2:$E$81, MATCH(B418,база!$B$2:$B$50,0))</f>
        <v>17271</v>
      </c>
      <c r="D413" s="806">
        <f>INDEX(база!$D$2:$D$89, MATCH(B418,база!$B$2:$B$50,0))</f>
        <v>3</v>
      </c>
      <c r="E413" s="66">
        <f>IF(D413&lt;=3,база!$I$4,
IF(D413=4,база!$I$5,
IF(D413=5,база!$I$6)))</f>
        <v>188.7912</v>
      </c>
      <c r="F413" s="248">
        <v>1</v>
      </c>
      <c r="G413" s="89">
        <f>SUMIFS(Таблица1[сумма],Таблица1[коэф],"1",Таблица1[р/р],"2/4",Таблица1[Ф. И. О.],B418)</f>
        <v>0</v>
      </c>
      <c r="H413" s="81">
        <f>ROUND(E413*F413*G413,2)</f>
        <v>0</v>
      </c>
      <c r="I413" s="315">
        <f>IF(D413&lt;=3,база!$J$4,
IF(D413=4,база!$J$5,
IF(D413=5,база!$J$6)))</f>
        <v>196.05240000000001</v>
      </c>
      <c r="J413" s="255">
        <v>1</v>
      </c>
      <c r="K413" s="266">
        <f>SUMIFS(Таблица1[сумма],Таблица1[коэф],"1",Таблица1[р/р],"2/8",Таблица1[Ф. И. О.],B418)</f>
        <v>0</v>
      </c>
      <c r="L413" s="266">
        <f>ROUND(I413*J413*K413,2)</f>
        <v>0</v>
      </c>
      <c r="M413" s="266"/>
      <c r="N413" s="266">
        <v>1</v>
      </c>
      <c r="O413" s="266">
        <f>SUMIFS(Data_Tech!$AM$3:$AM$67,Data_Tech!$E$3:$E$67,"1",Data_Tech!$G$3:$G$67,"3/12",Data_Tech!$F$3:$F$67,B418)</f>
        <v>0</v>
      </c>
      <c r="P413" s="259">
        <f>ROUND(M413*N413*O413,2)</f>
        <v>0</v>
      </c>
      <c r="Q413" s="66">
        <f>IF(D413&lt;=3,база!$L$4,
IF(D413=4,база!$L$5,
IF(D413=5,база!$L$6)))</f>
        <v>210.57480000000001</v>
      </c>
      <c r="R413" s="248">
        <v>1</v>
      </c>
      <c r="S413" s="89">
        <f>SUMIFS(Таблица1[сумма],Таблица1[коэф],"1",Таблица1[р/р],"3/16",Таблица1[Ф. И. О.],B418)</f>
        <v>0</v>
      </c>
      <c r="T413" s="81">
        <f t="shared" si="252"/>
        <v>0</v>
      </c>
      <c r="U413" s="316">
        <f>IF(D413&lt;=3,база!$M$4,
IF(D413=4,база!$M$5,
IF(D413=5,база!$M$6)))</f>
        <v>225.09719999999999</v>
      </c>
      <c r="V413" s="248">
        <v>1</v>
      </c>
      <c r="W413" s="317">
        <f>SUMIFS(Таблица1[сумма],Таблица1[коэф],"1",Таблица1[р/р],"3/24",Таблица1[Ф. И. О.],B418)</f>
        <v>0</v>
      </c>
      <c r="X413" s="319">
        <f>ROUND(U413*V413*W413,2)</f>
        <v>0</v>
      </c>
      <c r="Y413" s="803">
        <f t="shared" ref="Y413" si="254">SUM(G413:G423,K413:K423,O413:O423,S413:S423,W413:W423)</f>
        <v>0</v>
      </c>
      <c r="Z413" s="794">
        <f t="shared" ref="Z413" si="255">IFERROR(SUM(H413:H423,L413:L423,T413:T423,X413:X423),"")</f>
        <v>0</v>
      </c>
      <c r="AA413" s="797"/>
    </row>
    <row r="414" spans="1:29">
      <c r="A414" s="740"/>
      <c r="B414" s="201"/>
      <c r="C414" s="799"/>
      <c r="D414" s="801"/>
      <c r="E414" s="72">
        <f>IF(D413&lt;=3,база!$I$4,
IF(D413=4,база!$I$5,
IF(D413=5,база!$I$6)))</f>
        <v>188.7912</v>
      </c>
      <c r="F414" s="250">
        <v>1</v>
      </c>
      <c r="G414" s="92">
        <f>SUMIFS(Таблица1[сумма],Таблица1[коэф],"1",Таблица1[р/р],"3/4",Таблица1[Ф. И. О.],B418)</f>
        <v>0</v>
      </c>
      <c r="H414" s="88">
        <f>ROUND(E414*F414*G414,2)</f>
        <v>0</v>
      </c>
      <c r="I414" s="311">
        <f>IF(D413&lt;=3,база!$J$4,
IF(D413=4,база!$J$5,
IF(D413=5,база!$J$6)))</f>
        <v>196.05240000000001</v>
      </c>
      <c r="J414" s="257">
        <v>1</v>
      </c>
      <c r="K414" s="202">
        <f>SUMIFS(Таблица1[сумма],Таблица1[коэф],"1",Таблица1[р/р],"3/8",Таблица1[Ф. И. О.],B418)</f>
        <v>0</v>
      </c>
      <c r="L414" s="202">
        <f>ROUND(I414*J414*K414,2)</f>
        <v>0</v>
      </c>
      <c r="M414" s="202"/>
      <c r="N414" s="202">
        <v>1</v>
      </c>
      <c r="O414" s="202">
        <f>SUMIFS(Data_Tech!$AM$3:$AM$67,Data_Tech!$E$3:$E$67,"1",Data_Tech!$G$3:$G$67,"4/12",Data_Tech!$F$3:$F$67,B418)</f>
        <v>0</v>
      </c>
      <c r="P414" s="28">
        <f>ROUND(M414*O414,2)</f>
        <v>0</v>
      </c>
      <c r="Q414" s="72">
        <f>база!$L$5</f>
        <v>231.45480000000001</v>
      </c>
      <c r="R414" s="250">
        <v>1</v>
      </c>
      <c r="S414" s="92">
        <f>SUMIFS(Таблица1[сумма],Таблица1[коэф],"1",Таблица1[р/р],"4/16",Таблица1[Ф. И. О.],B418)</f>
        <v>0</v>
      </c>
      <c r="T414" s="88">
        <f t="shared" si="252"/>
        <v>0</v>
      </c>
      <c r="U414" s="292">
        <f>база!$M$5</f>
        <v>247.41720000000001</v>
      </c>
      <c r="V414" s="250">
        <v>1</v>
      </c>
      <c r="W414" s="285">
        <f>SUMIFS(Таблица1[сумма],Таблица1[коэф],"1",Таблица1[р/р],"4/24",Таблица1[Ф. И. О.],B418)</f>
        <v>0</v>
      </c>
      <c r="X414" s="291">
        <f t="shared" ref="X414" si="256">ROUND(U414*V414*W414,2)</f>
        <v>0</v>
      </c>
      <c r="Y414" s="803"/>
      <c r="Z414" s="794"/>
      <c r="AA414" s="797"/>
    </row>
    <row r="415" spans="1:29">
      <c r="A415" s="740"/>
      <c r="B415" s="201"/>
      <c r="C415" s="799"/>
      <c r="D415" s="801"/>
      <c r="E415" s="72"/>
      <c r="F415" s="250"/>
      <c r="G415" s="92"/>
      <c r="H415" s="88"/>
      <c r="I415" s="311"/>
      <c r="J415" s="257"/>
      <c r="K415" s="202"/>
      <c r="L415" s="202"/>
      <c r="M415" s="202"/>
      <c r="N415" s="202"/>
      <c r="O415" s="202"/>
      <c r="P415" s="28"/>
      <c r="Q415" s="72">
        <f>база!$L$6</f>
        <v>261.04640000000001</v>
      </c>
      <c r="R415" s="250">
        <v>1</v>
      </c>
      <c r="S415" s="92">
        <f>SUMIFS(Таблица1[сумма],Таблица1[коэф],"1",Таблица1[р/р],"5/16",Таблица1[Ф. И. О.],B418)</f>
        <v>0</v>
      </c>
      <c r="T415" s="88">
        <f t="shared" si="252"/>
        <v>0</v>
      </c>
      <c r="U415" s="292">
        <f>база!$M$6</f>
        <v>279.0496</v>
      </c>
      <c r="V415" s="250">
        <v>1</v>
      </c>
      <c r="W415" s="285">
        <f>SUMIFS(Таблица1[сумма],Таблица1[коэф],"1",Таблица1[р/р],"5/24",Таблица1[Ф. И. О.],B418)</f>
        <v>0</v>
      </c>
      <c r="X415" s="291">
        <f>ROUND(U415*V415*W415,2)</f>
        <v>0</v>
      </c>
      <c r="Y415" s="803"/>
      <c r="Z415" s="794"/>
      <c r="AA415" s="797"/>
    </row>
    <row r="416" spans="1:29">
      <c r="A416" s="740"/>
      <c r="B416" s="201"/>
      <c r="C416" s="799"/>
      <c r="D416" s="801"/>
      <c r="E416" s="72"/>
      <c r="F416" s="250"/>
      <c r="G416" s="92"/>
      <c r="H416" s="88"/>
      <c r="I416" s="311">
        <f>база!$J$5</f>
        <v>215.4924</v>
      </c>
      <c r="J416" s="257">
        <v>1.5</v>
      </c>
      <c r="K416" s="202">
        <f>SUMIFS(Таблица1[сумма],Таблица1[коэф],"1,5",Таблица1[р/р],"4/8",Таблица1[Ф. И. О.],B418)</f>
        <v>0</v>
      </c>
      <c r="L416" s="202">
        <f>ROUND(I416*J416*K416,2)</f>
        <v>0</v>
      </c>
      <c r="M416" s="202"/>
      <c r="N416" s="202"/>
      <c r="O416" s="202"/>
      <c r="P416" s="28"/>
      <c r="Q416" s="72">
        <f>IF(D413&lt;=3,база!$L$4,
IF(D413=4,база!$L$5,
IF(D413=5,база!$L$6)))</f>
        <v>210.57480000000001</v>
      </c>
      <c r="R416" s="250">
        <v>1.2</v>
      </c>
      <c r="S416" s="92">
        <f>SUMIFS(Таблица1[сумма],Таблица1[коэф],"1,2",Таблица1[р/р],"3/16",Таблица1[Ф. И. О.],B418)</f>
        <v>0</v>
      </c>
      <c r="T416" s="88">
        <f t="shared" si="252"/>
        <v>0</v>
      </c>
      <c r="U416" s="292">
        <f>IF(D413&lt;=3,база!$M$4,
IF(D413=4,база!$M$5,
IF(D413=5,база!$M$6)))</f>
        <v>225.09719999999999</v>
      </c>
      <c r="V416" s="250">
        <v>1.2</v>
      </c>
      <c r="W416" s="285">
        <f>SUMIFS(Таблица1[сумма],Таблица1[коэф],"1,2",Таблица1[р/р],"3/24",Таблица1[Ф. И. О.],B418)</f>
        <v>0</v>
      </c>
      <c r="X416" s="291">
        <f t="shared" ref="X416:X417" si="257">ROUND(U416*V416*W416,2)</f>
        <v>0</v>
      </c>
      <c r="Y416" s="803"/>
      <c r="Z416" s="794"/>
      <c r="AA416" s="797"/>
    </row>
    <row r="417" spans="1:29">
      <c r="A417" s="740"/>
      <c r="B417" s="201"/>
      <c r="C417" s="799"/>
      <c r="D417" s="801"/>
      <c r="E417" s="72"/>
      <c r="F417" s="250"/>
      <c r="G417" s="92"/>
      <c r="H417" s="88"/>
      <c r="I417" s="311">
        <f>база!$J$6</f>
        <v>243.04319999999998</v>
      </c>
      <c r="J417" s="257">
        <v>1.5</v>
      </c>
      <c r="K417" s="202">
        <f>SUMIFS(Таблица1[сумма],Таблица1[коэф],"1,5",Таблица1[р/р],"5/8",Таблица1[Ф. И. О.],B418)</f>
        <v>0</v>
      </c>
      <c r="L417" s="202">
        <f>ROUND(I417*J417*K417,2)</f>
        <v>0</v>
      </c>
      <c r="M417" s="202"/>
      <c r="N417" s="202"/>
      <c r="O417" s="202"/>
      <c r="P417" s="28"/>
      <c r="Q417" s="72">
        <f>база!$L$5</f>
        <v>231.45480000000001</v>
      </c>
      <c r="R417" s="250">
        <v>1.2</v>
      </c>
      <c r="S417" s="92">
        <f>SUMIFS(Таблица1[сумма],Таблица1[коэф],"1,2",Таблица1[р/р],"4/16",Таблица1[Ф. И. О.],B418)</f>
        <v>0</v>
      </c>
      <c r="T417" s="88">
        <f t="shared" si="252"/>
        <v>0</v>
      </c>
      <c r="U417" s="292">
        <f>база!$M$5</f>
        <v>247.41720000000001</v>
      </c>
      <c r="V417" s="250">
        <v>1.2</v>
      </c>
      <c r="W417" s="285">
        <f>SUMIFS(Таблица1[сумма],Таблица1[коэф],"1,2",Таблица1[р/р],"4/24",Таблица1[Ф. И. О.],B418)</f>
        <v>0</v>
      </c>
      <c r="X417" s="291">
        <f t="shared" si="257"/>
        <v>0</v>
      </c>
      <c r="Y417" s="803"/>
      <c r="Z417" s="794"/>
      <c r="AA417" s="797"/>
      <c r="AC417" s="688" t="str">
        <f>IF(SUMIFS(Таблица1[Столбец2],Таблица1[Ф. И. О.],B418)-Z413=0,"",SUMIFS(Таблица1[Столбец2],Таблица1[Ф. И. О.],B418)-Z413)</f>
        <v/>
      </c>
    </row>
    <row r="418" spans="1:29">
      <c r="A418" s="740"/>
      <c r="B418" s="201" t="str">
        <f>база!B39</f>
        <v>Кочеткова Мария Андреевна</v>
      </c>
      <c r="C418" s="799"/>
      <c r="D418" s="801"/>
      <c r="E418" s="72"/>
      <c r="F418" s="250"/>
      <c r="G418" s="92"/>
      <c r="H418" s="88"/>
      <c r="I418" s="311"/>
      <c r="J418" s="257"/>
      <c r="K418" s="202"/>
      <c r="L418" s="202"/>
      <c r="M418" s="202"/>
      <c r="N418" s="202"/>
      <c r="O418" s="202"/>
      <c r="P418" s="28"/>
      <c r="Q418" s="72">
        <f>база!$L$6</f>
        <v>261.04640000000001</v>
      </c>
      <c r="R418" s="250">
        <v>1.2</v>
      </c>
      <c r="S418" s="92">
        <f>SUMIFS(Таблица1[сумма],Таблица1[коэф],"1,2",Таблица1[р/р],"5/16",Таблица1[Ф. И. О.],B418)</f>
        <v>0</v>
      </c>
      <c r="T418" s="88">
        <f>ROUND(Q418*R418*S418,2)</f>
        <v>0</v>
      </c>
      <c r="U418" s="292">
        <f>база!$M$6</f>
        <v>279.0496</v>
      </c>
      <c r="V418" s="250">
        <v>1.2</v>
      </c>
      <c r="W418" s="285">
        <f>SUMIFS(Таблица1[сумма],Таблица1[коэф],"1,2",Таблица1[р/р],"5/24",Таблица1[Ф. И. О.],B418)</f>
        <v>0</v>
      </c>
      <c r="X418" s="291">
        <f>ROUND(U418*V418*W418,2)</f>
        <v>0</v>
      </c>
      <c r="Y418" s="803"/>
      <c r="Z418" s="794"/>
      <c r="AA418" s="797"/>
      <c r="AC418" s="688" t="str">
        <f>IF(SUMIFS(Таблица1[сумма],Таблица1[Ф. И. О.],B418)=Y413,"",B413&amp;"  часы не верны")</f>
        <v/>
      </c>
    </row>
    <row r="419" spans="1:29">
      <c r="A419" s="740"/>
      <c r="B419" s="201"/>
      <c r="C419" s="799"/>
      <c r="D419" s="801"/>
      <c r="E419" s="72"/>
      <c r="F419" s="250"/>
      <c r="G419" s="92"/>
      <c r="H419" s="88"/>
      <c r="I419" s="311"/>
      <c r="J419" s="257"/>
      <c r="K419" s="202"/>
      <c r="L419" s="202"/>
      <c r="M419" s="202"/>
      <c r="N419" s="202"/>
      <c r="O419" s="202"/>
      <c r="P419" s="28"/>
      <c r="Q419" s="72">
        <f>IF($D$6&lt;=3,база!$L$4,
IF($D$6=4,база!$L$5,
IF($D$6=5,база!$L$6)))</f>
        <v>231.45480000000001</v>
      </c>
      <c r="R419" s="250">
        <v>1.3</v>
      </c>
      <c r="S419" s="92">
        <f>SUMIFS(Таблица1[сумма],Таблица1[коэф],"1,3",Таблица1[р/р],"3/16",Таблица1[Ф. И. О.],B418)</f>
        <v>0</v>
      </c>
      <c r="T419" s="88">
        <f t="shared" ref="T419:T428" si="258">ROUND(Q419*R419*S419,2)</f>
        <v>0</v>
      </c>
      <c r="U419" s="292">
        <f>IF(D413&lt;=3,база!$M$4,
IF(D413=4,база!$M$5,
IF(D413=5,база!$M$6)))</f>
        <v>225.09719999999999</v>
      </c>
      <c r="V419" s="250">
        <v>1.3</v>
      </c>
      <c r="W419" s="285">
        <f>SUMIFS(Таблица1[сумма],Таблица1[коэф],"1,3",Таблица1[р/р],"3/24",Таблица1[Ф. И. О.],B418)</f>
        <v>0</v>
      </c>
      <c r="X419" s="291">
        <f t="shared" ref="X419:X420" si="259">ROUND(U419*V419*W419,2)</f>
        <v>0</v>
      </c>
      <c r="Y419" s="803"/>
      <c r="Z419" s="794"/>
      <c r="AA419" s="797"/>
    </row>
    <row r="420" spans="1:29">
      <c r="A420" s="740"/>
      <c r="B420" s="201"/>
      <c r="C420" s="799"/>
      <c r="D420" s="801"/>
      <c r="E420" s="72"/>
      <c r="F420" s="250"/>
      <c r="G420" s="92"/>
      <c r="H420" s="88"/>
      <c r="I420" s="311"/>
      <c r="J420" s="257"/>
      <c r="K420" s="202"/>
      <c r="L420" s="202"/>
      <c r="M420" s="202"/>
      <c r="N420" s="202"/>
      <c r="O420" s="202"/>
      <c r="P420" s="28"/>
      <c r="Q420" s="72">
        <f>база!$L$5</f>
        <v>231.45480000000001</v>
      </c>
      <c r="R420" s="250">
        <v>1.3</v>
      </c>
      <c r="S420" s="92">
        <f>SUMIFS(Таблица1[сумма],Таблица1[коэф],"1,3",Таблица1[р/р],"4/16",Таблица1[Ф. И. О.],B418)</f>
        <v>0</v>
      </c>
      <c r="T420" s="88">
        <f t="shared" si="258"/>
        <v>0</v>
      </c>
      <c r="U420" s="292">
        <f>база!$M$5</f>
        <v>247.41720000000001</v>
      </c>
      <c r="V420" s="250">
        <v>1.3</v>
      </c>
      <c r="W420" s="285">
        <f>SUMIFS(Таблица1[сумма],Таблица1[коэф],"1,3",Таблица1[р/р],"4/24",Таблица1[Ф. И. О.],B418)</f>
        <v>0</v>
      </c>
      <c r="X420" s="291">
        <f t="shared" si="259"/>
        <v>0</v>
      </c>
      <c r="Y420" s="803"/>
      <c r="Z420" s="794"/>
      <c r="AA420" s="797"/>
    </row>
    <row r="421" spans="1:29">
      <c r="A421" s="740"/>
      <c r="B421" s="201"/>
      <c r="C421" s="799"/>
      <c r="D421" s="801"/>
      <c r="E421" s="72"/>
      <c r="F421" s="250"/>
      <c r="G421" s="92"/>
      <c r="H421" s="88"/>
      <c r="I421" s="311"/>
      <c r="J421" s="257"/>
      <c r="K421" s="202"/>
      <c r="L421" s="202"/>
      <c r="M421" s="202"/>
      <c r="N421" s="202"/>
      <c r="O421" s="202"/>
      <c r="P421" s="28"/>
      <c r="Q421" s="72">
        <f>IF(D413&lt;=3,база!$L$4,
IF(D413=4,база!$L$5,
IF(D413=5,база!$L$6)))</f>
        <v>210.57480000000001</v>
      </c>
      <c r="R421" s="250">
        <v>1.4</v>
      </c>
      <c r="S421" s="92">
        <f>SUMIFS(Таблица1[сумма],Таблица1[коэф],"1,4",Таблица1[р/р],"3/16",Таблица1[Ф. И. О.],B418)</f>
        <v>0</v>
      </c>
      <c r="T421" s="88">
        <f t="shared" si="258"/>
        <v>0</v>
      </c>
      <c r="U421" s="292">
        <f>IF(D413&lt;=3,база!$M$4,
IF(D413=4,база!$M$5,
IF(D413=5,база!$M$6)))</f>
        <v>225.09719999999999</v>
      </c>
      <c r="V421" s="250">
        <v>1.4</v>
      </c>
      <c r="W421" s="285">
        <f>SUMIFS(Таблица1[сумма],Таблица1[коэф],"1,4",Таблица1[р/р],"3/24",Таблица1[Ф. И. О.],B418)</f>
        <v>0</v>
      </c>
      <c r="X421" s="291">
        <f>ROUND(U421*V421*W421,2)</f>
        <v>0</v>
      </c>
      <c r="Y421" s="803"/>
      <c r="Z421" s="794"/>
      <c r="AA421" s="797"/>
    </row>
    <row r="422" spans="1:29">
      <c r="A422" s="740"/>
      <c r="B422" s="201"/>
      <c r="C422" s="799"/>
      <c r="D422" s="801"/>
      <c r="E422" s="72"/>
      <c r="F422" s="250"/>
      <c r="G422" s="92"/>
      <c r="H422" s="88"/>
      <c r="I422" s="311"/>
      <c r="J422" s="257"/>
      <c r="K422" s="202"/>
      <c r="L422" s="202"/>
      <c r="M422" s="202"/>
      <c r="N422" s="202"/>
      <c r="O422" s="202"/>
      <c r="P422" s="28"/>
      <c r="Q422" s="72">
        <f>база!$L$5</f>
        <v>231.45480000000001</v>
      </c>
      <c r="R422" s="250">
        <v>1.4</v>
      </c>
      <c r="S422" s="92">
        <f>SUMIFS(Таблица1[сумма],Таблица1[коэф],"1,4",Таблица1[р/р],"4/16",Таблица1[Ф. И. О.],B418)</f>
        <v>0</v>
      </c>
      <c r="T422" s="88">
        <f t="shared" si="258"/>
        <v>0</v>
      </c>
      <c r="U422" s="292">
        <f>база!$M$5</f>
        <v>247.41720000000001</v>
      </c>
      <c r="V422" s="250">
        <v>1.4</v>
      </c>
      <c r="W422" s="285">
        <f>SUMIFS(Таблица1[сумма],Таблица1[коэф],"1,4",Таблица1[р/р],"4/24",Таблица1[Ф. И. О.],B418)</f>
        <v>0</v>
      </c>
      <c r="X422" s="291">
        <f>ROUND(U422*V422*W422,2)</f>
        <v>0</v>
      </c>
      <c r="Y422" s="803"/>
      <c r="Z422" s="794"/>
      <c r="AA422" s="797"/>
    </row>
    <row r="423" spans="1:29" ht="24" thickBot="1">
      <c r="A423" s="741"/>
      <c r="B423" s="188"/>
      <c r="C423" s="800"/>
      <c r="D423" s="802"/>
      <c r="E423" s="95"/>
      <c r="F423" s="252"/>
      <c r="G423" s="91"/>
      <c r="H423" s="84"/>
      <c r="I423" s="325"/>
      <c r="J423" s="258"/>
      <c r="K423" s="267"/>
      <c r="L423" s="267"/>
      <c r="M423" s="267"/>
      <c r="N423" s="267"/>
      <c r="O423" s="267"/>
      <c r="P423" s="293"/>
      <c r="Q423" s="95">
        <f>база!$L$6</f>
        <v>261.04640000000001</v>
      </c>
      <c r="R423" s="252">
        <v>1.4</v>
      </c>
      <c r="S423" s="91">
        <f>SUMIFS(Таблица1[сумма],Таблица1[коэф],"1,4",Таблица1[р/р],"5/16",Таблица1[Ф. И. О.],B418)</f>
        <v>0</v>
      </c>
      <c r="T423" s="84">
        <f t="shared" si="258"/>
        <v>0</v>
      </c>
      <c r="U423" s="324">
        <f>база!$M$6</f>
        <v>279.0496</v>
      </c>
      <c r="V423" s="252">
        <v>1.4</v>
      </c>
      <c r="W423" s="290">
        <f>SUMIFS(Таблица1[сумма],Таблица1[коэф],"1,4",Таблица1[р/р],"5/24",Таблица1[Ф. И. О.],B418)</f>
        <v>0</v>
      </c>
      <c r="X423" s="320">
        <f>ROUND(U423*V423*W423,2)</f>
        <v>0</v>
      </c>
      <c r="Y423" s="804"/>
      <c r="Z423" s="795"/>
      <c r="AA423" s="798"/>
    </row>
    <row r="424" spans="1:29" ht="20.25" customHeight="1">
      <c r="A424" s="739">
        <v>39</v>
      </c>
      <c r="B424" s="201"/>
      <c r="C424" s="805">
        <f>INDEX(база!$E$2:$E$81, MATCH(B429,база!$B$2:$B$50,0))</f>
        <v>16944</v>
      </c>
      <c r="D424" s="806">
        <f>INDEX(база!$D$2:$D$89, MATCH(B429,база!$B$2:$B$50,0))</f>
        <v>3</v>
      </c>
      <c r="E424" s="66">
        <f>IF(D424&lt;=3,база!$I$4,
IF(D424=4,база!$I$5,
IF(D424=5,база!$I$6)))</f>
        <v>188.7912</v>
      </c>
      <c r="F424" s="248">
        <v>1</v>
      </c>
      <c r="G424" s="89">
        <f>SUMIFS(Таблица1[сумма],Таблица1[коэф],"1",Таблица1[р/р],"2/4",Таблица1[Ф. И. О.],B429)</f>
        <v>0</v>
      </c>
      <c r="H424" s="81">
        <f>ROUND(E424*F424*G424,2)</f>
        <v>0</v>
      </c>
      <c r="I424" s="315">
        <f>IF(D424&lt;=3,база!$J$4,
IF(D424=4,база!$J$5,
IF(D424=5,база!$J$6)))</f>
        <v>196.05240000000001</v>
      </c>
      <c r="J424" s="255">
        <v>1</v>
      </c>
      <c r="K424" s="266">
        <f>SUMIFS(Таблица1[сумма],Таблица1[коэф],"1",Таблица1[р/р],"2/8",Таблица1[Ф. И. О.],B429)</f>
        <v>0</v>
      </c>
      <c r="L424" s="266">
        <f>ROUND(I424*J424*K424,2)</f>
        <v>0</v>
      </c>
      <c r="M424" s="266"/>
      <c r="N424" s="266">
        <v>1</v>
      </c>
      <c r="O424" s="266">
        <f>SUMIFS(Data_Tech!$AM$3:$AM$67,Data_Tech!$E$3:$E$67,"1",Data_Tech!$G$3:$G$67,"3/12",Data_Tech!$F$3:$F$67,B429)</f>
        <v>0</v>
      </c>
      <c r="P424" s="259">
        <f>ROUND(M424*N424*O424,2)</f>
        <v>0</v>
      </c>
      <c r="Q424" s="66">
        <f>IF(D424&lt;=3,база!$L$4,
IF(D424=4,база!$L$5,
IF(D424=5,база!$L$6)))</f>
        <v>210.57480000000001</v>
      </c>
      <c r="R424" s="248">
        <v>1</v>
      </c>
      <c r="S424" s="89">
        <f>SUMIFS(Таблица1[сумма],Таблица1[коэф],"1",Таблица1[р/р],"3/16",Таблица1[Ф. И. О.],B429)</f>
        <v>0</v>
      </c>
      <c r="T424" s="81">
        <f t="shared" si="258"/>
        <v>0</v>
      </c>
      <c r="U424" s="316">
        <f>IF(D424&lt;=3,база!$M$4,
IF(D424=4,база!$M$5,
IF(D424=5,база!$M$6)))</f>
        <v>225.09719999999999</v>
      </c>
      <c r="V424" s="248">
        <v>1</v>
      </c>
      <c r="W424" s="317">
        <f>SUMIFS(Таблица1[сумма],Таблица1[коэф],"1",Таблица1[р/р],"3/24",Таблица1[Ф. И. О.],B429)</f>
        <v>0</v>
      </c>
      <c r="X424" s="319">
        <f>ROUND(U424*V424*W424,2)</f>
        <v>0</v>
      </c>
      <c r="Y424" s="791">
        <f t="shared" ref="Y424" si="260">SUM(G424:G434,K424:K434,O424:O434,S424:S434,W424:W434)</f>
        <v>0</v>
      </c>
      <c r="Z424" s="807">
        <f t="shared" ref="Z424" si="261">IFERROR(SUM(H424:H434,L424:L434,T424:T434,X424:X434),"")</f>
        <v>0</v>
      </c>
      <c r="AA424" s="796"/>
    </row>
    <row r="425" spans="1:29">
      <c r="A425" s="740"/>
      <c r="B425" s="201"/>
      <c r="C425" s="799"/>
      <c r="D425" s="801"/>
      <c r="E425" s="72">
        <f>IF(D424&lt;=3,база!$I$4,
IF(D424=4,база!$I$5,
IF(D424=5,база!$I$6)))</f>
        <v>188.7912</v>
      </c>
      <c r="F425" s="250">
        <v>1</v>
      </c>
      <c r="G425" s="92">
        <f>SUMIFS(Таблица1[сумма],Таблица1[коэф],"1",Таблица1[р/р],"3/4",Таблица1[Ф. И. О.],B429)</f>
        <v>0</v>
      </c>
      <c r="H425" s="88">
        <f>ROUND(E425*F425*G425,2)</f>
        <v>0</v>
      </c>
      <c r="I425" s="311">
        <f>IF(D424&lt;=3,база!$J$4,
IF(D424=4,база!$J$5,
IF(D424=5,база!$J$6)))</f>
        <v>196.05240000000001</v>
      </c>
      <c r="J425" s="257">
        <v>1</v>
      </c>
      <c r="K425" s="202">
        <f>SUMIFS(Таблица1[сумма],Таблица1[коэф],"1",Таблица1[р/р],"3/8",Таблица1[Ф. И. О.],B429)</f>
        <v>0</v>
      </c>
      <c r="L425" s="202">
        <f>ROUND(I425*J425*K425,2)</f>
        <v>0</v>
      </c>
      <c r="M425" s="202"/>
      <c r="N425" s="202">
        <v>1</v>
      </c>
      <c r="O425" s="202">
        <f>SUMIFS(Data_Tech!$AM$3:$AM$67,Data_Tech!$E$3:$E$67,"1",Data_Tech!$G$3:$G$67,"4/12",Data_Tech!$F$3:$F$67,B429)</f>
        <v>0</v>
      </c>
      <c r="P425" s="28">
        <f>ROUND(M425*O425,2)</f>
        <v>0</v>
      </c>
      <c r="Q425" s="72">
        <f>база!$L$5</f>
        <v>231.45480000000001</v>
      </c>
      <c r="R425" s="250">
        <v>1</v>
      </c>
      <c r="S425" s="92">
        <f>SUMIFS(Таблица1[сумма],Таблица1[коэф],"1",Таблица1[р/р],"4/16",Таблица1[Ф. И. О.],B429)</f>
        <v>0</v>
      </c>
      <c r="T425" s="88">
        <f t="shared" si="258"/>
        <v>0</v>
      </c>
      <c r="U425" s="292">
        <f>база!$M$5</f>
        <v>247.41720000000001</v>
      </c>
      <c r="V425" s="250">
        <v>1</v>
      </c>
      <c r="W425" s="285">
        <f>SUMIFS(Таблица1[сумма],Таблица1[коэф],"1",Таблица1[р/р],"4/24",Таблица1[Ф. И. О.],B429)</f>
        <v>0</v>
      </c>
      <c r="X425" s="291">
        <f t="shared" ref="X425" si="262">ROUND(U425*V425*W425,2)</f>
        <v>0</v>
      </c>
      <c r="Y425" s="792"/>
      <c r="Z425" s="794"/>
      <c r="AA425" s="797"/>
    </row>
    <row r="426" spans="1:29">
      <c r="A426" s="740"/>
      <c r="B426" s="201"/>
      <c r="C426" s="799"/>
      <c r="D426" s="801"/>
      <c r="E426" s="72"/>
      <c r="F426" s="250"/>
      <c r="G426" s="92"/>
      <c r="H426" s="88"/>
      <c r="I426" s="311"/>
      <c r="J426" s="257"/>
      <c r="K426" s="202"/>
      <c r="L426" s="202"/>
      <c r="M426" s="202"/>
      <c r="N426" s="202"/>
      <c r="O426" s="202"/>
      <c r="P426" s="28"/>
      <c r="Q426" s="72">
        <f>база!$L$6</f>
        <v>261.04640000000001</v>
      </c>
      <c r="R426" s="250">
        <v>1</v>
      </c>
      <c r="S426" s="92">
        <f>SUMIFS(Таблица1[сумма],Таблица1[коэф],"1",Таблица1[р/р],"5/16",Таблица1[Ф. И. О.],B429)</f>
        <v>0</v>
      </c>
      <c r="T426" s="88">
        <f t="shared" si="258"/>
        <v>0</v>
      </c>
      <c r="U426" s="292">
        <f>база!$M$6</f>
        <v>279.0496</v>
      </c>
      <c r="V426" s="250">
        <v>1</v>
      </c>
      <c r="W426" s="285">
        <f>SUMIFS(Таблица1[сумма],Таблица1[коэф],"1",Таблица1[р/р],"5/24",Таблица1[Ф. И. О.],B429)</f>
        <v>0</v>
      </c>
      <c r="X426" s="291">
        <f>ROUND(U426*V426*W426,2)</f>
        <v>0</v>
      </c>
      <c r="Y426" s="792"/>
      <c r="Z426" s="794"/>
      <c r="AA426" s="797"/>
    </row>
    <row r="427" spans="1:29" ht="24" thickBot="1">
      <c r="A427" s="740"/>
      <c r="B427" s="201"/>
      <c r="C427" s="799"/>
      <c r="D427" s="801"/>
      <c r="E427" s="72"/>
      <c r="F427" s="250"/>
      <c r="G427" s="92"/>
      <c r="H427" s="88"/>
      <c r="I427" s="311">
        <f>база!$J$5</f>
        <v>215.4924</v>
      </c>
      <c r="J427" s="257">
        <v>1.5</v>
      </c>
      <c r="K427" s="202">
        <f>SUMIFS(Таблица1[сумма],Таблица1[коэф],"1,5",Таблица1[р/р],"4/8",Таблица1[Ф. И. О.],B429)</f>
        <v>0</v>
      </c>
      <c r="L427" s="202">
        <f>ROUND(I427*J427*K427,2)</f>
        <v>0</v>
      </c>
      <c r="M427" s="202"/>
      <c r="N427" s="202"/>
      <c r="O427" s="202"/>
      <c r="P427" s="28"/>
      <c r="Q427" s="72">
        <f>IF(D424&lt;=3,база!$L$4,
IF(D424=4,база!$L$5,
IF(D424=5,база!$L$6)))</f>
        <v>210.57480000000001</v>
      </c>
      <c r="R427" s="250">
        <v>1.2</v>
      </c>
      <c r="S427" s="92">
        <f>SUMIFS(Таблица1[сумма],Таблица1[коэф],"1,2",Таблица1[р/р],"3/16",Таблица1[Ф. И. О.],B429)</f>
        <v>0</v>
      </c>
      <c r="T427" s="88">
        <f t="shared" si="258"/>
        <v>0</v>
      </c>
      <c r="U427" s="292">
        <f>IF(D424&lt;=3,база!$M$4,
IF(D424=4,база!$M$5,
IF(D424=5,база!$M$6)))</f>
        <v>225.09719999999999</v>
      </c>
      <c r="V427" s="250">
        <v>1.2</v>
      </c>
      <c r="W427" s="285">
        <f>SUMIFS(Таблица1[сумма],Таблица1[коэф],"1,2",Таблица1[р/р],"3/24",Таблица1[Ф. И. О.],B429)</f>
        <v>0</v>
      </c>
      <c r="X427" s="291">
        <f t="shared" ref="X427:X428" si="263">ROUND(U427*V427*W427,2)</f>
        <v>0</v>
      </c>
      <c r="Y427" s="792"/>
      <c r="Z427" s="794"/>
      <c r="AA427" s="797"/>
    </row>
    <row r="428" spans="1:29" ht="24" thickBot="1">
      <c r="A428" s="740"/>
      <c r="B428" s="201"/>
      <c r="C428" s="799"/>
      <c r="D428" s="801"/>
      <c r="E428" s="72"/>
      <c r="F428" s="250"/>
      <c r="G428" s="92"/>
      <c r="H428" s="88"/>
      <c r="I428" s="311">
        <f>база!$J$6</f>
        <v>243.04319999999998</v>
      </c>
      <c r="J428" s="257">
        <v>1.5</v>
      </c>
      <c r="K428" s="202">
        <f>SUMIFS(Таблица1[сумма],Таблица1[коэф],"1,5",Таблица1[р/р],"5/8",Таблица1[Ф. И. О.],B429)</f>
        <v>0</v>
      </c>
      <c r="L428" s="202">
        <f>ROUND(I428*J428*K428,2)</f>
        <v>0</v>
      </c>
      <c r="M428" s="202"/>
      <c r="N428" s="202"/>
      <c r="O428" s="202"/>
      <c r="P428" s="28"/>
      <c r="Q428" s="72">
        <f>база!$L$5</f>
        <v>231.45480000000001</v>
      </c>
      <c r="R428" s="250">
        <v>1.2</v>
      </c>
      <c r="S428" s="92">
        <f>SUMIFS(Таблица1[сумма],Таблица1[коэф],"1,2",Таблица1[р/р],"4/16",Таблица1[Ф. И. О.],B429)</f>
        <v>0</v>
      </c>
      <c r="T428" s="88">
        <f t="shared" si="258"/>
        <v>0</v>
      </c>
      <c r="U428" s="292">
        <f>база!$M$5</f>
        <v>247.41720000000001</v>
      </c>
      <c r="V428" s="250">
        <v>1.2</v>
      </c>
      <c r="W428" s="285">
        <f>SUMIFS(Таблица1[сумма],Таблица1[коэф],"1,2",Таблица1[р/р],"4/24",Таблица1[Ф. И. О.],B429)</f>
        <v>0</v>
      </c>
      <c r="X428" s="291">
        <f t="shared" si="263"/>
        <v>0</v>
      </c>
      <c r="Y428" s="792"/>
      <c r="Z428" s="794"/>
      <c r="AA428" s="797"/>
      <c r="AC428" s="688" t="str">
        <f>IF(SUMIFS(Таблица1[Столбец2],Таблица1[Ф. И. О.],B429)-Z424=0,"",SUMIFS(Таблица1[Столбец2],Таблица1[Ф. И. О.],B429)-Z424)</f>
        <v/>
      </c>
    </row>
    <row r="429" spans="1:29" ht="24" thickBot="1">
      <c r="A429" s="740"/>
      <c r="B429" s="201" t="str">
        <f>база!B40</f>
        <v>Кравченко Светлана Александровна</v>
      </c>
      <c r="C429" s="799"/>
      <c r="D429" s="801"/>
      <c r="E429" s="72"/>
      <c r="F429" s="250"/>
      <c r="G429" s="92"/>
      <c r="H429" s="88"/>
      <c r="I429" s="311"/>
      <c r="J429" s="257"/>
      <c r="K429" s="202"/>
      <c r="L429" s="202"/>
      <c r="M429" s="202"/>
      <c r="N429" s="202"/>
      <c r="O429" s="202"/>
      <c r="P429" s="28"/>
      <c r="Q429" s="72">
        <f>база!$L$6</f>
        <v>261.04640000000001</v>
      </c>
      <c r="R429" s="250">
        <v>1.2</v>
      </c>
      <c r="S429" s="92">
        <f>SUMIFS(Таблица1[сумма],Таблица1[коэф],"1,2",Таблица1[р/р],"5/16",Таблица1[Ф. И. О.],B429)</f>
        <v>0</v>
      </c>
      <c r="T429" s="88">
        <f>ROUND(Q429*R429*S429,2)</f>
        <v>0</v>
      </c>
      <c r="U429" s="292">
        <f>база!$M$6</f>
        <v>279.0496</v>
      </c>
      <c r="V429" s="250">
        <v>1.2</v>
      </c>
      <c r="W429" s="285">
        <f>SUMIFS(Таблица1[сумма],Таблица1[коэф],"1,2",Таблица1[р/р],"5/24",Таблица1[Ф. И. О.],B429)</f>
        <v>0</v>
      </c>
      <c r="X429" s="291">
        <f>ROUND(U429*V429*W429,2)</f>
        <v>0</v>
      </c>
      <c r="Y429" s="792"/>
      <c r="Z429" s="794"/>
      <c r="AA429" s="797"/>
      <c r="AC429" s="688" t="str">
        <f>IF(SUMIFS(Таблица1[сумма],Таблица1[Ф. И. О.],B429)=Y424,"",B424&amp;"  часы не верны")</f>
        <v/>
      </c>
    </row>
    <row r="430" spans="1:29" ht="24" thickBot="1">
      <c r="A430" s="740"/>
      <c r="B430" s="201"/>
      <c r="C430" s="799"/>
      <c r="D430" s="801"/>
      <c r="E430" s="72"/>
      <c r="F430" s="250"/>
      <c r="G430" s="92"/>
      <c r="H430" s="88"/>
      <c r="I430" s="311"/>
      <c r="J430" s="257"/>
      <c r="K430" s="202"/>
      <c r="L430" s="202"/>
      <c r="M430" s="202"/>
      <c r="N430" s="202"/>
      <c r="O430" s="202"/>
      <c r="P430" s="28"/>
      <c r="Q430" s="72">
        <f>IF($D$6&lt;=3,база!$L$4,
IF($D$6=4,база!$L$5,
IF($D$6=5,база!$L$6)))</f>
        <v>231.45480000000001</v>
      </c>
      <c r="R430" s="250">
        <v>1.3</v>
      </c>
      <c r="S430" s="92">
        <f>SUMIFS(Таблица1[сумма],Таблица1[коэф],"1,3",Таблица1[р/р],"3/16",Таблица1[Ф. И. О.],B429)</f>
        <v>0</v>
      </c>
      <c r="T430" s="88">
        <f t="shared" ref="T430:T439" si="264">ROUND(Q430*R430*S430,2)</f>
        <v>0</v>
      </c>
      <c r="U430" s="292">
        <f>IF(D424&lt;=3,база!$M$4,
IF(D424=4,база!$M$5,
IF(D424=5,база!$M$6)))</f>
        <v>225.09719999999999</v>
      </c>
      <c r="V430" s="250">
        <v>1.3</v>
      </c>
      <c r="W430" s="285">
        <f>SUMIFS(Таблица1[сумма],Таблица1[коэф],"1,3",Таблица1[р/р],"3/24",Таблица1[Ф. И. О.],B429)</f>
        <v>0</v>
      </c>
      <c r="X430" s="291">
        <f t="shared" ref="X430:X431" si="265">ROUND(U430*V430*W430,2)</f>
        <v>0</v>
      </c>
      <c r="Y430" s="792"/>
      <c r="Z430" s="794"/>
      <c r="AA430" s="797"/>
    </row>
    <row r="431" spans="1:29" ht="24" thickBot="1">
      <c r="A431" s="740"/>
      <c r="B431" s="201"/>
      <c r="C431" s="799"/>
      <c r="D431" s="801"/>
      <c r="E431" s="72"/>
      <c r="F431" s="250"/>
      <c r="G431" s="92"/>
      <c r="H431" s="88"/>
      <c r="I431" s="311"/>
      <c r="J431" s="257"/>
      <c r="K431" s="202"/>
      <c r="L431" s="202"/>
      <c r="M431" s="202"/>
      <c r="N431" s="202"/>
      <c r="O431" s="202"/>
      <c r="P431" s="28"/>
      <c r="Q431" s="72">
        <f>база!$L$5</f>
        <v>231.45480000000001</v>
      </c>
      <c r="R431" s="250">
        <v>1.3</v>
      </c>
      <c r="S431" s="92">
        <f>SUMIFS(Таблица1[сумма],Таблица1[коэф],"1,3",Таблица1[р/р],"4/16",Таблица1[Ф. И. О.],B429)</f>
        <v>0</v>
      </c>
      <c r="T431" s="88">
        <f t="shared" si="264"/>
        <v>0</v>
      </c>
      <c r="U431" s="292">
        <f>база!$M$5</f>
        <v>247.41720000000001</v>
      </c>
      <c r="V431" s="250">
        <v>1.3</v>
      </c>
      <c r="W431" s="285">
        <f>SUMIFS(Таблица1[сумма],Таблица1[коэф],"1,3",Таблица1[р/р],"4/24",Таблица1[Ф. И. О.],B429)</f>
        <v>0</v>
      </c>
      <c r="X431" s="291">
        <f t="shared" si="265"/>
        <v>0</v>
      </c>
      <c r="Y431" s="792"/>
      <c r="Z431" s="794"/>
      <c r="AA431" s="797"/>
    </row>
    <row r="432" spans="1:29" ht="24" thickBot="1">
      <c r="A432" s="740"/>
      <c r="B432" s="201"/>
      <c r="C432" s="799"/>
      <c r="D432" s="801"/>
      <c r="E432" s="72"/>
      <c r="F432" s="250"/>
      <c r="G432" s="92"/>
      <c r="H432" s="88"/>
      <c r="I432" s="311"/>
      <c r="J432" s="257"/>
      <c r="K432" s="202"/>
      <c r="L432" s="202"/>
      <c r="M432" s="202"/>
      <c r="N432" s="202"/>
      <c r="O432" s="202"/>
      <c r="P432" s="28"/>
      <c r="Q432" s="72">
        <f>IF(D424&lt;=3,база!$L$4,
IF(D424=4,база!$L$5,
IF(D424=5,база!$L$6)))</f>
        <v>210.57480000000001</v>
      </c>
      <c r="R432" s="250">
        <v>1.4</v>
      </c>
      <c r="S432" s="92">
        <f>SUMIFS(Таблица1[сумма],Таблица1[коэф],"1,4",Таблица1[р/р],"3/16",Таблица1[Ф. И. О.],B429)</f>
        <v>0</v>
      </c>
      <c r="T432" s="88">
        <f t="shared" si="264"/>
        <v>0</v>
      </c>
      <c r="U432" s="292">
        <f>IF(D424&lt;=3,база!$M$4,
IF(D424=4,база!$M$5,
IF(D424=5,база!$M$6)))</f>
        <v>225.09719999999999</v>
      </c>
      <c r="V432" s="250">
        <v>1.4</v>
      </c>
      <c r="W432" s="285">
        <f>SUMIFS(Таблица1[сумма],Таблица1[коэф],"1,4",Таблица1[р/р],"3/24",Таблица1[Ф. И. О.],B429)</f>
        <v>0</v>
      </c>
      <c r="X432" s="291">
        <f>ROUND(U432*V432*W432,2)</f>
        <v>0</v>
      </c>
      <c r="Y432" s="792"/>
      <c r="Z432" s="794"/>
      <c r="AA432" s="797"/>
    </row>
    <row r="433" spans="1:29" ht="24" thickBot="1">
      <c r="A433" s="740"/>
      <c r="B433" s="201"/>
      <c r="C433" s="799"/>
      <c r="D433" s="801"/>
      <c r="E433" s="72"/>
      <c r="F433" s="250"/>
      <c r="G433" s="92"/>
      <c r="H433" s="88"/>
      <c r="I433" s="311"/>
      <c r="J433" s="257"/>
      <c r="K433" s="202"/>
      <c r="L433" s="202"/>
      <c r="M433" s="202"/>
      <c r="N433" s="202"/>
      <c r="O433" s="202"/>
      <c r="P433" s="28"/>
      <c r="Q433" s="72">
        <f>база!$L$5</f>
        <v>231.45480000000001</v>
      </c>
      <c r="R433" s="250">
        <v>1.4</v>
      </c>
      <c r="S433" s="92">
        <f>SUMIFS(Таблица1[сумма],Таблица1[коэф],"1,4",Таблица1[р/р],"4/16",Таблица1[Ф. И. О.],B429)</f>
        <v>0</v>
      </c>
      <c r="T433" s="88">
        <f t="shared" si="264"/>
        <v>0</v>
      </c>
      <c r="U433" s="292">
        <f>база!$M$5</f>
        <v>247.41720000000001</v>
      </c>
      <c r="V433" s="250">
        <v>1.4</v>
      </c>
      <c r="W433" s="285">
        <f>SUMIFS(Таблица1[сумма],Таблица1[коэф],"1,4",Таблица1[р/р],"4/24",Таблица1[Ф. И. О.],B429)</f>
        <v>0</v>
      </c>
      <c r="X433" s="291">
        <f>ROUND(U433*V433*W433,2)</f>
        <v>0</v>
      </c>
      <c r="Y433" s="792"/>
      <c r="Z433" s="794"/>
      <c r="AA433" s="797"/>
    </row>
    <row r="434" spans="1:29" ht="24" thickBot="1">
      <c r="A434" s="741"/>
      <c r="B434" s="188"/>
      <c r="C434" s="800"/>
      <c r="D434" s="802"/>
      <c r="E434" s="78"/>
      <c r="F434" s="251"/>
      <c r="G434" s="94"/>
      <c r="H434" s="83"/>
      <c r="I434" s="566"/>
      <c r="J434" s="567"/>
      <c r="K434" s="305"/>
      <c r="L434" s="305"/>
      <c r="M434" s="302"/>
      <c r="N434" s="302"/>
      <c r="O434" s="302"/>
      <c r="P434" s="261"/>
      <c r="Q434" s="78">
        <f>база!$L$6</f>
        <v>261.04640000000001</v>
      </c>
      <c r="R434" s="251">
        <v>1.4</v>
      </c>
      <c r="S434" s="94">
        <f>SUMIFS(Таблица1[сумма],Таблица1[коэф],"1,4",Таблица1[р/р],"5/16",Таблица1[Ф. И. О.],B429)</f>
        <v>0</v>
      </c>
      <c r="T434" s="83">
        <f t="shared" si="264"/>
        <v>0</v>
      </c>
      <c r="U434" s="568">
        <f>база!$M$6</f>
        <v>279.0496</v>
      </c>
      <c r="V434" s="254">
        <v>1.4</v>
      </c>
      <c r="W434" s="299">
        <f>SUMIFS(Таблица1[сумма],Таблица1[коэф],"1,4",Таблица1[р/р],"5/24",Таблица1[Ф. И. О.],B429)</f>
        <v>0</v>
      </c>
      <c r="X434" s="565">
        <f>ROUND(U434*V434*W434,2)</f>
        <v>0</v>
      </c>
      <c r="Y434" s="793"/>
      <c r="Z434" s="795"/>
      <c r="AA434" s="798"/>
    </row>
    <row r="435" spans="1:29">
      <c r="A435" s="739">
        <v>40</v>
      </c>
      <c r="B435" s="201"/>
      <c r="C435" s="805">
        <f>INDEX(база!$E$2:$E$81, MATCH(B440,база!$B$2:$B$50,0))</f>
        <v>17281</v>
      </c>
      <c r="D435" s="806">
        <f>INDEX(база!$D$2:$D$89, MATCH(B440,база!$B$2:$B$50,0))</f>
        <v>3</v>
      </c>
      <c r="E435" s="66">
        <f>IF(D435&lt;=3,база!$I$4,
IF(D435=4,база!$I$5,
IF(D435=5,база!$I$6)))</f>
        <v>188.7912</v>
      </c>
      <c r="F435" s="248">
        <v>1</v>
      </c>
      <c r="G435" s="89">
        <f>SUMIFS(Таблица1[сумма],Таблица1[коэф],"1",Таблица1[р/р],"2/4",Таблица1[Ф. И. О.],B440)</f>
        <v>0</v>
      </c>
      <c r="H435" s="81">
        <f>ROUND(E435*F435*G435,2)</f>
        <v>0</v>
      </c>
      <c r="I435" s="321">
        <f>IF(D435&lt;=3,база!$J$4,
IF(D435=4,база!$J$5,
IF(D435=5,база!$J$6)))</f>
        <v>196.05240000000001</v>
      </c>
      <c r="J435" s="256">
        <v>1</v>
      </c>
      <c r="K435" s="287">
        <f>SUMIFS(Таблица1[сумма],Таблица1[коэф],"1",Таблица1[р/р],"2/8",Таблица1[Ф. И. О.],B440)</f>
        <v>0</v>
      </c>
      <c r="L435" s="287">
        <f>ROUND(I435*J435*K435,2)</f>
        <v>0</v>
      </c>
      <c r="M435" s="287"/>
      <c r="N435" s="287">
        <v>1</v>
      </c>
      <c r="O435" s="287">
        <f>SUMIFS(Data_Tech!$AM$3:$AM$67,Data_Tech!$E$3:$E$67,"1",Data_Tech!$G$3:$G$67,"3/12",Data_Tech!$F$3:$F$67,B440)</f>
        <v>0</v>
      </c>
      <c r="P435" s="260">
        <f>ROUND(M435*N435*O435,2)</f>
        <v>0</v>
      </c>
      <c r="Q435" s="66">
        <f>IF(D435&lt;=3,база!$L$4,
IF(D435=4,база!$L$5,
IF(D435=5,база!$L$6)))</f>
        <v>210.57480000000001</v>
      </c>
      <c r="R435" s="248">
        <v>1</v>
      </c>
      <c r="S435" s="89">
        <f>SUMIFS(Таблица1[сумма],Таблица1[коэф],"1",Таблица1[р/р],"3/16",Таблица1[Ф. И. О.],B440)</f>
        <v>0</v>
      </c>
      <c r="T435" s="81">
        <f t="shared" si="264"/>
        <v>0</v>
      </c>
      <c r="U435" s="326">
        <f>IF(D435&lt;=3,база!$M$4,
IF(D435=4,база!$M$5,
IF(D435=5,база!$M$6)))</f>
        <v>225.09719999999999</v>
      </c>
      <c r="V435" s="249">
        <v>1</v>
      </c>
      <c r="W435" s="314">
        <f>SUMIFS(Таблица1[сумма],Таблица1[коэф],"1",Таблица1[р/р],"3/24",Таблица1[Ф. И. О.],B440)</f>
        <v>0</v>
      </c>
      <c r="X435" s="319">
        <f>ROUND(U435*V435*W435,2)</f>
        <v>0</v>
      </c>
      <c r="Y435" s="803">
        <f t="shared" ref="Y435" si="266">SUM(G435:G445,K435:K445,O435:O445,S435:S445,W435:W445)</f>
        <v>0</v>
      </c>
      <c r="Z435" s="807">
        <f t="shared" ref="Z435" si="267">IFERROR(SUM(H435:H445,L435:L445,T435:T445,X435:X445),"")</f>
        <v>0</v>
      </c>
      <c r="AA435" s="797"/>
    </row>
    <row r="436" spans="1:29">
      <c r="A436" s="740"/>
      <c r="B436" s="201"/>
      <c r="C436" s="799"/>
      <c r="D436" s="801"/>
      <c r="E436" s="72">
        <f>IF(D435&lt;=3,база!$I$4,
IF(D435=4,база!$I$5,
IF(D435=5,база!$I$6)))</f>
        <v>188.7912</v>
      </c>
      <c r="F436" s="250">
        <v>1</v>
      </c>
      <c r="G436" s="92">
        <f>SUMIFS(Таблица1[сумма],Таблица1[коэф],"1",Таблица1[р/р],"3/4",Таблица1[Ф. И. О.],B440)</f>
        <v>0</v>
      </c>
      <c r="H436" s="88">
        <f>ROUND(E436*F436*G436,2)</f>
        <v>0</v>
      </c>
      <c r="I436" s="311">
        <f>IF(D435&lt;=3,база!$J$4,
IF(D435=4,база!$J$5,
IF(D435=5,база!$J$6)))</f>
        <v>196.05240000000001</v>
      </c>
      <c r="J436" s="257">
        <v>1</v>
      </c>
      <c r="K436" s="202"/>
      <c r="L436" s="202">
        <f>ROUND(I436*J436*K436,2)</f>
        <v>0</v>
      </c>
      <c r="M436" s="202"/>
      <c r="N436" s="202">
        <v>1</v>
      </c>
      <c r="O436" s="202">
        <f>SUMIFS(Data_Tech!$AM$3:$AM$67,Data_Tech!$E$3:$E$67,"1",Data_Tech!$G$3:$G$67,"4/12",Data_Tech!$F$3:$F$67,B440)</f>
        <v>0</v>
      </c>
      <c r="P436" s="28">
        <f>ROUND(M436*O436,2)</f>
        <v>0</v>
      </c>
      <c r="Q436" s="72">
        <f>база!$L$5</f>
        <v>231.45480000000001</v>
      </c>
      <c r="R436" s="250">
        <v>1</v>
      </c>
      <c r="S436" s="92">
        <f>SUMIFS(Таблица1[сумма],Таблица1[коэф],"1",Таблица1[р/р],"4/16",Таблица1[Ф. И. О.],B440)</f>
        <v>0</v>
      </c>
      <c r="T436" s="88">
        <f t="shared" si="264"/>
        <v>0</v>
      </c>
      <c r="U436" s="292">
        <f>база!$M$5</f>
        <v>247.41720000000001</v>
      </c>
      <c r="V436" s="250">
        <v>1</v>
      </c>
      <c r="W436" s="285">
        <f>SUMIFS(Таблица1[сумма],Таблица1[коэф],"1",Таблица1[р/р],"4/24",Таблица1[Ф. И. О.],B440)</f>
        <v>0</v>
      </c>
      <c r="X436" s="291">
        <f t="shared" ref="X436" si="268">ROUND(U436*V436*W436,2)</f>
        <v>0</v>
      </c>
      <c r="Y436" s="803"/>
      <c r="Z436" s="794"/>
      <c r="AA436" s="797"/>
    </row>
    <row r="437" spans="1:29">
      <c r="A437" s="740"/>
      <c r="B437" s="201"/>
      <c r="C437" s="799"/>
      <c r="D437" s="801"/>
      <c r="E437" s="72"/>
      <c r="F437" s="250"/>
      <c r="G437" s="92"/>
      <c r="H437" s="88"/>
      <c r="I437" s="311"/>
      <c r="J437" s="257"/>
      <c r="K437" s="202"/>
      <c r="L437" s="202"/>
      <c r="M437" s="202"/>
      <c r="N437" s="202"/>
      <c r="O437" s="202"/>
      <c r="P437" s="28"/>
      <c r="Q437" s="72">
        <f>база!$L$6</f>
        <v>261.04640000000001</v>
      </c>
      <c r="R437" s="250">
        <v>1</v>
      </c>
      <c r="S437" s="92">
        <f>SUMIFS(Таблица1[сумма],Таблица1[коэф],"1",Таблица1[р/р],"5/16",Таблица1[Ф. И. О.],B440)</f>
        <v>0</v>
      </c>
      <c r="T437" s="88">
        <f t="shared" si="264"/>
        <v>0</v>
      </c>
      <c r="U437" s="292">
        <f>база!$M$6</f>
        <v>279.0496</v>
      </c>
      <c r="V437" s="250">
        <v>1</v>
      </c>
      <c r="W437" s="285">
        <f>SUMIFS(Таблица1[сумма],Таблица1[коэф],"1",Таблица1[р/р],"5/24",Таблица1[Ф. И. О.],B440)</f>
        <v>0</v>
      </c>
      <c r="X437" s="291">
        <f>ROUND(U437*V437*W437,2)</f>
        <v>0</v>
      </c>
      <c r="Y437" s="803"/>
      <c r="Z437" s="794"/>
      <c r="AA437" s="797"/>
    </row>
    <row r="438" spans="1:29">
      <c r="A438" s="740"/>
      <c r="B438" s="201"/>
      <c r="C438" s="799"/>
      <c r="D438" s="801"/>
      <c r="E438" s="72"/>
      <c r="F438" s="250"/>
      <c r="G438" s="92"/>
      <c r="H438" s="88"/>
      <c r="I438" s="311">
        <f>база!$J$5</f>
        <v>215.4924</v>
      </c>
      <c r="J438" s="257">
        <v>1.5</v>
      </c>
      <c r="K438" s="202">
        <f>SUMIFS(Таблица1[сумма],Таблица1[коэф],"1,5",Таблица1[р/р],"4/8",Таблица1[Ф. И. О.],B440)</f>
        <v>0</v>
      </c>
      <c r="L438" s="202">
        <f>ROUND(I438*J438*K438,2)</f>
        <v>0</v>
      </c>
      <c r="M438" s="202"/>
      <c r="N438" s="202"/>
      <c r="O438" s="202"/>
      <c r="P438" s="28"/>
      <c r="Q438" s="72">
        <f>IF(D435&lt;=3,база!$L$4,
IF(D435=4,база!$L$5,
IF(D435=5,база!$L$6)))</f>
        <v>210.57480000000001</v>
      </c>
      <c r="R438" s="250">
        <v>1.2</v>
      </c>
      <c r="S438" s="92">
        <f>SUMIFS(Таблица1[сумма],Таблица1[коэф],"1,2",Таблица1[р/р],"3/16",Таблица1[Ф. И. О.],B440)</f>
        <v>0</v>
      </c>
      <c r="T438" s="88">
        <f t="shared" si="264"/>
        <v>0</v>
      </c>
      <c r="U438" s="292">
        <f>IF(D435&lt;=3,база!$M$4,
IF(D435=4,база!$M$5,
IF(D435=5,база!$M$6)))</f>
        <v>225.09719999999999</v>
      </c>
      <c r="V438" s="250">
        <v>1.2</v>
      </c>
      <c r="W438" s="285">
        <f>SUMIFS(Таблица1[сумма],Таблица1[коэф],"1,2",Таблица1[р/р],"3/24",Таблица1[Ф. И. О.],B440)</f>
        <v>0</v>
      </c>
      <c r="X438" s="291">
        <f t="shared" ref="X438:X439" si="269">ROUND(U438*V438*W438,2)</f>
        <v>0</v>
      </c>
      <c r="Y438" s="803"/>
      <c r="Z438" s="794"/>
      <c r="AA438" s="797"/>
    </row>
    <row r="439" spans="1:29">
      <c r="A439" s="740"/>
      <c r="B439" s="201"/>
      <c r="C439" s="799"/>
      <c r="D439" s="801"/>
      <c r="E439" s="72"/>
      <c r="F439" s="250"/>
      <c r="G439" s="92"/>
      <c r="H439" s="88"/>
      <c r="I439" s="311">
        <f>база!$J$6</f>
        <v>243.04319999999998</v>
      </c>
      <c r="J439" s="257">
        <v>1.5</v>
      </c>
      <c r="K439" s="202">
        <f>SUMIFS(Таблица1[сумма],Таблица1[коэф],"1,5",Таблица1[р/р],"5/8",Таблица1[Ф. И. О.],B440)</f>
        <v>0</v>
      </c>
      <c r="L439" s="202">
        <f>ROUND(I439*J439*K439,2)</f>
        <v>0</v>
      </c>
      <c r="M439" s="202"/>
      <c r="N439" s="202"/>
      <c r="O439" s="202"/>
      <c r="P439" s="28"/>
      <c r="Q439" s="72">
        <f>база!$L$5</f>
        <v>231.45480000000001</v>
      </c>
      <c r="R439" s="250">
        <v>1.2</v>
      </c>
      <c r="S439" s="92">
        <f>SUMIFS(Таблица1[сумма],Таблица1[коэф],"1,2",Таблица1[р/р],"4/16",Таблица1[Ф. И. О.],B440)</f>
        <v>0</v>
      </c>
      <c r="T439" s="88">
        <f t="shared" si="264"/>
        <v>0</v>
      </c>
      <c r="U439" s="292">
        <f>база!$M$5</f>
        <v>247.41720000000001</v>
      </c>
      <c r="V439" s="250">
        <v>1.2</v>
      </c>
      <c r="W439" s="285">
        <f>SUMIFS(Таблица1[сумма],Таблица1[коэф],"1,2",Таблица1[р/р],"4/24",Таблица1[Ф. И. О.],B440)</f>
        <v>0</v>
      </c>
      <c r="X439" s="291">
        <f t="shared" si="269"/>
        <v>0</v>
      </c>
      <c r="Y439" s="803"/>
      <c r="Z439" s="794"/>
      <c r="AA439" s="797"/>
      <c r="AC439" s="688" t="str">
        <f>IF(SUMIFS(Таблица1[Столбец2],Таблица1[Ф. И. О.],B440)-Z435=0,"",SUMIFS(Таблица1[Столбец2],Таблица1[Ф. И. О.],B440)-Z435)</f>
        <v/>
      </c>
    </row>
    <row r="440" spans="1:29">
      <c r="A440" s="740"/>
      <c r="B440" s="201" t="str">
        <f>база!B41</f>
        <v>Лапина Елена Сергеевна</v>
      </c>
      <c r="C440" s="799"/>
      <c r="D440" s="801"/>
      <c r="E440" s="72"/>
      <c r="F440" s="250"/>
      <c r="G440" s="92"/>
      <c r="H440" s="88"/>
      <c r="I440" s="311"/>
      <c r="J440" s="257"/>
      <c r="K440" s="202"/>
      <c r="L440" s="202"/>
      <c r="M440" s="202"/>
      <c r="N440" s="202"/>
      <c r="O440" s="202"/>
      <c r="P440" s="28"/>
      <c r="Q440" s="72">
        <f>база!$L$6</f>
        <v>261.04640000000001</v>
      </c>
      <c r="R440" s="250">
        <v>1.2</v>
      </c>
      <c r="S440" s="92">
        <f>SUMIFS(Таблица1[сумма],Таблица1[коэф],"1,2",Таблица1[р/р],"5/16",Таблица1[Ф. И. О.],B440)</f>
        <v>0</v>
      </c>
      <c r="T440" s="88">
        <f>ROUND(Q440*R440*S440,2)</f>
        <v>0</v>
      </c>
      <c r="U440" s="292">
        <f>база!$M$6</f>
        <v>279.0496</v>
      </c>
      <c r="V440" s="250">
        <v>1.2</v>
      </c>
      <c r="W440" s="285">
        <f>SUMIFS(Таблица1[сумма],Таблица1[коэф],"1,2",Таблица1[р/р],"5/24",Таблица1[Ф. И. О.],B440)</f>
        <v>0</v>
      </c>
      <c r="X440" s="291">
        <f>ROUND(U440*V440*W440,2)</f>
        <v>0</v>
      </c>
      <c r="Y440" s="803"/>
      <c r="Z440" s="794"/>
      <c r="AA440" s="797"/>
      <c r="AC440" s="688" t="str">
        <f>IF(SUMIFS(Таблица1[сумма],Таблица1[Ф. И. О.],B440)=Y435,"",B435&amp;"  часы не верны")</f>
        <v/>
      </c>
    </row>
    <row r="441" spans="1:29">
      <c r="A441" s="740"/>
      <c r="B441" s="201"/>
      <c r="C441" s="799"/>
      <c r="D441" s="801"/>
      <c r="E441" s="72"/>
      <c r="F441" s="250"/>
      <c r="G441" s="92"/>
      <c r="H441" s="88"/>
      <c r="I441" s="311"/>
      <c r="J441" s="257"/>
      <c r="K441" s="202"/>
      <c r="L441" s="202"/>
      <c r="M441" s="202"/>
      <c r="N441" s="202"/>
      <c r="O441" s="202"/>
      <c r="P441" s="28"/>
      <c r="Q441" s="72">
        <f>IF($D$6&lt;=3,база!$L$4,
IF($D$6=4,база!$L$5,
IF($D$6=5,база!$L$6)))</f>
        <v>231.45480000000001</v>
      </c>
      <c r="R441" s="250">
        <v>1.3</v>
      </c>
      <c r="S441" s="92">
        <f>SUMIFS(Таблица1[сумма],Таблица1[коэф],"1,3",Таблица1[р/р],"3/16",Таблица1[Ф. И. О.],B440)</f>
        <v>0</v>
      </c>
      <c r="T441" s="88">
        <f t="shared" ref="T441:T442" si="270">ROUND(Q441*R441*S441,2)</f>
        <v>0</v>
      </c>
      <c r="U441" s="292">
        <f>IF(D435&lt;=3,база!$M$4,
IF(D435=4,база!$M$5,
IF(D435=5,база!$M$6)))</f>
        <v>225.09719999999999</v>
      </c>
      <c r="V441" s="250">
        <v>1.3</v>
      </c>
      <c r="W441" s="285">
        <f>SUMIFS(Таблица1[сумма],Таблица1[коэф],"1,3",Таблица1[р/р],"3/24",Таблица1[Ф. И. О.],B440)</f>
        <v>0</v>
      </c>
      <c r="X441" s="291">
        <f t="shared" ref="X441:X442" si="271">ROUND(U441*V441*W441,2)</f>
        <v>0</v>
      </c>
      <c r="Y441" s="803"/>
      <c r="Z441" s="794"/>
      <c r="AA441" s="797"/>
    </row>
    <row r="442" spans="1:29">
      <c r="A442" s="740"/>
      <c r="B442" s="201"/>
      <c r="C442" s="799"/>
      <c r="D442" s="801"/>
      <c r="E442" s="72"/>
      <c r="F442" s="250"/>
      <c r="G442" s="92"/>
      <c r="H442" s="88"/>
      <c r="I442" s="311"/>
      <c r="J442" s="257"/>
      <c r="K442" s="202"/>
      <c r="L442" s="202"/>
      <c r="M442" s="202"/>
      <c r="N442" s="202"/>
      <c r="O442" s="202"/>
      <c r="P442" s="28"/>
      <c r="Q442" s="72">
        <f>база!$L$5</f>
        <v>231.45480000000001</v>
      </c>
      <c r="R442" s="250">
        <v>1.3</v>
      </c>
      <c r="S442" s="92">
        <f>SUMIFS(Таблица1[сумма],Таблица1[коэф],"1,3",Таблица1[р/р],"4/16",Таблица1[Ф. И. О.],B440)</f>
        <v>0</v>
      </c>
      <c r="T442" s="88">
        <f t="shared" si="270"/>
        <v>0</v>
      </c>
      <c r="U442" s="292">
        <f>база!$M$5</f>
        <v>247.41720000000001</v>
      </c>
      <c r="V442" s="250">
        <v>1.3</v>
      </c>
      <c r="W442" s="285">
        <f>SUMIFS(Таблица1[сумма],Таблица1[коэф],"1,3",Таблица1[р/р],"4/24",Таблица1[Ф. И. О.],B440)</f>
        <v>0</v>
      </c>
      <c r="X442" s="291">
        <f t="shared" si="271"/>
        <v>0</v>
      </c>
      <c r="Y442" s="803"/>
      <c r="Z442" s="794"/>
      <c r="AA442" s="797"/>
    </row>
    <row r="443" spans="1:29">
      <c r="A443" s="740"/>
      <c r="B443" s="201"/>
      <c r="C443" s="799"/>
      <c r="D443" s="801"/>
      <c r="E443" s="72"/>
      <c r="F443" s="250"/>
      <c r="G443" s="92"/>
      <c r="H443" s="88"/>
      <c r="I443" s="311"/>
      <c r="J443" s="257"/>
      <c r="K443" s="202"/>
      <c r="L443" s="202"/>
      <c r="M443" s="202"/>
      <c r="N443" s="202"/>
      <c r="O443" s="202"/>
      <c r="P443" s="28"/>
      <c r="Q443" s="72">
        <f>IF(D435&lt;=3,база!$L$4,
IF(D435=4,база!$L$5,
IF(D435=5,база!$L$6)))</f>
        <v>210.57480000000001</v>
      </c>
      <c r="R443" s="250">
        <v>1.4</v>
      </c>
      <c r="S443" s="92">
        <f>SUMIFS(Таблица1[сумма],Таблица1[коэф],"1,4",Таблица1[р/р],"3/16",Таблица1[Ф. И. О.],B440)</f>
        <v>0</v>
      </c>
      <c r="T443" s="88">
        <f>ROUND(Q443*R443*S443,2)</f>
        <v>0</v>
      </c>
      <c r="U443" s="292">
        <f>IF(D435&lt;=3,база!$M$4,
IF(D435=4,база!$M$5,
IF(D435=5,база!$M$6)))</f>
        <v>225.09719999999999</v>
      </c>
      <c r="V443" s="250">
        <v>1.4</v>
      </c>
      <c r="W443" s="285">
        <f>SUMIFS(Таблица1[сумма],Таблица1[коэф],"1,4",Таблица1[р/р],"3/24",Таблица1[Ф. И. О.],B440)</f>
        <v>0</v>
      </c>
      <c r="X443" s="291">
        <f>ROUND(U443*V443*W443,2)</f>
        <v>0</v>
      </c>
      <c r="Y443" s="803"/>
      <c r="Z443" s="794"/>
      <c r="AA443" s="797"/>
    </row>
    <row r="444" spans="1:29">
      <c r="A444" s="740"/>
      <c r="B444" s="201"/>
      <c r="C444" s="799"/>
      <c r="D444" s="801"/>
      <c r="E444" s="72"/>
      <c r="F444" s="250"/>
      <c r="G444" s="92"/>
      <c r="H444" s="88"/>
      <c r="I444" s="311"/>
      <c r="J444" s="257"/>
      <c r="K444" s="202"/>
      <c r="L444" s="202"/>
      <c r="M444" s="202"/>
      <c r="N444" s="202"/>
      <c r="O444" s="202"/>
      <c r="P444" s="28"/>
      <c r="Q444" s="72">
        <f>база!$L$5</f>
        <v>231.45480000000001</v>
      </c>
      <c r="R444" s="250">
        <v>1.4</v>
      </c>
      <c r="S444" s="92">
        <f>SUMIFS(Таблица1[сумма],Таблица1[коэф],"1,4",Таблица1[р/р],"4/16",Таблица1[Ф. И. О.],B440)</f>
        <v>0</v>
      </c>
      <c r="T444" s="88">
        <f>ROUND(Q444*R444*S444,2)</f>
        <v>0</v>
      </c>
      <c r="U444" s="292">
        <f>база!$M$5</f>
        <v>247.41720000000001</v>
      </c>
      <c r="V444" s="250">
        <v>1.4</v>
      </c>
      <c r="W444" s="285">
        <f>SUMIFS(Таблица1[сумма],Таблица1[коэф],"1,4",Таблица1[р/р],"4/24",Таблица1[Ф. И. О.],B440)</f>
        <v>0</v>
      </c>
      <c r="X444" s="291">
        <f>ROUND(U444*V444*W444,2)</f>
        <v>0</v>
      </c>
      <c r="Y444" s="803"/>
      <c r="Z444" s="794"/>
      <c r="AA444" s="797"/>
    </row>
    <row r="445" spans="1:29" ht="24" thickBot="1">
      <c r="A445" s="741"/>
      <c r="B445" s="329"/>
      <c r="C445" s="800"/>
      <c r="D445" s="802"/>
      <c r="E445" s="68"/>
      <c r="F445" s="249"/>
      <c r="G445" s="82"/>
      <c r="H445" s="96"/>
      <c r="I445" s="22"/>
      <c r="J445" s="256"/>
      <c r="K445" s="20"/>
      <c r="L445" s="287"/>
      <c r="M445" s="22"/>
      <c r="N445" s="20"/>
      <c r="O445" s="20"/>
      <c r="P445" s="260"/>
      <c r="Q445" s="65">
        <f>база!$L$6</f>
        <v>261.04640000000001</v>
      </c>
      <c r="R445" s="249">
        <v>1.4</v>
      </c>
      <c r="S445" s="90">
        <f>SUMIFS(Таблица1[сумма],Таблица1[коэф],"1,4",Таблица1[р/р],"5/16",Таблица1[Ф. И. О.],B440)</f>
        <v>0</v>
      </c>
      <c r="T445" s="96">
        <f>ROUND(Q445*R445*S445,2)</f>
        <v>0</v>
      </c>
      <c r="U445" s="75">
        <f>база!$M$6</f>
        <v>279.0496</v>
      </c>
      <c r="V445" s="250">
        <v>1.4</v>
      </c>
      <c r="W445" s="90">
        <f>SUMIFS(Таблица1[сумма],Таблица1[коэф],"1,4",Таблица1[р/р],"5/24",Таблица1[Ф. И. О.],B440)</f>
        <v>0</v>
      </c>
      <c r="X445" s="96">
        <f>ROUND(U445*V445*W445,2)</f>
        <v>0</v>
      </c>
      <c r="Y445" s="804"/>
      <c r="Z445" s="795"/>
      <c r="AA445" s="798"/>
    </row>
    <row r="446" spans="1:29">
      <c r="A446" s="739">
        <v>41</v>
      </c>
      <c r="B446" s="201"/>
      <c r="C446" s="805">
        <f>INDEX(база!$E$2:$E$81, MATCH(B451,база!$B$2:$B$50,0))</f>
        <v>13859</v>
      </c>
      <c r="D446" s="806">
        <f>INDEX(база!$D$2:$D$89, MATCH(B451,база!$B$2:$B$50,0))</f>
        <v>4</v>
      </c>
      <c r="E446" s="66">
        <f>IF(D446&lt;=3,база!$I$4,
IF(D446=4,база!$I$5,
IF(D446=5,база!$I$6)))</f>
        <v>207.5112</v>
      </c>
      <c r="F446" s="248">
        <v>1</v>
      </c>
      <c r="G446" s="89">
        <f>SUMIFS(Таблица1[сумма],Таблица1[коэф],"1",Таблица1[р/р],"2/4",Таблица1[Ф. И. О.],B451)</f>
        <v>0</v>
      </c>
      <c r="H446" s="81">
        <f>ROUND(E446*F446*G446,2)</f>
        <v>0</v>
      </c>
      <c r="I446" s="321">
        <f>IF(D446&lt;=3,база!$J$4,
IF(D446=4,база!$J$5,
IF(D446=5,база!$J$6)))</f>
        <v>215.4924</v>
      </c>
      <c r="J446" s="256">
        <v>1</v>
      </c>
      <c r="K446" s="287">
        <f>SUMIFS(Таблица1[сумма],Таблица1[коэф],"1",Таблица1[р/р],"2/8",Таблица1[Ф. И. О.],B451)</f>
        <v>0</v>
      </c>
      <c r="L446" s="287">
        <f>ROUND(I446*J446*K446,2)</f>
        <v>0</v>
      </c>
      <c r="M446" s="287"/>
      <c r="N446" s="287">
        <v>1</v>
      </c>
      <c r="O446" s="287">
        <f>SUMIFS(Data_Tech!$AM$3:$AM$67,Data_Tech!$E$3:$E$67,"1",Data_Tech!$G$3:$G$67,"3/12",Data_Tech!$F$3:$F$67,B451)</f>
        <v>0</v>
      </c>
      <c r="P446" s="260">
        <f>ROUND(M446*N446*O446,2)</f>
        <v>0</v>
      </c>
      <c r="Q446" s="66">
        <f>IF(D446&lt;=3,база!$L$4,
IF(D446=4,база!$L$5,
IF(D446=5,база!$L$6)))</f>
        <v>231.45480000000001</v>
      </c>
      <c r="R446" s="248">
        <v>1</v>
      </c>
      <c r="S446" s="89">
        <f>SUMIFS(Таблица1[сумма],Таблица1[коэф],"1",Таблица1[р/р],"3/16",Таблица1[Ф. И. О.],B451)</f>
        <v>0</v>
      </c>
      <c r="T446" s="81">
        <f t="shared" ref="T446:T450" si="272">ROUND(Q446*R446*S446,2)</f>
        <v>0</v>
      </c>
      <c r="U446" s="326">
        <f>IF(D446&lt;=3,база!$M$4,
IF(D446=4,база!$M$5,
IF(D446=5,база!$M$6)))</f>
        <v>247.41720000000001</v>
      </c>
      <c r="V446" s="249">
        <v>1</v>
      </c>
      <c r="W446" s="314">
        <f>SUMIFS(Таблица1[сумма],Таблица1[коэф],"1",Таблица1[р/р],"3/24",Таблица1[Ф. И. О.],B451)</f>
        <v>0</v>
      </c>
      <c r="X446" s="319">
        <f>ROUND(U446*V446*W446,2)</f>
        <v>0</v>
      </c>
      <c r="Y446" s="803">
        <f t="shared" ref="Y446" si="273">SUM(G446:G456,K446:K456,O446:O456,S446:S456,W446:W456)</f>
        <v>0</v>
      </c>
      <c r="Z446" s="807">
        <f t="shared" ref="Z446" si="274">IFERROR(SUM(H446:H456,L446:L456,T446:T456,X446:X456),"")</f>
        <v>0</v>
      </c>
      <c r="AA446" s="797"/>
    </row>
    <row r="447" spans="1:29">
      <c r="A447" s="740"/>
      <c r="B447" s="201"/>
      <c r="C447" s="799"/>
      <c r="D447" s="801"/>
      <c r="E447" s="72">
        <f>IF(D446&lt;=3,база!$I$4,
IF(D446=4,база!$I$5,
IF(D446=5,база!$I$6)))</f>
        <v>207.5112</v>
      </c>
      <c r="F447" s="250">
        <v>1</v>
      </c>
      <c r="G447" s="92">
        <f>SUMIFS(Таблица1[сумма],Таблица1[коэф],"1",Таблица1[р/р],"3/4",Таблица1[Ф. И. О.],B451)</f>
        <v>0</v>
      </c>
      <c r="H447" s="88">
        <f>ROUND(E447*F447*G447,2)</f>
        <v>0</v>
      </c>
      <c r="I447" s="311">
        <f>IF(D446&lt;=3,база!$J$4,
IF(D446=4,база!$J$5,
IF(D446=5,база!$J$6)))</f>
        <v>215.4924</v>
      </c>
      <c r="J447" s="257">
        <v>1</v>
      </c>
      <c r="K447" s="202"/>
      <c r="L447" s="202">
        <f>ROUND(I447*J447*K447,2)</f>
        <v>0</v>
      </c>
      <c r="M447" s="202"/>
      <c r="N447" s="202">
        <v>1</v>
      </c>
      <c r="O447" s="202">
        <f>SUMIFS(Data_Tech!$AM$3:$AM$67,Data_Tech!$E$3:$E$67,"1",Data_Tech!$G$3:$G$67,"4/12",Data_Tech!$F$3:$F$67,B451)</f>
        <v>0</v>
      </c>
      <c r="P447" s="28">
        <f>ROUND(M447*O447,2)</f>
        <v>0</v>
      </c>
      <c r="Q447" s="72">
        <f>база!$L$5</f>
        <v>231.45480000000001</v>
      </c>
      <c r="R447" s="250">
        <v>1</v>
      </c>
      <c r="S447" s="92">
        <f>SUMIFS(Таблица1[сумма],Таблица1[коэф],"1",Таблица1[р/р],"4/16",Таблица1[Ф. И. О.],B451)</f>
        <v>0</v>
      </c>
      <c r="T447" s="88">
        <f t="shared" si="272"/>
        <v>0</v>
      </c>
      <c r="U447" s="292">
        <f>база!$M$5</f>
        <v>247.41720000000001</v>
      </c>
      <c r="V447" s="250">
        <v>1</v>
      </c>
      <c r="W447" s="285">
        <f>SUMIFS(Таблица1[сумма],Таблица1[коэф],"1",Таблица1[р/р],"4/24",Таблица1[Ф. И. О.],B451)</f>
        <v>0</v>
      </c>
      <c r="X447" s="291">
        <f t="shared" ref="X447" si="275">ROUND(U447*V447*W447,2)</f>
        <v>0</v>
      </c>
      <c r="Y447" s="803"/>
      <c r="Z447" s="794"/>
      <c r="AA447" s="797"/>
    </row>
    <row r="448" spans="1:29">
      <c r="A448" s="740"/>
      <c r="B448" s="201"/>
      <c r="C448" s="799"/>
      <c r="D448" s="801"/>
      <c r="E448" s="72"/>
      <c r="F448" s="250"/>
      <c r="G448" s="92"/>
      <c r="H448" s="88"/>
      <c r="I448" s="311"/>
      <c r="J448" s="257"/>
      <c r="K448" s="202"/>
      <c r="L448" s="202"/>
      <c r="M448" s="202"/>
      <c r="N448" s="202"/>
      <c r="O448" s="202"/>
      <c r="P448" s="28"/>
      <c r="Q448" s="72">
        <f>база!$L$6</f>
        <v>261.04640000000001</v>
      </c>
      <c r="R448" s="250">
        <v>1</v>
      </c>
      <c r="S448" s="92">
        <f>SUMIFS(Таблица1[сумма],Таблица1[коэф],"1",Таблица1[р/р],"5/16",Таблица1[Ф. И. О.],B451)</f>
        <v>0</v>
      </c>
      <c r="T448" s="88">
        <f t="shared" si="272"/>
        <v>0</v>
      </c>
      <c r="U448" s="292">
        <f>база!$M$6</f>
        <v>279.0496</v>
      </c>
      <c r="V448" s="250">
        <v>1</v>
      </c>
      <c r="W448" s="285">
        <f>SUMIFS(Таблица1[сумма],Таблица1[коэф],"1",Таблица1[р/р],"5/24",Таблица1[Ф. И. О.],B451)</f>
        <v>0</v>
      </c>
      <c r="X448" s="291">
        <f>ROUND(U448*V448*W448,2)</f>
        <v>0</v>
      </c>
      <c r="Y448" s="803"/>
      <c r="Z448" s="794"/>
      <c r="AA448" s="797"/>
    </row>
    <row r="449" spans="1:29">
      <c r="A449" s="740"/>
      <c r="B449" s="201"/>
      <c r="C449" s="799"/>
      <c r="D449" s="801"/>
      <c r="E449" s="72"/>
      <c r="F449" s="250"/>
      <c r="G449" s="92"/>
      <c r="H449" s="88"/>
      <c r="I449" s="311">
        <f>база!$J$5</f>
        <v>215.4924</v>
      </c>
      <c r="J449" s="257">
        <v>1.5</v>
      </c>
      <c r="K449" s="202">
        <f>SUMIFS(Таблица1[сумма],Таблица1[коэф],"1,5",Таблица1[р/р],"4/8",Таблица1[Ф. И. О.],B451)</f>
        <v>0</v>
      </c>
      <c r="L449" s="202">
        <f>ROUND(I449*J449*K449,2)</f>
        <v>0</v>
      </c>
      <c r="M449" s="202"/>
      <c r="N449" s="202"/>
      <c r="O449" s="202"/>
      <c r="P449" s="28"/>
      <c r="Q449" s="72">
        <f>IF(D446&lt;=3,база!$L$4,
IF(D446=4,база!$L$5,
IF(D446=5,база!$L$6)))</f>
        <v>231.45480000000001</v>
      </c>
      <c r="R449" s="250">
        <v>1.2</v>
      </c>
      <c r="S449" s="92">
        <f>SUMIFS(Таблица1[сумма],Таблица1[коэф],"1,2",Таблица1[р/р],"3/16",Таблица1[Ф. И. О.],B451)</f>
        <v>0</v>
      </c>
      <c r="T449" s="88">
        <f t="shared" si="272"/>
        <v>0</v>
      </c>
      <c r="U449" s="292">
        <f>IF(D446&lt;=3,база!$M$4,
IF(D446=4,база!$M$5,
IF(D446=5,база!$M$6)))</f>
        <v>247.41720000000001</v>
      </c>
      <c r="V449" s="250">
        <v>1.2</v>
      </c>
      <c r="W449" s="285">
        <f>SUMIFS(Таблица1[сумма],Таблица1[коэф],"1,2",Таблица1[р/р],"3/24",Таблица1[Ф. И. О.],B451)</f>
        <v>0</v>
      </c>
      <c r="X449" s="291">
        <f t="shared" ref="X449:X450" si="276">ROUND(U449*V449*W449,2)</f>
        <v>0</v>
      </c>
      <c r="Y449" s="803"/>
      <c r="Z449" s="794"/>
      <c r="AA449" s="797"/>
    </row>
    <row r="450" spans="1:29">
      <c r="A450" s="740"/>
      <c r="B450" s="201"/>
      <c r="C450" s="799"/>
      <c r="D450" s="801"/>
      <c r="E450" s="72"/>
      <c r="F450" s="250"/>
      <c r="G450" s="92"/>
      <c r="H450" s="88"/>
      <c r="I450" s="311">
        <f>база!$J$6</f>
        <v>243.04319999999998</v>
      </c>
      <c r="J450" s="257">
        <v>1.5</v>
      </c>
      <c r="K450" s="202">
        <f>SUMIFS(Таблица1[сумма],Таблица1[коэф],"1,5",Таблица1[р/р],"5/8",Таблица1[Ф. И. О.],B451)</f>
        <v>0</v>
      </c>
      <c r="L450" s="202">
        <f>ROUND(I450*J450*K450,2)</f>
        <v>0</v>
      </c>
      <c r="M450" s="202"/>
      <c r="N450" s="202"/>
      <c r="O450" s="202"/>
      <c r="P450" s="28"/>
      <c r="Q450" s="72">
        <f>база!$L$5</f>
        <v>231.45480000000001</v>
      </c>
      <c r="R450" s="250">
        <v>1.2</v>
      </c>
      <c r="S450" s="92">
        <f>SUMIFS(Таблица1[сумма],Таблица1[коэф],"1,2",Таблица1[р/р],"4/16",Таблица1[Ф. И. О.],B451)</f>
        <v>0</v>
      </c>
      <c r="T450" s="88">
        <f t="shared" si="272"/>
        <v>0</v>
      </c>
      <c r="U450" s="292">
        <f>база!$M$5</f>
        <v>247.41720000000001</v>
      </c>
      <c r="V450" s="250">
        <v>1.2</v>
      </c>
      <c r="W450" s="285">
        <f>SUMIFS(Таблица1[сумма],Таблица1[коэф],"1,2",Таблица1[р/р],"4/24",Таблица1[Ф. И. О.],B451)</f>
        <v>0</v>
      </c>
      <c r="X450" s="291">
        <f t="shared" si="276"/>
        <v>0</v>
      </c>
      <c r="Y450" s="803"/>
      <c r="Z450" s="794"/>
      <c r="AA450" s="797"/>
      <c r="AC450" s="688" t="str">
        <f>IF(SUMIFS(Таблица1[Столбец2],Таблица1[Ф. И. О.],B451)-Z446=0,"",SUMIFS(Таблица1[Столбец2],Таблица1[Ф. И. О.],B451)-Z446)</f>
        <v/>
      </c>
    </row>
    <row r="451" spans="1:29" ht="24" thickBot="1">
      <c r="A451" s="740"/>
      <c r="B451" s="201" t="str">
        <f>база!B42</f>
        <v>Лебига Людмила Тихоновна</v>
      </c>
      <c r="C451" s="799"/>
      <c r="D451" s="801"/>
      <c r="E451" s="72"/>
      <c r="F451" s="250"/>
      <c r="G451" s="92"/>
      <c r="H451" s="88"/>
      <c r="I451" s="311"/>
      <c r="J451" s="257"/>
      <c r="K451" s="202"/>
      <c r="L451" s="202"/>
      <c r="M451" s="202"/>
      <c r="N451" s="202"/>
      <c r="O451" s="202"/>
      <c r="P451" s="28"/>
      <c r="Q451" s="72">
        <f>база!$L$6</f>
        <v>261.04640000000001</v>
      </c>
      <c r="R451" s="250">
        <v>1.2</v>
      </c>
      <c r="S451" s="92">
        <f>SUMIFS(Таблица1[сумма],Таблица1[коэф],"1,2",Таблица1[р/р],"5/16",Таблица1[Ф. И. О.],B451)</f>
        <v>0</v>
      </c>
      <c r="T451" s="88">
        <f>ROUND(Q451*R451*S451,2)</f>
        <v>0</v>
      </c>
      <c r="U451" s="292">
        <f>база!$M$6</f>
        <v>279.0496</v>
      </c>
      <c r="V451" s="250">
        <v>1.2</v>
      </c>
      <c r="W451" s="285">
        <f>SUMIFS(Таблица1[сумма],Таблица1[коэф],"1,2",Таблица1[р/р],"5/24",Таблица1[Ф. И. О.],B451)</f>
        <v>0</v>
      </c>
      <c r="X451" s="291">
        <f>ROUND(U451*V451*W451,2)</f>
        <v>0</v>
      </c>
      <c r="Y451" s="803"/>
      <c r="Z451" s="794"/>
      <c r="AA451" s="797"/>
      <c r="AC451" s="688" t="str">
        <f>IF(SUMIFS(Таблица1[сумма],Таблица1[Ф. И. О.],B451)=Y446,"",B446&amp;"  часы не верны")</f>
        <v/>
      </c>
    </row>
    <row r="452" spans="1:29" ht="24" thickBot="1">
      <c r="A452" s="740"/>
      <c r="B452" s="201"/>
      <c r="C452" s="799"/>
      <c r="D452" s="801"/>
      <c r="E452" s="72"/>
      <c r="F452" s="250"/>
      <c r="G452" s="92"/>
      <c r="H452" s="88"/>
      <c r="I452" s="311"/>
      <c r="J452" s="257"/>
      <c r="K452" s="202"/>
      <c r="L452" s="202"/>
      <c r="M452" s="202"/>
      <c r="N452" s="202"/>
      <c r="O452" s="202"/>
      <c r="P452" s="28"/>
      <c r="Q452" s="72">
        <f>IF($D$6&lt;=3,база!$L$4,
IF($D$6=4,база!$L$5,
IF($D$6=5,база!$L$6)))</f>
        <v>231.45480000000001</v>
      </c>
      <c r="R452" s="250">
        <v>1.3</v>
      </c>
      <c r="S452" s="92">
        <f>SUMIFS(Таблица1[сумма],Таблица1[коэф],"1,3",Таблица1[р/р],"3/16",Таблица1[Ф. И. О.],B451)</f>
        <v>0</v>
      </c>
      <c r="T452" s="88">
        <f t="shared" ref="T452:T453" si="277">ROUND(Q452*R452*S452,2)</f>
        <v>0</v>
      </c>
      <c r="U452" s="292">
        <f>IF(D446&lt;=3,база!$M$4,
IF(D446=4,база!$M$5,
IF(D446=5,база!$M$6)))</f>
        <v>247.41720000000001</v>
      </c>
      <c r="V452" s="250">
        <v>1.3</v>
      </c>
      <c r="W452" s="285">
        <f>SUMIFS(Таблица1[сумма],Таблица1[коэф],"1,3",Таблица1[р/р],"3/24",Таблица1[Ф. И. О.],B451)</f>
        <v>0</v>
      </c>
      <c r="X452" s="291">
        <f t="shared" ref="X452:X453" si="278">ROUND(U452*V452*W452,2)</f>
        <v>0</v>
      </c>
      <c r="Y452" s="803"/>
      <c r="Z452" s="794"/>
      <c r="AA452" s="797"/>
    </row>
    <row r="453" spans="1:29" ht="24" thickBot="1">
      <c r="A453" s="740"/>
      <c r="B453" s="201"/>
      <c r="C453" s="799"/>
      <c r="D453" s="801"/>
      <c r="E453" s="72"/>
      <c r="F453" s="250"/>
      <c r="G453" s="92"/>
      <c r="H453" s="88"/>
      <c r="I453" s="311"/>
      <c r="J453" s="257"/>
      <c r="K453" s="202"/>
      <c r="L453" s="202"/>
      <c r="M453" s="202"/>
      <c r="N453" s="202"/>
      <c r="O453" s="202"/>
      <c r="P453" s="28"/>
      <c r="Q453" s="72">
        <f>база!$L$5</f>
        <v>231.45480000000001</v>
      </c>
      <c r="R453" s="250">
        <v>1.3</v>
      </c>
      <c r="S453" s="92">
        <f>SUMIFS(Таблица1[сумма],Таблица1[коэф],"1,3",Таблица1[р/р],"4/16",Таблица1[Ф. И. О.],B451)</f>
        <v>0</v>
      </c>
      <c r="T453" s="88">
        <f t="shared" si="277"/>
        <v>0</v>
      </c>
      <c r="U453" s="292">
        <f>база!$M$5</f>
        <v>247.41720000000001</v>
      </c>
      <c r="V453" s="250">
        <v>1.3</v>
      </c>
      <c r="W453" s="285">
        <f>SUMIFS(Таблица1[сумма],Таблица1[коэф],"1,3",Таблица1[р/р],"4/24",Таблица1[Ф. И. О.],B451)</f>
        <v>0</v>
      </c>
      <c r="X453" s="291">
        <f t="shared" si="278"/>
        <v>0</v>
      </c>
      <c r="Y453" s="803"/>
      <c r="Z453" s="794"/>
      <c r="AA453" s="797"/>
    </row>
    <row r="454" spans="1:29" ht="24" thickBot="1">
      <c r="A454" s="740"/>
      <c r="B454" s="201"/>
      <c r="C454" s="799"/>
      <c r="D454" s="801"/>
      <c r="E454" s="72"/>
      <c r="F454" s="250"/>
      <c r="G454" s="92"/>
      <c r="H454" s="88"/>
      <c r="I454" s="311"/>
      <c r="J454" s="257"/>
      <c r="K454" s="202"/>
      <c r="L454" s="202"/>
      <c r="M454" s="202"/>
      <c r="N454" s="202"/>
      <c r="O454" s="202"/>
      <c r="P454" s="28"/>
      <c r="Q454" s="72">
        <f>IF(D446&lt;=3,база!$L$4,
IF(D446=4,база!$L$5,
IF(D446=5,база!$L$6)))</f>
        <v>231.45480000000001</v>
      </c>
      <c r="R454" s="250">
        <v>1.4</v>
      </c>
      <c r="S454" s="92">
        <f>SUMIFS(Таблица1[сумма],Таблица1[коэф],"1,4",Таблица1[р/р],"3/16",Таблица1[Ф. И. О.],B451)</f>
        <v>0</v>
      </c>
      <c r="T454" s="88">
        <f>ROUND(Q454*R454*S454,2)</f>
        <v>0</v>
      </c>
      <c r="U454" s="292">
        <f>IF(D446&lt;=3,база!$M$4,
IF(D446=4,база!$M$5,
IF(D446=5,база!$M$6)))</f>
        <v>247.41720000000001</v>
      </c>
      <c r="V454" s="250">
        <v>1.4</v>
      </c>
      <c r="W454" s="285">
        <f>SUMIFS(Таблица1[сумма],Таблица1[коэф],"1,4",Таблица1[р/р],"3/24",Таблица1[Ф. И. О.],B451)</f>
        <v>0</v>
      </c>
      <c r="X454" s="291">
        <f>ROUND(U454*V454*W454,2)</f>
        <v>0</v>
      </c>
      <c r="Y454" s="803"/>
      <c r="Z454" s="794"/>
      <c r="AA454" s="797"/>
    </row>
    <row r="455" spans="1:29" ht="24" thickBot="1">
      <c r="A455" s="740"/>
      <c r="B455" s="201"/>
      <c r="C455" s="799"/>
      <c r="D455" s="801"/>
      <c r="E455" s="72"/>
      <c r="F455" s="250"/>
      <c r="G455" s="92"/>
      <c r="H455" s="88"/>
      <c r="I455" s="311"/>
      <c r="J455" s="257"/>
      <c r="K455" s="202"/>
      <c r="L455" s="202"/>
      <c r="M455" s="202"/>
      <c r="N455" s="202"/>
      <c r="O455" s="202"/>
      <c r="P455" s="28"/>
      <c r="Q455" s="72">
        <f>база!$L$5</f>
        <v>231.45480000000001</v>
      </c>
      <c r="R455" s="250">
        <v>1.4</v>
      </c>
      <c r="S455" s="92">
        <f>SUMIFS(Таблица1[сумма],Таблица1[коэф],"1,4",Таблица1[р/р],"4/16",Таблица1[Ф. И. О.],B451)</f>
        <v>0</v>
      </c>
      <c r="T455" s="88">
        <f>ROUND(Q455*R455*S455,2)</f>
        <v>0</v>
      </c>
      <c r="U455" s="292">
        <f>база!$M$5</f>
        <v>247.41720000000001</v>
      </c>
      <c r="V455" s="250">
        <v>1.4</v>
      </c>
      <c r="W455" s="285">
        <f>SUMIFS(Таблица1[сумма],Таблица1[коэф],"1,4",Таблица1[р/р],"4/24",Таблица1[Ф. И. О.],B451)</f>
        <v>0</v>
      </c>
      <c r="X455" s="291">
        <f>ROUND(U455*V455*W455,2)</f>
        <v>0</v>
      </c>
      <c r="Y455" s="803"/>
      <c r="Z455" s="794"/>
      <c r="AA455" s="797"/>
    </row>
    <row r="456" spans="1:29" ht="24" thickBot="1">
      <c r="A456" s="741"/>
      <c r="B456" s="329"/>
      <c r="C456" s="800"/>
      <c r="D456" s="802"/>
      <c r="E456" s="68"/>
      <c r="F456" s="249"/>
      <c r="G456" s="82"/>
      <c r="H456" s="96"/>
      <c r="I456" s="22"/>
      <c r="J456" s="256"/>
      <c r="K456" s="20"/>
      <c r="L456" s="287"/>
      <c r="M456" s="22"/>
      <c r="N456" s="20"/>
      <c r="O456" s="20"/>
      <c r="P456" s="260"/>
      <c r="Q456" s="65">
        <f>база!$L$6</f>
        <v>261.04640000000001</v>
      </c>
      <c r="R456" s="249">
        <v>1.4</v>
      </c>
      <c r="S456" s="90">
        <f>SUMIFS(Таблица1[сумма],Таблица1[коэф],"1,4",Таблица1[р/р],"5/16",Таблица1[Ф. И. О.],B451)</f>
        <v>0</v>
      </c>
      <c r="T456" s="96">
        <f>ROUND(Q456*R456*S456,2)</f>
        <v>0</v>
      </c>
      <c r="U456" s="75">
        <f>база!$M$6</f>
        <v>279.0496</v>
      </c>
      <c r="V456" s="250">
        <v>1.4</v>
      </c>
      <c r="W456" s="90">
        <f>SUMIFS(Таблица1[сумма],Таблица1[коэф],"1,4",Таблица1[р/р],"5/24",Таблица1[Ф. И. О.],B451)</f>
        <v>0</v>
      </c>
      <c r="X456" s="96">
        <f>ROUND(U456*V456*W456,2)</f>
        <v>0</v>
      </c>
      <c r="Y456" s="804"/>
      <c r="Z456" s="795"/>
      <c r="AA456" s="798"/>
    </row>
    <row r="457" spans="1:29">
      <c r="A457" s="739">
        <v>42</v>
      </c>
      <c r="B457" s="201"/>
      <c r="C457" s="805">
        <f>INDEX(база!$E$2:$E$81, MATCH(B462,база!$B$2:$B$50,0))</f>
        <v>17303</v>
      </c>
      <c r="D457" s="806">
        <f>INDEX(база!$D$2:$D$89, MATCH(B462,база!$B$2:$B$50,0))</f>
        <v>3</v>
      </c>
      <c r="E457" s="66">
        <f>IF(D457&lt;=3,база!$I$4,
IF(D457=4,база!$I$5,
IF(D457=5,база!$I$6)))</f>
        <v>188.7912</v>
      </c>
      <c r="F457" s="248">
        <v>1</v>
      </c>
      <c r="G457" s="89">
        <f>SUMIFS(Таблица1[сумма],Таблица1[коэф],"1",Таблица1[р/р],"2/4",Таблица1[Ф. И. О.],B462)</f>
        <v>0</v>
      </c>
      <c r="H457" s="81">
        <f>ROUND(E457*F457*G457,2)</f>
        <v>0</v>
      </c>
      <c r="I457" s="321">
        <f>IF(D457&lt;=3,база!$J$4,
IF(D457=4,база!$J$5,
IF(D457=5,база!$J$6)))</f>
        <v>196.05240000000001</v>
      </c>
      <c r="J457" s="256">
        <v>1</v>
      </c>
      <c r="K457" s="287">
        <f>SUMIFS(Таблица1[сумма],Таблица1[коэф],"1",Таблица1[р/р],"2/8",Таблица1[Ф. И. О.],B462)</f>
        <v>0</v>
      </c>
      <c r="L457" s="287">
        <f>ROUND(I457*J457*K457,2)</f>
        <v>0</v>
      </c>
      <c r="M457" s="287"/>
      <c r="N457" s="287">
        <v>1</v>
      </c>
      <c r="O457" s="287">
        <f>SUMIFS(Data_Tech!$AM$3:$AM$67,Data_Tech!$E$3:$E$67,"1",Data_Tech!$G$3:$G$67,"3/12",Data_Tech!$F$3:$F$67,B462)</f>
        <v>0</v>
      </c>
      <c r="P457" s="260">
        <f>ROUND(M457*N457*O457,2)</f>
        <v>0</v>
      </c>
      <c r="Q457" s="66">
        <f>IF(D457&lt;=3,база!$L$4,
IF(D457=4,база!$L$5,
IF(D457=5,база!$L$6)))</f>
        <v>210.57480000000001</v>
      </c>
      <c r="R457" s="248">
        <v>1</v>
      </c>
      <c r="S457" s="89">
        <f>SUMIFS(Таблица1[сумма],Таблица1[коэф],"1",Таблица1[р/р],"3/16",Таблица1[Ф. И. О.],B462)</f>
        <v>0</v>
      </c>
      <c r="T457" s="81">
        <f t="shared" ref="T457:T461" si="279">ROUND(Q457*R457*S457,2)</f>
        <v>0</v>
      </c>
      <c r="U457" s="326">
        <f>IF(D457&lt;=3,база!$M$4,
IF(D457=4,база!$M$5,
IF(D457=5,база!$M$6)))</f>
        <v>225.09719999999999</v>
      </c>
      <c r="V457" s="249">
        <v>1</v>
      </c>
      <c r="W457" s="314">
        <f>SUMIFS(Таблица1[сумма],Таблица1[коэф],"1",Таблица1[р/р],"3/24",Таблица1[Ф. И. О.],B462)</f>
        <v>0</v>
      </c>
      <c r="X457" s="319">
        <f>ROUND(U457*V457*W457,2)</f>
        <v>0</v>
      </c>
      <c r="Y457" s="803">
        <f t="shared" ref="Y457" si="280">SUM(G457:G467,K457:K467,O457:O467,S457:S467,W457:W467)</f>
        <v>0</v>
      </c>
      <c r="Z457" s="807">
        <f t="shared" ref="Z457" si="281">IFERROR(SUM(H457:H467,L457:L467,T457:T467,X457:X467),"")</f>
        <v>0</v>
      </c>
      <c r="AA457" s="797"/>
    </row>
    <row r="458" spans="1:29">
      <c r="A458" s="740"/>
      <c r="B458" s="201"/>
      <c r="C458" s="799"/>
      <c r="D458" s="801"/>
      <c r="E458" s="72">
        <f>IF(D457&lt;=3,база!$I$4,
IF(D457=4,база!$I$5,
IF(D457=5,база!$I$6)))</f>
        <v>188.7912</v>
      </c>
      <c r="F458" s="250">
        <v>1</v>
      </c>
      <c r="G458" s="92">
        <f>SUMIFS(Таблица1[сумма],Таблица1[коэф],"1",Таблица1[р/р],"3/4",Таблица1[Ф. И. О.],B462)</f>
        <v>0</v>
      </c>
      <c r="H458" s="88">
        <f>ROUND(E458*F458*G458,2)</f>
        <v>0</v>
      </c>
      <c r="I458" s="311">
        <f>IF(D457&lt;=3,база!$J$4,
IF(D457=4,база!$J$5,
IF(D457=5,база!$J$6)))</f>
        <v>196.05240000000001</v>
      </c>
      <c r="J458" s="257">
        <v>1</v>
      </c>
      <c r="K458" s="202"/>
      <c r="L458" s="202">
        <f>ROUND(I458*J458*K458,2)</f>
        <v>0</v>
      </c>
      <c r="M458" s="202"/>
      <c r="N458" s="202">
        <v>1</v>
      </c>
      <c r="O458" s="202">
        <f>SUMIFS(Data_Tech!$AM$3:$AM$67,Data_Tech!$E$3:$E$67,"1",Data_Tech!$G$3:$G$67,"4/12",Data_Tech!$F$3:$F$67,B462)</f>
        <v>0</v>
      </c>
      <c r="P458" s="28">
        <f>ROUND(M458*O458,2)</f>
        <v>0</v>
      </c>
      <c r="Q458" s="72">
        <f>база!$L$5</f>
        <v>231.45480000000001</v>
      </c>
      <c r="R458" s="250">
        <v>1</v>
      </c>
      <c r="S458" s="92">
        <f>SUMIFS(Таблица1[сумма],Таблица1[коэф],"1",Таблица1[р/р],"4/16",Таблица1[Ф. И. О.],B462)</f>
        <v>0</v>
      </c>
      <c r="T458" s="88">
        <f t="shared" si="279"/>
        <v>0</v>
      </c>
      <c r="U458" s="292">
        <f>база!$M$5</f>
        <v>247.41720000000001</v>
      </c>
      <c r="V458" s="250">
        <v>1</v>
      </c>
      <c r="W458" s="285">
        <f>SUMIFS(Таблица1[сумма],Таблица1[коэф],"1",Таблица1[р/р],"4/24",Таблица1[Ф. И. О.],B462)</f>
        <v>0</v>
      </c>
      <c r="X458" s="291">
        <f t="shared" ref="X458" si="282">ROUND(U458*V458*W458,2)</f>
        <v>0</v>
      </c>
      <c r="Y458" s="803"/>
      <c r="Z458" s="794"/>
      <c r="AA458" s="797"/>
    </row>
    <row r="459" spans="1:29">
      <c r="A459" s="740"/>
      <c r="B459" s="201"/>
      <c r="C459" s="799"/>
      <c r="D459" s="801"/>
      <c r="E459" s="72"/>
      <c r="F459" s="250"/>
      <c r="G459" s="92"/>
      <c r="H459" s="88"/>
      <c r="I459" s="311"/>
      <c r="J459" s="257"/>
      <c r="K459" s="202"/>
      <c r="L459" s="202"/>
      <c r="M459" s="202"/>
      <c r="N459" s="202"/>
      <c r="O459" s="202"/>
      <c r="P459" s="28"/>
      <c r="Q459" s="72">
        <f>база!$L$6</f>
        <v>261.04640000000001</v>
      </c>
      <c r="R459" s="250">
        <v>1</v>
      </c>
      <c r="S459" s="92">
        <f>SUMIFS(Таблица1[сумма],Таблица1[коэф],"1",Таблица1[р/р],"5/16",Таблица1[Ф. И. О.],B462)</f>
        <v>0</v>
      </c>
      <c r="T459" s="88">
        <f t="shared" si="279"/>
        <v>0</v>
      </c>
      <c r="U459" s="292">
        <f>база!$M$6</f>
        <v>279.0496</v>
      </c>
      <c r="V459" s="250">
        <v>1</v>
      </c>
      <c r="W459" s="285">
        <f>SUMIFS(Таблица1[сумма],Таблица1[коэф],"1",Таблица1[р/р],"5/24",Таблица1[Ф. И. О.],B462)</f>
        <v>0</v>
      </c>
      <c r="X459" s="291">
        <f>ROUND(U459*V459*W459,2)</f>
        <v>0</v>
      </c>
      <c r="Y459" s="803"/>
      <c r="Z459" s="794"/>
      <c r="AA459" s="797"/>
    </row>
    <row r="460" spans="1:29">
      <c r="A460" s="740"/>
      <c r="B460" s="201"/>
      <c r="C460" s="799"/>
      <c r="D460" s="801"/>
      <c r="E460" s="72"/>
      <c r="F460" s="250"/>
      <c r="G460" s="92"/>
      <c r="H460" s="88"/>
      <c r="I460" s="311">
        <f>база!$J$5</f>
        <v>215.4924</v>
      </c>
      <c r="J460" s="257">
        <v>1.5</v>
      </c>
      <c r="K460" s="202">
        <f>SUMIFS(Таблица1[сумма],Таблица1[коэф],"1,5",Таблица1[р/р],"4/8",Таблица1[Ф. И. О.],B462)</f>
        <v>0</v>
      </c>
      <c r="L460" s="202">
        <f>ROUND(I460*J460*K460,2)</f>
        <v>0</v>
      </c>
      <c r="M460" s="202"/>
      <c r="N460" s="202"/>
      <c r="O460" s="202"/>
      <c r="P460" s="28"/>
      <c r="Q460" s="72">
        <f>IF(D457&lt;=3,база!$L$4,
IF(D457=4,база!$L$5,
IF(D457=5,база!$L$6)))</f>
        <v>210.57480000000001</v>
      </c>
      <c r="R460" s="250">
        <v>1.2</v>
      </c>
      <c r="S460" s="92">
        <f>SUMIFS(Таблица1[сумма],Таблица1[коэф],"1,2",Таблица1[р/р],"3/16",Таблица1[Ф. И. О.],B462)</f>
        <v>0</v>
      </c>
      <c r="T460" s="88">
        <f t="shared" si="279"/>
        <v>0</v>
      </c>
      <c r="U460" s="292">
        <f>IF(D457&lt;=3,база!$M$4,
IF(D457=4,база!$M$5,
IF(D457=5,база!$M$6)))</f>
        <v>225.09719999999999</v>
      </c>
      <c r="V460" s="250">
        <v>1.2</v>
      </c>
      <c r="W460" s="285">
        <f>SUMIFS(Таблица1[сумма],Таблица1[коэф],"1,2",Таблица1[р/р],"3/24",Таблица1[Ф. И. О.],B462)</f>
        <v>0</v>
      </c>
      <c r="X460" s="291">
        <f t="shared" ref="X460:X461" si="283">ROUND(U460*V460*W460,2)</f>
        <v>0</v>
      </c>
      <c r="Y460" s="803"/>
      <c r="Z460" s="794"/>
      <c r="AA460" s="797"/>
    </row>
    <row r="461" spans="1:29">
      <c r="A461" s="740"/>
      <c r="B461" s="201"/>
      <c r="C461" s="799"/>
      <c r="D461" s="801"/>
      <c r="E461" s="72"/>
      <c r="F461" s="250"/>
      <c r="G461" s="92"/>
      <c r="H461" s="88"/>
      <c r="I461" s="311">
        <f>база!$J$6</f>
        <v>243.04319999999998</v>
      </c>
      <c r="J461" s="257">
        <v>1.5</v>
      </c>
      <c r="K461" s="202">
        <f>SUMIFS(Таблица1[сумма],Таблица1[коэф],"1,5",Таблица1[р/р],"5/8",Таблица1[Ф. И. О.],B462)</f>
        <v>0</v>
      </c>
      <c r="L461" s="202">
        <f>ROUND(I461*J461*K461,2)</f>
        <v>0</v>
      </c>
      <c r="M461" s="202"/>
      <c r="N461" s="202"/>
      <c r="O461" s="202"/>
      <c r="P461" s="28"/>
      <c r="Q461" s="72">
        <f>база!$L$5</f>
        <v>231.45480000000001</v>
      </c>
      <c r="R461" s="250">
        <v>1.2</v>
      </c>
      <c r="S461" s="92">
        <f>SUMIFS(Таблица1[сумма],Таблица1[коэф],"1,2",Таблица1[р/р],"4/16",Таблица1[Ф. И. О.],B462)</f>
        <v>0</v>
      </c>
      <c r="T461" s="88">
        <f t="shared" si="279"/>
        <v>0</v>
      </c>
      <c r="U461" s="292">
        <f>база!$M$5</f>
        <v>247.41720000000001</v>
      </c>
      <c r="V461" s="250">
        <v>1.2</v>
      </c>
      <c r="W461" s="285">
        <f>SUMIFS(Таблица1[сумма],Таблица1[коэф],"1,2",Таблица1[р/р],"4/24",Таблица1[Ф. И. О.],B462)</f>
        <v>0</v>
      </c>
      <c r="X461" s="291">
        <f t="shared" si="283"/>
        <v>0</v>
      </c>
      <c r="Y461" s="803"/>
      <c r="Z461" s="794"/>
      <c r="AA461" s="797"/>
      <c r="AC461" s="688" t="str">
        <f>IF(SUMIFS(Таблица1[Столбец2],Таблица1[Ф. И. О.],B462)-Z457=0,"",SUMIFS(Таблица1[Столбец2],Таблица1[Ф. И. О.],B462)-Z457)</f>
        <v/>
      </c>
    </row>
    <row r="462" spans="1:29">
      <c r="A462" s="740"/>
      <c r="B462" s="201" t="str">
        <f>база!B43</f>
        <v>Лезина Анастасия Юрьевна</v>
      </c>
      <c r="C462" s="799"/>
      <c r="D462" s="801"/>
      <c r="E462" s="72"/>
      <c r="F462" s="250"/>
      <c r="G462" s="92"/>
      <c r="H462" s="88"/>
      <c r="I462" s="311"/>
      <c r="J462" s="257"/>
      <c r="K462" s="202"/>
      <c r="L462" s="202"/>
      <c r="M462" s="202"/>
      <c r="N462" s="202"/>
      <c r="O462" s="202"/>
      <c r="P462" s="28"/>
      <c r="Q462" s="72">
        <f>база!$L$6</f>
        <v>261.04640000000001</v>
      </c>
      <c r="R462" s="250">
        <v>1.2</v>
      </c>
      <c r="S462" s="92">
        <f>SUMIFS(Таблица1[сумма],Таблица1[коэф],"1,2",Таблица1[р/р],"5/16",Таблица1[Ф. И. О.],B462)</f>
        <v>0</v>
      </c>
      <c r="T462" s="88">
        <f>ROUND(Q462*R462*S462,2)</f>
        <v>0</v>
      </c>
      <c r="U462" s="292">
        <f>база!$M$6</f>
        <v>279.0496</v>
      </c>
      <c r="V462" s="250">
        <v>1.2</v>
      </c>
      <c r="W462" s="285">
        <f>SUMIFS(Таблица1[сумма],Таблица1[коэф],"1,2",Таблица1[р/р],"5/24",Таблица1[Ф. И. О.],B462)</f>
        <v>0</v>
      </c>
      <c r="X462" s="291">
        <f>ROUND(U462*V462*W462,2)</f>
        <v>0</v>
      </c>
      <c r="Y462" s="803"/>
      <c r="Z462" s="794"/>
      <c r="AA462" s="797"/>
      <c r="AC462" s="688" t="str">
        <f>IF(SUMIFS(Таблица1[сумма],Таблица1[Ф. И. О.],B462)=Y457,"",B457&amp;"  часы не верны")</f>
        <v/>
      </c>
    </row>
    <row r="463" spans="1:29">
      <c r="A463" s="740"/>
      <c r="B463" s="201"/>
      <c r="C463" s="799"/>
      <c r="D463" s="801"/>
      <c r="E463" s="72"/>
      <c r="F463" s="250"/>
      <c r="G463" s="92"/>
      <c r="H463" s="88"/>
      <c r="I463" s="311"/>
      <c r="J463" s="257"/>
      <c r="K463" s="202"/>
      <c r="L463" s="202"/>
      <c r="M463" s="202"/>
      <c r="N463" s="202"/>
      <c r="O463" s="202"/>
      <c r="P463" s="28"/>
      <c r="Q463" s="72">
        <f>IF($D$6&lt;=3,база!$L$4,
IF($D$6=4,база!$L$5,
IF($D$6=5,база!$L$6)))</f>
        <v>231.45480000000001</v>
      </c>
      <c r="R463" s="250">
        <v>1.3</v>
      </c>
      <c r="S463" s="92">
        <f>SUMIFS(Таблица1[сумма],Таблица1[коэф],"1,3",Таблица1[р/р],"3/16",Таблица1[Ф. И. О.],B462)</f>
        <v>0</v>
      </c>
      <c r="T463" s="88">
        <f t="shared" ref="T463:T464" si="284">ROUND(Q463*R463*S463,2)</f>
        <v>0</v>
      </c>
      <c r="U463" s="292">
        <f>IF(D457&lt;=3,база!$M$4,
IF(D457=4,база!$M$5,
IF(D457=5,база!$M$6)))</f>
        <v>225.09719999999999</v>
      </c>
      <c r="V463" s="250">
        <v>1.3</v>
      </c>
      <c r="W463" s="285">
        <f>SUMIFS(Таблица1[сумма],Таблица1[коэф],"1,3",Таблица1[р/р],"3/24",Таблица1[Ф. И. О.],B462)</f>
        <v>0</v>
      </c>
      <c r="X463" s="291">
        <f t="shared" ref="X463:X464" si="285">ROUND(U463*V463*W463,2)</f>
        <v>0</v>
      </c>
      <c r="Y463" s="803"/>
      <c r="Z463" s="794"/>
      <c r="AA463" s="797"/>
    </row>
    <row r="464" spans="1:29">
      <c r="A464" s="740"/>
      <c r="B464" s="201"/>
      <c r="C464" s="799"/>
      <c r="D464" s="801"/>
      <c r="E464" s="72"/>
      <c r="F464" s="250"/>
      <c r="G464" s="92"/>
      <c r="H464" s="88"/>
      <c r="I464" s="311"/>
      <c r="J464" s="257"/>
      <c r="K464" s="202"/>
      <c r="L464" s="202"/>
      <c r="M464" s="202"/>
      <c r="N464" s="202"/>
      <c r="O464" s="202"/>
      <c r="P464" s="28"/>
      <c r="Q464" s="72">
        <f>база!$L$5</f>
        <v>231.45480000000001</v>
      </c>
      <c r="R464" s="250">
        <v>1.3</v>
      </c>
      <c r="S464" s="92">
        <f>SUMIFS(Таблица1[сумма],Таблица1[коэф],"1,3",Таблица1[р/р],"4/16",Таблица1[Ф. И. О.],B462)</f>
        <v>0</v>
      </c>
      <c r="T464" s="88">
        <f t="shared" si="284"/>
        <v>0</v>
      </c>
      <c r="U464" s="292">
        <f>база!$M$5</f>
        <v>247.41720000000001</v>
      </c>
      <c r="V464" s="250">
        <v>1.3</v>
      </c>
      <c r="W464" s="285">
        <f>SUMIFS(Таблица1[сумма],Таблица1[коэф],"1,3",Таблица1[р/р],"4/24",Таблица1[Ф. И. О.],B462)</f>
        <v>0</v>
      </c>
      <c r="X464" s="291">
        <f t="shared" si="285"/>
        <v>0</v>
      </c>
      <c r="Y464" s="803"/>
      <c r="Z464" s="794"/>
      <c r="AA464" s="797"/>
    </row>
    <row r="465" spans="1:29">
      <c r="A465" s="740"/>
      <c r="B465" s="201"/>
      <c r="C465" s="799"/>
      <c r="D465" s="801"/>
      <c r="E465" s="72"/>
      <c r="F465" s="250"/>
      <c r="G465" s="92"/>
      <c r="H465" s="88"/>
      <c r="I465" s="311"/>
      <c r="J465" s="257"/>
      <c r="K465" s="202"/>
      <c r="L465" s="202"/>
      <c r="M465" s="202"/>
      <c r="N465" s="202"/>
      <c r="O465" s="202"/>
      <c r="P465" s="28"/>
      <c r="Q465" s="72">
        <f>IF(D457&lt;=3,база!$L$4,
IF(D457=4,база!$L$5,
IF(D457=5,база!$L$6)))</f>
        <v>210.57480000000001</v>
      </c>
      <c r="R465" s="250">
        <v>1.4</v>
      </c>
      <c r="S465" s="92">
        <f>SUMIFS(Таблица1[сумма],Таблица1[коэф],"1,4",Таблица1[р/р],"3/16",Таблица1[Ф. И. О.],B462)</f>
        <v>0</v>
      </c>
      <c r="T465" s="88">
        <f>ROUND(Q465*R465*S465,2)</f>
        <v>0</v>
      </c>
      <c r="U465" s="292">
        <f>IF(D457&lt;=3,база!$M$4,
IF(D457=4,база!$M$5,
IF(D457=5,база!$M$6)))</f>
        <v>225.09719999999999</v>
      </c>
      <c r="V465" s="250">
        <v>1.4</v>
      </c>
      <c r="W465" s="285">
        <f>SUMIFS(Таблица1[сумма],Таблица1[коэф],"1,4",Таблица1[р/р],"3/24",Таблица1[Ф. И. О.],B462)</f>
        <v>0</v>
      </c>
      <c r="X465" s="291">
        <f>ROUND(U465*V465*W465,2)</f>
        <v>0</v>
      </c>
      <c r="Y465" s="803"/>
      <c r="Z465" s="794"/>
      <c r="AA465" s="797"/>
    </row>
    <row r="466" spans="1:29">
      <c r="A466" s="740"/>
      <c r="B466" s="201"/>
      <c r="C466" s="799"/>
      <c r="D466" s="801"/>
      <c r="E466" s="72"/>
      <c r="F466" s="250"/>
      <c r="G466" s="92"/>
      <c r="H466" s="88"/>
      <c r="I466" s="311"/>
      <c r="J466" s="257"/>
      <c r="K466" s="202"/>
      <c r="L466" s="202"/>
      <c r="M466" s="202"/>
      <c r="N466" s="202"/>
      <c r="O466" s="202"/>
      <c r="P466" s="28"/>
      <c r="Q466" s="72">
        <f>база!$L$5</f>
        <v>231.45480000000001</v>
      </c>
      <c r="R466" s="250">
        <v>1.4</v>
      </c>
      <c r="S466" s="92">
        <f>SUMIFS(Таблица1[сумма],Таблица1[коэф],"1,4",Таблица1[р/р],"4/16",Таблица1[Ф. И. О.],B462)</f>
        <v>0</v>
      </c>
      <c r="T466" s="88">
        <f>ROUND(Q466*R466*S466,2)</f>
        <v>0</v>
      </c>
      <c r="U466" s="292">
        <f>база!$M$5</f>
        <v>247.41720000000001</v>
      </c>
      <c r="V466" s="250">
        <v>1.4</v>
      </c>
      <c r="W466" s="285">
        <f>SUMIFS(Таблица1[сумма],Таблица1[коэф],"1,4",Таблица1[р/р],"4/24",Таблица1[Ф. И. О.],B462)</f>
        <v>0</v>
      </c>
      <c r="X466" s="291">
        <f>ROUND(U466*V466*W466,2)</f>
        <v>0</v>
      </c>
      <c r="Y466" s="803"/>
      <c r="Z466" s="794"/>
      <c r="AA466" s="797"/>
    </row>
    <row r="467" spans="1:29" ht="24" thickBot="1">
      <c r="A467" s="741"/>
      <c r="B467" s="329"/>
      <c r="C467" s="800"/>
      <c r="D467" s="802"/>
      <c r="E467" s="68"/>
      <c r="F467" s="249"/>
      <c r="G467" s="82"/>
      <c r="H467" s="96"/>
      <c r="I467" s="22"/>
      <c r="J467" s="256"/>
      <c r="K467" s="20"/>
      <c r="L467" s="287"/>
      <c r="M467" s="22"/>
      <c r="N467" s="20"/>
      <c r="O467" s="20"/>
      <c r="P467" s="260"/>
      <c r="Q467" s="65">
        <f>база!$L$6</f>
        <v>261.04640000000001</v>
      </c>
      <c r="R467" s="249">
        <v>1.4</v>
      </c>
      <c r="S467" s="90">
        <f>SUMIFS(Таблица1[сумма],Таблица1[коэф],"1,4",Таблица1[р/р],"5/16",Таблица1[Ф. И. О.],B462)</f>
        <v>0</v>
      </c>
      <c r="T467" s="96">
        <f>ROUND(Q467*R467*S467,2)</f>
        <v>0</v>
      </c>
      <c r="U467" s="75">
        <f>база!$M$6</f>
        <v>279.0496</v>
      </c>
      <c r="V467" s="250">
        <v>1.4</v>
      </c>
      <c r="W467" s="90">
        <f>SUMIFS(Таблица1[сумма],Таблица1[коэф],"1,4",Таблица1[р/р],"5/24",Таблица1[Ф. И. О.],B462)</f>
        <v>0</v>
      </c>
      <c r="X467" s="96">
        <f>ROUND(U467*V467*W467,2)</f>
        <v>0</v>
      </c>
      <c r="Y467" s="804"/>
      <c r="Z467" s="795"/>
      <c r="AA467" s="798"/>
    </row>
    <row r="468" spans="1:29">
      <c r="A468" s="739">
        <v>43</v>
      </c>
      <c r="B468" s="201"/>
      <c r="C468" s="805">
        <f>INDEX(база!$E$2:$E$81, MATCH(B473,база!$B$2:$B$50,0))</f>
        <v>17321</v>
      </c>
      <c r="D468" s="806">
        <f>INDEX(база!$D$2:$D$89, MATCH(B473,база!$B$2:$B$50,0))</f>
        <v>3</v>
      </c>
      <c r="E468" s="66">
        <f>IF(D468&lt;=3,база!$I$4,
IF(D468=4,база!$I$5,
IF(D468=5,база!$I$6)))</f>
        <v>188.7912</v>
      </c>
      <c r="F468" s="248">
        <v>1</v>
      </c>
      <c r="G468" s="89">
        <f>SUMIFS(Таблица1[сумма],Таблица1[коэф],"1",Таблица1[р/р],"2/4",Таблица1[Ф. И. О.],B473)</f>
        <v>0</v>
      </c>
      <c r="H468" s="81">
        <f>ROUND(E468*F468*G468,2)</f>
        <v>0</v>
      </c>
      <c r="I468" s="321">
        <f>IF(D468&lt;=3,база!$J$4,
IF(D468=4,база!$J$5,
IF(D468=5,база!$J$6)))</f>
        <v>196.05240000000001</v>
      </c>
      <c r="J468" s="256">
        <v>1</v>
      </c>
      <c r="K468" s="287">
        <f>SUMIFS(Таблица1[сумма],Таблица1[коэф],"1",Таблица1[р/р],"2/8",Таблица1[Ф. И. О.],B473)</f>
        <v>0</v>
      </c>
      <c r="L468" s="287">
        <f>ROUND(I468*J468*K468,2)</f>
        <v>0</v>
      </c>
      <c r="M468" s="287"/>
      <c r="N468" s="287">
        <v>1</v>
      </c>
      <c r="O468" s="287">
        <f>SUMIFS(Data_Tech!$AM$3:$AM$67,Data_Tech!$E$3:$E$67,"1",Data_Tech!$G$3:$G$67,"3/12",Data_Tech!$F$3:$F$67,B473)</f>
        <v>0</v>
      </c>
      <c r="P468" s="260">
        <f>ROUND(M468*N468*O468,2)</f>
        <v>0</v>
      </c>
      <c r="Q468" s="66">
        <f>IF(D468&lt;=3,база!$L$4,
IF(D468=4,база!$L$5,
IF(D468=5,база!$L$6)))</f>
        <v>210.57480000000001</v>
      </c>
      <c r="R468" s="248">
        <v>1</v>
      </c>
      <c r="S468" s="89">
        <f>SUMIFS(Таблица1[сумма],Таблица1[коэф],"1",Таблица1[р/р],"3/16",Таблица1[Ф. И. О.],B473)</f>
        <v>0</v>
      </c>
      <c r="T468" s="81">
        <f t="shared" ref="T468:T472" si="286">ROUND(Q468*R468*S468,2)</f>
        <v>0</v>
      </c>
      <c r="U468" s="326">
        <f>IF(D468&lt;=3,база!$M$4,
IF(D468=4,база!$M$5,
IF(D468=5,база!$M$6)))</f>
        <v>225.09719999999999</v>
      </c>
      <c r="V468" s="249">
        <v>1</v>
      </c>
      <c r="W468" s="314">
        <f>SUMIFS(Таблица1[сумма],Таблица1[коэф],"1",Таблица1[р/р],"3/24",Таблица1[Ф. И. О.],B473)</f>
        <v>0</v>
      </c>
      <c r="X468" s="319">
        <f>ROUND(U468*V468*W468,2)</f>
        <v>0</v>
      </c>
      <c r="Y468" s="803">
        <f t="shared" ref="Y468" si="287">SUM(G468:G478,K468:K478,O468:O478,S468:S478,W468:W478)</f>
        <v>0</v>
      </c>
      <c r="Z468" s="807">
        <f t="shared" ref="Z468" si="288">IFERROR(SUM(H468:H478,L468:L478,T468:T478,X468:X478),"")</f>
        <v>0</v>
      </c>
      <c r="AA468" s="797"/>
    </row>
    <row r="469" spans="1:29">
      <c r="A469" s="740"/>
      <c r="B469" s="201"/>
      <c r="C469" s="799"/>
      <c r="D469" s="801"/>
      <c r="E469" s="72">
        <f>IF(D468&lt;=3,база!$I$4,
IF(D468=4,база!$I$5,
IF(D468=5,база!$I$6)))</f>
        <v>188.7912</v>
      </c>
      <c r="F469" s="250">
        <v>1</v>
      </c>
      <c r="G469" s="92">
        <f>SUMIFS(Таблица1[сумма],Таблица1[коэф],"1",Таблица1[р/р],"3/4",Таблица1[Ф. И. О.],B473)</f>
        <v>0</v>
      </c>
      <c r="H469" s="88">
        <f>ROUND(E469*F469*G469,2)</f>
        <v>0</v>
      </c>
      <c r="I469" s="311">
        <f>IF(D468&lt;=3,база!$J$4,
IF(D468=4,база!$J$5,
IF(D468=5,база!$J$6)))</f>
        <v>196.05240000000001</v>
      </c>
      <c r="J469" s="257">
        <v>1</v>
      </c>
      <c r="K469" s="202"/>
      <c r="L469" s="202">
        <f>ROUND(I469*J469*K469,2)</f>
        <v>0</v>
      </c>
      <c r="M469" s="202"/>
      <c r="N469" s="202">
        <v>1</v>
      </c>
      <c r="O469" s="202">
        <f>SUMIFS(Data_Tech!$AM$3:$AM$67,Data_Tech!$E$3:$E$67,"1",Data_Tech!$G$3:$G$67,"4/12",Data_Tech!$F$3:$F$67,B473)</f>
        <v>0</v>
      </c>
      <c r="P469" s="28">
        <f>ROUND(M469*O469,2)</f>
        <v>0</v>
      </c>
      <c r="Q469" s="72">
        <f>база!$L$5</f>
        <v>231.45480000000001</v>
      </c>
      <c r="R469" s="250">
        <v>1</v>
      </c>
      <c r="S469" s="92">
        <f>SUMIFS(Таблица1[сумма],Таблица1[коэф],"1",Таблица1[р/р],"4/16",Таблица1[Ф. И. О.],B473)</f>
        <v>0</v>
      </c>
      <c r="T469" s="88">
        <f t="shared" si="286"/>
        <v>0</v>
      </c>
      <c r="U469" s="292">
        <f>база!$M$5</f>
        <v>247.41720000000001</v>
      </c>
      <c r="V469" s="250">
        <v>1</v>
      </c>
      <c r="W469" s="285">
        <f>SUMIFS(Таблица1[сумма],Таблица1[коэф],"1",Таблица1[р/р],"4/24",Таблица1[Ф. И. О.],B473)</f>
        <v>0</v>
      </c>
      <c r="X469" s="291">
        <f t="shared" ref="X469" si="289">ROUND(U469*V469*W469,2)</f>
        <v>0</v>
      </c>
      <c r="Y469" s="803"/>
      <c r="Z469" s="794"/>
      <c r="AA469" s="797"/>
    </row>
    <row r="470" spans="1:29" ht="24" thickBot="1">
      <c r="A470" s="740"/>
      <c r="B470" s="201"/>
      <c r="C470" s="799"/>
      <c r="D470" s="801"/>
      <c r="E470" s="72"/>
      <c r="F470" s="250"/>
      <c r="G470" s="92"/>
      <c r="H470" s="88"/>
      <c r="I470" s="311"/>
      <c r="J470" s="257"/>
      <c r="K470" s="202"/>
      <c r="L470" s="202"/>
      <c r="M470" s="202"/>
      <c r="N470" s="202"/>
      <c r="O470" s="202"/>
      <c r="P470" s="28"/>
      <c r="Q470" s="72">
        <f>база!$L$6</f>
        <v>261.04640000000001</v>
      </c>
      <c r="R470" s="250">
        <v>1</v>
      </c>
      <c r="S470" s="92">
        <f>SUMIFS(Таблица1[сумма],Таблица1[коэф],"1",Таблица1[р/р],"5/16",Таблица1[Ф. И. О.],B473)</f>
        <v>0</v>
      </c>
      <c r="T470" s="88">
        <f t="shared" si="286"/>
        <v>0</v>
      </c>
      <c r="U470" s="292">
        <f>база!$M$6</f>
        <v>279.0496</v>
      </c>
      <c r="V470" s="250">
        <v>1</v>
      </c>
      <c r="W470" s="285">
        <f>SUMIFS(Таблица1[сумма],Таблица1[коэф],"1",Таблица1[р/р],"5/24",Таблица1[Ф. И. О.],B473)</f>
        <v>0</v>
      </c>
      <c r="X470" s="291">
        <f>ROUND(U470*V470*W470,2)</f>
        <v>0</v>
      </c>
      <c r="Y470" s="803"/>
      <c r="Z470" s="794"/>
      <c r="AA470" s="797"/>
    </row>
    <row r="471" spans="1:29" ht="24" thickBot="1">
      <c r="A471" s="740"/>
      <c r="B471" s="201"/>
      <c r="C471" s="799"/>
      <c r="D471" s="801"/>
      <c r="E471" s="72"/>
      <c r="F471" s="250"/>
      <c r="G471" s="92"/>
      <c r="H471" s="88"/>
      <c r="I471" s="311">
        <f>база!$J$5</f>
        <v>215.4924</v>
      </c>
      <c r="J471" s="257">
        <v>1.5</v>
      </c>
      <c r="K471" s="202">
        <f>SUMIFS(Таблица1[сумма],Таблица1[коэф],"1,5",Таблица1[р/р],"4/8",Таблица1[Ф. И. О.],B473)</f>
        <v>0</v>
      </c>
      <c r="L471" s="202">
        <f>ROUND(I471*J471*K471,2)</f>
        <v>0</v>
      </c>
      <c r="M471" s="202"/>
      <c r="N471" s="202"/>
      <c r="O471" s="202"/>
      <c r="P471" s="28"/>
      <c r="Q471" s="72">
        <f>IF(D468&lt;=3,база!$L$4,
IF(D468=4,база!$L$5,
IF(D468=5,база!$L$6)))</f>
        <v>210.57480000000001</v>
      </c>
      <c r="R471" s="250">
        <v>1.2</v>
      </c>
      <c r="S471" s="92">
        <f>SUMIFS(Таблица1[сумма],Таблица1[коэф],"1,2",Таблица1[р/р],"3/16",Таблица1[Ф. И. О.],B473)</f>
        <v>0</v>
      </c>
      <c r="T471" s="88">
        <f t="shared" si="286"/>
        <v>0</v>
      </c>
      <c r="U471" s="292">
        <f>IF(D468&lt;=3,база!$M$4,
IF(D468=4,база!$M$5,
IF(D468=5,база!$M$6)))</f>
        <v>225.09719999999999</v>
      </c>
      <c r="V471" s="250">
        <v>1.2</v>
      </c>
      <c r="W471" s="285">
        <f>SUMIFS(Таблица1[сумма],Таблица1[коэф],"1,2",Таблица1[р/р],"3/24",Таблица1[Ф. И. О.],B473)</f>
        <v>0</v>
      </c>
      <c r="X471" s="291">
        <f t="shared" ref="X471:X472" si="290">ROUND(U471*V471*W471,2)</f>
        <v>0</v>
      </c>
      <c r="Y471" s="803"/>
      <c r="Z471" s="794"/>
      <c r="AA471" s="797"/>
    </row>
    <row r="472" spans="1:29" ht="24" thickBot="1">
      <c r="A472" s="740"/>
      <c r="B472" s="201"/>
      <c r="C472" s="799"/>
      <c r="D472" s="801"/>
      <c r="E472" s="72"/>
      <c r="F472" s="250"/>
      <c r="G472" s="92"/>
      <c r="H472" s="88"/>
      <c r="I472" s="311">
        <f>база!$J$6</f>
        <v>243.04319999999998</v>
      </c>
      <c r="J472" s="257">
        <v>1.5</v>
      </c>
      <c r="K472" s="202">
        <f>SUMIFS(Таблица1[сумма],Таблица1[коэф],"1,5",Таблица1[р/р],"5/8",Таблица1[Ф. И. О.],B473)</f>
        <v>0</v>
      </c>
      <c r="L472" s="202">
        <f>ROUND(I472*J472*K472,2)</f>
        <v>0</v>
      </c>
      <c r="M472" s="202"/>
      <c r="N472" s="202"/>
      <c r="O472" s="202"/>
      <c r="P472" s="28"/>
      <c r="Q472" s="72">
        <f>база!$L$5</f>
        <v>231.45480000000001</v>
      </c>
      <c r="R472" s="250">
        <v>1.2</v>
      </c>
      <c r="S472" s="92">
        <f>SUMIFS(Таблица1[сумма],Таблица1[коэф],"1,2",Таблица1[р/р],"4/16",Таблица1[Ф. И. О.],B473)</f>
        <v>0</v>
      </c>
      <c r="T472" s="88">
        <f t="shared" si="286"/>
        <v>0</v>
      </c>
      <c r="U472" s="292">
        <f>база!$M$5</f>
        <v>247.41720000000001</v>
      </c>
      <c r="V472" s="250">
        <v>1.2</v>
      </c>
      <c r="W472" s="285">
        <f>SUMIFS(Таблица1[сумма],Таблица1[коэф],"1,2",Таблица1[р/р],"4/24",Таблица1[Ф. И. О.],B473)</f>
        <v>0</v>
      </c>
      <c r="X472" s="291">
        <f t="shared" si="290"/>
        <v>0</v>
      </c>
      <c r="Y472" s="803"/>
      <c r="Z472" s="794"/>
      <c r="AA472" s="797"/>
      <c r="AC472" s="688" t="str">
        <f>IF(SUMIFS(Таблица1[Столбец2],Таблица1[Ф. И. О.],B473)-Z468=0,"",SUMIFS(Таблица1[Столбец2],Таблица1[Ф. И. О.],B473)-Z468)</f>
        <v/>
      </c>
    </row>
    <row r="473" spans="1:29" ht="24" thickBot="1">
      <c r="A473" s="740"/>
      <c r="B473" s="201" t="str">
        <f>база!B44</f>
        <v>Малышева Анна Евгеньевна</v>
      </c>
      <c r="C473" s="799"/>
      <c r="D473" s="801"/>
      <c r="E473" s="72"/>
      <c r="F473" s="250"/>
      <c r="G473" s="92"/>
      <c r="H473" s="88"/>
      <c r="I473" s="311"/>
      <c r="J473" s="257"/>
      <c r="K473" s="202"/>
      <c r="L473" s="202"/>
      <c r="M473" s="202"/>
      <c r="N473" s="202"/>
      <c r="O473" s="202"/>
      <c r="P473" s="28"/>
      <c r="Q473" s="72">
        <f>база!$L$6</f>
        <v>261.04640000000001</v>
      </c>
      <c r="R473" s="250">
        <v>1.2</v>
      </c>
      <c r="S473" s="92">
        <f>SUMIFS(Таблица1[сумма],Таблица1[коэф],"1,2",Таблица1[р/р],"5/16",Таблица1[Ф. И. О.],B473)</f>
        <v>0</v>
      </c>
      <c r="T473" s="88">
        <f>ROUND(Q473*R473*S473,2)</f>
        <v>0</v>
      </c>
      <c r="U473" s="292">
        <f>база!$M$6</f>
        <v>279.0496</v>
      </c>
      <c r="V473" s="250">
        <v>1.2</v>
      </c>
      <c r="W473" s="285">
        <f>SUMIFS(Таблица1[сумма],Таблица1[коэф],"1,2",Таблица1[р/р],"5/24",Таблица1[Ф. И. О.],B473)</f>
        <v>0</v>
      </c>
      <c r="X473" s="291">
        <f>ROUND(U473*V473*W473,2)</f>
        <v>0</v>
      </c>
      <c r="Y473" s="803"/>
      <c r="Z473" s="794"/>
      <c r="AA473" s="797"/>
      <c r="AC473" s="688" t="str">
        <f>IF(SUMIFS(Таблица1[сумма],Таблица1[Ф. И. О.],B473)=Y468,"",B468&amp;"  часы не верны")</f>
        <v/>
      </c>
    </row>
    <row r="474" spans="1:29" ht="24" thickBot="1">
      <c r="A474" s="740"/>
      <c r="B474" s="201"/>
      <c r="C474" s="799"/>
      <c r="D474" s="801"/>
      <c r="E474" s="72"/>
      <c r="F474" s="250"/>
      <c r="G474" s="92"/>
      <c r="H474" s="88"/>
      <c r="I474" s="311"/>
      <c r="J474" s="257"/>
      <c r="K474" s="202"/>
      <c r="L474" s="202"/>
      <c r="M474" s="202"/>
      <c r="N474" s="202"/>
      <c r="O474" s="202"/>
      <c r="P474" s="28"/>
      <c r="Q474" s="72">
        <f>IF($D$6&lt;=3,база!$L$4,
IF($D$6=4,база!$L$5,
IF($D$6=5,база!$L$6)))</f>
        <v>231.45480000000001</v>
      </c>
      <c r="R474" s="250">
        <v>1.3</v>
      </c>
      <c r="S474" s="92">
        <f>SUMIFS(Таблица1[сумма],Таблица1[коэф],"1,3",Таблица1[р/р],"3/16",Таблица1[Ф. И. О.],B473)</f>
        <v>0</v>
      </c>
      <c r="T474" s="88">
        <f t="shared" ref="T474:T475" si="291">ROUND(Q474*R474*S474,2)</f>
        <v>0</v>
      </c>
      <c r="U474" s="292">
        <f>IF(D468&lt;=3,база!$M$4,
IF(D468=4,база!$M$5,
IF(D468=5,база!$M$6)))</f>
        <v>225.09719999999999</v>
      </c>
      <c r="V474" s="250">
        <v>1.3</v>
      </c>
      <c r="W474" s="285">
        <f>SUMIFS(Таблица1[сумма],Таблица1[коэф],"1,3",Таблица1[р/р],"3/24",Таблица1[Ф. И. О.],B473)</f>
        <v>0</v>
      </c>
      <c r="X474" s="291">
        <f t="shared" ref="X474:X475" si="292">ROUND(U474*V474*W474,2)</f>
        <v>0</v>
      </c>
      <c r="Y474" s="803"/>
      <c r="Z474" s="794"/>
      <c r="AA474" s="797"/>
    </row>
    <row r="475" spans="1:29" ht="24" thickBot="1">
      <c r="A475" s="740"/>
      <c r="B475" s="201"/>
      <c r="C475" s="799"/>
      <c r="D475" s="801"/>
      <c r="E475" s="72"/>
      <c r="F475" s="250"/>
      <c r="G475" s="92"/>
      <c r="H475" s="88"/>
      <c r="I475" s="311"/>
      <c r="J475" s="257"/>
      <c r="K475" s="202"/>
      <c r="L475" s="202"/>
      <c r="M475" s="202"/>
      <c r="N475" s="202"/>
      <c r="O475" s="202"/>
      <c r="P475" s="28"/>
      <c r="Q475" s="72">
        <f>база!$L$5</f>
        <v>231.45480000000001</v>
      </c>
      <c r="R475" s="250">
        <v>1.3</v>
      </c>
      <c r="S475" s="92">
        <f>SUMIFS(Таблица1[сумма],Таблица1[коэф],"1,3",Таблица1[р/р],"4/16",Таблица1[Ф. И. О.],B473)</f>
        <v>0</v>
      </c>
      <c r="T475" s="88">
        <f t="shared" si="291"/>
        <v>0</v>
      </c>
      <c r="U475" s="292">
        <f>база!$M$5</f>
        <v>247.41720000000001</v>
      </c>
      <c r="V475" s="250">
        <v>1.3</v>
      </c>
      <c r="W475" s="285">
        <f>SUMIFS(Таблица1[сумма],Таблица1[коэф],"1,3",Таблица1[р/р],"4/24",Таблица1[Ф. И. О.],B473)</f>
        <v>0</v>
      </c>
      <c r="X475" s="291">
        <f t="shared" si="292"/>
        <v>0</v>
      </c>
      <c r="Y475" s="803"/>
      <c r="Z475" s="794"/>
      <c r="AA475" s="797"/>
    </row>
    <row r="476" spans="1:29" ht="24" thickBot="1">
      <c r="A476" s="740"/>
      <c r="B476" s="201"/>
      <c r="C476" s="799"/>
      <c r="D476" s="801"/>
      <c r="E476" s="72"/>
      <c r="F476" s="250"/>
      <c r="G476" s="92"/>
      <c r="H476" s="88"/>
      <c r="I476" s="311"/>
      <c r="J476" s="257"/>
      <c r="K476" s="202"/>
      <c r="L476" s="202"/>
      <c r="M476" s="202"/>
      <c r="N476" s="202"/>
      <c r="O476" s="202"/>
      <c r="P476" s="28"/>
      <c r="Q476" s="72">
        <f>IF(D468&lt;=3,база!$L$4,
IF(D468=4,база!$L$5,
IF(D468=5,база!$L$6)))</f>
        <v>210.57480000000001</v>
      </c>
      <c r="R476" s="250">
        <v>1.4</v>
      </c>
      <c r="S476" s="92">
        <f>SUMIFS(Таблица1[сумма],Таблица1[коэф],"1,4",Таблица1[р/р],"3/16",Таблица1[Ф. И. О.],B473)</f>
        <v>0</v>
      </c>
      <c r="T476" s="88">
        <f>ROUND(Q476*R476*S476,2)</f>
        <v>0</v>
      </c>
      <c r="U476" s="292">
        <f>IF(D468&lt;=3,база!$M$4,
IF(D468=4,база!$M$5,
IF(D468=5,база!$M$6)))</f>
        <v>225.09719999999999</v>
      </c>
      <c r="V476" s="250">
        <v>1.4</v>
      </c>
      <c r="W476" s="285">
        <f>SUMIFS(Таблица1[сумма],Таблица1[коэф],"1,4",Таблица1[р/р],"3/24",Таблица1[Ф. И. О.],B473)</f>
        <v>0</v>
      </c>
      <c r="X476" s="291">
        <f>ROUND(U476*V476*W476,2)</f>
        <v>0</v>
      </c>
      <c r="Y476" s="803"/>
      <c r="Z476" s="794"/>
      <c r="AA476" s="797"/>
    </row>
    <row r="477" spans="1:29" ht="24" thickBot="1">
      <c r="A477" s="740"/>
      <c r="B477" s="201"/>
      <c r="C477" s="799"/>
      <c r="D477" s="801"/>
      <c r="E477" s="72"/>
      <c r="F477" s="250"/>
      <c r="G477" s="92"/>
      <c r="H477" s="88"/>
      <c r="I477" s="311"/>
      <c r="J477" s="257"/>
      <c r="K477" s="202"/>
      <c r="L477" s="202"/>
      <c r="M477" s="202"/>
      <c r="N477" s="202"/>
      <c r="O477" s="202"/>
      <c r="P477" s="28"/>
      <c r="Q477" s="72">
        <f>база!$L$5</f>
        <v>231.45480000000001</v>
      </c>
      <c r="R477" s="250">
        <v>1.4</v>
      </c>
      <c r="S477" s="92">
        <f>SUMIFS(Таблица1[сумма],Таблица1[коэф],"1,4",Таблица1[р/р],"4/16",Таблица1[Ф. И. О.],B473)</f>
        <v>0</v>
      </c>
      <c r="T477" s="88">
        <f>ROUND(Q477*R477*S477,2)</f>
        <v>0</v>
      </c>
      <c r="U477" s="292">
        <f>база!$M$5</f>
        <v>247.41720000000001</v>
      </c>
      <c r="V477" s="250">
        <v>1.4</v>
      </c>
      <c r="W477" s="285">
        <f>SUMIFS(Таблица1[сумма],Таблица1[коэф],"1,4",Таблица1[р/р],"4/24",Таблица1[Ф. И. О.],B473)</f>
        <v>0</v>
      </c>
      <c r="X477" s="291">
        <f>ROUND(U477*V477*W477,2)</f>
        <v>0</v>
      </c>
      <c r="Y477" s="803"/>
      <c r="Z477" s="794"/>
      <c r="AA477" s="797"/>
    </row>
    <row r="478" spans="1:29" ht="24" thickBot="1">
      <c r="A478" s="741"/>
      <c r="B478" s="329"/>
      <c r="C478" s="800"/>
      <c r="D478" s="802"/>
      <c r="E478" s="68"/>
      <c r="F478" s="249"/>
      <c r="G478" s="82"/>
      <c r="H478" s="96"/>
      <c r="I478" s="22"/>
      <c r="J478" s="256"/>
      <c r="K478" s="20"/>
      <c r="L478" s="287"/>
      <c r="M478" s="22"/>
      <c r="N478" s="20"/>
      <c r="O478" s="20"/>
      <c r="P478" s="260"/>
      <c r="Q478" s="65">
        <f>база!$L$6</f>
        <v>261.04640000000001</v>
      </c>
      <c r="R478" s="249">
        <v>1.4</v>
      </c>
      <c r="S478" s="90">
        <f>SUMIFS(Таблица1[сумма],Таблица1[коэф],"1,4",Таблица1[р/р],"5/16",Таблица1[Ф. И. О.],B473)</f>
        <v>0</v>
      </c>
      <c r="T478" s="96">
        <f>ROUND(Q478*R478*S478,2)</f>
        <v>0</v>
      </c>
      <c r="U478" s="75">
        <f>база!$M$6</f>
        <v>279.0496</v>
      </c>
      <c r="V478" s="250">
        <v>1.4</v>
      </c>
      <c r="W478" s="90">
        <f>SUMIFS(Таблица1[сумма],Таблица1[коэф],"1,4",Таблица1[р/р],"5/24",Таблица1[Ф. И. О.],B473)</f>
        <v>0</v>
      </c>
      <c r="X478" s="96">
        <f>ROUND(U478*V478*W478,2)</f>
        <v>0</v>
      </c>
      <c r="Y478" s="804"/>
      <c r="Z478" s="795"/>
      <c r="AA478" s="798"/>
    </row>
    <row r="479" spans="1:29">
      <c r="A479" s="739">
        <v>44</v>
      </c>
      <c r="B479" s="201"/>
      <c r="C479" s="805">
        <f>INDEX(база!$E$2:$E$81, MATCH(B484,база!$B$2:$B$50,0))</f>
        <v>17136</v>
      </c>
      <c r="D479" s="806">
        <f>INDEX(база!$D$2:$D$89, MATCH(B484,база!$B$2:$B$50,0))</f>
        <v>3</v>
      </c>
      <c r="E479" s="66">
        <f>IF(D479&lt;=3,база!$I$4,
IF(D479=4,база!$I$5,
IF(D479=5,база!$I$6)))</f>
        <v>188.7912</v>
      </c>
      <c r="F479" s="248">
        <v>1</v>
      </c>
      <c r="G479" s="89">
        <f>SUMIFS(Таблица1[сумма],Таблица1[коэф],"1",Таблица1[р/р],"2/4",Таблица1[Ф. И. О.],B484)</f>
        <v>0</v>
      </c>
      <c r="H479" s="81">
        <f>ROUND(E479*F479*G479,2)</f>
        <v>0</v>
      </c>
      <c r="I479" s="321">
        <f>IF(D479&lt;=3,база!$J$4,
IF(D479=4,база!$J$5,
IF(D479=5,база!$J$6)))</f>
        <v>196.05240000000001</v>
      </c>
      <c r="J479" s="256">
        <v>1</v>
      </c>
      <c r="K479" s="287">
        <f>SUMIFS(Таблица1[сумма],Таблица1[коэф],"1",Таблица1[р/р],"2/8",Таблица1[Ф. И. О.],B484)</f>
        <v>0</v>
      </c>
      <c r="L479" s="287">
        <f>ROUND(I479*J479*K479,2)</f>
        <v>0</v>
      </c>
      <c r="M479" s="287"/>
      <c r="N479" s="287">
        <v>1</v>
      </c>
      <c r="O479" s="287">
        <f>SUMIFS(Data_Tech!$AM$3:$AM$67,Data_Tech!$E$3:$E$67,"1",Data_Tech!$G$3:$G$67,"3/12",Data_Tech!$F$3:$F$67,B484)</f>
        <v>0</v>
      </c>
      <c r="P479" s="260">
        <f>ROUND(M479*N479*O479,2)</f>
        <v>0</v>
      </c>
      <c r="Q479" s="66">
        <f>IF(D479&lt;=3,база!$L$4,
IF(D479=4,база!$L$5,
IF(D479=5,база!$L$6)))</f>
        <v>210.57480000000001</v>
      </c>
      <c r="R479" s="248">
        <v>1</v>
      </c>
      <c r="S479" s="89">
        <f>SUMIFS(Таблица1[сумма],Таблица1[коэф],"1",Таблица1[р/р],"3/16",Таблица1[Ф. И. О.],B484)</f>
        <v>0</v>
      </c>
      <c r="T479" s="81">
        <f t="shared" ref="T479:T483" si="293">ROUND(Q479*R479*S479,2)</f>
        <v>0</v>
      </c>
      <c r="U479" s="326">
        <f>IF(D479&lt;=3,база!$M$4,
IF(D479=4,база!$M$5,
IF(D479=5,база!$M$6)))</f>
        <v>225.09719999999999</v>
      </c>
      <c r="V479" s="249">
        <v>1</v>
      </c>
      <c r="W479" s="314">
        <f>SUMIFS(Таблица1[сумма],Таблица1[коэф],"1",Таблица1[р/р],"3/24",Таблица1[Ф. И. О.],B484)</f>
        <v>0</v>
      </c>
      <c r="X479" s="319">
        <f>ROUND(U479*V479*W479,2)</f>
        <v>0</v>
      </c>
      <c r="Y479" s="803">
        <f t="shared" ref="Y479" si="294">SUM(G479:G489,K479:K489,O479:O489,S479:S489,W479:W489)</f>
        <v>0</v>
      </c>
      <c r="Z479" s="807">
        <f t="shared" ref="Z479" si="295">IFERROR(SUM(H479:H489,L479:L489,T479:T489,X479:X489),"")</f>
        <v>0</v>
      </c>
      <c r="AA479" s="797"/>
    </row>
    <row r="480" spans="1:29">
      <c r="A480" s="740"/>
      <c r="B480" s="201"/>
      <c r="C480" s="799"/>
      <c r="D480" s="801"/>
      <c r="E480" s="72">
        <f>IF(D479&lt;=3,база!$I$4,
IF(D479=4,база!$I$5,
IF(D479=5,база!$I$6)))</f>
        <v>188.7912</v>
      </c>
      <c r="F480" s="250">
        <v>1</v>
      </c>
      <c r="G480" s="92">
        <f>SUMIFS(Таблица1[сумма],Таблица1[коэф],"1",Таблица1[р/р],"3/4",Таблица1[Ф. И. О.],B484)</f>
        <v>0</v>
      </c>
      <c r="H480" s="88">
        <f>ROUND(E480*F480*G480,2)</f>
        <v>0</v>
      </c>
      <c r="I480" s="311">
        <f>IF(D479&lt;=3,база!$J$4,
IF(D479=4,база!$J$5,
IF(D479=5,база!$J$6)))</f>
        <v>196.05240000000001</v>
      </c>
      <c r="J480" s="257">
        <v>1</v>
      </c>
      <c r="K480" s="202"/>
      <c r="L480" s="202">
        <f>ROUND(I480*J480*K480,2)</f>
        <v>0</v>
      </c>
      <c r="M480" s="202"/>
      <c r="N480" s="202">
        <v>1</v>
      </c>
      <c r="O480" s="202">
        <f>SUMIFS(Data_Tech!$AM$3:$AM$67,Data_Tech!$E$3:$E$67,"1",Data_Tech!$G$3:$G$67,"4/12",Data_Tech!$F$3:$F$67,B484)</f>
        <v>0</v>
      </c>
      <c r="P480" s="28">
        <f>ROUND(M480*O480,2)</f>
        <v>0</v>
      </c>
      <c r="Q480" s="72">
        <f>база!$L$5</f>
        <v>231.45480000000001</v>
      </c>
      <c r="R480" s="250">
        <v>1</v>
      </c>
      <c r="S480" s="92">
        <f>SUMIFS(Таблица1[сумма],Таблица1[коэф],"1",Таблица1[р/р],"4/16",Таблица1[Ф. И. О.],B484)</f>
        <v>0</v>
      </c>
      <c r="T480" s="88">
        <f t="shared" si="293"/>
        <v>0</v>
      </c>
      <c r="U480" s="292">
        <f>база!$M$5</f>
        <v>247.41720000000001</v>
      </c>
      <c r="V480" s="250">
        <v>1</v>
      </c>
      <c r="W480" s="285">
        <f>SUMIFS(Таблица1[сумма],Таблица1[коэф],"1",Таблица1[р/р],"4/24",Таблица1[Ф. И. О.],B484)</f>
        <v>0</v>
      </c>
      <c r="X480" s="291">
        <f t="shared" ref="X480" si="296">ROUND(U480*V480*W480,2)</f>
        <v>0</v>
      </c>
      <c r="Y480" s="803"/>
      <c r="Z480" s="794"/>
      <c r="AA480" s="797"/>
    </row>
    <row r="481" spans="1:29">
      <c r="A481" s="740"/>
      <c r="B481" s="201"/>
      <c r="C481" s="799"/>
      <c r="D481" s="801"/>
      <c r="E481" s="72"/>
      <c r="F481" s="250"/>
      <c r="G481" s="92"/>
      <c r="H481" s="88"/>
      <c r="I481" s="311"/>
      <c r="J481" s="257"/>
      <c r="K481" s="202"/>
      <c r="L481" s="202"/>
      <c r="M481" s="202"/>
      <c r="N481" s="202"/>
      <c r="O481" s="202"/>
      <c r="P481" s="28"/>
      <c r="Q481" s="72">
        <f>база!$L$6</f>
        <v>261.04640000000001</v>
      </c>
      <c r="R481" s="250">
        <v>1</v>
      </c>
      <c r="S481" s="92">
        <f>SUMIFS(Таблица1[сумма],Таблица1[коэф],"1",Таблица1[р/р],"5/16",Таблица1[Ф. И. О.],B484)</f>
        <v>0</v>
      </c>
      <c r="T481" s="88">
        <f t="shared" si="293"/>
        <v>0</v>
      </c>
      <c r="U481" s="292">
        <f>база!$M$6</f>
        <v>279.0496</v>
      </c>
      <c r="V481" s="250">
        <v>1</v>
      </c>
      <c r="W481" s="285">
        <f>SUMIFS(Таблица1[сумма],Таблица1[коэф],"1",Таблица1[р/р],"5/24",Таблица1[Ф. И. О.],B484)</f>
        <v>0</v>
      </c>
      <c r="X481" s="291">
        <f>ROUND(U481*V481*W481,2)</f>
        <v>0</v>
      </c>
      <c r="Y481" s="803"/>
      <c r="Z481" s="794"/>
      <c r="AA481" s="797"/>
    </row>
    <row r="482" spans="1:29">
      <c r="A482" s="740"/>
      <c r="B482" s="201"/>
      <c r="C482" s="799"/>
      <c r="D482" s="801"/>
      <c r="E482" s="72"/>
      <c r="F482" s="250"/>
      <c r="G482" s="92"/>
      <c r="H482" s="88"/>
      <c r="I482" s="311">
        <f>база!$J$5</f>
        <v>215.4924</v>
      </c>
      <c r="J482" s="257">
        <v>1.5</v>
      </c>
      <c r="K482" s="202">
        <f>SUMIFS(Таблица1[сумма],Таблица1[коэф],"1,5",Таблица1[р/р],"4/8",Таблица1[Ф. И. О.],B484)</f>
        <v>0</v>
      </c>
      <c r="L482" s="202">
        <f>ROUND(I482*J482*K482,2)</f>
        <v>0</v>
      </c>
      <c r="M482" s="202"/>
      <c r="N482" s="202"/>
      <c r="O482" s="202"/>
      <c r="P482" s="28"/>
      <c r="Q482" s="72">
        <f>IF(D479&lt;=3,база!$L$4,
IF(D479=4,база!$L$5,
IF(D479=5,база!$L$6)))</f>
        <v>210.57480000000001</v>
      </c>
      <c r="R482" s="250">
        <v>1.2</v>
      </c>
      <c r="S482" s="92">
        <f>SUMIFS(Таблица1[сумма],Таблица1[коэф],"1,2",Таблица1[р/р],"3/16",Таблица1[Ф. И. О.],B484)</f>
        <v>0</v>
      </c>
      <c r="T482" s="88">
        <f t="shared" si="293"/>
        <v>0</v>
      </c>
      <c r="U482" s="292">
        <f>IF(D479&lt;=3,база!$M$4,
IF(D479=4,база!$M$5,
IF(D479=5,база!$M$6)))</f>
        <v>225.09719999999999</v>
      </c>
      <c r="V482" s="250">
        <v>1.2</v>
      </c>
      <c r="W482" s="285">
        <f>SUMIFS(Таблица1[сумма],Таблица1[коэф],"1,2",Таблица1[р/р],"3/24",Таблица1[Ф. И. О.],B484)</f>
        <v>0</v>
      </c>
      <c r="X482" s="291">
        <f t="shared" ref="X482:X483" si="297">ROUND(U482*V482*W482,2)</f>
        <v>0</v>
      </c>
      <c r="Y482" s="803"/>
      <c r="Z482" s="794"/>
      <c r="AA482" s="797"/>
    </row>
    <row r="483" spans="1:29">
      <c r="A483" s="740"/>
      <c r="B483" s="201"/>
      <c r="C483" s="799"/>
      <c r="D483" s="801"/>
      <c r="E483" s="72"/>
      <c r="F483" s="250"/>
      <c r="G483" s="92"/>
      <c r="H483" s="88"/>
      <c r="I483" s="311">
        <f>база!$J$6</f>
        <v>243.04319999999998</v>
      </c>
      <c r="J483" s="257">
        <v>1.5</v>
      </c>
      <c r="K483" s="202">
        <f>SUMIFS(Таблица1[сумма],Таблица1[коэф],"1,5",Таблица1[р/р],"5/8",Таблица1[Ф. И. О.],B484)</f>
        <v>0</v>
      </c>
      <c r="L483" s="202">
        <f>ROUND(I483*J483*K483,2)</f>
        <v>0</v>
      </c>
      <c r="M483" s="202"/>
      <c r="N483" s="202"/>
      <c r="O483" s="202"/>
      <c r="P483" s="28"/>
      <c r="Q483" s="72">
        <f>база!$L$5</f>
        <v>231.45480000000001</v>
      </c>
      <c r="R483" s="250">
        <v>1.2</v>
      </c>
      <c r="S483" s="92">
        <f>SUMIFS(Таблица1[сумма],Таблица1[коэф],"1,2",Таблица1[р/р],"4/16",Таблица1[Ф. И. О.],B484)</f>
        <v>0</v>
      </c>
      <c r="T483" s="88">
        <f t="shared" si="293"/>
        <v>0</v>
      </c>
      <c r="U483" s="292">
        <f>база!$M$5</f>
        <v>247.41720000000001</v>
      </c>
      <c r="V483" s="250">
        <v>1.2</v>
      </c>
      <c r="W483" s="285">
        <f>SUMIFS(Таблица1[сумма],Таблица1[коэф],"1,2",Таблица1[р/р],"4/24",Таблица1[Ф. И. О.],B484)</f>
        <v>0</v>
      </c>
      <c r="X483" s="291">
        <f t="shared" si="297"/>
        <v>0</v>
      </c>
      <c r="Y483" s="803"/>
      <c r="Z483" s="794"/>
      <c r="AA483" s="797"/>
      <c r="AC483" s="688" t="str">
        <f>IF(SUMIFS(Таблица1[Столбец2],Таблица1[Ф. И. О.],B484)-Z479=0,"",SUMIFS(Таблица1[Столбец2],Таблица1[Ф. И. О.],B484)-Z479)</f>
        <v/>
      </c>
    </row>
    <row r="484" spans="1:29">
      <c r="A484" s="740"/>
      <c r="B484" s="201" t="str">
        <f>база!B45</f>
        <v>Маргиева Фатима Александровна</v>
      </c>
      <c r="C484" s="799"/>
      <c r="D484" s="801"/>
      <c r="E484" s="72"/>
      <c r="F484" s="250"/>
      <c r="G484" s="92"/>
      <c r="H484" s="88"/>
      <c r="I484" s="311"/>
      <c r="J484" s="257"/>
      <c r="K484" s="202"/>
      <c r="L484" s="202"/>
      <c r="M484" s="202"/>
      <c r="N484" s="202"/>
      <c r="O484" s="202"/>
      <c r="P484" s="28"/>
      <c r="Q484" s="72">
        <f>база!$L$6</f>
        <v>261.04640000000001</v>
      </c>
      <c r="R484" s="250">
        <v>1.2</v>
      </c>
      <c r="S484" s="92">
        <f>SUMIFS(Таблица1[сумма],Таблица1[коэф],"1,2",Таблица1[р/р],"5/16",Таблица1[Ф. И. О.],B484)</f>
        <v>0</v>
      </c>
      <c r="T484" s="88">
        <f>ROUND(Q484*R484*S484,2)</f>
        <v>0</v>
      </c>
      <c r="U484" s="292">
        <f>база!$M$6</f>
        <v>279.0496</v>
      </c>
      <c r="V484" s="250">
        <v>1.2</v>
      </c>
      <c r="W484" s="285">
        <f>SUMIFS(Таблица1[сумма],Таблица1[коэф],"1,2",Таблица1[р/р],"5/24",Таблица1[Ф. И. О.],B484)</f>
        <v>0</v>
      </c>
      <c r="X484" s="291">
        <f>ROUND(U484*V484*W484,2)</f>
        <v>0</v>
      </c>
      <c r="Y484" s="803"/>
      <c r="Z484" s="794"/>
      <c r="AA484" s="797"/>
      <c r="AC484" s="688" t="str">
        <f>IF(SUMIFS(Таблица1[сумма],Таблица1[Ф. И. О.],B484)=Y479,"",B479&amp;"  часы не верны")</f>
        <v/>
      </c>
    </row>
    <row r="485" spans="1:29">
      <c r="A485" s="740"/>
      <c r="B485" s="201"/>
      <c r="C485" s="799"/>
      <c r="D485" s="801"/>
      <c r="E485" s="72"/>
      <c r="F485" s="250"/>
      <c r="G485" s="92"/>
      <c r="H485" s="88"/>
      <c r="I485" s="311"/>
      <c r="J485" s="257"/>
      <c r="K485" s="202"/>
      <c r="L485" s="202"/>
      <c r="M485" s="202"/>
      <c r="N485" s="202"/>
      <c r="O485" s="202"/>
      <c r="P485" s="28"/>
      <c r="Q485" s="72">
        <f>IF($D$6&lt;=3,база!$L$4,
IF($D$6=4,база!$L$5,
IF($D$6=5,база!$L$6)))</f>
        <v>231.45480000000001</v>
      </c>
      <c r="R485" s="250">
        <v>1.3</v>
      </c>
      <c r="S485" s="92">
        <f>SUMIFS(Таблица1[сумма],Таблица1[коэф],"1,3",Таблица1[р/р],"3/16",Таблица1[Ф. И. О.],B484)</f>
        <v>0</v>
      </c>
      <c r="T485" s="88">
        <f t="shared" ref="T485:T486" si="298">ROUND(Q485*R485*S485,2)</f>
        <v>0</v>
      </c>
      <c r="U485" s="292">
        <f>IF(D479&lt;=3,база!$M$4,
IF(D479=4,база!$M$5,
IF(D479=5,база!$M$6)))</f>
        <v>225.09719999999999</v>
      </c>
      <c r="V485" s="250">
        <v>1.3</v>
      </c>
      <c r="W485" s="285">
        <f>SUMIFS(Таблица1[сумма],Таблица1[коэф],"1,3",Таблица1[р/р],"3/24",Таблица1[Ф. И. О.],B484)</f>
        <v>0</v>
      </c>
      <c r="X485" s="291">
        <f t="shared" ref="X485:X486" si="299">ROUND(U485*V485*W485,2)</f>
        <v>0</v>
      </c>
      <c r="Y485" s="803"/>
      <c r="Z485" s="794"/>
      <c r="AA485" s="797"/>
    </row>
    <row r="486" spans="1:29">
      <c r="A486" s="740"/>
      <c r="B486" s="201"/>
      <c r="C486" s="799"/>
      <c r="D486" s="801"/>
      <c r="E486" s="72"/>
      <c r="F486" s="250"/>
      <c r="G486" s="92"/>
      <c r="H486" s="88"/>
      <c r="I486" s="311"/>
      <c r="J486" s="257"/>
      <c r="K486" s="202"/>
      <c r="L486" s="202"/>
      <c r="M486" s="202"/>
      <c r="N486" s="202"/>
      <c r="O486" s="202"/>
      <c r="P486" s="28"/>
      <c r="Q486" s="72">
        <f>база!$L$5</f>
        <v>231.45480000000001</v>
      </c>
      <c r="R486" s="250">
        <v>1.3</v>
      </c>
      <c r="S486" s="92">
        <f>SUMIFS(Таблица1[сумма],Таблица1[коэф],"1,3",Таблица1[р/р],"4/16",Таблица1[Ф. И. О.],B484)</f>
        <v>0</v>
      </c>
      <c r="T486" s="88">
        <f t="shared" si="298"/>
        <v>0</v>
      </c>
      <c r="U486" s="292">
        <f>база!$M$5</f>
        <v>247.41720000000001</v>
      </c>
      <c r="V486" s="250">
        <v>1.3</v>
      </c>
      <c r="W486" s="285">
        <f>SUMIFS(Таблица1[сумма],Таблица1[коэф],"1,3",Таблица1[р/р],"4/24",Таблица1[Ф. И. О.],B484)</f>
        <v>0</v>
      </c>
      <c r="X486" s="291">
        <f t="shared" si="299"/>
        <v>0</v>
      </c>
      <c r="Y486" s="803"/>
      <c r="Z486" s="794"/>
      <c r="AA486" s="797"/>
    </row>
    <row r="487" spans="1:29">
      <c r="A487" s="740"/>
      <c r="B487" s="201"/>
      <c r="C487" s="799"/>
      <c r="D487" s="801"/>
      <c r="E487" s="72"/>
      <c r="F487" s="250"/>
      <c r="G487" s="92"/>
      <c r="H487" s="88"/>
      <c r="I487" s="311"/>
      <c r="J487" s="257"/>
      <c r="K487" s="202"/>
      <c r="L487" s="202"/>
      <c r="M487" s="202"/>
      <c r="N487" s="202"/>
      <c r="O487" s="202"/>
      <c r="P487" s="28"/>
      <c r="Q487" s="72">
        <f>IF(D479&lt;=3,база!$L$4,
IF(D479=4,база!$L$5,
IF(D479=5,база!$L$6)))</f>
        <v>210.57480000000001</v>
      </c>
      <c r="R487" s="250">
        <v>1.4</v>
      </c>
      <c r="S487" s="92">
        <f>SUMIFS(Таблица1[сумма],Таблица1[коэф],"1,4",Таблица1[р/р],"3/16",Таблица1[Ф. И. О.],B484)</f>
        <v>0</v>
      </c>
      <c r="T487" s="88">
        <f>ROUND(Q487*R487*S487,2)</f>
        <v>0</v>
      </c>
      <c r="U487" s="292">
        <f>IF(D479&lt;=3,база!$M$4,
IF(D479=4,база!$M$5,
IF(D479=5,база!$M$6)))</f>
        <v>225.09719999999999</v>
      </c>
      <c r="V487" s="250">
        <v>1.4</v>
      </c>
      <c r="W487" s="285">
        <f>SUMIFS(Таблица1[сумма],Таблица1[коэф],"1,4",Таблица1[р/р],"3/24",Таблица1[Ф. И. О.],B484)</f>
        <v>0</v>
      </c>
      <c r="X487" s="291">
        <f>ROUND(U487*V487*W487,2)</f>
        <v>0</v>
      </c>
      <c r="Y487" s="803"/>
      <c r="Z487" s="794"/>
      <c r="AA487" s="797"/>
    </row>
    <row r="488" spans="1:29">
      <c r="A488" s="740"/>
      <c r="B488" s="201"/>
      <c r="C488" s="799"/>
      <c r="D488" s="801"/>
      <c r="E488" s="72"/>
      <c r="F488" s="250"/>
      <c r="G488" s="92"/>
      <c r="H488" s="88"/>
      <c r="I488" s="311"/>
      <c r="J488" s="257"/>
      <c r="K488" s="202"/>
      <c r="L488" s="202"/>
      <c r="M488" s="202"/>
      <c r="N488" s="202"/>
      <c r="O488" s="202"/>
      <c r="P488" s="28"/>
      <c r="Q488" s="72">
        <f>база!$L$5</f>
        <v>231.45480000000001</v>
      </c>
      <c r="R488" s="250">
        <v>1.4</v>
      </c>
      <c r="S488" s="92">
        <f>SUMIFS(Таблица1[сумма],Таблица1[коэф],"1,4",Таблица1[р/р],"4/16",Таблица1[Ф. И. О.],B484)</f>
        <v>0</v>
      </c>
      <c r="T488" s="88">
        <f>ROUND(Q488*R488*S488,2)</f>
        <v>0</v>
      </c>
      <c r="U488" s="292">
        <f>база!$M$5</f>
        <v>247.41720000000001</v>
      </c>
      <c r="V488" s="250">
        <v>1.4</v>
      </c>
      <c r="W488" s="285">
        <f>SUMIFS(Таблица1[сумма],Таблица1[коэф],"1,4",Таблица1[р/р],"4/24",Таблица1[Ф. И. О.],B484)</f>
        <v>0</v>
      </c>
      <c r="X488" s="291">
        <f>ROUND(U488*V488*W488,2)</f>
        <v>0</v>
      </c>
      <c r="Y488" s="803"/>
      <c r="Z488" s="794"/>
      <c r="AA488" s="797"/>
    </row>
    <row r="489" spans="1:29" ht="24" thickBot="1">
      <c r="A489" s="741"/>
      <c r="B489" s="329"/>
      <c r="C489" s="800"/>
      <c r="D489" s="802"/>
      <c r="E489" s="68"/>
      <c r="F489" s="249"/>
      <c r="G489" s="82"/>
      <c r="H489" s="96"/>
      <c r="I489" s="22"/>
      <c r="J489" s="256"/>
      <c r="K489" s="20"/>
      <c r="L489" s="287"/>
      <c r="M489" s="22"/>
      <c r="N489" s="20"/>
      <c r="O489" s="20"/>
      <c r="P489" s="260"/>
      <c r="Q489" s="65">
        <f>база!$L$6</f>
        <v>261.04640000000001</v>
      </c>
      <c r="R489" s="249">
        <v>1.4</v>
      </c>
      <c r="S489" s="90">
        <f>SUMIFS(Таблица1[сумма],Таблица1[коэф],"1,4",Таблица1[р/р],"5/16",Таблица1[Ф. И. О.],B484)</f>
        <v>0</v>
      </c>
      <c r="T489" s="96">
        <f>ROUND(Q489*R489*S489,2)</f>
        <v>0</v>
      </c>
      <c r="U489" s="75">
        <f>база!$M$6</f>
        <v>279.0496</v>
      </c>
      <c r="V489" s="250">
        <v>1.4</v>
      </c>
      <c r="W489" s="90">
        <f>SUMIFS(Таблица1[сумма],Таблица1[коэф],"1,4",Таблица1[р/р],"5/24",Таблица1[Ф. И. О.],B484)</f>
        <v>0</v>
      </c>
      <c r="X489" s="96">
        <f>ROUND(U489*V489*W489,2)</f>
        <v>0</v>
      </c>
      <c r="Y489" s="804"/>
      <c r="Z489" s="795"/>
      <c r="AA489" s="798"/>
    </row>
    <row r="490" spans="1:29">
      <c r="A490" s="739">
        <v>45</v>
      </c>
      <c r="B490" s="201"/>
      <c r="C490" s="805">
        <f>INDEX(база!$E$2:$E$81, MATCH(B495,база!$B$2:$B$50,0))</f>
        <v>16779</v>
      </c>
      <c r="D490" s="806">
        <f>INDEX(база!$D$2:$D$89, MATCH(B495,база!$B$2:$B$50,0))</f>
        <v>3</v>
      </c>
      <c r="E490" s="66">
        <f>IF(D490&lt;=3,база!$I$4,
IF(D490=4,база!$I$5,
IF(D490=5,база!$I$6)))</f>
        <v>188.7912</v>
      </c>
      <c r="F490" s="248">
        <v>1</v>
      </c>
      <c r="G490" s="89">
        <f>SUMIFS(Таблица1[сумма],Таблица1[коэф],"1",Таблица1[р/р],"2/4",Таблица1[Ф. И. О.],B495)</f>
        <v>0</v>
      </c>
      <c r="H490" s="81">
        <f>ROUND(E490*F490*G490,2)</f>
        <v>0</v>
      </c>
      <c r="I490" s="321">
        <f>IF(D490&lt;=3,база!$J$4,
IF(D490=4,база!$J$5,
IF(D490=5,база!$J$6)))</f>
        <v>196.05240000000001</v>
      </c>
      <c r="J490" s="256">
        <v>1</v>
      </c>
      <c r="K490" s="287">
        <f>SUMIFS(Таблица1[сумма],Таблица1[коэф],"1",Таблица1[р/р],"2/8",Таблица1[Ф. И. О.],B495)</f>
        <v>0</v>
      </c>
      <c r="L490" s="287">
        <f>ROUND(I490*J490*K490,2)</f>
        <v>0</v>
      </c>
      <c r="M490" s="287"/>
      <c r="N490" s="287">
        <v>1</v>
      </c>
      <c r="O490" s="287">
        <f>SUMIFS(Data_Tech!$AM$3:$AM$67,Data_Tech!$E$3:$E$67,"1",Data_Tech!$G$3:$G$67,"3/12",Data_Tech!$F$3:$F$67,B495)</f>
        <v>0</v>
      </c>
      <c r="P490" s="260">
        <f>ROUND(M490*N490*O490,2)</f>
        <v>0</v>
      </c>
      <c r="Q490" s="66">
        <f>IF(D490&lt;=3,база!$L$4,
IF(D490=4,база!$L$5,
IF(D490=5,база!$L$6)))</f>
        <v>210.57480000000001</v>
      </c>
      <c r="R490" s="248">
        <v>1</v>
      </c>
      <c r="S490" s="89">
        <f>SUMIFS(Таблица1[сумма],Таблица1[коэф],"1",Таблица1[р/р],"3/16",Таблица1[Ф. И. О.],B495)</f>
        <v>0</v>
      </c>
      <c r="T490" s="81">
        <f t="shared" ref="T490:T494" si="300">ROUND(Q490*R490*S490,2)</f>
        <v>0</v>
      </c>
      <c r="U490" s="326">
        <f>IF(D490&lt;=3,база!$M$4,
IF(D490=4,база!$M$5,
IF(D490=5,база!$M$6)))</f>
        <v>225.09719999999999</v>
      </c>
      <c r="V490" s="249">
        <v>1</v>
      </c>
      <c r="W490" s="314">
        <f>SUMIFS(Таблица1[сумма],Таблица1[коэф],"1",Таблица1[р/р],"3/24",Таблица1[Ф. И. О.],B495)</f>
        <v>0</v>
      </c>
      <c r="X490" s="319">
        <f>ROUND(U490*V490*W490,2)</f>
        <v>0</v>
      </c>
      <c r="Y490" s="803">
        <f t="shared" ref="Y490" si="301">SUM(G490:G500,K490:K500,O490:O500,S490:S500,W490:W500)</f>
        <v>0</v>
      </c>
      <c r="Z490" s="807">
        <f t="shared" ref="Z490" si="302">IFERROR(SUM(H490:H500,L490:L500,T490:T500,X490:X500),"")</f>
        <v>0</v>
      </c>
      <c r="AA490" s="797"/>
    </row>
    <row r="491" spans="1:29">
      <c r="A491" s="740"/>
      <c r="B491" s="201"/>
      <c r="C491" s="799"/>
      <c r="D491" s="801"/>
      <c r="E491" s="72">
        <f>IF(D490&lt;=3,база!$I$4,
IF(D490=4,база!$I$5,
IF(D490=5,база!$I$6)))</f>
        <v>188.7912</v>
      </c>
      <c r="F491" s="250">
        <v>1</v>
      </c>
      <c r="G491" s="92">
        <f>SUMIFS(Таблица1[сумма],Таблица1[коэф],"1",Таблица1[р/р],"3/4",Таблица1[Ф. И. О.],B495)</f>
        <v>0</v>
      </c>
      <c r="H491" s="88">
        <f>ROUND(E491*F491*G491,2)</f>
        <v>0</v>
      </c>
      <c r="I491" s="311">
        <f>IF(D490&lt;=3,база!$J$4,
IF(D490=4,база!$J$5,
IF(D490=5,база!$J$6)))</f>
        <v>196.05240000000001</v>
      </c>
      <c r="J491" s="257">
        <v>1</v>
      </c>
      <c r="K491" s="202"/>
      <c r="L491" s="202">
        <f>ROUND(I491*J491*K491,2)</f>
        <v>0</v>
      </c>
      <c r="M491" s="202"/>
      <c r="N491" s="202">
        <v>1</v>
      </c>
      <c r="O491" s="202">
        <f>SUMIFS(Data_Tech!$AM$3:$AM$67,Data_Tech!$E$3:$E$67,"1",Data_Tech!$G$3:$G$67,"4/12",Data_Tech!$F$3:$F$67,B495)</f>
        <v>0</v>
      </c>
      <c r="P491" s="28">
        <f>ROUND(M491*O491,2)</f>
        <v>0</v>
      </c>
      <c r="Q491" s="72">
        <f>база!$L$5</f>
        <v>231.45480000000001</v>
      </c>
      <c r="R491" s="250">
        <v>1</v>
      </c>
      <c r="S491" s="92">
        <f>SUMIFS(Таблица1[сумма],Таблица1[коэф],"1",Таблица1[р/р],"4/16",Таблица1[Ф. И. О.],B495)</f>
        <v>0</v>
      </c>
      <c r="T491" s="88">
        <f t="shared" si="300"/>
        <v>0</v>
      </c>
      <c r="U491" s="292">
        <f>база!$M$5</f>
        <v>247.41720000000001</v>
      </c>
      <c r="V491" s="250">
        <v>1</v>
      </c>
      <c r="W491" s="285">
        <f>SUMIFS(Таблица1[сумма],Таблица1[коэф],"1",Таблица1[р/р],"4/24",Таблица1[Ф. И. О.],B495)</f>
        <v>0</v>
      </c>
      <c r="X491" s="291">
        <f t="shared" ref="X491" si="303">ROUND(U491*V491*W491,2)</f>
        <v>0</v>
      </c>
      <c r="Y491" s="803"/>
      <c r="Z491" s="794"/>
      <c r="AA491" s="797"/>
    </row>
    <row r="492" spans="1:29">
      <c r="A492" s="740"/>
      <c r="B492" s="201"/>
      <c r="C492" s="799"/>
      <c r="D492" s="801"/>
      <c r="E492" s="72"/>
      <c r="F492" s="250"/>
      <c r="G492" s="92"/>
      <c r="H492" s="88"/>
      <c r="I492" s="311"/>
      <c r="J492" s="257"/>
      <c r="K492" s="202"/>
      <c r="L492" s="202"/>
      <c r="M492" s="202"/>
      <c r="N492" s="202"/>
      <c r="O492" s="202"/>
      <c r="P492" s="28"/>
      <c r="Q492" s="72">
        <f>база!$L$6</f>
        <v>261.04640000000001</v>
      </c>
      <c r="R492" s="250">
        <v>1</v>
      </c>
      <c r="S492" s="92">
        <f>SUMIFS(Таблица1[сумма],Таблица1[коэф],"1",Таблица1[р/р],"5/16",Таблица1[Ф. И. О.],B495)</f>
        <v>0</v>
      </c>
      <c r="T492" s="88">
        <f t="shared" si="300"/>
        <v>0</v>
      </c>
      <c r="U492" s="292">
        <f>база!$M$6</f>
        <v>279.0496</v>
      </c>
      <c r="V492" s="250">
        <v>1</v>
      </c>
      <c r="W492" s="285">
        <f>SUMIFS(Таблица1[сумма],Таблица1[коэф],"1",Таблица1[р/р],"5/24",Таблица1[Ф. И. О.],B495)</f>
        <v>0</v>
      </c>
      <c r="X492" s="291">
        <f>ROUND(U492*V492*W492,2)</f>
        <v>0</v>
      </c>
      <c r="Y492" s="803"/>
      <c r="Z492" s="794"/>
      <c r="AA492" s="797"/>
    </row>
    <row r="493" spans="1:29">
      <c r="A493" s="740"/>
      <c r="B493" s="201"/>
      <c r="C493" s="799"/>
      <c r="D493" s="801"/>
      <c r="E493" s="72"/>
      <c r="F493" s="250"/>
      <c r="G493" s="92"/>
      <c r="H493" s="88"/>
      <c r="I493" s="311">
        <f>база!$J$5</f>
        <v>215.4924</v>
      </c>
      <c r="J493" s="257">
        <v>1.5</v>
      </c>
      <c r="K493" s="202">
        <f>SUMIFS(Таблица1[сумма],Таблица1[коэф],"1,5",Таблица1[р/р],"4/8",Таблица1[Ф. И. О.],B495)</f>
        <v>0</v>
      </c>
      <c r="L493" s="202">
        <f>ROUND(I493*J493*K493,2)</f>
        <v>0</v>
      </c>
      <c r="M493" s="202"/>
      <c r="N493" s="202"/>
      <c r="O493" s="202"/>
      <c r="P493" s="28"/>
      <c r="Q493" s="72">
        <f>IF(D490&lt;=3,база!$L$4,
IF(D490=4,база!$L$5,
IF(D490=5,база!$L$6)))</f>
        <v>210.57480000000001</v>
      </c>
      <c r="R493" s="250">
        <v>1.2</v>
      </c>
      <c r="S493" s="92">
        <f>SUMIFS(Таблица1[сумма],Таблица1[коэф],"1,2",Таблица1[р/р],"3/16",Таблица1[Ф. И. О.],B495)</f>
        <v>0</v>
      </c>
      <c r="T493" s="88">
        <f t="shared" si="300"/>
        <v>0</v>
      </c>
      <c r="U493" s="292">
        <f>IF(D490&lt;=3,база!$M$4,
IF(D490=4,база!$M$5,
IF(D490=5,база!$M$6)))</f>
        <v>225.09719999999999</v>
      </c>
      <c r="V493" s="250">
        <v>1.2</v>
      </c>
      <c r="W493" s="285">
        <f>SUMIFS(Таблица1[сумма],Таблица1[коэф],"1,2",Таблица1[р/р],"3/24",Таблица1[Ф. И. О.],B495)</f>
        <v>0</v>
      </c>
      <c r="X493" s="291">
        <f t="shared" ref="X493:X494" si="304">ROUND(U493*V493*W493,2)</f>
        <v>0</v>
      </c>
      <c r="Y493" s="803"/>
      <c r="Z493" s="794"/>
      <c r="AA493" s="797"/>
    </row>
    <row r="494" spans="1:29">
      <c r="A494" s="740"/>
      <c r="B494" s="201"/>
      <c r="C494" s="799"/>
      <c r="D494" s="801"/>
      <c r="E494" s="72"/>
      <c r="F494" s="250"/>
      <c r="G494" s="92"/>
      <c r="H494" s="88"/>
      <c r="I494" s="311">
        <f>база!$J$6</f>
        <v>243.04319999999998</v>
      </c>
      <c r="J494" s="257">
        <v>1.5</v>
      </c>
      <c r="K494" s="202">
        <f>SUMIFS(Таблица1[сумма],Таблица1[коэф],"1,5",Таблица1[р/р],"5/8",Таблица1[Ф. И. О.],B495)</f>
        <v>0</v>
      </c>
      <c r="L494" s="202">
        <f>ROUND(I494*J494*K494,2)</f>
        <v>0</v>
      </c>
      <c r="M494" s="202"/>
      <c r="N494" s="202"/>
      <c r="O494" s="202"/>
      <c r="P494" s="28"/>
      <c r="Q494" s="72">
        <f>база!$L$5</f>
        <v>231.45480000000001</v>
      </c>
      <c r="R494" s="250">
        <v>1.2</v>
      </c>
      <c r="S494" s="92">
        <f>SUMIFS(Таблица1[сумма],Таблица1[коэф],"1,2",Таблица1[р/р],"4/16",Таблица1[Ф. И. О.],B495)</f>
        <v>0</v>
      </c>
      <c r="T494" s="88">
        <f t="shared" si="300"/>
        <v>0</v>
      </c>
      <c r="U494" s="292">
        <f>база!$M$5</f>
        <v>247.41720000000001</v>
      </c>
      <c r="V494" s="250">
        <v>1.2</v>
      </c>
      <c r="W494" s="285">
        <f>SUMIFS(Таблица1[сумма],Таблица1[коэф],"1,2",Таблица1[р/р],"4/24",Таблица1[Ф. И. О.],B495)</f>
        <v>0</v>
      </c>
      <c r="X494" s="291">
        <f t="shared" si="304"/>
        <v>0</v>
      </c>
      <c r="Y494" s="803"/>
      <c r="Z494" s="794"/>
      <c r="AA494" s="797"/>
      <c r="AC494" s="688" t="str">
        <f>IF(SUMIFS(Таблица1[Столбец2],Таблица1[Ф. И. О.],B495)-Z490=0,"",SUMIFS(Таблица1[Столбец2],Таблица1[Ф. И. О.],B495)-Z490)</f>
        <v/>
      </c>
    </row>
    <row r="495" spans="1:29">
      <c r="A495" s="740"/>
      <c r="B495" s="201" t="str">
        <f>база!B46</f>
        <v>Маркова Ольга Евгеньевна</v>
      </c>
      <c r="C495" s="799"/>
      <c r="D495" s="801"/>
      <c r="E495" s="72"/>
      <c r="F495" s="250"/>
      <c r="G495" s="92"/>
      <c r="H495" s="88"/>
      <c r="I495" s="311"/>
      <c r="J495" s="257"/>
      <c r="K495" s="202"/>
      <c r="L495" s="202"/>
      <c r="M495" s="202"/>
      <c r="N495" s="202"/>
      <c r="O495" s="202"/>
      <c r="P495" s="28"/>
      <c r="Q495" s="72">
        <f>база!$L$6</f>
        <v>261.04640000000001</v>
      </c>
      <c r="R495" s="250">
        <v>1.2</v>
      </c>
      <c r="S495" s="92">
        <f>SUMIFS(Таблица1[сумма],Таблица1[коэф],"1,2",Таблица1[р/р],"5/16",Таблица1[Ф. И. О.],B495)</f>
        <v>0</v>
      </c>
      <c r="T495" s="88">
        <f>ROUND(Q495*R495*S495,2)</f>
        <v>0</v>
      </c>
      <c r="U495" s="292">
        <f>база!$M$6</f>
        <v>279.0496</v>
      </c>
      <c r="V495" s="250">
        <v>1.2</v>
      </c>
      <c r="W495" s="285">
        <f>SUMIFS(Таблица1[сумма],Таблица1[коэф],"1,2",Таблица1[р/р],"5/24",Таблица1[Ф. И. О.],B495)</f>
        <v>0</v>
      </c>
      <c r="X495" s="291">
        <f>ROUND(U495*V495*W495,2)</f>
        <v>0</v>
      </c>
      <c r="Y495" s="803"/>
      <c r="Z495" s="794"/>
      <c r="AA495" s="797"/>
      <c r="AC495" s="688" t="str">
        <f>IF(SUMIFS(Таблица1[сумма],Таблица1[Ф. И. О.],B495)=Y490,"",B490&amp;"  часы не верны")</f>
        <v/>
      </c>
    </row>
    <row r="496" spans="1:29">
      <c r="A496" s="740"/>
      <c r="B496" s="201"/>
      <c r="C496" s="799"/>
      <c r="D496" s="801"/>
      <c r="E496" s="72"/>
      <c r="F496" s="250"/>
      <c r="G496" s="92"/>
      <c r="H496" s="88"/>
      <c r="I496" s="311"/>
      <c r="J496" s="257"/>
      <c r="K496" s="202"/>
      <c r="L496" s="202"/>
      <c r="M496" s="202"/>
      <c r="N496" s="202"/>
      <c r="O496" s="202"/>
      <c r="P496" s="28"/>
      <c r="Q496" s="72">
        <f>IF($D$6&lt;=3,база!$L$4,
IF($D$6=4,база!$L$5,
IF($D$6=5,база!$L$6)))</f>
        <v>231.45480000000001</v>
      </c>
      <c r="R496" s="250">
        <v>1.3</v>
      </c>
      <c r="S496" s="92">
        <f>SUMIFS(Таблица1[сумма],Таблица1[коэф],"1,3",Таблица1[р/р],"3/16",Таблица1[Ф. И. О.],B495)</f>
        <v>0</v>
      </c>
      <c r="T496" s="88">
        <f t="shared" ref="T496:T497" si="305">ROUND(Q496*R496*S496,2)</f>
        <v>0</v>
      </c>
      <c r="U496" s="292">
        <f>IF(D490&lt;=3,база!$M$4,
IF(D490=4,база!$M$5,
IF(D490=5,база!$M$6)))</f>
        <v>225.09719999999999</v>
      </c>
      <c r="V496" s="250">
        <v>1.3</v>
      </c>
      <c r="W496" s="285">
        <f>SUMIFS(Таблица1[сумма],Таблица1[коэф],"1,3",Таблица1[р/р],"3/24",Таблица1[Ф. И. О.],B495)</f>
        <v>0</v>
      </c>
      <c r="X496" s="291">
        <f t="shared" ref="X496:X497" si="306">ROUND(U496*V496*W496,2)</f>
        <v>0</v>
      </c>
      <c r="Y496" s="803"/>
      <c r="Z496" s="794"/>
      <c r="AA496" s="797"/>
    </row>
    <row r="497" spans="1:29">
      <c r="A497" s="740"/>
      <c r="B497" s="201"/>
      <c r="C497" s="799"/>
      <c r="D497" s="801"/>
      <c r="E497" s="72"/>
      <c r="F497" s="250"/>
      <c r="G497" s="92"/>
      <c r="H497" s="88"/>
      <c r="I497" s="311"/>
      <c r="J497" s="257"/>
      <c r="K497" s="202"/>
      <c r="L497" s="202"/>
      <c r="M497" s="202"/>
      <c r="N497" s="202"/>
      <c r="O497" s="202"/>
      <c r="P497" s="28"/>
      <c r="Q497" s="72">
        <f>база!$L$5</f>
        <v>231.45480000000001</v>
      </c>
      <c r="R497" s="250">
        <v>1.3</v>
      </c>
      <c r="S497" s="92">
        <f>SUMIFS(Таблица1[сумма],Таблица1[коэф],"1,3",Таблица1[р/р],"4/16",Таблица1[Ф. И. О.],B495)</f>
        <v>0</v>
      </c>
      <c r="T497" s="88">
        <f t="shared" si="305"/>
        <v>0</v>
      </c>
      <c r="U497" s="292">
        <f>база!$M$5</f>
        <v>247.41720000000001</v>
      </c>
      <c r="V497" s="250">
        <v>1.3</v>
      </c>
      <c r="W497" s="285">
        <f>SUMIFS(Таблица1[сумма],Таблица1[коэф],"1,3",Таблица1[р/р],"4/24",Таблица1[Ф. И. О.],B495)</f>
        <v>0</v>
      </c>
      <c r="X497" s="291">
        <f t="shared" si="306"/>
        <v>0</v>
      </c>
      <c r="Y497" s="803"/>
      <c r="Z497" s="794"/>
      <c r="AA497" s="797"/>
    </row>
    <row r="498" spans="1:29">
      <c r="A498" s="740"/>
      <c r="B498" s="201"/>
      <c r="C498" s="799"/>
      <c r="D498" s="801"/>
      <c r="E498" s="72"/>
      <c r="F498" s="250"/>
      <c r="G498" s="92"/>
      <c r="H498" s="88"/>
      <c r="I498" s="311"/>
      <c r="J498" s="257"/>
      <c r="K498" s="202"/>
      <c r="L498" s="202"/>
      <c r="M498" s="202"/>
      <c r="N498" s="202"/>
      <c r="O498" s="202"/>
      <c r="P498" s="28"/>
      <c r="Q498" s="72">
        <f>IF(D490&lt;=3,база!$L$4,
IF(D490=4,база!$L$5,
IF(D490=5,база!$L$6)))</f>
        <v>210.57480000000001</v>
      </c>
      <c r="R498" s="250">
        <v>1.4</v>
      </c>
      <c r="S498" s="92">
        <f>SUMIFS(Таблица1[сумма],Таблица1[коэф],"1,4",Таблица1[р/р],"3/16",Таблица1[Ф. И. О.],B495)</f>
        <v>0</v>
      </c>
      <c r="T498" s="88">
        <f>ROUND(Q498*R498*S498,2)</f>
        <v>0</v>
      </c>
      <c r="U498" s="292">
        <f>IF(D490&lt;=3,база!$M$4,
IF(D490=4,база!$M$5,
IF(D490=5,база!$M$6)))</f>
        <v>225.09719999999999</v>
      </c>
      <c r="V498" s="250">
        <v>1.4</v>
      </c>
      <c r="W498" s="285">
        <f>SUMIFS(Таблица1[сумма],Таблица1[коэф],"1,4",Таблица1[р/р],"3/24",Таблица1[Ф. И. О.],B495)</f>
        <v>0</v>
      </c>
      <c r="X498" s="291">
        <f>ROUND(U498*V498*W498,2)</f>
        <v>0</v>
      </c>
      <c r="Y498" s="803"/>
      <c r="Z498" s="794"/>
      <c r="AA498" s="797"/>
    </row>
    <row r="499" spans="1:29">
      <c r="A499" s="740"/>
      <c r="B499" s="201"/>
      <c r="C499" s="799"/>
      <c r="D499" s="801"/>
      <c r="E499" s="72"/>
      <c r="F499" s="250"/>
      <c r="G499" s="92"/>
      <c r="H499" s="88"/>
      <c r="I499" s="311"/>
      <c r="J499" s="257"/>
      <c r="K499" s="202"/>
      <c r="L499" s="202"/>
      <c r="M499" s="202"/>
      <c r="N499" s="202"/>
      <c r="O499" s="202"/>
      <c r="P499" s="28"/>
      <c r="Q499" s="72">
        <f>база!$L$5</f>
        <v>231.45480000000001</v>
      </c>
      <c r="R499" s="250">
        <v>1.4</v>
      </c>
      <c r="S499" s="92">
        <f>SUMIFS(Таблица1[сумма],Таблица1[коэф],"1,4",Таблица1[р/р],"4/16",Таблица1[Ф. И. О.],B495)</f>
        <v>0</v>
      </c>
      <c r="T499" s="88">
        <f>ROUND(Q499*R499*S499,2)</f>
        <v>0</v>
      </c>
      <c r="U499" s="292">
        <f>база!$M$5</f>
        <v>247.41720000000001</v>
      </c>
      <c r="V499" s="250">
        <v>1.4</v>
      </c>
      <c r="W499" s="285">
        <f>SUMIFS(Таблица1[сумма],Таблица1[коэф],"1,4",Таблица1[р/р],"4/24",Таблица1[Ф. И. О.],B495)</f>
        <v>0</v>
      </c>
      <c r="X499" s="291">
        <f>ROUND(U499*V499*W499,2)</f>
        <v>0</v>
      </c>
      <c r="Y499" s="803"/>
      <c r="Z499" s="794"/>
      <c r="AA499" s="797"/>
    </row>
    <row r="500" spans="1:29" ht="24" thickBot="1">
      <c r="A500" s="741"/>
      <c r="B500" s="329"/>
      <c r="C500" s="800"/>
      <c r="D500" s="802"/>
      <c r="E500" s="68"/>
      <c r="F500" s="249"/>
      <c r="G500" s="82"/>
      <c r="H500" s="96"/>
      <c r="I500" s="604"/>
      <c r="J500" s="258"/>
      <c r="K500" s="599"/>
      <c r="L500" s="267"/>
      <c r="M500" s="598"/>
      <c r="N500" s="599"/>
      <c r="O500" s="599"/>
      <c r="P500" s="293"/>
      <c r="Q500" s="600">
        <f>база!$L$6</f>
        <v>261.04640000000001</v>
      </c>
      <c r="R500" s="252">
        <v>1.4</v>
      </c>
      <c r="S500" s="91">
        <f>SUMIFS(Таблица1[сумма],Таблица1[коэф],"1,4",Таблица1[р/р],"5/16",Таблица1[Ф. И. О.],B495)</f>
        <v>0</v>
      </c>
      <c r="T500" s="84">
        <f>ROUND(Q500*R500*S500,2)</f>
        <v>0</v>
      </c>
      <c r="U500" s="206">
        <f>база!$M$6</f>
        <v>279.0496</v>
      </c>
      <c r="V500" s="252">
        <v>1.4</v>
      </c>
      <c r="W500" s="91">
        <f>SUMIFS(Таблица1[сумма],Таблица1[коэф],"1,4",Таблица1[р/р],"5/24",Таблица1[Ф. И. О.],B495)</f>
        <v>0</v>
      </c>
      <c r="X500" s="84">
        <f>ROUND(U500*V500*W500,2)</f>
        <v>0</v>
      </c>
      <c r="Y500" s="804"/>
      <c r="Z500" s="795"/>
      <c r="AA500" s="798"/>
    </row>
    <row r="501" spans="1:29">
      <c r="A501" s="739">
        <v>46</v>
      </c>
      <c r="B501" s="201"/>
      <c r="C501" s="805">
        <f>INDEX(база!$E$2:$E$81, MATCH(B506,база!$B$2:$B$50,0))</f>
        <v>16872</v>
      </c>
      <c r="D501" s="806">
        <f>INDEX(база!$D$2:$D$89, MATCH(B506,база!$B$2:$B$50,0))</f>
        <v>3</v>
      </c>
      <c r="E501" s="66">
        <f>IF(D501&lt;=3,база!$I$4,
IF(D501=4,база!$I$5,
IF(D501=5,база!$I$6)))</f>
        <v>188.7912</v>
      </c>
      <c r="F501" s="248">
        <v>1</v>
      </c>
      <c r="G501" s="89">
        <f>SUMIFS(Таблица1[сумма],Таблица1[коэф],"1",Таблица1[р/р],"2/4",Таблица1[Ф. И. О.],B506)</f>
        <v>0</v>
      </c>
      <c r="H501" s="81">
        <f>ROUND(E501*F501*G501,2)</f>
        <v>0</v>
      </c>
      <c r="I501" s="321">
        <f>IF(D501&lt;=3,база!$J$4,
IF(D501=4,база!$J$5,
IF(D501=5,база!$J$6)))</f>
        <v>196.05240000000001</v>
      </c>
      <c r="J501" s="256">
        <v>1</v>
      </c>
      <c r="K501" s="287">
        <f>SUMIFS(Таблица1[сумма],Таблица1[коэф],"1",Таблица1[р/р],"2/8",Таблица1[Ф. И. О.],B506)</f>
        <v>0</v>
      </c>
      <c r="L501" s="287">
        <f>ROUND(I501*J501*K501,2)</f>
        <v>0</v>
      </c>
      <c r="M501" s="287"/>
      <c r="N501" s="287">
        <v>1</v>
      </c>
      <c r="O501" s="287">
        <f>SUMIFS(Data_Tech!$AM$3:$AM$67,Data_Tech!$E$3:$E$67,"1",Data_Tech!$G$3:$G$67,"3/12",Data_Tech!$F$3:$F$67,B506)</f>
        <v>0</v>
      </c>
      <c r="P501" s="260">
        <f>ROUND(M501*N501*O501,2)</f>
        <v>0</v>
      </c>
      <c r="Q501" s="68">
        <f>IF(D501&lt;=3,база!$L$4,
IF(D501=4,база!$L$5,
IF(D501=5,база!$L$6)))</f>
        <v>210.57480000000001</v>
      </c>
      <c r="R501" s="249">
        <v>1</v>
      </c>
      <c r="S501" s="90">
        <f>SUMIFS(Таблица1[сумма],Таблица1[коэф],"1",Таблица1[р/р],"3/16",Таблица1[Ф. И. О.],B506)</f>
        <v>0</v>
      </c>
      <c r="T501" s="96">
        <f t="shared" ref="T501:T505" si="307">ROUND(Q501*R501*S501,2)</f>
        <v>0</v>
      </c>
      <c r="U501" s="326">
        <f>IF(D501&lt;=3,база!$M$4,
IF(D501=4,база!$M$5,
IF(D501=5,база!$M$6)))</f>
        <v>225.09719999999999</v>
      </c>
      <c r="V501" s="249">
        <v>1</v>
      </c>
      <c r="W501" s="314">
        <f>SUMIFS(Таблица1[сумма],Таблица1[коэф],"1",Таблица1[р/р],"3/24",Таблица1[Ф. И. О.],B506)</f>
        <v>0</v>
      </c>
      <c r="X501" s="328">
        <f>ROUND(U501*V501*W501,2)</f>
        <v>0</v>
      </c>
      <c r="Y501" s="803">
        <f t="shared" ref="Y501" si="308">SUM(G501:G511,K501:K511,O501:O511,S501:S511,W501:W511)</f>
        <v>0</v>
      </c>
      <c r="Z501" s="807">
        <f t="shared" ref="Z501" si="309">IFERROR(SUM(H501:H511,L501:L511,T501:T511,X501:X511),"")</f>
        <v>0</v>
      </c>
      <c r="AA501" s="797"/>
    </row>
    <row r="502" spans="1:29">
      <c r="A502" s="740"/>
      <c r="B502" s="201"/>
      <c r="C502" s="799"/>
      <c r="D502" s="801"/>
      <c r="E502" s="72">
        <f>IF(D501&lt;=3,база!$I$4,
IF(D501=4,база!$I$5,
IF(D501=5,база!$I$6)))</f>
        <v>188.7912</v>
      </c>
      <c r="F502" s="250">
        <v>1</v>
      </c>
      <c r="G502" s="92">
        <f>SUMIFS(Таблица1[сумма],Таблица1[коэф],"1",Таблица1[р/р],"3/4",Таблица1[Ф. И. О.],B506)</f>
        <v>0</v>
      </c>
      <c r="H502" s="88">
        <f>ROUND(E502*F502*G502,2)</f>
        <v>0</v>
      </c>
      <c r="I502" s="311">
        <f>IF(D501&lt;=3,база!$J$4,
IF(D501=4,база!$J$5,
IF(D501=5,база!$J$6)))</f>
        <v>196.05240000000001</v>
      </c>
      <c r="J502" s="257">
        <v>1</v>
      </c>
      <c r="K502" s="202"/>
      <c r="L502" s="202">
        <f>ROUND(I502*J502*K502,2)</f>
        <v>0</v>
      </c>
      <c r="M502" s="202"/>
      <c r="N502" s="202">
        <v>1</v>
      </c>
      <c r="O502" s="202">
        <f>SUMIFS(Data_Tech!$AM$3:$AM$67,Data_Tech!$E$3:$E$67,"1",Data_Tech!$G$3:$G$67,"4/12",Data_Tech!$F$3:$F$67,B506)</f>
        <v>0</v>
      </c>
      <c r="P502" s="28">
        <f>ROUND(M502*O502,2)</f>
        <v>0</v>
      </c>
      <c r="Q502" s="72">
        <f>база!$L$5</f>
        <v>231.45480000000001</v>
      </c>
      <c r="R502" s="250">
        <v>1</v>
      </c>
      <c r="S502" s="92">
        <f>SUMIFS(Таблица1[сумма],Таблица1[коэф],"1",Таблица1[р/р],"4/16",Таблица1[Ф. И. О.],B506)</f>
        <v>0</v>
      </c>
      <c r="T502" s="88">
        <f t="shared" si="307"/>
        <v>0</v>
      </c>
      <c r="U502" s="292">
        <f>база!$M$5</f>
        <v>247.41720000000001</v>
      </c>
      <c r="V502" s="250">
        <v>1</v>
      </c>
      <c r="W502" s="285">
        <f>SUMIFS(Таблица1[сумма],Таблица1[коэф],"1",Таблица1[р/р],"4/24",Таблица1[Ф. И. О.],B506)</f>
        <v>0</v>
      </c>
      <c r="X502" s="291">
        <f t="shared" ref="X502" si="310">ROUND(U502*V502*W502,2)</f>
        <v>0</v>
      </c>
      <c r="Y502" s="803"/>
      <c r="Z502" s="794"/>
      <c r="AA502" s="797"/>
    </row>
    <row r="503" spans="1:29" ht="24" thickBot="1">
      <c r="A503" s="740"/>
      <c r="B503" s="201"/>
      <c r="C503" s="799"/>
      <c r="D503" s="801"/>
      <c r="E503" s="72"/>
      <c r="F503" s="250"/>
      <c r="G503" s="92"/>
      <c r="H503" s="88"/>
      <c r="I503" s="311"/>
      <c r="J503" s="257"/>
      <c r="K503" s="202"/>
      <c r="L503" s="202"/>
      <c r="M503" s="202"/>
      <c r="N503" s="202"/>
      <c r="O503" s="202"/>
      <c r="P503" s="28"/>
      <c r="Q503" s="72">
        <f>база!$L$6</f>
        <v>261.04640000000001</v>
      </c>
      <c r="R503" s="250">
        <v>1</v>
      </c>
      <c r="S503" s="92">
        <f>SUMIFS(Таблица1[сумма],Таблица1[коэф],"1",Таблица1[р/р],"5/16",Таблица1[Ф. И. О.],B506)</f>
        <v>0</v>
      </c>
      <c r="T503" s="88">
        <f t="shared" si="307"/>
        <v>0</v>
      </c>
      <c r="U503" s="292">
        <f>база!$M$6</f>
        <v>279.0496</v>
      </c>
      <c r="V503" s="250">
        <v>1</v>
      </c>
      <c r="W503" s="285">
        <f>SUMIFS(Таблица1[сумма],Таблица1[коэф],"1",Таблица1[р/р],"5/24",Таблица1[Ф. И. О.],B506)</f>
        <v>0</v>
      </c>
      <c r="X503" s="291">
        <f>ROUND(U503*V503*W503,2)</f>
        <v>0</v>
      </c>
      <c r="Y503" s="803"/>
      <c r="Z503" s="794"/>
      <c r="AA503" s="797"/>
    </row>
    <row r="504" spans="1:29" ht="24" thickBot="1">
      <c r="A504" s="740"/>
      <c r="B504" s="201"/>
      <c r="C504" s="799"/>
      <c r="D504" s="801"/>
      <c r="E504" s="72"/>
      <c r="F504" s="250"/>
      <c r="G504" s="92"/>
      <c r="H504" s="88"/>
      <c r="I504" s="311">
        <f>база!$J$5</f>
        <v>215.4924</v>
      </c>
      <c r="J504" s="257">
        <v>1.5</v>
      </c>
      <c r="K504" s="202">
        <f>SUMIFS(Таблица1[сумма],Таблица1[коэф],"1,5",Таблица1[р/р],"4/8",Таблица1[Ф. И. О.],B506)</f>
        <v>0</v>
      </c>
      <c r="L504" s="202">
        <f>ROUND(I504*J504*K504,2)</f>
        <v>0</v>
      </c>
      <c r="M504" s="202"/>
      <c r="N504" s="202"/>
      <c r="O504" s="202"/>
      <c r="P504" s="28"/>
      <c r="Q504" s="72">
        <f>IF(D501&lt;=3,база!$L$4,
IF(D501=4,база!$L$5,
IF(D501=5,база!$L$6)))</f>
        <v>210.57480000000001</v>
      </c>
      <c r="R504" s="250">
        <v>1.2</v>
      </c>
      <c r="S504" s="92">
        <f>SUMIFS(Таблица1[сумма],Таблица1[коэф],"1,2",Таблица1[р/р],"3/16",Таблица1[Ф. И. О.],B506)</f>
        <v>0</v>
      </c>
      <c r="T504" s="88">
        <f t="shared" si="307"/>
        <v>0</v>
      </c>
      <c r="U504" s="292">
        <f>IF(D501&lt;=3,база!$M$4,
IF(D501=4,база!$M$5,
IF(D501=5,база!$M$6)))</f>
        <v>225.09719999999999</v>
      </c>
      <c r="V504" s="250">
        <v>1.2</v>
      </c>
      <c r="W504" s="285">
        <f>SUMIFS(Таблица1[сумма],Таблица1[коэф],"1,2",Таблица1[р/р],"3/24",Таблица1[Ф. И. О.],B506)</f>
        <v>0</v>
      </c>
      <c r="X504" s="291">
        <f t="shared" ref="X504:X505" si="311">ROUND(U504*V504*W504,2)</f>
        <v>0</v>
      </c>
      <c r="Y504" s="803"/>
      <c r="Z504" s="794"/>
      <c r="AA504" s="797"/>
    </row>
    <row r="505" spans="1:29" ht="24" thickBot="1">
      <c r="A505" s="740"/>
      <c r="B505" s="201"/>
      <c r="C505" s="799"/>
      <c r="D505" s="801"/>
      <c r="E505" s="72"/>
      <c r="F505" s="250"/>
      <c r="G505" s="92"/>
      <c r="H505" s="88"/>
      <c r="I505" s="311">
        <f>база!$J$6</f>
        <v>243.04319999999998</v>
      </c>
      <c r="J505" s="257">
        <v>1.5</v>
      </c>
      <c r="K505" s="202">
        <f>SUMIFS(Таблица1[сумма],Таблица1[коэф],"1,5",Таблица1[р/р],"5/8",Таблица1[Ф. И. О.],B506)</f>
        <v>0</v>
      </c>
      <c r="L505" s="202">
        <f>ROUND(I505*J505*K505,2)</f>
        <v>0</v>
      </c>
      <c r="M505" s="202"/>
      <c r="N505" s="202"/>
      <c r="O505" s="202"/>
      <c r="P505" s="28"/>
      <c r="Q505" s="72">
        <f>база!$L$5</f>
        <v>231.45480000000001</v>
      </c>
      <c r="R505" s="250">
        <v>1.2</v>
      </c>
      <c r="S505" s="92">
        <f>SUMIFS(Таблица1[сумма],Таблица1[коэф],"1,2",Таблица1[р/р],"4/16",Таблица1[Ф. И. О.],B506)</f>
        <v>0</v>
      </c>
      <c r="T505" s="88">
        <f t="shared" si="307"/>
        <v>0</v>
      </c>
      <c r="U505" s="292">
        <f>база!$M$5</f>
        <v>247.41720000000001</v>
      </c>
      <c r="V505" s="250">
        <v>1.2</v>
      </c>
      <c r="W505" s="285">
        <f>SUMIFS(Таблица1[сумма],Таблица1[коэф],"1,2",Таблица1[р/р],"4/24",Таблица1[Ф. И. О.],B506)</f>
        <v>0</v>
      </c>
      <c r="X505" s="291">
        <f t="shared" si="311"/>
        <v>0</v>
      </c>
      <c r="Y505" s="803"/>
      <c r="Z505" s="794"/>
      <c r="AA505" s="797"/>
      <c r="AC505" s="688" t="str">
        <f>IF(SUMIFS(Таблица1[Столбец2],Таблица1[Ф. И. О.],B506)-Z501=0,"",SUMIFS(Таблица1[Столбец2],Таблица1[Ф. И. О.],B506)-Z501)</f>
        <v/>
      </c>
    </row>
    <row r="506" spans="1:29" ht="24" thickBot="1">
      <c r="A506" s="740"/>
      <c r="B506" s="201" t="str">
        <f>база!B47</f>
        <v>Марченко Ирина Вячеславовна</v>
      </c>
      <c r="C506" s="799"/>
      <c r="D506" s="801"/>
      <c r="E506" s="72"/>
      <c r="F506" s="250"/>
      <c r="G506" s="92"/>
      <c r="H506" s="88"/>
      <c r="I506" s="311"/>
      <c r="J506" s="257"/>
      <c r="K506" s="202"/>
      <c r="L506" s="202"/>
      <c r="M506" s="202"/>
      <c r="N506" s="202"/>
      <c r="O506" s="202"/>
      <c r="P506" s="28"/>
      <c r="Q506" s="72">
        <f>база!$L$6</f>
        <v>261.04640000000001</v>
      </c>
      <c r="R506" s="250">
        <v>1.2</v>
      </c>
      <c r="S506" s="92">
        <f>SUMIFS(Таблица1[сумма],Таблица1[коэф],"1,2",Таблица1[р/р],"5/16",Таблица1[Ф. И. О.],B506)</f>
        <v>0</v>
      </c>
      <c r="T506" s="88">
        <f>ROUND(Q506*R506*S506,2)</f>
        <v>0</v>
      </c>
      <c r="U506" s="292">
        <f>база!$M$6</f>
        <v>279.0496</v>
      </c>
      <c r="V506" s="250">
        <v>1.2</v>
      </c>
      <c r="W506" s="285">
        <f>SUMIFS(Таблица1[сумма],Таблица1[коэф],"1,2",Таблица1[р/р],"5/24",Таблица1[Ф. И. О.],B506)</f>
        <v>0</v>
      </c>
      <c r="X506" s="291">
        <f>ROUND(U506*V506*W506,2)</f>
        <v>0</v>
      </c>
      <c r="Y506" s="803"/>
      <c r="Z506" s="794"/>
      <c r="AA506" s="797"/>
      <c r="AC506" s="688" t="str">
        <f>IF(SUMIFS(Таблица1[сумма],Таблица1[Ф. И. О.],B506)=Y501,"",B501&amp;"  часы не верны")</f>
        <v/>
      </c>
    </row>
    <row r="507" spans="1:29" ht="24" thickBot="1">
      <c r="A507" s="740"/>
      <c r="B507" s="201"/>
      <c r="C507" s="799"/>
      <c r="D507" s="801"/>
      <c r="E507" s="72"/>
      <c r="F507" s="250"/>
      <c r="G507" s="92"/>
      <c r="H507" s="88"/>
      <c r="I507" s="311"/>
      <c r="J507" s="257"/>
      <c r="K507" s="202"/>
      <c r="L507" s="202"/>
      <c r="M507" s="202"/>
      <c r="N507" s="202"/>
      <c r="O507" s="202"/>
      <c r="P507" s="28"/>
      <c r="Q507" s="72">
        <f>IF($D$6&lt;=3,база!$L$4,
IF($D$6=4,база!$L$5,
IF($D$6=5,база!$L$6)))</f>
        <v>231.45480000000001</v>
      </c>
      <c r="R507" s="250">
        <v>1.3</v>
      </c>
      <c r="S507" s="92">
        <f>SUMIFS(Таблица1[сумма],Таблица1[коэф],"1,3",Таблица1[р/р],"3/16",Таблица1[Ф. И. О.],B506)</f>
        <v>0</v>
      </c>
      <c r="T507" s="88">
        <f t="shared" ref="T507:T508" si="312">ROUND(Q507*R507*S507,2)</f>
        <v>0</v>
      </c>
      <c r="U507" s="292">
        <f>IF(D501&lt;=3,база!$M$4,
IF(D501=4,база!$M$5,
IF(D501=5,база!$M$6)))</f>
        <v>225.09719999999999</v>
      </c>
      <c r="V507" s="250">
        <v>1.3</v>
      </c>
      <c r="W507" s="285">
        <f>SUMIFS(Таблица1[сумма],Таблица1[коэф],"1,3",Таблица1[р/р],"3/24",Таблица1[Ф. И. О.],B506)</f>
        <v>0</v>
      </c>
      <c r="X507" s="291">
        <f t="shared" ref="X507:X508" si="313">ROUND(U507*V507*W507,2)</f>
        <v>0</v>
      </c>
      <c r="Y507" s="803"/>
      <c r="Z507" s="794"/>
      <c r="AA507" s="797"/>
    </row>
    <row r="508" spans="1:29" ht="24" thickBot="1">
      <c r="A508" s="740"/>
      <c r="B508" s="201"/>
      <c r="C508" s="799"/>
      <c r="D508" s="801"/>
      <c r="E508" s="72"/>
      <c r="F508" s="250"/>
      <c r="G508" s="92"/>
      <c r="H508" s="88"/>
      <c r="I508" s="311"/>
      <c r="J508" s="257"/>
      <c r="K508" s="202"/>
      <c r="L508" s="202"/>
      <c r="M508" s="202"/>
      <c r="N508" s="202"/>
      <c r="O508" s="202"/>
      <c r="P508" s="28"/>
      <c r="Q508" s="72">
        <f>база!$L$5</f>
        <v>231.45480000000001</v>
      </c>
      <c r="R508" s="250">
        <v>1.3</v>
      </c>
      <c r="S508" s="92">
        <f>SUMIFS(Таблица1[сумма],Таблица1[коэф],"1,3",Таблица1[р/р],"4/16",Таблица1[Ф. И. О.],B506)</f>
        <v>0</v>
      </c>
      <c r="T508" s="88">
        <f t="shared" si="312"/>
        <v>0</v>
      </c>
      <c r="U508" s="292">
        <f>база!$M$5</f>
        <v>247.41720000000001</v>
      </c>
      <c r="V508" s="250">
        <v>1.3</v>
      </c>
      <c r="W508" s="285">
        <f>SUMIFS(Таблица1[сумма],Таблица1[коэф],"1,3",Таблица1[р/р],"4/24",Таблица1[Ф. И. О.],B506)</f>
        <v>0</v>
      </c>
      <c r="X508" s="291">
        <f t="shared" si="313"/>
        <v>0</v>
      </c>
      <c r="Y508" s="803"/>
      <c r="Z508" s="794"/>
      <c r="AA508" s="797"/>
    </row>
    <row r="509" spans="1:29" ht="24" thickBot="1">
      <c r="A509" s="740"/>
      <c r="B509" s="201"/>
      <c r="C509" s="799"/>
      <c r="D509" s="801"/>
      <c r="E509" s="72"/>
      <c r="F509" s="250"/>
      <c r="G509" s="92"/>
      <c r="H509" s="88"/>
      <c r="I509" s="311"/>
      <c r="J509" s="257"/>
      <c r="K509" s="202"/>
      <c r="L509" s="202"/>
      <c r="M509" s="202"/>
      <c r="N509" s="202"/>
      <c r="O509" s="202"/>
      <c r="P509" s="28"/>
      <c r="Q509" s="72">
        <f>IF(D501&lt;=3,база!$L$4,
IF(D501=4,база!$L$5,
IF(D501=5,база!$L$6)))</f>
        <v>210.57480000000001</v>
      </c>
      <c r="R509" s="250">
        <v>1.4</v>
      </c>
      <c r="S509" s="92">
        <f>SUMIFS(Таблица1[сумма],Таблица1[коэф],"1,4",Таблица1[р/р],"3/16",Таблица1[Ф. И. О.],B506)</f>
        <v>0</v>
      </c>
      <c r="T509" s="88">
        <f>ROUND(Q509*R509*S509,2)</f>
        <v>0</v>
      </c>
      <c r="U509" s="292">
        <f>IF(D501&lt;=3,база!$M$4,
IF(D501=4,база!$M$5,
IF(D501=5,база!$M$6)))</f>
        <v>225.09719999999999</v>
      </c>
      <c r="V509" s="250">
        <v>1.4</v>
      </c>
      <c r="W509" s="285">
        <f>SUMIFS(Таблица1[сумма],Таблица1[коэф],"1,4",Таблица1[р/р],"3/24",Таблица1[Ф. И. О.],B506)</f>
        <v>0</v>
      </c>
      <c r="X509" s="291">
        <f>ROUND(U509*V509*W509,2)</f>
        <v>0</v>
      </c>
      <c r="Y509" s="803"/>
      <c r="Z509" s="794"/>
      <c r="AA509" s="797"/>
    </row>
    <row r="510" spans="1:29" ht="24" thickBot="1">
      <c r="A510" s="740"/>
      <c r="B510" s="201"/>
      <c r="C510" s="799"/>
      <c r="D510" s="801"/>
      <c r="E510" s="72"/>
      <c r="F510" s="250"/>
      <c r="G510" s="92"/>
      <c r="H510" s="88"/>
      <c r="I510" s="311"/>
      <c r="J510" s="257"/>
      <c r="K510" s="202"/>
      <c r="L510" s="202"/>
      <c r="M510" s="202"/>
      <c r="N510" s="202"/>
      <c r="O510" s="202"/>
      <c r="P510" s="28"/>
      <c r="Q510" s="72">
        <f>база!$L$5</f>
        <v>231.45480000000001</v>
      </c>
      <c r="R510" s="250">
        <v>1.4</v>
      </c>
      <c r="S510" s="92">
        <f>SUMIFS(Таблица1[сумма],Таблица1[коэф],"1,4",Таблица1[р/р],"4/16",Таблица1[Ф. И. О.],B506)</f>
        <v>0</v>
      </c>
      <c r="T510" s="88">
        <f>ROUND(Q510*R510*S510,2)</f>
        <v>0</v>
      </c>
      <c r="U510" s="292">
        <f>база!$M$5</f>
        <v>247.41720000000001</v>
      </c>
      <c r="V510" s="250">
        <v>1.4</v>
      </c>
      <c r="W510" s="285">
        <f>SUMIFS(Таблица1[сумма],Таблица1[коэф],"1,4",Таблица1[р/р],"4/24",Таблица1[Ф. И. О.],B506)</f>
        <v>0</v>
      </c>
      <c r="X510" s="291">
        <f>ROUND(U510*V510*W510,2)</f>
        <v>0</v>
      </c>
      <c r="Y510" s="803"/>
      <c r="Z510" s="794"/>
      <c r="AA510" s="797"/>
    </row>
    <row r="511" spans="1:29" ht="24" thickBot="1">
      <c r="A511" s="741"/>
      <c r="B511" s="329"/>
      <c r="C511" s="800"/>
      <c r="D511" s="802"/>
      <c r="E511" s="68"/>
      <c r="F511" s="249"/>
      <c r="G511" s="82"/>
      <c r="H511" s="96"/>
      <c r="I511" s="604"/>
      <c r="J511" s="258"/>
      <c r="K511" s="599"/>
      <c r="L511" s="267"/>
      <c r="M511" s="598"/>
      <c r="N511" s="599"/>
      <c r="O511" s="599"/>
      <c r="P511" s="293"/>
      <c r="Q511" s="600">
        <f>база!$L$6</f>
        <v>261.04640000000001</v>
      </c>
      <c r="R511" s="252">
        <v>1.4</v>
      </c>
      <c r="S511" s="91">
        <f>SUMIFS(Таблица1[сумма],Таблица1[коэф],"1,4",Таблица1[р/р],"5/16",Таблица1[Ф. И. О.],B506)</f>
        <v>0</v>
      </c>
      <c r="T511" s="84">
        <f>ROUND(Q511*R511*S511,2)</f>
        <v>0</v>
      </c>
      <c r="U511" s="206">
        <f>база!$M$6</f>
        <v>279.0496</v>
      </c>
      <c r="V511" s="252">
        <v>1.4</v>
      </c>
      <c r="W511" s="91">
        <f>SUMIFS(Таблица1[сумма],Таблица1[коэф],"1,4",Таблица1[р/р],"5/24",Таблица1[Ф. И. О.],B506)</f>
        <v>0</v>
      </c>
      <c r="X511" s="96">
        <f>ROUND(U511*V511*W511,2)</f>
        <v>0</v>
      </c>
      <c r="Y511" s="804"/>
      <c r="Z511" s="795"/>
      <c r="AA511" s="798"/>
    </row>
    <row r="512" spans="1:29">
      <c r="A512" s="739">
        <v>47</v>
      </c>
      <c r="B512" s="201"/>
      <c r="C512" s="805">
        <f>INDEX(база!$E$2:$E$81, MATCH(B517,база!$B$2:$B$50,0))</f>
        <v>15082</v>
      </c>
      <c r="D512" s="806">
        <f>INDEX(база!$D$2:$D$89, MATCH(B517,база!$B$2:$B$50,0))</f>
        <v>3</v>
      </c>
      <c r="E512" s="66">
        <f>IF(D512&lt;=3,база!$I$4,
IF(D512=4,база!$I$5,
IF(D512=5,база!$I$6)))</f>
        <v>188.7912</v>
      </c>
      <c r="F512" s="248">
        <v>1</v>
      </c>
      <c r="G512" s="89">
        <f>SUMIFS(Таблица1[сумма],Таблица1[коэф],"1",Таблица1[р/р],"2/4",Таблица1[Ф. И. О.],B517)</f>
        <v>0</v>
      </c>
      <c r="H512" s="81">
        <f>ROUND(E512*F512*G512,2)</f>
        <v>0</v>
      </c>
      <c r="I512" s="321">
        <f>IF(D512&lt;=3,база!$J$4,
IF(D512=4,база!$J$5,
IF(D512=5,база!$J$6)))</f>
        <v>196.05240000000001</v>
      </c>
      <c r="J512" s="256">
        <v>1</v>
      </c>
      <c r="K512" s="287">
        <f>SUMIFS(Таблица1[сумма],Таблица1[коэф],"1",Таблица1[р/р],"2/8",Таблица1[Ф. И. О.],B517)</f>
        <v>0</v>
      </c>
      <c r="L512" s="287">
        <f>ROUND(I512*J512*K512,2)</f>
        <v>0</v>
      </c>
      <c r="M512" s="287"/>
      <c r="N512" s="287">
        <v>1</v>
      </c>
      <c r="O512" s="287">
        <f>SUMIFS(Data_Tech!$AM$3:$AM$67,Data_Tech!$E$3:$E$67,"1",Data_Tech!$G$3:$G$67,"3/12",Data_Tech!$F$3:$F$67,B517)</f>
        <v>0</v>
      </c>
      <c r="P512" s="260">
        <f>ROUND(M512*N512*O512,2)</f>
        <v>0</v>
      </c>
      <c r="Q512" s="68">
        <f>IF(D512&lt;=3,база!$L$4,
IF(D512=4,база!$L$5,
IF(D512=5,база!$L$6)))</f>
        <v>210.57480000000001</v>
      </c>
      <c r="R512" s="249">
        <v>1</v>
      </c>
      <c r="S512" s="90">
        <f>SUMIFS(Таблица1[сумма],Таблица1[коэф],"1",Таблица1[р/р],"3/16",Таблица1[Ф. И. О.],B517)</f>
        <v>0</v>
      </c>
      <c r="T512" s="96">
        <f t="shared" ref="T512:T516" si="314">ROUND(Q512*R512*S512,2)</f>
        <v>0</v>
      </c>
      <c r="U512" s="326">
        <f>IF(D512&lt;=3,база!$M$4,
IF(D512=4,база!$M$5,
IF(D512=5,база!$M$6)))</f>
        <v>225.09719999999999</v>
      </c>
      <c r="V512" s="249">
        <v>1</v>
      </c>
      <c r="W512" s="314">
        <f>SUMIFS(Таблица1[сумма],Таблица1[коэф],"1",Таблица1[р/р],"3/24",Таблица1[Ф. И. О.],B517)</f>
        <v>0</v>
      </c>
      <c r="X512" s="319">
        <f>ROUND(U512*V512*W512,2)</f>
        <v>0</v>
      </c>
      <c r="Y512" s="803">
        <f t="shared" ref="Y512" si="315">SUM(G512:G522,K512:K522,O512:O522,S512:S522,W512:W522)</f>
        <v>0</v>
      </c>
      <c r="Z512" s="807">
        <f t="shared" ref="Z512" si="316">IFERROR(SUM(H512:H522,L512:L522,T512:T522,X512:X522),"")</f>
        <v>0</v>
      </c>
      <c r="AA512" s="797"/>
    </row>
    <row r="513" spans="1:29">
      <c r="A513" s="740"/>
      <c r="B513" s="201"/>
      <c r="C513" s="799"/>
      <c r="D513" s="801"/>
      <c r="E513" s="72">
        <f>IF(D512&lt;=3,база!$I$4,
IF(D512=4,база!$I$5,
IF(D512=5,база!$I$6)))</f>
        <v>188.7912</v>
      </c>
      <c r="F513" s="250">
        <v>1</v>
      </c>
      <c r="G513" s="92">
        <f>SUMIFS(Таблица1[сумма],Таблица1[коэф],"1",Таблица1[р/р],"3/4",Таблица1[Ф. И. О.],B517)</f>
        <v>0</v>
      </c>
      <c r="H513" s="88">
        <f>ROUND(E513*F513*G513,2)</f>
        <v>0</v>
      </c>
      <c r="I513" s="311">
        <f>IF(D512&lt;=3,база!$J$4,
IF(D512=4,база!$J$5,
IF(D512=5,база!$J$6)))</f>
        <v>196.05240000000001</v>
      </c>
      <c r="J513" s="257">
        <v>1</v>
      </c>
      <c r="K513" s="202"/>
      <c r="L513" s="202">
        <f>ROUND(I513*J513*K513,2)</f>
        <v>0</v>
      </c>
      <c r="M513" s="202"/>
      <c r="N513" s="202">
        <v>1</v>
      </c>
      <c r="O513" s="202">
        <f>SUMIFS(Data_Tech!$AM$3:$AM$67,Data_Tech!$E$3:$E$67,"1",Data_Tech!$G$3:$G$67,"4/12",Data_Tech!$F$3:$F$67,B517)</f>
        <v>0</v>
      </c>
      <c r="P513" s="28">
        <f>ROUND(M513*O513,2)</f>
        <v>0</v>
      </c>
      <c r="Q513" s="72">
        <f>база!$L$5</f>
        <v>231.45480000000001</v>
      </c>
      <c r="R513" s="250">
        <v>1</v>
      </c>
      <c r="S513" s="92">
        <f>SUMIFS(Таблица1[сумма],Таблица1[коэф],"1",Таблица1[р/р],"4/16",Таблица1[Ф. И. О.],B517)</f>
        <v>0</v>
      </c>
      <c r="T513" s="88">
        <f t="shared" si="314"/>
        <v>0</v>
      </c>
      <c r="U513" s="292">
        <f>база!$M$5</f>
        <v>247.41720000000001</v>
      </c>
      <c r="V513" s="250">
        <v>1</v>
      </c>
      <c r="W513" s="285">
        <f>SUMIFS(Таблица1[сумма],Таблица1[коэф],"1",Таблица1[р/р],"4/24",Таблица1[Ф. И. О.],B517)</f>
        <v>0</v>
      </c>
      <c r="X513" s="291">
        <f t="shared" ref="X513" si="317">ROUND(U513*V513*W513,2)</f>
        <v>0</v>
      </c>
      <c r="Y513" s="803"/>
      <c r="Z513" s="794"/>
      <c r="AA513" s="797"/>
    </row>
    <row r="514" spans="1:29" ht="24" thickBot="1">
      <c r="A514" s="740"/>
      <c r="B514" s="201"/>
      <c r="C514" s="799"/>
      <c r="D514" s="801"/>
      <c r="E514" s="72"/>
      <c r="F514" s="250"/>
      <c r="G514" s="92"/>
      <c r="H514" s="88"/>
      <c r="I514" s="311"/>
      <c r="J514" s="257"/>
      <c r="K514" s="202"/>
      <c r="L514" s="202"/>
      <c r="M514" s="202"/>
      <c r="N514" s="202"/>
      <c r="O514" s="202"/>
      <c r="P514" s="28"/>
      <c r="Q514" s="72">
        <f>база!$L$6</f>
        <v>261.04640000000001</v>
      </c>
      <c r="R514" s="250">
        <v>1</v>
      </c>
      <c r="S514" s="92">
        <f>SUMIFS(Таблица1[сумма],Таблица1[коэф],"1",Таблица1[р/р],"5/16",Таблица1[Ф. И. О.],B517)</f>
        <v>0</v>
      </c>
      <c r="T514" s="88">
        <f t="shared" si="314"/>
        <v>0</v>
      </c>
      <c r="U514" s="292">
        <f>база!$M$6</f>
        <v>279.0496</v>
      </c>
      <c r="V514" s="250">
        <v>1</v>
      </c>
      <c r="W514" s="285">
        <f>SUMIFS(Таблица1[сумма],Таблица1[коэф],"1",Таблица1[р/р],"5/24",Таблица1[Ф. И. О.],B517)</f>
        <v>0</v>
      </c>
      <c r="X514" s="291">
        <f>ROUND(U514*V514*W514,2)</f>
        <v>0</v>
      </c>
      <c r="Y514" s="803"/>
      <c r="Z514" s="794"/>
      <c r="AA514" s="797"/>
    </row>
    <row r="515" spans="1:29" ht="24" thickBot="1">
      <c r="A515" s="740"/>
      <c r="B515" s="201"/>
      <c r="C515" s="799"/>
      <c r="D515" s="801"/>
      <c r="E515" s="72"/>
      <c r="F515" s="250"/>
      <c r="G515" s="92"/>
      <c r="H515" s="88"/>
      <c r="I515" s="311">
        <f>база!$J$5</f>
        <v>215.4924</v>
      </c>
      <c r="J515" s="257">
        <v>1.5</v>
      </c>
      <c r="K515" s="202">
        <f>SUMIFS(Таблица1[сумма],Таблица1[коэф],"1,5",Таблица1[р/р],"4/8",Таблица1[Ф. И. О.],B517)</f>
        <v>0</v>
      </c>
      <c r="L515" s="202">
        <f>ROUND(I515*J515*K515,2)</f>
        <v>0</v>
      </c>
      <c r="M515" s="202"/>
      <c r="N515" s="202"/>
      <c r="O515" s="202"/>
      <c r="P515" s="28"/>
      <c r="Q515" s="72">
        <f>IF(D512&lt;=3,база!$L$4,
IF(D512=4,база!$L$5,
IF(D512=5,база!$L$6)))</f>
        <v>210.57480000000001</v>
      </c>
      <c r="R515" s="250">
        <v>1.2</v>
      </c>
      <c r="S515" s="92">
        <f>SUMIFS(Таблица1[сумма],Таблица1[коэф],"1,2",Таблица1[р/р],"3/16",Таблица1[Ф. И. О.],B517)</f>
        <v>0</v>
      </c>
      <c r="T515" s="88">
        <f t="shared" si="314"/>
        <v>0</v>
      </c>
      <c r="U515" s="292">
        <f>IF(D512&lt;=3,база!$M$4,
IF(D512=4,база!$M$5,
IF(D512=5,база!$M$6)))</f>
        <v>225.09719999999999</v>
      </c>
      <c r="V515" s="250">
        <v>1.2</v>
      </c>
      <c r="W515" s="285">
        <f>SUMIFS(Таблица1[сумма],Таблица1[коэф],"1,2",Таблица1[р/р],"3/24",Таблица1[Ф. И. О.],B517)</f>
        <v>0</v>
      </c>
      <c r="X515" s="291">
        <f t="shared" ref="X515:X516" si="318">ROUND(U515*V515*W515,2)</f>
        <v>0</v>
      </c>
      <c r="Y515" s="803"/>
      <c r="Z515" s="794"/>
      <c r="AA515" s="797"/>
    </row>
    <row r="516" spans="1:29" ht="24" thickBot="1">
      <c r="A516" s="740"/>
      <c r="B516" s="201"/>
      <c r="C516" s="799"/>
      <c r="D516" s="801"/>
      <c r="E516" s="72"/>
      <c r="F516" s="250"/>
      <c r="G516" s="92"/>
      <c r="H516" s="88"/>
      <c r="I516" s="311">
        <f>база!$J$6</f>
        <v>243.04319999999998</v>
      </c>
      <c r="J516" s="257">
        <v>1.5</v>
      </c>
      <c r="K516" s="202">
        <f>SUMIFS(Таблица1[сумма],Таблица1[коэф],"1,5",Таблица1[р/р],"5/8",Таблица1[Ф. И. О.],B517)</f>
        <v>0</v>
      </c>
      <c r="L516" s="202">
        <f>ROUND(I516*J516*K516,2)</f>
        <v>0</v>
      </c>
      <c r="M516" s="202"/>
      <c r="N516" s="202"/>
      <c r="O516" s="202"/>
      <c r="P516" s="28"/>
      <c r="Q516" s="72">
        <f>база!$L$5</f>
        <v>231.45480000000001</v>
      </c>
      <c r="R516" s="250">
        <v>1.2</v>
      </c>
      <c r="S516" s="92">
        <f>SUMIFS(Таблица1[сумма],Таблица1[коэф],"1,2",Таблица1[р/р],"4/16",Таблица1[Ф. И. О.],B517)</f>
        <v>0</v>
      </c>
      <c r="T516" s="88">
        <f t="shared" si="314"/>
        <v>0</v>
      </c>
      <c r="U516" s="292">
        <f>база!$M$5</f>
        <v>247.41720000000001</v>
      </c>
      <c r="V516" s="250">
        <v>1.2</v>
      </c>
      <c r="W516" s="285">
        <f>SUMIFS(Таблица1[сумма],Таблица1[коэф],"1,2",Таблица1[р/р],"4/24",Таблица1[Ф. И. О.],B517)</f>
        <v>0</v>
      </c>
      <c r="X516" s="291">
        <f t="shared" si="318"/>
        <v>0</v>
      </c>
      <c r="Y516" s="803"/>
      <c r="Z516" s="794"/>
      <c r="AA516" s="797"/>
      <c r="AC516" s="688" t="str">
        <f>IF(SUMIFS(Таблица1[Столбец2],Таблица1[Ф. И. О.],B517)-Z512=0,"",SUMIFS(Таблица1[Столбец2],Таблица1[Ф. И. О.],B517)-Z512)</f>
        <v/>
      </c>
    </row>
    <row r="517" spans="1:29" ht="24" thickBot="1">
      <c r="A517" s="740"/>
      <c r="B517" s="201" t="str">
        <f>база!B48</f>
        <v>Матыгулина Наталья Энвировна</v>
      </c>
      <c r="C517" s="799"/>
      <c r="D517" s="801"/>
      <c r="E517" s="72"/>
      <c r="F517" s="250"/>
      <c r="G517" s="92"/>
      <c r="H517" s="88"/>
      <c r="I517" s="311"/>
      <c r="J517" s="257"/>
      <c r="K517" s="202"/>
      <c r="L517" s="202"/>
      <c r="M517" s="202"/>
      <c r="N517" s="202"/>
      <c r="O517" s="202"/>
      <c r="P517" s="28"/>
      <c r="Q517" s="72">
        <f>база!$L$6</f>
        <v>261.04640000000001</v>
      </c>
      <c r="R517" s="250">
        <v>1.2</v>
      </c>
      <c r="S517" s="92">
        <f>SUMIFS(Таблица1[сумма],Таблица1[коэф],"1,2",Таблица1[р/р],"5/16",Таблица1[Ф. И. О.],B517)</f>
        <v>0</v>
      </c>
      <c r="T517" s="88">
        <f>ROUND(Q517*R517*S517,2)</f>
        <v>0</v>
      </c>
      <c r="U517" s="292">
        <f>база!$M$6</f>
        <v>279.0496</v>
      </c>
      <c r="V517" s="250">
        <v>1.2</v>
      </c>
      <c r="W517" s="285">
        <f>SUMIFS(Таблица1[сумма],Таблица1[коэф],"1,2",Таблица1[р/р],"5/24",Таблица1[Ф. И. О.],B517)</f>
        <v>0</v>
      </c>
      <c r="X517" s="291">
        <f>ROUND(U517*V517*W517,2)</f>
        <v>0</v>
      </c>
      <c r="Y517" s="803"/>
      <c r="Z517" s="794"/>
      <c r="AA517" s="797"/>
      <c r="AC517" s="688" t="str">
        <f>IF(SUMIFS(Таблица1[сумма],Таблица1[Ф. И. О.],B517)=Y512,"",B512&amp;"  часы не верны")</f>
        <v/>
      </c>
    </row>
    <row r="518" spans="1:29" ht="24" thickBot="1">
      <c r="A518" s="740"/>
      <c r="B518" s="201"/>
      <c r="C518" s="799"/>
      <c r="D518" s="801"/>
      <c r="E518" s="72"/>
      <c r="F518" s="250"/>
      <c r="G518" s="92"/>
      <c r="H518" s="88"/>
      <c r="I518" s="311"/>
      <c r="J518" s="257"/>
      <c r="K518" s="202"/>
      <c r="L518" s="202"/>
      <c r="M518" s="202"/>
      <c r="N518" s="202"/>
      <c r="O518" s="202"/>
      <c r="P518" s="28"/>
      <c r="Q518" s="72">
        <f>IF($D$6&lt;=3,база!$L$4,
IF($D$6=4,база!$L$5,
IF($D$6=5,база!$L$6)))</f>
        <v>231.45480000000001</v>
      </c>
      <c r="R518" s="250">
        <v>1.3</v>
      </c>
      <c r="S518" s="92">
        <f>SUMIFS(Таблица1[сумма],Таблица1[коэф],"1,3",Таблица1[р/р],"3/16",Таблица1[Ф. И. О.],B517)</f>
        <v>0</v>
      </c>
      <c r="T518" s="88">
        <f t="shared" ref="T518:T519" si="319">ROUND(Q518*R518*S518,2)</f>
        <v>0</v>
      </c>
      <c r="U518" s="292">
        <f>IF(D512&lt;=3,база!$M$4,
IF(D512=4,база!$M$5,
IF(D512=5,база!$M$6)))</f>
        <v>225.09719999999999</v>
      </c>
      <c r="V518" s="250">
        <v>1.3</v>
      </c>
      <c r="W518" s="285">
        <f>SUMIFS(Таблица1[сумма],Таблица1[коэф],"1,3",Таблица1[р/р],"3/24",Таблица1[Ф. И. О.],B517)</f>
        <v>0</v>
      </c>
      <c r="X518" s="291">
        <f t="shared" ref="X518:X519" si="320">ROUND(U518*V518*W518,2)</f>
        <v>0</v>
      </c>
      <c r="Y518" s="803"/>
      <c r="Z518" s="794"/>
      <c r="AA518" s="797"/>
    </row>
    <row r="519" spans="1:29" ht="24" thickBot="1">
      <c r="A519" s="740"/>
      <c r="B519" s="201"/>
      <c r="C519" s="799"/>
      <c r="D519" s="801"/>
      <c r="E519" s="72"/>
      <c r="F519" s="250"/>
      <c r="G519" s="92"/>
      <c r="H519" s="88"/>
      <c r="I519" s="311"/>
      <c r="J519" s="257"/>
      <c r="K519" s="202"/>
      <c r="L519" s="202"/>
      <c r="M519" s="202"/>
      <c r="N519" s="202"/>
      <c r="O519" s="202"/>
      <c r="P519" s="28"/>
      <c r="Q519" s="72">
        <f>база!$L$5</f>
        <v>231.45480000000001</v>
      </c>
      <c r="R519" s="250">
        <v>1.3</v>
      </c>
      <c r="S519" s="92">
        <f>SUMIFS(Таблица1[сумма],Таблица1[коэф],"1,3",Таблица1[р/р],"4/16",Таблица1[Ф. И. О.],B517)</f>
        <v>0</v>
      </c>
      <c r="T519" s="88">
        <f t="shared" si="319"/>
        <v>0</v>
      </c>
      <c r="U519" s="292">
        <f>база!$M$5</f>
        <v>247.41720000000001</v>
      </c>
      <c r="V519" s="250">
        <v>1.3</v>
      </c>
      <c r="W519" s="285">
        <f>SUMIFS(Таблица1[сумма],Таблица1[коэф],"1,3",Таблица1[р/р],"4/24",Таблица1[Ф. И. О.],B517)</f>
        <v>0</v>
      </c>
      <c r="X519" s="291">
        <f t="shared" si="320"/>
        <v>0</v>
      </c>
      <c r="Y519" s="803"/>
      <c r="Z519" s="794"/>
      <c r="AA519" s="797"/>
    </row>
    <row r="520" spans="1:29" ht="24" thickBot="1">
      <c r="A520" s="740"/>
      <c r="B520" s="201"/>
      <c r="C520" s="799"/>
      <c r="D520" s="801"/>
      <c r="E520" s="72"/>
      <c r="F520" s="250"/>
      <c r="G520" s="92"/>
      <c r="H520" s="88"/>
      <c r="I520" s="311"/>
      <c r="J520" s="257"/>
      <c r="K520" s="202"/>
      <c r="L520" s="202"/>
      <c r="M520" s="202"/>
      <c r="N520" s="202"/>
      <c r="O520" s="202"/>
      <c r="P520" s="28"/>
      <c r="Q520" s="72">
        <f>IF(D512&lt;=3,база!$L$4,
IF(D512=4,база!$L$5,
IF(D512=5,база!$L$6)))</f>
        <v>210.57480000000001</v>
      </c>
      <c r="R520" s="250">
        <v>1.4</v>
      </c>
      <c r="S520" s="92">
        <f>SUMIFS(Таблица1[сумма],Таблица1[коэф],"1,4",Таблица1[р/р],"3/16",Таблица1[Ф. И. О.],B517)</f>
        <v>0</v>
      </c>
      <c r="T520" s="88">
        <f>ROUND(Q520*R520*S520,2)</f>
        <v>0</v>
      </c>
      <c r="U520" s="292">
        <f>IF(D512&lt;=3,база!$M$4,
IF(D512=4,база!$M$5,
IF(D512=5,база!$M$6)))</f>
        <v>225.09719999999999</v>
      </c>
      <c r="V520" s="250">
        <v>1.4</v>
      </c>
      <c r="W520" s="285">
        <f>SUMIFS(Таблица1[сумма],Таблица1[коэф],"1,4",Таблица1[р/р],"3/24",Таблица1[Ф. И. О.],B517)</f>
        <v>0</v>
      </c>
      <c r="X520" s="291">
        <f>ROUND(U520*V520*W520,2)</f>
        <v>0</v>
      </c>
      <c r="Y520" s="803"/>
      <c r="Z520" s="794"/>
      <c r="AA520" s="797"/>
    </row>
    <row r="521" spans="1:29" ht="24" thickBot="1">
      <c r="A521" s="740"/>
      <c r="B521" s="201"/>
      <c r="C521" s="799"/>
      <c r="D521" s="801"/>
      <c r="E521" s="72"/>
      <c r="F521" s="250"/>
      <c r="G521" s="92"/>
      <c r="H521" s="88"/>
      <c r="I521" s="311"/>
      <c r="J521" s="257"/>
      <c r="K521" s="202"/>
      <c r="L521" s="202"/>
      <c r="M521" s="202"/>
      <c r="N521" s="202"/>
      <c r="O521" s="202"/>
      <c r="P521" s="28"/>
      <c r="Q521" s="72">
        <f>база!$L$5</f>
        <v>231.45480000000001</v>
      </c>
      <c r="R521" s="250">
        <v>1.4</v>
      </c>
      <c r="S521" s="92">
        <f>SUMIFS(Таблица1[сумма],Таблица1[коэф],"1,4",Таблица1[р/р],"4/16",Таблица1[Ф. И. О.],B517)</f>
        <v>0</v>
      </c>
      <c r="T521" s="88">
        <f>ROUND(Q521*R521*S521,2)</f>
        <v>0</v>
      </c>
      <c r="U521" s="292">
        <f>база!$M$5</f>
        <v>247.41720000000001</v>
      </c>
      <c r="V521" s="250">
        <v>1.4</v>
      </c>
      <c r="W521" s="285">
        <f>SUMIFS(Таблица1[сумма],Таблица1[коэф],"1,4",Таблица1[р/р],"4/24",Таблица1[Ф. И. О.],B517)</f>
        <v>0</v>
      </c>
      <c r="X521" s="291">
        <f>ROUND(U521*V521*W521,2)</f>
        <v>0</v>
      </c>
      <c r="Y521" s="803"/>
      <c r="Z521" s="794"/>
      <c r="AA521" s="797"/>
    </row>
    <row r="522" spans="1:29" ht="24" thickBot="1">
      <c r="A522" s="741"/>
      <c r="B522" s="329"/>
      <c r="C522" s="800"/>
      <c r="D522" s="802"/>
      <c r="E522" s="95"/>
      <c r="F522" s="252"/>
      <c r="G522" s="597"/>
      <c r="H522" s="84"/>
      <c r="I522" s="598"/>
      <c r="J522" s="258"/>
      <c r="K522" s="599"/>
      <c r="L522" s="267"/>
      <c r="M522" s="598"/>
      <c r="N522" s="599"/>
      <c r="O522" s="599"/>
      <c r="P522" s="293"/>
      <c r="Q522" s="600">
        <f>база!$L$6</f>
        <v>261.04640000000001</v>
      </c>
      <c r="R522" s="252">
        <v>1.4</v>
      </c>
      <c r="S522" s="91">
        <f>SUMIFS(Таблица1[сумма],Таблица1[коэф],"1,4",Таблица1[р/р],"5/16",Таблица1[Ф. И. О.],B517)</f>
        <v>0</v>
      </c>
      <c r="T522" s="84">
        <f>ROUND(Q522*R522*S522,2)</f>
        <v>0</v>
      </c>
      <c r="U522" s="206">
        <f>база!$M$6</f>
        <v>279.0496</v>
      </c>
      <c r="V522" s="252">
        <v>1.4</v>
      </c>
      <c r="W522" s="91">
        <f>SUMIFS(Таблица1[сумма],Таблица1[коэф],"1,4",Таблица1[р/р],"5/24",Таблица1[Ф. И. О.],B517)</f>
        <v>0</v>
      </c>
      <c r="X522" s="84">
        <f>ROUND(U522*V522*W522,2)</f>
        <v>0</v>
      </c>
      <c r="Y522" s="804"/>
      <c r="Z522" s="795"/>
      <c r="AA522" s="798"/>
    </row>
    <row r="523" spans="1:29" ht="20.25" customHeight="1">
      <c r="A523" s="739">
        <v>48</v>
      </c>
      <c r="B523" s="221"/>
      <c r="C523" s="569">
        <f>INDEX(база!$E$2:$E$81, MATCH(B528,база!$B$2:$B$50,0))</f>
        <v>17121</v>
      </c>
      <c r="D523" s="572">
        <f>INDEX(база!$D$2:$D$89, MATCH(B528,база!$B$2:$B$50,0))</f>
        <v>3</v>
      </c>
      <c r="E523" s="605">
        <f>IF(D523&lt;=3,база!$I$4,
IF(D523=4,база!$I$5,
IF(D523=5,база!$I$6)))</f>
        <v>188.7912</v>
      </c>
      <c r="F523" s="606">
        <v>1</v>
      </c>
      <c r="G523" s="607">
        <f>SUMIFS(Таблица1[сумма],Таблица1[коэф],"1",Таблица1[р/р],"2/4",Таблица1[Ф. И. О.],B528)</f>
        <v>0</v>
      </c>
      <c r="H523" s="608">
        <f>ROUND(E523*F523*G523,2)</f>
        <v>0</v>
      </c>
      <c r="I523" s="609">
        <f>IF(D523&lt;=3,база!$J$4,
IF(D523=4,база!$J$5,
IF(D523=5,база!$J$6)))</f>
        <v>196.05240000000001</v>
      </c>
      <c r="J523" s="610">
        <v>1</v>
      </c>
      <c r="K523" s="611">
        <f>SUMIFS(Таблица1[сумма],Таблица1[коэф],"1",Таблица1[р/р],"2/8",Таблица1[Ф. И. О.],B528)</f>
        <v>0</v>
      </c>
      <c r="L523" s="612">
        <f>ROUND(I523*J523*K523,2)</f>
        <v>0</v>
      </c>
      <c r="M523" s="609"/>
      <c r="N523" s="611">
        <v>1</v>
      </c>
      <c r="O523" s="611">
        <f>SUMIFS(Data_Tech!$AM$3:$AM$67,Data_Tech!$E$3:$E$67,"1",Data_Tech!$G$3:$G$67,"3/12",Data_Tech!$F$3:$F$67,B528)</f>
        <v>0</v>
      </c>
      <c r="P523" s="613">
        <f>ROUND(M523*N523*O523,2)</f>
        <v>0</v>
      </c>
      <c r="Q523" s="614">
        <f>IF(D523&lt;=3,база!$L$4,
IF(D523=4,база!$L$5,
IF(D523=5,база!$L$6)))</f>
        <v>210.57480000000001</v>
      </c>
      <c r="R523" s="606">
        <v>1</v>
      </c>
      <c r="S523" s="615">
        <f>SUMIFS(Таблица1[сумма],Таблица1[коэф],"1",Таблица1[р/р],"3/16",Таблица1[Ф. И. О.],B528)</f>
        <v>0</v>
      </c>
      <c r="T523" s="608">
        <f t="shared" ref="T523:T527" si="321">ROUND(Q523*R523*S523,2)</f>
        <v>0</v>
      </c>
      <c r="U523" s="616">
        <f>IF(D523&lt;=3,база!$M$4,
IF(D523=4,база!$M$5,
IF(D523=5,база!$M$6)))</f>
        <v>225.09719999999999</v>
      </c>
      <c r="V523" s="606">
        <v>1</v>
      </c>
      <c r="W523" s="615">
        <f>SUMIFS(Таблица1[сумма],Таблица1[коэф],"1",Таблица1[р/р],"3/24",Таблица1[Ф. И. О.],B528)</f>
        <v>0</v>
      </c>
      <c r="X523" s="608">
        <f>ROUND(U523*V523*W523,2)</f>
        <v>0</v>
      </c>
      <c r="Y523" s="791">
        <f t="shared" ref="Y523" si="322">SUM(G523:G533,K523:K533,O523:O533,S523:S533,W523:W533)</f>
        <v>0</v>
      </c>
      <c r="Z523" s="807">
        <f t="shared" ref="Z523" si="323">IFERROR(SUM(H523:H533,L523:L533,T523:T533,X523:X533),"")</f>
        <v>0</v>
      </c>
      <c r="AA523" s="796"/>
    </row>
    <row r="524" spans="1:29" ht="20.25" customHeight="1">
      <c r="A524" s="740"/>
      <c r="B524" s="591"/>
      <c r="C524" s="570"/>
      <c r="D524" s="573"/>
      <c r="E524" s="78">
        <f>IF(D523&lt;=3,база!$I$4,
IF(D523=4,база!$I$5,
IF(D523=5,база!$I$6)))</f>
        <v>188.7912</v>
      </c>
      <c r="F524" s="251">
        <v>1</v>
      </c>
      <c r="G524" s="601">
        <f>SUMIFS(Таблица1[сумма],Таблица1[коэф],"1",Таблица1[р/р],"3/4",Таблица1[Ф. И. О.],B528)</f>
        <v>0</v>
      </c>
      <c r="H524" s="83">
        <f>ROUND(E524*F524*G524,2)</f>
        <v>0</v>
      </c>
      <c r="I524" s="60">
        <f>IF(D523&lt;=3,база!$J$4,
IF(D523=4,база!$J$5,
IF(D523=5,база!$J$6)))</f>
        <v>196.05240000000001</v>
      </c>
      <c r="J524" s="602">
        <v>1</v>
      </c>
      <c r="K524" s="53"/>
      <c r="L524" s="302">
        <f>ROUND(I524*J524*K524,2)</f>
        <v>0</v>
      </c>
      <c r="M524" s="60"/>
      <c r="N524" s="53">
        <v>1</v>
      </c>
      <c r="O524" s="53">
        <f>SUMIFS(Data_Tech!$AM$3:$AM$67,Data_Tech!$E$3:$E$67,"1",Data_Tech!$G$3:$G$67,"4/12",Data_Tech!$F$3:$F$67,B528)</f>
        <v>0</v>
      </c>
      <c r="P524" s="261">
        <f>ROUND(M524*O524,2)</f>
        <v>0</v>
      </c>
      <c r="Q524" s="603">
        <f>база!$L$5</f>
        <v>231.45480000000001</v>
      </c>
      <c r="R524" s="251">
        <v>1</v>
      </c>
      <c r="S524" s="94">
        <f>SUMIFS(Таблица1[сумма],Таблица1[коэф],"1",Таблица1[р/р],"4/16",Таблица1[Ф. И. О.],B528)</f>
        <v>0</v>
      </c>
      <c r="T524" s="83">
        <f t="shared" si="321"/>
        <v>0</v>
      </c>
      <c r="U524" s="99">
        <f>база!$M$5</f>
        <v>247.41720000000001</v>
      </c>
      <c r="V524" s="251">
        <v>1</v>
      </c>
      <c r="W524" s="94">
        <f>SUMIFS(Таблица1[сумма],Таблица1[коэф],"1",Таблица1[р/р],"4/24",Таблица1[Ф. И. О.],B528)</f>
        <v>0</v>
      </c>
      <c r="X524" s="83">
        <f t="shared" ref="X524" si="324">ROUND(U524*V524*W524,2)</f>
        <v>0</v>
      </c>
      <c r="Y524" s="792"/>
      <c r="Z524" s="794"/>
      <c r="AA524" s="797"/>
    </row>
    <row r="525" spans="1:29" ht="20.25" customHeight="1">
      <c r="A525" s="740"/>
      <c r="B525" s="591"/>
      <c r="C525" s="570"/>
      <c r="D525" s="573"/>
      <c r="E525" s="78"/>
      <c r="F525" s="251"/>
      <c r="G525" s="601"/>
      <c r="H525" s="83"/>
      <c r="I525" s="60"/>
      <c r="J525" s="602"/>
      <c r="K525" s="53"/>
      <c r="L525" s="302"/>
      <c r="M525" s="60"/>
      <c r="N525" s="53"/>
      <c r="O525" s="53"/>
      <c r="P525" s="261"/>
      <c r="Q525" s="603">
        <f>база!$L$6</f>
        <v>261.04640000000001</v>
      </c>
      <c r="R525" s="251">
        <v>1</v>
      </c>
      <c r="S525" s="94">
        <f>SUMIFS(Таблица1[сумма],Таблица1[коэф],"1",Таблица1[р/р],"5/16",Таблица1[Ф. И. О.],B528)</f>
        <v>0</v>
      </c>
      <c r="T525" s="83">
        <f t="shared" si="321"/>
        <v>0</v>
      </c>
      <c r="U525" s="99">
        <f>база!$M$6</f>
        <v>279.0496</v>
      </c>
      <c r="V525" s="251">
        <v>1</v>
      </c>
      <c r="W525" s="94">
        <f>SUMIFS(Таблица1[сумма],Таблица1[коэф],"1",Таблица1[р/р],"5/24",Таблица1[Ф. И. О.],B528)</f>
        <v>0</v>
      </c>
      <c r="X525" s="83">
        <f>ROUND(U525*V525*W525,2)</f>
        <v>0</v>
      </c>
      <c r="Y525" s="792"/>
      <c r="Z525" s="794"/>
      <c r="AA525" s="797"/>
    </row>
    <row r="526" spans="1:29" ht="20.25" customHeight="1">
      <c r="A526" s="740"/>
      <c r="B526" s="591"/>
      <c r="C526" s="570"/>
      <c r="D526" s="573"/>
      <c r="E526" s="78"/>
      <c r="F526" s="251"/>
      <c r="G526" s="601"/>
      <c r="H526" s="83"/>
      <c r="I526" s="60">
        <f>база!$J$5</f>
        <v>215.4924</v>
      </c>
      <c r="J526" s="602">
        <v>1.5</v>
      </c>
      <c r="K526" s="53">
        <f>SUMIFS(Таблица1[сумма],Таблица1[коэф],"1,5",Таблица1[р/р],"4/8",Таблица1[Ф. И. О.],B528)</f>
        <v>0</v>
      </c>
      <c r="L526" s="302">
        <f>ROUND(I526*J526*K526,2)</f>
        <v>0</v>
      </c>
      <c r="M526" s="60"/>
      <c r="N526" s="53"/>
      <c r="O526" s="53"/>
      <c r="P526" s="261"/>
      <c r="Q526" s="603">
        <f>IF(D523&lt;=3,база!$L$4,
IF(D523=4,база!$L$5,
IF(D523=5,база!$L$6)))</f>
        <v>210.57480000000001</v>
      </c>
      <c r="R526" s="251">
        <v>1.2</v>
      </c>
      <c r="S526" s="94">
        <f>SUMIFS(Таблица1[сумма],Таблица1[коэф],"1,2",Таблица1[р/р],"3/16",Таблица1[Ф. И. О.],B528)</f>
        <v>0</v>
      </c>
      <c r="T526" s="83">
        <f t="shared" si="321"/>
        <v>0</v>
      </c>
      <c r="U526" s="99">
        <f>IF(D523&lt;=3,база!$M$4,
IF(D523=4,база!$M$5,
IF(D523=5,база!$M$6)))</f>
        <v>225.09719999999999</v>
      </c>
      <c r="V526" s="251">
        <v>1.2</v>
      </c>
      <c r="W526" s="94">
        <f>SUMIFS(Таблица1[сумма],Таблица1[коэф],"1,2",Таблица1[р/р],"3/24",Таблица1[Ф. И. О.],B528)</f>
        <v>0</v>
      </c>
      <c r="X526" s="83">
        <f t="shared" ref="X526:X527" si="325">ROUND(U526*V526*W526,2)</f>
        <v>0</v>
      </c>
      <c r="Y526" s="792"/>
      <c r="Z526" s="794"/>
      <c r="AA526" s="797"/>
    </row>
    <row r="527" spans="1:29" ht="20.25" customHeight="1">
      <c r="A527" s="740"/>
      <c r="B527" s="591"/>
      <c r="C527" s="570"/>
      <c r="D527" s="573"/>
      <c r="E527" s="78"/>
      <c r="F527" s="251"/>
      <c r="G527" s="601"/>
      <c r="H527" s="83"/>
      <c r="I527" s="60">
        <f>база!$J$6</f>
        <v>243.04319999999998</v>
      </c>
      <c r="J527" s="602">
        <v>1.5</v>
      </c>
      <c r="K527" s="53">
        <f>SUMIFS(Таблица1[сумма],Таблица1[коэф],"1,5",Таблица1[р/р],"5/8",Таблица1[Ф. И. О.],B528)</f>
        <v>0</v>
      </c>
      <c r="L527" s="302">
        <f>ROUND(I527*J527*K527,2)</f>
        <v>0</v>
      </c>
      <c r="M527" s="60"/>
      <c r="N527" s="53"/>
      <c r="O527" s="53"/>
      <c r="P527" s="261"/>
      <c r="Q527" s="603">
        <f>база!$L$5</f>
        <v>231.45480000000001</v>
      </c>
      <c r="R527" s="251">
        <v>1.2</v>
      </c>
      <c r="S527" s="94">
        <f>SUMIFS(Таблица1[сумма],Таблица1[коэф],"1,2",Таблица1[р/р],"4/16",Таблица1[Ф. И. О.],B528)</f>
        <v>0</v>
      </c>
      <c r="T527" s="83">
        <f t="shared" si="321"/>
        <v>0</v>
      </c>
      <c r="U527" s="99">
        <f>база!$M$5</f>
        <v>247.41720000000001</v>
      </c>
      <c r="V527" s="251">
        <v>1.2</v>
      </c>
      <c r="W527" s="94">
        <f>SUMIFS(Таблица1[сумма],Таблица1[коэф],"1,2",Таблица1[р/р],"4/24",Таблица1[Ф. И. О.],B528)</f>
        <v>0</v>
      </c>
      <c r="X527" s="83">
        <f t="shared" si="325"/>
        <v>0</v>
      </c>
      <c r="Y527" s="792"/>
      <c r="Z527" s="794"/>
      <c r="AA527" s="797"/>
      <c r="AC527" s="688" t="str">
        <f>IF(SUMIFS(Таблица1[Столбец2],Таблица1[Ф. И. О.],B528)-Z523=0,"",SUMIFS(Таблица1[Столбец2],Таблица1[Ф. И. О.],B528)-Z523)</f>
        <v/>
      </c>
    </row>
    <row r="528" spans="1:29" ht="20.25" customHeight="1">
      <c r="A528" s="740"/>
      <c r="B528" s="591" t="str">
        <f>база!B49</f>
        <v>Мельникова Анна Юрьевна</v>
      </c>
      <c r="C528" s="570"/>
      <c r="D528" s="573"/>
      <c r="E528" s="78"/>
      <c r="F528" s="251"/>
      <c r="G528" s="601"/>
      <c r="H528" s="83"/>
      <c r="I528" s="60"/>
      <c r="J528" s="602"/>
      <c r="K528" s="53"/>
      <c r="L528" s="302"/>
      <c r="M528" s="60"/>
      <c r="N528" s="53"/>
      <c r="O528" s="53"/>
      <c r="P528" s="261"/>
      <c r="Q528" s="603">
        <f>база!$L$6</f>
        <v>261.04640000000001</v>
      </c>
      <c r="R528" s="251">
        <v>1.2</v>
      </c>
      <c r="S528" s="94">
        <f>SUMIFS(Таблица1[сумма],Таблица1[коэф],"1,2",Таблица1[р/р],"5/16",Таблица1[Ф. И. О.],B528)</f>
        <v>0</v>
      </c>
      <c r="T528" s="83">
        <f>ROUND(Q528*R528*S528,2)</f>
        <v>0</v>
      </c>
      <c r="U528" s="99">
        <f>база!$M$6</f>
        <v>279.0496</v>
      </c>
      <c r="V528" s="251">
        <v>1.2</v>
      </c>
      <c r="W528" s="94">
        <f>SUMIFS(Таблица1[сумма],Таблица1[коэф],"1,2",Таблица1[р/р],"5/24",Таблица1[Ф. И. О.],B528)</f>
        <v>0</v>
      </c>
      <c r="X528" s="83">
        <f>ROUND(U528*V528*W528,2)</f>
        <v>0</v>
      </c>
      <c r="Y528" s="792"/>
      <c r="Z528" s="794"/>
      <c r="AA528" s="797"/>
      <c r="AC528" s="688" t="str">
        <f>IF(SUMIFS(Таблица1[сумма],Таблица1[Ф. И. О.],B528)=Y523,"",B523&amp;"  часы не верны")</f>
        <v/>
      </c>
    </row>
    <row r="529" spans="1:29" ht="20.25" customHeight="1">
      <c r="A529" s="740"/>
      <c r="B529" s="591"/>
      <c r="C529" s="570"/>
      <c r="D529" s="573"/>
      <c r="E529" s="78"/>
      <c r="F529" s="251"/>
      <c r="G529" s="601"/>
      <c r="H529" s="83"/>
      <c r="I529" s="60"/>
      <c r="J529" s="602"/>
      <c r="K529" s="53"/>
      <c r="L529" s="302"/>
      <c r="M529" s="60"/>
      <c r="N529" s="53"/>
      <c r="O529" s="53"/>
      <c r="P529" s="261"/>
      <c r="Q529" s="603">
        <f>IF($D$6&lt;=3,база!$L$4,
IF($D$6=4,база!$L$5,
IF($D$6=5,база!$L$6)))</f>
        <v>231.45480000000001</v>
      </c>
      <c r="R529" s="251">
        <v>1.3</v>
      </c>
      <c r="S529" s="94">
        <f>SUMIFS(Таблица1[сумма],Таблица1[коэф],"1,3",Таблица1[р/р],"3/16",Таблица1[Ф. И. О.],B528)</f>
        <v>0</v>
      </c>
      <c r="T529" s="83">
        <f t="shared" ref="T529:T530" si="326">ROUND(Q529*R529*S529,2)</f>
        <v>0</v>
      </c>
      <c r="U529" s="99">
        <f>IF(D523&lt;=3,база!$M$4,
IF(D523=4,база!$M$5,
IF(D523=5,база!$M$6)))</f>
        <v>225.09719999999999</v>
      </c>
      <c r="V529" s="251">
        <v>1.3</v>
      </c>
      <c r="W529" s="94">
        <f>SUMIFS(Таблица1[сумма],Таблица1[коэф],"1,3",Таблица1[р/р],"3/24",Таблица1[Ф. И. О.],B528)</f>
        <v>0</v>
      </c>
      <c r="X529" s="83">
        <f t="shared" ref="X529:X530" si="327">ROUND(U529*V529*W529,2)</f>
        <v>0</v>
      </c>
      <c r="Y529" s="792"/>
      <c r="Z529" s="794"/>
      <c r="AA529" s="797"/>
    </row>
    <row r="530" spans="1:29" ht="20.25" customHeight="1">
      <c r="A530" s="740"/>
      <c r="B530" s="591"/>
      <c r="C530" s="570"/>
      <c r="D530" s="573"/>
      <c r="E530" s="78"/>
      <c r="F530" s="251"/>
      <c r="G530" s="601"/>
      <c r="H530" s="83"/>
      <c r="I530" s="60"/>
      <c r="J530" s="602"/>
      <c r="K530" s="53"/>
      <c r="L530" s="302"/>
      <c r="M530" s="60"/>
      <c r="N530" s="53"/>
      <c r="O530" s="53"/>
      <c r="P530" s="261"/>
      <c r="Q530" s="603">
        <f>база!$L$5</f>
        <v>231.45480000000001</v>
      </c>
      <c r="R530" s="251">
        <v>1.3</v>
      </c>
      <c r="S530" s="94">
        <f>SUMIFS(Таблица1[сумма],Таблица1[коэф],"1,3",Таблица1[р/р],"4/16",Таблица1[Ф. И. О.],B528)</f>
        <v>0</v>
      </c>
      <c r="T530" s="83">
        <f t="shared" si="326"/>
        <v>0</v>
      </c>
      <c r="U530" s="99">
        <f>база!$M$5</f>
        <v>247.41720000000001</v>
      </c>
      <c r="V530" s="251">
        <v>1.3</v>
      </c>
      <c r="W530" s="94">
        <f>SUMIFS(Таблица1[сумма],Таблица1[коэф],"1,3",Таблица1[р/р],"4/24",Таблица1[Ф. И. О.],B528)</f>
        <v>0</v>
      </c>
      <c r="X530" s="83">
        <f t="shared" si="327"/>
        <v>0</v>
      </c>
      <c r="Y530" s="792"/>
      <c r="Z530" s="794"/>
      <c r="AA530" s="797"/>
    </row>
    <row r="531" spans="1:29" ht="20.25" customHeight="1">
      <c r="A531" s="740"/>
      <c r="B531" s="591"/>
      <c r="C531" s="570"/>
      <c r="D531" s="573"/>
      <c r="E531" s="78"/>
      <c r="F531" s="251"/>
      <c r="G531" s="601"/>
      <c r="H531" s="83"/>
      <c r="I531" s="60"/>
      <c r="J531" s="602"/>
      <c r="K531" s="53"/>
      <c r="L531" s="302"/>
      <c r="M531" s="60"/>
      <c r="N531" s="53"/>
      <c r="O531" s="53"/>
      <c r="P531" s="261"/>
      <c r="Q531" s="603">
        <f>IF(D523&lt;=3,база!$L$4,
IF(D523=4,база!$L$5,
IF(D523=5,база!$L$6)))</f>
        <v>210.57480000000001</v>
      </c>
      <c r="R531" s="251">
        <v>1.4</v>
      </c>
      <c r="S531" s="94">
        <f>SUMIFS(Таблица1[сумма],Таблица1[коэф],"1,4",Таблица1[р/р],"3/16",Таблица1[Ф. И. О.],B528)</f>
        <v>0</v>
      </c>
      <c r="T531" s="83">
        <f>ROUND(Q531*R531*S531,2)</f>
        <v>0</v>
      </c>
      <c r="U531" s="99">
        <f>IF(D523&lt;=3,база!$M$4,
IF(D523=4,база!$M$5,
IF(D523=5,база!$M$6)))</f>
        <v>225.09719999999999</v>
      </c>
      <c r="V531" s="251">
        <v>1.4</v>
      </c>
      <c r="W531" s="94">
        <f>SUMIFS(Таблица1[сумма],Таблица1[коэф],"1,4",Таблица1[р/р],"3/24",Таблица1[Ф. И. О.],B528)</f>
        <v>0</v>
      </c>
      <c r="X531" s="83">
        <f>ROUND(U531*V531*W531,2)</f>
        <v>0</v>
      </c>
      <c r="Y531" s="792"/>
      <c r="Z531" s="794"/>
      <c r="AA531" s="797"/>
    </row>
    <row r="532" spans="1:29" ht="20.25" customHeight="1">
      <c r="A532" s="740"/>
      <c r="B532" s="591"/>
      <c r="C532" s="570"/>
      <c r="D532" s="573"/>
      <c r="E532" s="78"/>
      <c r="F532" s="251"/>
      <c r="G532" s="601"/>
      <c r="H532" s="83"/>
      <c r="I532" s="60"/>
      <c r="J532" s="602"/>
      <c r="K532" s="53"/>
      <c r="L532" s="302"/>
      <c r="M532" s="60"/>
      <c r="N532" s="53"/>
      <c r="O532" s="53"/>
      <c r="P532" s="261"/>
      <c r="Q532" s="603">
        <f>база!$L$5</f>
        <v>231.45480000000001</v>
      </c>
      <c r="R532" s="251">
        <v>1.4</v>
      </c>
      <c r="S532" s="94">
        <f>SUMIFS(Таблица1[сумма],Таблица1[коэф],"1,4",Таблица1[р/р],"4/16",Таблица1[Ф. И. О.],B528)</f>
        <v>0</v>
      </c>
      <c r="T532" s="83">
        <f>ROUND(Q532*R532*S532,2)</f>
        <v>0</v>
      </c>
      <c r="U532" s="99">
        <f>база!$M$5</f>
        <v>247.41720000000001</v>
      </c>
      <c r="V532" s="251">
        <v>1.4</v>
      </c>
      <c r="W532" s="94">
        <f>SUMIFS(Таблица1[сумма],Таблица1[коэф],"1,4",Таблица1[р/р],"4/24",Таблица1[Ф. И. О.],B528)</f>
        <v>0</v>
      </c>
      <c r="X532" s="83">
        <f>ROUND(U532*V532*W532,2)</f>
        <v>0</v>
      </c>
      <c r="Y532" s="792"/>
      <c r="Z532" s="794"/>
      <c r="AA532" s="797"/>
    </row>
    <row r="533" spans="1:29" ht="21" customHeight="1" thickBot="1">
      <c r="A533" s="741"/>
      <c r="B533" s="329"/>
      <c r="C533" s="571"/>
      <c r="D533" s="574"/>
      <c r="E533" s="70"/>
      <c r="F533" s="254"/>
      <c r="G533" s="593"/>
      <c r="H533" s="87"/>
      <c r="I533" s="594"/>
      <c r="J533" s="567"/>
      <c r="K533" s="595"/>
      <c r="L533" s="305"/>
      <c r="M533" s="594"/>
      <c r="N533" s="595"/>
      <c r="O533" s="595"/>
      <c r="P533" s="268"/>
      <c r="Q533" s="596">
        <f>база!$L$6</f>
        <v>261.04640000000001</v>
      </c>
      <c r="R533" s="254">
        <v>1.4</v>
      </c>
      <c r="S533" s="93">
        <f>SUMIFS(Таблица1[сумма],Таблица1[коэф],"1,4",Таблица1[р/р],"5/16",Таблица1[Ф. И. О.],B528)</f>
        <v>0</v>
      </c>
      <c r="T533" s="87">
        <f>ROUND(Q533*R533*S533,2)</f>
        <v>0</v>
      </c>
      <c r="U533" s="77">
        <f>база!$M$6</f>
        <v>279.0496</v>
      </c>
      <c r="V533" s="254">
        <v>1.4</v>
      </c>
      <c r="W533" s="93">
        <f>SUMIFS(Таблица1[сумма],Таблица1[коэф],"1,4",Таблица1[р/р],"5/24",Таблица1[Ф. И. О.],B528)</f>
        <v>0</v>
      </c>
      <c r="X533" s="87">
        <f>ROUND(U533*V533*W533,2)</f>
        <v>0</v>
      </c>
      <c r="Y533" s="793"/>
      <c r="Z533" s="795"/>
      <c r="AA533" s="798"/>
    </row>
    <row r="534" spans="1:29" ht="20.25" customHeight="1">
      <c r="A534" s="739">
        <v>49</v>
      </c>
      <c r="B534" s="221"/>
      <c r="C534" s="805">
        <f>INDEX(база!$E$2:$E$81, MATCH(B539,база!$B$2:$B$50,0))</f>
        <v>14883</v>
      </c>
      <c r="D534" s="806">
        <f>INDEX(база!$D$2:$D$89, MATCH(B539,база!$B$2:$B$50,0))</f>
        <v>4</v>
      </c>
      <c r="E534" s="605">
        <f>IF(D534&lt;=3,база!$I$4,
IF(D534=4,база!$I$5,
IF(D534=5,база!$I$6)))</f>
        <v>207.5112</v>
      </c>
      <c r="F534" s="606">
        <v>1</v>
      </c>
      <c r="G534" s="607">
        <f>SUMIFS(Таблица1[сумма],Таблица1[коэф],"1",Таблица1[р/р],"2/4",Таблица1[Ф. И. О.],B539)</f>
        <v>0</v>
      </c>
      <c r="H534" s="608">
        <f>ROUND(E534*F534*G534,2)</f>
        <v>0</v>
      </c>
      <c r="I534" s="609">
        <f>IF(D534&lt;=3,база!$J$4,
IF(D534=4,база!$J$5,
IF(D534=5,база!$J$6)))</f>
        <v>215.4924</v>
      </c>
      <c r="J534" s="610">
        <v>1</v>
      </c>
      <c r="K534" s="611">
        <f>SUMIFS(Таблица1[сумма],Таблица1[коэф],"1",Таблица1[р/р],"2/8",Таблица1[Ф. И. О.],B539)</f>
        <v>0</v>
      </c>
      <c r="L534" s="612">
        <f>ROUND(I534*J534*K534,2)</f>
        <v>0</v>
      </c>
      <c r="M534" s="609"/>
      <c r="N534" s="611">
        <v>1</v>
      </c>
      <c r="O534" s="611">
        <f>SUMIFS(Data_Tech!$AM$3:$AM$67,Data_Tech!$E$3:$E$67,"1",Data_Tech!$G$3:$G$67,"3/12",Data_Tech!$F$3:$F$67,B539)</f>
        <v>0</v>
      </c>
      <c r="P534" s="613">
        <f>ROUND(M534*N534*O534,2)</f>
        <v>0</v>
      </c>
      <c r="Q534" s="614">
        <f>IF(D534&lt;=3,база!$L$4,
IF(D534=4,база!$L$5,
IF(D534=5,база!$L$6)))</f>
        <v>231.45480000000001</v>
      </c>
      <c r="R534" s="606">
        <v>1</v>
      </c>
      <c r="S534" s="615">
        <f>SUMIFS(Таблица1[сумма],Таблица1[коэф],"1",Таблица1[р/р],"3/16",Таблица1[Ф. И. О.],B539)</f>
        <v>0</v>
      </c>
      <c r="T534" s="608">
        <f t="shared" ref="T534:T538" si="328">ROUND(Q534*R534*S534,2)</f>
        <v>0</v>
      </c>
      <c r="U534" s="616">
        <f>IF(D534&lt;=3,база!$M$4,
IF(D534=4,база!$M$5,
IF(D534=5,база!$M$6)))</f>
        <v>247.41720000000001</v>
      </c>
      <c r="V534" s="606">
        <v>1</v>
      </c>
      <c r="W534" s="615">
        <f>SUMIFS(Таблица1[сумма],Таблица1[коэф],"1",Таблица1[р/р],"3/24",Таблица1[Ф. И. О.],B539)</f>
        <v>0</v>
      </c>
      <c r="X534" s="608">
        <f>ROUND(U534*V534*W534,2)</f>
        <v>0</v>
      </c>
      <c r="Y534" s="792">
        <f t="shared" ref="Y534" si="329">SUM(G534:G544,K534:K544,O534:O544,S534:S544,W534:W544)</f>
        <v>0</v>
      </c>
      <c r="Z534" s="807">
        <f t="shared" ref="Z534" si="330">IFERROR(SUM(H534:H544,L534:L544,T534:T544,X534:X544),"")</f>
        <v>0</v>
      </c>
      <c r="AA534" s="796"/>
    </row>
    <row r="535" spans="1:29">
      <c r="A535" s="740"/>
      <c r="B535" s="591"/>
      <c r="C535" s="799"/>
      <c r="D535" s="801"/>
      <c r="E535" s="78">
        <f>IF(D534&lt;=3,база!$I$4,
IF(D534=4,база!$I$5,
IF(D534=5,база!$I$6)))</f>
        <v>207.5112</v>
      </c>
      <c r="F535" s="251">
        <v>1</v>
      </c>
      <c r="G535" s="601">
        <f>SUMIFS(Таблица1[сумма],Таблица1[коэф],"1",Таблица1[р/р],"3/4",Таблица1[Ф. И. О.],B539)</f>
        <v>0</v>
      </c>
      <c r="H535" s="83">
        <f>ROUND(E535*F535*G535,2)</f>
        <v>0</v>
      </c>
      <c r="I535" s="60">
        <f>IF(D534&lt;=3,база!$J$4,
IF(D534=4,база!$J$5,
IF(D534=5,база!$J$6)))</f>
        <v>215.4924</v>
      </c>
      <c r="J535" s="602">
        <v>1</v>
      </c>
      <c r="K535" s="53"/>
      <c r="L535" s="302">
        <f>ROUND(I535*J535*K535,2)</f>
        <v>0</v>
      </c>
      <c r="M535" s="60"/>
      <c r="N535" s="53">
        <v>1</v>
      </c>
      <c r="O535" s="53">
        <f>SUMIFS(Data_Tech!$AM$3:$AM$67,Data_Tech!$E$3:$E$67,"1",Data_Tech!$G$3:$G$67,"4/12",Data_Tech!$F$3:$F$67,B539)</f>
        <v>0</v>
      </c>
      <c r="P535" s="261">
        <f>ROUND(M535*O535,2)</f>
        <v>0</v>
      </c>
      <c r="Q535" s="603">
        <f>база!$L$5</f>
        <v>231.45480000000001</v>
      </c>
      <c r="R535" s="251">
        <v>1</v>
      </c>
      <c r="S535" s="94">
        <f>SUMIFS(Таблица1[сумма],Таблица1[коэф],"1",Таблица1[р/р],"4/16",Таблица1[Ф. И. О.],B539)</f>
        <v>0</v>
      </c>
      <c r="T535" s="83">
        <f t="shared" si="328"/>
        <v>0</v>
      </c>
      <c r="U535" s="99">
        <f>база!$M$5</f>
        <v>247.41720000000001</v>
      </c>
      <c r="V535" s="251">
        <v>1</v>
      </c>
      <c r="W535" s="94">
        <f>SUMIFS(Таблица1[сумма],Таблица1[коэф],"1",Таблица1[р/р],"4/24",Таблица1[Ф. И. О.],B539)</f>
        <v>0</v>
      </c>
      <c r="X535" s="83">
        <f t="shared" ref="X535" si="331">ROUND(U535*V535*W535,2)</f>
        <v>0</v>
      </c>
      <c r="Y535" s="792"/>
      <c r="Z535" s="794"/>
      <c r="AA535" s="797"/>
    </row>
    <row r="536" spans="1:29" ht="24" thickBot="1">
      <c r="A536" s="740"/>
      <c r="B536" s="591"/>
      <c r="C536" s="799"/>
      <c r="D536" s="801"/>
      <c r="E536" s="78"/>
      <c r="F536" s="251"/>
      <c r="G536" s="601"/>
      <c r="H536" s="83"/>
      <c r="I536" s="60"/>
      <c r="J536" s="602"/>
      <c r="K536" s="53"/>
      <c r="L536" s="302"/>
      <c r="M536" s="60"/>
      <c r="N536" s="53"/>
      <c r="O536" s="53"/>
      <c r="P536" s="261"/>
      <c r="Q536" s="603">
        <f>база!$L$6</f>
        <v>261.04640000000001</v>
      </c>
      <c r="R536" s="251">
        <v>1</v>
      </c>
      <c r="S536" s="94">
        <f>SUMIFS(Таблица1[сумма],Таблица1[коэф],"1",Таблица1[р/р],"5/16",Таблица1[Ф. И. О.],B539)</f>
        <v>0</v>
      </c>
      <c r="T536" s="83">
        <f t="shared" si="328"/>
        <v>0</v>
      </c>
      <c r="U536" s="99">
        <f>база!$M$6</f>
        <v>279.0496</v>
      </c>
      <c r="V536" s="251">
        <v>1</v>
      </c>
      <c r="W536" s="94">
        <f>SUMIFS(Таблица1[сумма],Таблица1[коэф],"1",Таблица1[р/р],"5/24",Таблица1[Ф. И. О.],B539)</f>
        <v>0</v>
      </c>
      <c r="X536" s="83">
        <f>ROUND(U536*V536*W536,2)</f>
        <v>0</v>
      </c>
      <c r="Y536" s="792"/>
      <c r="Z536" s="794"/>
      <c r="AA536" s="797"/>
    </row>
    <row r="537" spans="1:29" ht="24" thickBot="1">
      <c r="A537" s="740"/>
      <c r="B537" s="591"/>
      <c r="C537" s="799"/>
      <c r="D537" s="801"/>
      <c r="E537" s="78"/>
      <c r="F537" s="251"/>
      <c r="G537" s="601"/>
      <c r="H537" s="83"/>
      <c r="I537" s="60">
        <f>база!$J$5</f>
        <v>215.4924</v>
      </c>
      <c r="J537" s="602">
        <v>1.5</v>
      </c>
      <c r="K537" s="53">
        <f>SUMIFS(Таблица1[сумма],Таблица1[коэф],"1,5",Таблица1[р/р],"4/8",Таблица1[Ф. И. О.],B539)</f>
        <v>0</v>
      </c>
      <c r="L537" s="302">
        <f>ROUND(I537*J537*K537,2)</f>
        <v>0</v>
      </c>
      <c r="M537" s="60"/>
      <c r="N537" s="53"/>
      <c r="O537" s="53"/>
      <c r="P537" s="261"/>
      <c r="Q537" s="603">
        <f>IF(D534&lt;=3,база!$L$4,
IF(D534=4,база!$L$5,
IF(D534=5,база!$L$6)))</f>
        <v>231.45480000000001</v>
      </c>
      <c r="R537" s="251">
        <v>1.2</v>
      </c>
      <c r="S537" s="94">
        <f>SUMIFS(Таблица1[сумма],Таблица1[коэф],"1,2",Таблица1[р/р],"3/16",Таблица1[Ф. И. О.],B539)</f>
        <v>0</v>
      </c>
      <c r="T537" s="83">
        <f t="shared" si="328"/>
        <v>0</v>
      </c>
      <c r="U537" s="99">
        <f>IF(D534&lt;=3,база!$M$4,
IF(D534=4,база!$M$5,
IF(D534=5,база!$M$6)))</f>
        <v>247.41720000000001</v>
      </c>
      <c r="V537" s="251">
        <v>1.2</v>
      </c>
      <c r="W537" s="94">
        <f>SUMIFS(Таблица1[сумма],Таблица1[коэф],"1,2",Таблица1[р/р],"3/24",Таблица1[Ф. И. О.],B539)</f>
        <v>0</v>
      </c>
      <c r="X537" s="83">
        <f t="shared" ref="X537:X538" si="332">ROUND(U537*V537*W537,2)</f>
        <v>0</v>
      </c>
      <c r="Y537" s="792"/>
      <c r="Z537" s="794"/>
      <c r="AA537" s="797"/>
    </row>
    <row r="538" spans="1:29" ht="24" thickBot="1">
      <c r="A538" s="740"/>
      <c r="B538" s="591"/>
      <c r="C538" s="799"/>
      <c r="D538" s="801"/>
      <c r="E538" s="78"/>
      <c r="F538" s="251"/>
      <c r="G538" s="601"/>
      <c r="H538" s="83"/>
      <c r="I538" s="60">
        <f>база!$J$6</f>
        <v>243.04319999999998</v>
      </c>
      <c r="J538" s="602">
        <v>1.5</v>
      </c>
      <c r="K538" s="53">
        <f>SUMIFS(Таблица1[сумма],Таблица1[коэф],"1,5",Таблица1[р/р],"5/8",Таблица1[Ф. И. О.],B539)</f>
        <v>0</v>
      </c>
      <c r="L538" s="302">
        <f>ROUND(I538*J538*K538,2)</f>
        <v>0</v>
      </c>
      <c r="M538" s="60"/>
      <c r="N538" s="53"/>
      <c r="O538" s="53"/>
      <c r="P538" s="261"/>
      <c r="Q538" s="603">
        <f>база!$L$5</f>
        <v>231.45480000000001</v>
      </c>
      <c r="R538" s="251">
        <v>1.2</v>
      </c>
      <c r="S538" s="94">
        <f>SUMIFS(Таблица1[сумма],Таблица1[коэф],"1,2",Таблица1[р/р],"4/16",Таблица1[Ф. И. О.],B539)</f>
        <v>0</v>
      </c>
      <c r="T538" s="83">
        <f t="shared" si="328"/>
        <v>0</v>
      </c>
      <c r="U538" s="99">
        <f>база!$M$5</f>
        <v>247.41720000000001</v>
      </c>
      <c r="V538" s="251">
        <v>1.2</v>
      </c>
      <c r="W538" s="94">
        <f>SUMIFS(Таблица1[сумма],Таблица1[коэф],"1,2",Таблица1[р/р],"4/24",Таблица1[Ф. И. О.],B539)</f>
        <v>0</v>
      </c>
      <c r="X538" s="83">
        <f t="shared" si="332"/>
        <v>0</v>
      </c>
      <c r="Y538" s="792"/>
      <c r="Z538" s="794"/>
      <c r="AA538" s="797"/>
      <c r="AC538" s="688" t="str">
        <f>IF(SUMIFS(Таблица1[Столбец2],Таблица1[Ф. И. О.],B539)-Z534=0,"",SUMIFS(Таблица1[Столбец2],Таблица1[Ф. И. О.],B539)-Z534)</f>
        <v/>
      </c>
    </row>
    <row r="539" spans="1:29" ht="24" thickBot="1">
      <c r="A539" s="740"/>
      <c r="B539" s="591" t="str">
        <f>база!B50</f>
        <v>Минко Елена Анатольевна</v>
      </c>
      <c r="C539" s="799"/>
      <c r="D539" s="801"/>
      <c r="E539" s="78"/>
      <c r="F539" s="251"/>
      <c r="G539" s="601"/>
      <c r="H539" s="83"/>
      <c r="I539" s="60"/>
      <c r="J539" s="602"/>
      <c r="K539" s="53"/>
      <c r="L539" s="302"/>
      <c r="M539" s="60"/>
      <c r="N539" s="53"/>
      <c r="O539" s="53"/>
      <c r="P539" s="261"/>
      <c r="Q539" s="603">
        <f>база!$L$6</f>
        <v>261.04640000000001</v>
      </c>
      <c r="R539" s="251">
        <v>1.2</v>
      </c>
      <c r="S539" s="94">
        <f>SUMIFS(Таблица1[сумма],Таблица1[коэф],"1,2",Таблица1[р/р],"5/16",Таблица1[Ф. И. О.],B539)</f>
        <v>0</v>
      </c>
      <c r="T539" s="83">
        <f>ROUND(Q539*R539*S539,2)</f>
        <v>0</v>
      </c>
      <c r="U539" s="99">
        <f>база!$M$6</f>
        <v>279.0496</v>
      </c>
      <c r="V539" s="251">
        <v>1.2</v>
      </c>
      <c r="W539" s="94">
        <f>SUMIFS(Таблица1[сумма],Таблица1[коэф],"1,2",Таблица1[р/р],"5/24",Таблица1[Ф. И. О.],B539)</f>
        <v>0</v>
      </c>
      <c r="X539" s="83">
        <f>ROUND(U539*V539*W539,2)</f>
        <v>0</v>
      </c>
      <c r="Y539" s="792"/>
      <c r="Z539" s="794"/>
      <c r="AA539" s="797"/>
      <c r="AC539" s="688" t="str">
        <f>IF(SUMIFS(Таблица1[сумма],Таблица1[Ф. И. О.],B539)=Y534,"",B534&amp;"  часы не верны")</f>
        <v/>
      </c>
    </row>
    <row r="540" spans="1:29" ht="24" thickBot="1">
      <c r="A540" s="740"/>
      <c r="B540" s="591"/>
      <c r="C540" s="799"/>
      <c r="D540" s="801"/>
      <c r="E540" s="78"/>
      <c r="F540" s="251"/>
      <c r="G540" s="601"/>
      <c r="H540" s="83"/>
      <c r="I540" s="60"/>
      <c r="J540" s="602"/>
      <c r="K540" s="53"/>
      <c r="L540" s="302"/>
      <c r="M540" s="60"/>
      <c r="N540" s="53"/>
      <c r="O540" s="53"/>
      <c r="P540" s="261"/>
      <c r="Q540" s="603">
        <f>IF($D$6&lt;=3,база!$L$4,
IF($D$6=4,база!$L$5,
IF($D$6=5,база!$L$6)))</f>
        <v>231.45480000000001</v>
      </c>
      <c r="R540" s="251">
        <v>1.3</v>
      </c>
      <c r="S540" s="94">
        <f>SUMIFS(Таблица1[сумма],Таблица1[коэф],"1,3",Таблица1[р/р],"3/16",Таблица1[Ф. И. О.],B539)</f>
        <v>0</v>
      </c>
      <c r="T540" s="83">
        <f t="shared" ref="T540:T541" si="333">ROUND(Q540*R540*S540,2)</f>
        <v>0</v>
      </c>
      <c r="U540" s="99">
        <f>IF(D534&lt;=3,база!$M$4,
IF(D534=4,база!$M$5,
IF(D534=5,база!$M$6)))</f>
        <v>247.41720000000001</v>
      </c>
      <c r="V540" s="251">
        <v>1.3</v>
      </c>
      <c r="W540" s="94">
        <f>SUMIFS(Таблица1[сумма],Таблица1[коэф],"1,3",Таблица1[р/р],"3/24",Таблица1[Ф. И. О.],B539)</f>
        <v>0</v>
      </c>
      <c r="X540" s="83">
        <f t="shared" ref="X540:X541" si="334">ROUND(U540*V540*W540,2)</f>
        <v>0</v>
      </c>
      <c r="Y540" s="792"/>
      <c r="Z540" s="794"/>
      <c r="AA540" s="797"/>
    </row>
    <row r="541" spans="1:29" ht="24" thickBot="1">
      <c r="A541" s="740"/>
      <c r="B541" s="591"/>
      <c r="C541" s="799"/>
      <c r="D541" s="801"/>
      <c r="E541" s="78"/>
      <c r="F541" s="251"/>
      <c r="G541" s="601"/>
      <c r="H541" s="83"/>
      <c r="I541" s="60"/>
      <c r="J541" s="602"/>
      <c r="K541" s="53"/>
      <c r="L541" s="302"/>
      <c r="M541" s="60"/>
      <c r="N541" s="53"/>
      <c r="O541" s="53"/>
      <c r="P541" s="261"/>
      <c r="Q541" s="603">
        <f>база!$L$5</f>
        <v>231.45480000000001</v>
      </c>
      <c r="R541" s="251">
        <v>1.3</v>
      </c>
      <c r="S541" s="94">
        <f>SUMIFS(Таблица1[сумма],Таблица1[коэф],"1,3",Таблица1[р/р],"4/16",Таблица1[Ф. И. О.],B539)</f>
        <v>0</v>
      </c>
      <c r="T541" s="83">
        <f t="shared" si="333"/>
        <v>0</v>
      </c>
      <c r="U541" s="99">
        <f>база!$M$5</f>
        <v>247.41720000000001</v>
      </c>
      <c r="V541" s="251">
        <v>1.3</v>
      </c>
      <c r="W541" s="94">
        <f>SUMIFS(Таблица1[сумма],Таблица1[коэф],"1,3",Таблица1[р/р],"4/24",Таблица1[Ф. И. О.],B539)</f>
        <v>0</v>
      </c>
      <c r="X541" s="83">
        <f t="shared" si="334"/>
        <v>0</v>
      </c>
      <c r="Y541" s="792"/>
      <c r="Z541" s="794"/>
      <c r="AA541" s="797"/>
    </row>
    <row r="542" spans="1:29" ht="24" thickBot="1">
      <c r="A542" s="740"/>
      <c r="B542" s="591"/>
      <c r="C542" s="799"/>
      <c r="D542" s="801"/>
      <c r="E542" s="78"/>
      <c r="F542" s="251"/>
      <c r="G542" s="601"/>
      <c r="H542" s="83"/>
      <c r="I542" s="60"/>
      <c r="J542" s="602"/>
      <c r="K542" s="53"/>
      <c r="L542" s="302"/>
      <c r="M542" s="60"/>
      <c r="N542" s="53"/>
      <c r="O542" s="53"/>
      <c r="P542" s="261"/>
      <c r="Q542" s="603">
        <f>IF(D534&lt;=3,база!$L$4,
IF(D534=4,база!$L$5,
IF(D534=5,база!$L$6)))</f>
        <v>231.45480000000001</v>
      </c>
      <c r="R542" s="251">
        <v>1.4</v>
      </c>
      <c r="S542" s="94">
        <f>SUMIFS(Таблица1[сумма],Таблица1[коэф],"1,4",Таблица1[р/р],"3/16",Таблица1[Ф. И. О.],B539)</f>
        <v>0</v>
      </c>
      <c r="T542" s="83">
        <f>ROUND(Q542*R542*S542,2)</f>
        <v>0</v>
      </c>
      <c r="U542" s="99">
        <f>IF(D534&lt;=3,база!$M$4,
IF(D534=4,база!$M$5,
IF(D534=5,база!$M$6)))</f>
        <v>247.41720000000001</v>
      </c>
      <c r="V542" s="251">
        <v>1.4</v>
      </c>
      <c r="W542" s="94">
        <f>SUMIFS(Таблица1[сумма],Таблица1[коэф],"1,4",Таблица1[р/р],"3/24",Таблица1[Ф. И. О.],B539)</f>
        <v>0</v>
      </c>
      <c r="X542" s="83">
        <f>ROUND(U542*V542*W542,2)</f>
        <v>0</v>
      </c>
      <c r="Y542" s="792"/>
      <c r="Z542" s="794"/>
      <c r="AA542" s="797"/>
    </row>
    <row r="543" spans="1:29" ht="24" thickBot="1">
      <c r="A543" s="740"/>
      <c r="B543" s="591"/>
      <c r="C543" s="799"/>
      <c r="D543" s="801"/>
      <c r="E543" s="78"/>
      <c r="F543" s="251"/>
      <c r="G543" s="601"/>
      <c r="H543" s="83"/>
      <c r="I543" s="60"/>
      <c r="J543" s="602"/>
      <c r="K543" s="53"/>
      <c r="L543" s="302"/>
      <c r="M543" s="60"/>
      <c r="N543" s="53"/>
      <c r="O543" s="53"/>
      <c r="P543" s="261"/>
      <c r="Q543" s="603">
        <f>база!$L$5</f>
        <v>231.45480000000001</v>
      </c>
      <c r="R543" s="251">
        <v>1.4</v>
      </c>
      <c r="S543" s="94">
        <f>SUMIFS(Таблица1[сумма],Таблица1[коэф],"1,4",Таблица1[р/р],"4/16",Таблица1[Ф. И. О.],B539)</f>
        <v>0</v>
      </c>
      <c r="T543" s="83">
        <f>ROUND(Q543*R543*S543,2)</f>
        <v>0</v>
      </c>
      <c r="U543" s="99">
        <f>база!$M$5</f>
        <v>247.41720000000001</v>
      </c>
      <c r="V543" s="251">
        <v>1.4</v>
      </c>
      <c r="W543" s="94">
        <f>SUMIFS(Таблица1[сумма],Таблица1[коэф],"1,4",Таблица1[р/р],"4/24",Таблица1[Ф. И. О.],B539)</f>
        <v>0</v>
      </c>
      <c r="X543" s="83">
        <f>ROUND(U543*V543*W543,2)</f>
        <v>0</v>
      </c>
      <c r="Y543" s="792"/>
      <c r="Z543" s="794"/>
      <c r="AA543" s="797"/>
    </row>
    <row r="544" spans="1:29" ht="24" thickBot="1">
      <c r="A544" s="741"/>
      <c r="B544" s="329"/>
      <c r="C544" s="800"/>
      <c r="D544" s="802"/>
      <c r="E544" s="70"/>
      <c r="F544" s="254"/>
      <c r="G544" s="593"/>
      <c r="H544" s="87"/>
      <c r="I544" s="594"/>
      <c r="J544" s="567"/>
      <c r="K544" s="595"/>
      <c r="L544" s="305"/>
      <c r="M544" s="594"/>
      <c r="N544" s="595"/>
      <c r="O544" s="595"/>
      <c r="P544" s="268"/>
      <c r="Q544" s="596">
        <f>база!$L$6</f>
        <v>261.04640000000001</v>
      </c>
      <c r="R544" s="254">
        <v>1.4</v>
      </c>
      <c r="S544" s="93">
        <f>SUMIFS(Таблица1[сумма],Таблица1[коэф],"1,4",Таблица1[р/р],"5/16",Таблица1[Ф. И. О.],B539)</f>
        <v>0</v>
      </c>
      <c r="T544" s="87">
        <f>ROUND(Q544*R544*S544,2)</f>
        <v>0</v>
      </c>
      <c r="U544" s="77">
        <f>база!$M$6</f>
        <v>279.0496</v>
      </c>
      <c r="V544" s="254">
        <v>1.4</v>
      </c>
      <c r="W544" s="93">
        <f>SUMIFS(Таблица1[сумма],Таблица1[коэф],"1,4",Таблица1[р/р],"5/24",Таблица1[Ф. И. О.],B539)</f>
        <v>0</v>
      </c>
      <c r="X544" s="87">
        <f>ROUND(U544*V544*W544,2)</f>
        <v>0</v>
      </c>
      <c r="Y544" s="792"/>
      <c r="Z544" s="794"/>
      <c r="AA544" s="797"/>
    </row>
    <row r="545" spans="1:29" ht="20.25" customHeight="1">
      <c r="A545" s="739">
        <v>50</v>
      </c>
      <c r="B545" s="591"/>
      <c r="C545" s="805">
        <f>INDEX(база!$E$2:$E$81, MATCH(B550,база!$B$2:$B$60,0))</f>
        <v>17312</v>
      </c>
      <c r="D545" s="806">
        <f>INDEX(база!$D$2:$D$89, MATCH(B550,база!$B$2:$B$60,0))</f>
        <v>3</v>
      </c>
      <c r="E545" s="68">
        <f>IF(D545&lt;=3,база!$I$4,
IF(D545=4,база!$I$5,
IF(D545=5,база!$I$6)))</f>
        <v>188.7912</v>
      </c>
      <c r="F545" s="249">
        <v>1</v>
      </c>
      <c r="G545" s="82">
        <f>SUMIFS(Таблица1[сумма],Таблица1[коэф],"1",Таблица1[р/р],"2/4",Таблица1[Ф. И. О.],B550)</f>
        <v>0</v>
      </c>
      <c r="H545" s="96">
        <f>ROUND(E545*F545*G545,2)</f>
        <v>0</v>
      </c>
      <c r="I545" s="22">
        <f>IF(D545&lt;=3,база!$J$4,
IF(D545=4,база!$J$5,
IF(D545=5,база!$J$6)))</f>
        <v>196.05240000000001</v>
      </c>
      <c r="J545" s="256">
        <v>1</v>
      </c>
      <c r="K545" s="20">
        <f>SUMIFS(Таблица1[сумма],Таблица1[коэф],"1",Таблица1[р/р],"2/8",Таблица1[Ф. И. О.],B550)</f>
        <v>0</v>
      </c>
      <c r="L545" s="287">
        <f>ROUND(I545*J545*K545,2)</f>
        <v>0</v>
      </c>
      <c r="M545" s="22"/>
      <c r="N545" s="20">
        <v>1</v>
      </c>
      <c r="O545" s="20">
        <f>SUMIFS(Data_Tech!$AM$3:$AM$67,Data_Tech!$E$3:$E$67,"1",Data_Tech!$G$3:$G$67,"3/12",Data_Tech!$F$3:$F$67,B550)</f>
        <v>0</v>
      </c>
      <c r="P545" s="260">
        <f>ROUND(M545*N545*O545,2)</f>
        <v>0</v>
      </c>
      <c r="Q545" s="592">
        <f>IF(D545&lt;=3,база!$L$4,
IF(D545=4,база!$L$5,
IF(D545=5,база!$L$6)))</f>
        <v>210.57480000000001</v>
      </c>
      <c r="R545" s="249">
        <v>1</v>
      </c>
      <c r="S545" s="90">
        <f>SUMIFS(Таблица1[сумма],Таблица1[коэф],"1",Таблица1[р/р],"3/16",Таблица1[Ф. И. О.],B550)</f>
        <v>0</v>
      </c>
      <c r="T545" s="96">
        <f t="shared" ref="T545:T549" si="335">ROUND(Q545*R545*S545,2)</f>
        <v>0</v>
      </c>
      <c r="U545" s="75">
        <f>IF(D545&lt;=3,база!$M$4,
IF(D545=4,база!$M$5,
IF(D545=5,база!$M$6)))</f>
        <v>225.09719999999999</v>
      </c>
      <c r="V545" s="249">
        <v>1</v>
      </c>
      <c r="W545" s="90">
        <f>SUMIFS(Таблица1[сумма],Таблица1[коэф],"1",Таблица1[р/р],"3/24",Таблица1[Ф. И. О.],B550)</f>
        <v>0</v>
      </c>
      <c r="X545" s="96">
        <f>ROUND(U545*V545*W545,2)</f>
        <v>0</v>
      </c>
      <c r="Y545" s="791">
        <f t="shared" ref="Y545" si="336">SUM(G545:G555,K545:K555,O545:O555,S545:S555,W545:W555)</f>
        <v>0</v>
      </c>
      <c r="Z545" s="807">
        <f t="shared" ref="Z545" si="337">IFERROR(SUM(H545:H555,L545:L555,T545:T555,X545:X555),"")</f>
        <v>0</v>
      </c>
      <c r="AA545" s="796"/>
    </row>
    <row r="546" spans="1:29">
      <c r="A546" s="740"/>
      <c r="B546" s="591"/>
      <c r="C546" s="799"/>
      <c r="D546" s="801"/>
      <c r="E546" s="68">
        <f>IF(D545&lt;=3,база!$I$4,
IF(D545=4,база!$I$5,
IF(D545=5,база!$I$6)))</f>
        <v>188.7912</v>
      </c>
      <c r="F546" s="249">
        <v>1</v>
      </c>
      <c r="G546" s="82">
        <f>SUMIFS(Таблица1[сумма],Таблица1[коэф],"1",Таблица1[р/р],"3/4",Таблица1[Ф. И. О.],B550)</f>
        <v>0</v>
      </c>
      <c r="H546" s="96">
        <f>ROUND(E546*F546*G546,2)</f>
        <v>0</v>
      </c>
      <c r="I546" s="22">
        <f>IF(D545&lt;=3,база!$J$4,
IF(D545=4,база!$J$5,
IF(D545=5,база!$J$6)))</f>
        <v>196.05240000000001</v>
      </c>
      <c r="J546" s="256">
        <v>1</v>
      </c>
      <c r="K546" s="20"/>
      <c r="L546" s="287">
        <f>ROUND(I546*J546*K546,2)</f>
        <v>0</v>
      </c>
      <c r="M546" s="22"/>
      <c r="N546" s="20">
        <v>1</v>
      </c>
      <c r="O546" s="20">
        <f>SUMIFS(Data_Tech!$AM$3:$AM$67,Data_Tech!$E$3:$E$67,"1",Data_Tech!$G$3:$G$67,"4/12",Data_Tech!$F$3:$F$67,B550)</f>
        <v>0</v>
      </c>
      <c r="P546" s="260">
        <f>ROUND(M546*O546,2)</f>
        <v>0</v>
      </c>
      <c r="Q546" s="592">
        <f>база!$L$5</f>
        <v>231.45480000000001</v>
      </c>
      <c r="R546" s="249">
        <v>1</v>
      </c>
      <c r="S546" s="90">
        <f>SUMIFS(Таблица1[сумма],Таблица1[коэф],"1",Таблица1[р/р],"4/16",Таблица1[Ф. И. О.],B550)</f>
        <v>0</v>
      </c>
      <c r="T546" s="96">
        <f t="shared" si="335"/>
        <v>0</v>
      </c>
      <c r="U546" s="75">
        <f>база!$M$5</f>
        <v>247.41720000000001</v>
      </c>
      <c r="V546" s="249">
        <v>1</v>
      </c>
      <c r="W546" s="90">
        <f>SUMIFS(Таблица1[сумма],Таблица1[коэф],"1",Таблица1[р/р],"4/24",Таблица1[Ф. И. О.],B550)</f>
        <v>0</v>
      </c>
      <c r="X546" s="96">
        <f t="shared" ref="X546" si="338">ROUND(U546*V546*W546,2)</f>
        <v>0</v>
      </c>
      <c r="Y546" s="792"/>
      <c r="Z546" s="794"/>
      <c r="AA546" s="797"/>
    </row>
    <row r="547" spans="1:29" ht="24" thickBot="1">
      <c r="A547" s="740"/>
      <c r="B547" s="591"/>
      <c r="C547" s="799"/>
      <c r="D547" s="801"/>
      <c r="E547" s="68"/>
      <c r="F547" s="249"/>
      <c r="G547" s="82"/>
      <c r="H547" s="96"/>
      <c r="I547" s="22"/>
      <c r="J547" s="256"/>
      <c r="K547" s="20"/>
      <c r="L547" s="287"/>
      <c r="M547" s="22"/>
      <c r="N547" s="20"/>
      <c r="O547" s="20"/>
      <c r="P547" s="260"/>
      <c r="Q547" s="592">
        <f>база!$L$6</f>
        <v>261.04640000000001</v>
      </c>
      <c r="R547" s="249">
        <v>1</v>
      </c>
      <c r="S547" s="90">
        <f>SUMIFS(Таблица1[сумма],Таблица1[коэф],"1",Таблица1[р/р],"5/16",Таблица1[Ф. И. О.],B550)</f>
        <v>0</v>
      </c>
      <c r="T547" s="96">
        <f t="shared" si="335"/>
        <v>0</v>
      </c>
      <c r="U547" s="75">
        <f>база!$M$6</f>
        <v>279.0496</v>
      </c>
      <c r="V547" s="249">
        <v>1</v>
      </c>
      <c r="W547" s="90">
        <f>SUMIFS(Таблица1[сумма],Таблица1[коэф],"1",Таблица1[р/р],"5/24",Таблица1[Ф. И. О.],B550)</f>
        <v>0</v>
      </c>
      <c r="X547" s="96">
        <f>ROUND(U547*V547*W547,2)</f>
        <v>0</v>
      </c>
      <c r="Y547" s="792"/>
      <c r="Z547" s="794"/>
      <c r="AA547" s="797"/>
    </row>
    <row r="548" spans="1:29" ht="24" thickBot="1">
      <c r="A548" s="740"/>
      <c r="B548" s="591"/>
      <c r="C548" s="799"/>
      <c r="D548" s="801"/>
      <c r="E548" s="68"/>
      <c r="F548" s="249"/>
      <c r="G548" s="82"/>
      <c r="H548" s="96"/>
      <c r="I548" s="22">
        <f>база!$J$5</f>
        <v>215.4924</v>
      </c>
      <c r="J548" s="256">
        <v>1.5</v>
      </c>
      <c r="K548" s="20">
        <f>SUMIFS(Таблица1[сумма],Таблица1[коэф],"1,5",Таблица1[р/р],"4/8",Таблица1[Ф. И. О.],B550)</f>
        <v>0</v>
      </c>
      <c r="L548" s="287">
        <f>ROUND(I548*J548*K548,2)</f>
        <v>0</v>
      </c>
      <c r="M548" s="22"/>
      <c r="N548" s="20"/>
      <c r="O548" s="20"/>
      <c r="P548" s="260"/>
      <c r="Q548" s="592">
        <f>IF(D545&lt;=3,база!$L$4,
IF(D545=4,база!$L$5,
IF(D545=5,база!$L$6)))</f>
        <v>210.57480000000001</v>
      </c>
      <c r="R548" s="249">
        <v>1.2</v>
      </c>
      <c r="S548" s="90">
        <f>SUMIFS(Таблица1[сумма],Таблица1[коэф],"1,2",Таблица1[р/р],"3/16",Таблица1[Ф. И. О.],B550)</f>
        <v>0</v>
      </c>
      <c r="T548" s="96">
        <f t="shared" si="335"/>
        <v>0</v>
      </c>
      <c r="U548" s="75">
        <f>IF(D545&lt;=3,база!$M$4,
IF(D545=4,база!$M$5,
IF(D545=5,база!$M$6)))</f>
        <v>225.09719999999999</v>
      </c>
      <c r="V548" s="249">
        <v>1.2</v>
      </c>
      <c r="W548" s="90">
        <f>SUMIFS(Таблица1[сумма],Таблица1[коэф],"1,2",Таблица1[р/р],"3/24",Таблица1[Ф. И. О.],B550)</f>
        <v>0</v>
      </c>
      <c r="X548" s="96">
        <f t="shared" ref="X548:X549" si="339">ROUND(U548*V548*W548,2)</f>
        <v>0</v>
      </c>
      <c r="Y548" s="792"/>
      <c r="Z548" s="794"/>
      <c r="AA548" s="797"/>
    </row>
    <row r="549" spans="1:29" ht="24" thickBot="1">
      <c r="A549" s="740"/>
      <c r="B549" s="591"/>
      <c r="C549" s="799"/>
      <c r="D549" s="801"/>
      <c r="E549" s="68"/>
      <c r="F549" s="249"/>
      <c r="G549" s="82"/>
      <c r="H549" s="96"/>
      <c r="I549" s="22">
        <f>база!$J$6</f>
        <v>243.04319999999998</v>
      </c>
      <c r="J549" s="256">
        <v>1.5</v>
      </c>
      <c r="K549" s="20">
        <f>SUMIFS(Таблица1[сумма],Таблица1[коэф],"1,5",Таблица1[р/р],"5/8",Таблица1[Ф. И. О.],B550)</f>
        <v>0</v>
      </c>
      <c r="L549" s="287">
        <f>ROUND(I549*J549*K549,2)</f>
        <v>0</v>
      </c>
      <c r="M549" s="22"/>
      <c r="N549" s="20"/>
      <c r="O549" s="20"/>
      <c r="P549" s="260"/>
      <c r="Q549" s="592">
        <f>база!$L$5</f>
        <v>231.45480000000001</v>
      </c>
      <c r="R549" s="249">
        <v>1.2</v>
      </c>
      <c r="S549" s="90">
        <f>SUMIFS(Таблица1[сумма],Таблица1[коэф],"1,2",Таблица1[р/р],"4/16",Таблица1[Ф. И. О.],B550)</f>
        <v>0</v>
      </c>
      <c r="T549" s="96">
        <f t="shared" si="335"/>
        <v>0</v>
      </c>
      <c r="U549" s="75">
        <f>база!$M$5</f>
        <v>247.41720000000001</v>
      </c>
      <c r="V549" s="249">
        <v>1.2</v>
      </c>
      <c r="W549" s="90">
        <f>SUMIFS(Таблица1[сумма],Таблица1[коэф],"1,2",Таблица1[р/р],"4/24",Таблица1[Ф. И. О.],B550)</f>
        <v>0</v>
      </c>
      <c r="X549" s="96">
        <f t="shared" si="339"/>
        <v>0</v>
      </c>
      <c r="Y549" s="792"/>
      <c r="Z549" s="794"/>
      <c r="AA549" s="797"/>
      <c r="AC549" s="688" t="str">
        <f>IF(SUMIFS(Таблица1[Столбец2],Таблица1[Ф. И. О.],B550)-Z545=0,"",SUMIFS(Таблица1[Столбец2],Таблица1[Ф. И. О.],B550)-Z545)</f>
        <v/>
      </c>
    </row>
    <row r="550" spans="1:29" ht="24" thickBot="1">
      <c r="A550" s="740"/>
      <c r="B550" s="591" t="str">
        <f>база!B51</f>
        <v>Михалочкина Наталья Ивановна</v>
      </c>
      <c r="C550" s="799"/>
      <c r="D550" s="801"/>
      <c r="E550" s="68"/>
      <c r="F550" s="249"/>
      <c r="G550" s="82"/>
      <c r="H550" s="96"/>
      <c r="I550" s="22"/>
      <c r="J550" s="256"/>
      <c r="K550" s="20"/>
      <c r="L550" s="287"/>
      <c r="M550" s="22"/>
      <c r="N550" s="20"/>
      <c r="O550" s="20"/>
      <c r="P550" s="260"/>
      <c r="Q550" s="592">
        <f>база!$L$6</f>
        <v>261.04640000000001</v>
      </c>
      <c r="R550" s="249">
        <v>1.2</v>
      </c>
      <c r="S550" s="90">
        <f>SUMIFS(Таблица1[сумма],Таблица1[коэф],"1,2",Таблица1[р/р],"5/16",Таблица1[Ф. И. О.],B550)</f>
        <v>0</v>
      </c>
      <c r="T550" s="96">
        <f>ROUND(Q550*R550*S550,2)</f>
        <v>0</v>
      </c>
      <c r="U550" s="75">
        <f>база!$M$6</f>
        <v>279.0496</v>
      </c>
      <c r="V550" s="249">
        <v>1.2</v>
      </c>
      <c r="W550" s="90">
        <f>SUMIFS(Таблица1[сумма],Таблица1[коэф],"1,2",Таблица1[р/р],"5/24",Таблица1[Ф. И. О.],B550)</f>
        <v>0</v>
      </c>
      <c r="X550" s="96">
        <f>ROUND(U550*V550*W550,2)</f>
        <v>0</v>
      </c>
      <c r="Y550" s="792"/>
      <c r="Z550" s="794"/>
      <c r="AA550" s="797"/>
      <c r="AC550" s="688" t="str">
        <f>IF(SUMIFS(Таблица1[сумма],Таблица1[Ф. И. О.],B550)=Y545,"",B545&amp;"  часы не верны")</f>
        <v/>
      </c>
    </row>
    <row r="551" spans="1:29" ht="24" thickBot="1">
      <c r="A551" s="740"/>
      <c r="B551" s="591"/>
      <c r="C551" s="799"/>
      <c r="D551" s="801"/>
      <c r="E551" s="68"/>
      <c r="F551" s="249"/>
      <c r="G551" s="82"/>
      <c r="H551" s="96"/>
      <c r="I551" s="22"/>
      <c r="J551" s="256"/>
      <c r="K551" s="20"/>
      <c r="L551" s="287"/>
      <c r="M551" s="22"/>
      <c r="N551" s="20"/>
      <c r="O551" s="20"/>
      <c r="P551" s="260"/>
      <c r="Q551" s="592">
        <f>IF($D$6&lt;=3,база!$L$4,
IF($D$6=4,база!$L$5,
IF($D$6=5,база!$L$6)))</f>
        <v>231.45480000000001</v>
      </c>
      <c r="R551" s="249">
        <v>1.3</v>
      </c>
      <c r="S551" s="90">
        <f>SUMIFS(Таблица1[сумма],Таблица1[коэф],"1,3",Таблица1[р/р],"3/16",Таблица1[Ф. И. О.],B550)</f>
        <v>0</v>
      </c>
      <c r="T551" s="96">
        <f t="shared" ref="T551:T552" si="340">ROUND(Q551*R551*S551,2)</f>
        <v>0</v>
      </c>
      <c r="U551" s="75">
        <f>IF(D545&lt;=3,база!$M$4,
IF(D545=4,база!$M$5,
IF(D545=5,база!$M$6)))</f>
        <v>225.09719999999999</v>
      </c>
      <c r="V551" s="249">
        <v>1.3</v>
      </c>
      <c r="W551" s="90">
        <f>SUMIFS(Таблица1[сумма],Таблица1[коэф],"1,3",Таблица1[р/р],"3/24",Таблица1[Ф. И. О.],B550)</f>
        <v>0</v>
      </c>
      <c r="X551" s="96">
        <f t="shared" ref="X551:X552" si="341">ROUND(U551*V551*W551,2)</f>
        <v>0</v>
      </c>
      <c r="Y551" s="792"/>
      <c r="Z551" s="794"/>
      <c r="AA551" s="797"/>
    </row>
    <row r="552" spans="1:29" ht="24" thickBot="1">
      <c r="A552" s="740"/>
      <c r="B552" s="591"/>
      <c r="C552" s="799"/>
      <c r="D552" s="801"/>
      <c r="E552" s="68"/>
      <c r="F552" s="249"/>
      <c r="G552" s="82"/>
      <c r="H552" s="96"/>
      <c r="I552" s="22"/>
      <c r="J552" s="256"/>
      <c r="K552" s="20"/>
      <c r="L552" s="287"/>
      <c r="M552" s="22"/>
      <c r="N552" s="20"/>
      <c r="O552" s="20"/>
      <c r="P552" s="260"/>
      <c r="Q552" s="592">
        <f>база!$L$5</f>
        <v>231.45480000000001</v>
      </c>
      <c r="R552" s="249">
        <v>1.3</v>
      </c>
      <c r="S552" s="90">
        <f>SUMIFS(Таблица1[сумма],Таблица1[коэф],"1,3",Таблица1[р/р],"4/16",Таблица1[Ф. И. О.],B550)</f>
        <v>0</v>
      </c>
      <c r="T552" s="96">
        <f t="shared" si="340"/>
        <v>0</v>
      </c>
      <c r="U552" s="75">
        <f>база!$M$5</f>
        <v>247.41720000000001</v>
      </c>
      <c r="V552" s="249">
        <v>1.3</v>
      </c>
      <c r="W552" s="90">
        <f>SUMIFS(Таблица1[сумма],Таблица1[коэф],"1,3",Таблица1[р/р],"4/24",Таблица1[Ф. И. О.],B550)</f>
        <v>0</v>
      </c>
      <c r="X552" s="96">
        <f t="shared" si="341"/>
        <v>0</v>
      </c>
      <c r="Y552" s="792"/>
      <c r="Z552" s="794"/>
      <c r="AA552" s="797"/>
    </row>
    <row r="553" spans="1:29" ht="24" thickBot="1">
      <c r="A553" s="740"/>
      <c r="B553" s="591"/>
      <c r="C553" s="799"/>
      <c r="D553" s="801"/>
      <c r="E553" s="68"/>
      <c r="F553" s="249"/>
      <c r="G553" s="82"/>
      <c r="H553" s="96"/>
      <c r="I553" s="22"/>
      <c r="J553" s="256"/>
      <c r="K553" s="20"/>
      <c r="L553" s="287"/>
      <c r="M553" s="22"/>
      <c r="N553" s="20"/>
      <c r="O553" s="20"/>
      <c r="P553" s="260"/>
      <c r="Q553" s="592">
        <f>IF(D545&lt;=3,база!$L$4,
IF(D545=4,база!$L$5,
IF(D545=5,база!$L$6)))</f>
        <v>210.57480000000001</v>
      </c>
      <c r="R553" s="249">
        <v>1.4</v>
      </c>
      <c r="S553" s="90">
        <f>SUMIFS(Таблица1[сумма],Таблица1[коэф],"1,4",Таблица1[р/р],"3/16",Таблица1[Ф. И. О.],B550)</f>
        <v>0</v>
      </c>
      <c r="T553" s="96">
        <f>ROUND(Q553*R553*S553,2)</f>
        <v>0</v>
      </c>
      <c r="U553" s="75">
        <f>IF(D545&lt;=3,база!$M$4,
IF(D545=4,база!$M$5,
IF(D545=5,база!$M$6)))</f>
        <v>225.09719999999999</v>
      </c>
      <c r="V553" s="249">
        <v>1.4</v>
      </c>
      <c r="W553" s="90">
        <f>SUMIFS(Таблица1[сумма],Таблица1[коэф],"1,4",Таблица1[р/р],"3/24",Таблица1[Ф. И. О.],B550)</f>
        <v>0</v>
      </c>
      <c r="X553" s="96">
        <f>ROUND(U553*V553*W553,2)</f>
        <v>0</v>
      </c>
      <c r="Y553" s="792"/>
      <c r="Z553" s="794"/>
      <c r="AA553" s="797"/>
    </row>
    <row r="554" spans="1:29" ht="24" thickBot="1">
      <c r="A554" s="740"/>
      <c r="B554" s="591"/>
      <c r="C554" s="799"/>
      <c r="D554" s="801"/>
      <c r="E554" s="78"/>
      <c r="F554" s="251"/>
      <c r="G554" s="601"/>
      <c r="H554" s="83"/>
      <c r="I554" s="60"/>
      <c r="J554" s="602"/>
      <c r="K554" s="53"/>
      <c r="L554" s="302"/>
      <c r="M554" s="60"/>
      <c r="N554" s="53"/>
      <c r="O554" s="53"/>
      <c r="P554" s="261"/>
      <c r="Q554" s="603">
        <f>база!$L$5</f>
        <v>231.45480000000001</v>
      </c>
      <c r="R554" s="251">
        <v>1.4</v>
      </c>
      <c r="S554" s="94">
        <f>SUMIFS(Таблица1[сумма],Таблица1[коэф],"1,4",Таблица1[р/р],"4/16",Таблица1[Ф. И. О.],B550)</f>
        <v>0</v>
      </c>
      <c r="T554" s="83">
        <f>ROUND(Q554*R554*S554,2)</f>
        <v>0</v>
      </c>
      <c r="U554" s="99">
        <f>база!$M$5</f>
        <v>247.41720000000001</v>
      </c>
      <c r="V554" s="251">
        <v>1.4</v>
      </c>
      <c r="W554" s="94">
        <f>SUMIFS(Таблица1[сумма],Таблица1[коэф],"1,4",Таблица1[р/р],"4/24",Таблица1[Ф. И. О.],B550)</f>
        <v>0</v>
      </c>
      <c r="X554" s="83">
        <f>ROUND(U554*V554*W554,2)</f>
        <v>0</v>
      </c>
      <c r="Y554" s="792"/>
      <c r="Z554" s="794"/>
      <c r="AA554" s="797"/>
    </row>
    <row r="555" spans="1:29" ht="24" thickBot="1">
      <c r="A555" s="741"/>
      <c r="B555" s="329"/>
      <c r="C555" s="800"/>
      <c r="D555" s="802"/>
      <c r="E555" s="70"/>
      <c r="F555" s="254"/>
      <c r="G555" s="593"/>
      <c r="H555" s="87"/>
      <c r="I555" s="594"/>
      <c r="J555" s="567"/>
      <c r="K555" s="595"/>
      <c r="L555" s="305"/>
      <c r="M555" s="594"/>
      <c r="N555" s="595"/>
      <c r="O555" s="595"/>
      <c r="P555" s="268"/>
      <c r="Q555" s="596">
        <f>база!$L$6</f>
        <v>261.04640000000001</v>
      </c>
      <c r="R555" s="254">
        <v>1.4</v>
      </c>
      <c r="S555" s="93">
        <f>SUMIFS(Таблица1[сумма],Таблица1[коэф],"1,4",Таблица1[р/р],"5/16",Таблица1[Ф. И. О.],B550)</f>
        <v>0</v>
      </c>
      <c r="T555" s="87">
        <f>ROUND(Q555*R555*S555,2)</f>
        <v>0</v>
      </c>
      <c r="U555" s="77">
        <f>база!$M$6</f>
        <v>279.0496</v>
      </c>
      <c r="V555" s="254">
        <v>1.4</v>
      </c>
      <c r="W555" s="93">
        <f>SUMIFS(Таблица1[сумма],Таблица1[коэф],"1,4",Таблица1[р/р],"5/24",Таблица1[Ф. И. О.],B550)</f>
        <v>0</v>
      </c>
      <c r="X555" s="87">
        <f>ROUND(U555*V555*W555,2)</f>
        <v>0</v>
      </c>
      <c r="Y555" s="793"/>
      <c r="Z555" s="795"/>
      <c r="AA555" s="798"/>
    </row>
    <row r="556" spans="1:29" ht="20.25" customHeight="1">
      <c r="A556" s="739">
        <v>51</v>
      </c>
      <c r="B556" s="591"/>
      <c r="C556" s="805">
        <f>INDEX(база!$E$2:$E$81, MATCH(B561,база!$B$2:$B$60,0))</f>
        <v>15239</v>
      </c>
      <c r="D556" s="806">
        <f>INDEX(база!$D$2:$D$89, MATCH(B561,база!$B$2:$B$60,0))</f>
        <v>3</v>
      </c>
      <c r="E556" s="68">
        <f>IF(D556&lt;=3,база!$I$4,
IF(D556=4,база!$I$5,
IF(D556=5,база!$I$6)))</f>
        <v>188.7912</v>
      </c>
      <c r="F556" s="249">
        <v>1</v>
      </c>
      <c r="G556" s="82">
        <f>SUMIFS(Таблица1[сумма],Таблица1[коэф],"1",Таблица1[р/р],"2/4",Таблица1[Ф. И. О.],B561)</f>
        <v>0</v>
      </c>
      <c r="H556" s="96">
        <f>ROUND(E556*F556*G556,2)</f>
        <v>0</v>
      </c>
      <c r="I556" s="22">
        <f>IF(D556&lt;=3,база!$J$4,
IF(D556=4,база!$J$5,
IF(D556=5,база!$J$6)))</f>
        <v>196.05240000000001</v>
      </c>
      <c r="J556" s="256">
        <v>1</v>
      </c>
      <c r="K556" s="20">
        <f>SUMIFS(Таблица1[сумма],Таблица1[коэф],"1",Таблица1[р/р],"2/8",Таблица1[Ф. И. О.],B561)</f>
        <v>0</v>
      </c>
      <c r="L556" s="287">
        <f>ROUND(I556*J556*K556,2)</f>
        <v>0</v>
      </c>
      <c r="M556" s="22"/>
      <c r="N556" s="20">
        <v>1</v>
      </c>
      <c r="O556" s="20">
        <f>SUMIFS(Data_Tech!$AM$3:$AM$67,Data_Tech!$E$3:$E$67,"1",Data_Tech!$G$3:$G$67,"3/12",Data_Tech!$F$3:$F$67,B561)</f>
        <v>0</v>
      </c>
      <c r="P556" s="260">
        <f>ROUND(M556*N556*O556,2)</f>
        <v>0</v>
      </c>
      <c r="Q556" s="592">
        <f>IF(D556&lt;=3,база!$L$4,
IF(D556=4,база!$L$5,
IF(D556=5,база!$L$6)))</f>
        <v>210.57480000000001</v>
      </c>
      <c r="R556" s="249">
        <v>1</v>
      </c>
      <c r="S556" s="90">
        <f>SUMIFS(Таблица1[сумма],Таблица1[коэф],"1",Таблица1[р/р],"3/16",Таблица1[Ф. И. О.],B561)</f>
        <v>0</v>
      </c>
      <c r="T556" s="96">
        <f t="shared" ref="T556:T560" si="342">ROUND(Q556*R556*S556,2)</f>
        <v>0</v>
      </c>
      <c r="U556" s="75">
        <f>IF(D556&lt;=3,база!$M$4,
IF(D556=4,база!$M$5,
IF(D556=5,база!$M$6)))</f>
        <v>225.09719999999999</v>
      </c>
      <c r="V556" s="249">
        <v>1</v>
      </c>
      <c r="W556" s="90">
        <f>SUMIFS(Таблица1[сумма],Таблица1[коэф],"1",Таблица1[р/р],"3/24",Таблица1[Ф. И. О.],B561)</f>
        <v>0</v>
      </c>
      <c r="X556" s="96">
        <f>ROUND(U556*V556*W556,2)</f>
        <v>0</v>
      </c>
      <c r="Y556" s="791">
        <f t="shared" ref="Y556" si="343">SUM(G556:G566,K556:K566,O556:O566,S556:S566,W556:W566)</f>
        <v>0</v>
      </c>
      <c r="Z556" s="807">
        <f t="shared" ref="Z556" si="344">IFERROR(SUM(H556:H566,L556:L566,T556:T566,X556:X566),"")</f>
        <v>0</v>
      </c>
      <c r="AA556" s="796"/>
    </row>
    <row r="557" spans="1:29">
      <c r="A557" s="740"/>
      <c r="B557" s="591"/>
      <c r="C557" s="799"/>
      <c r="D557" s="801"/>
      <c r="E557" s="68">
        <f>IF(D556&lt;=3,база!$I$4,
IF(D556=4,база!$I$5,
IF(D556=5,база!$I$6)))</f>
        <v>188.7912</v>
      </c>
      <c r="F557" s="249">
        <v>1</v>
      </c>
      <c r="G557" s="82">
        <f>SUMIFS(Таблица1[сумма],Таблица1[коэф],"1",Таблица1[р/р],"3/4",Таблица1[Ф. И. О.],B561)</f>
        <v>0</v>
      </c>
      <c r="H557" s="96">
        <f>ROUND(E557*F557*G557,2)</f>
        <v>0</v>
      </c>
      <c r="I557" s="22">
        <f>IF(D556&lt;=3,база!$J$4,
IF(D556=4,база!$J$5,
IF(D556=5,база!$J$6)))</f>
        <v>196.05240000000001</v>
      </c>
      <c r="J557" s="256">
        <v>1</v>
      </c>
      <c r="K557" s="20"/>
      <c r="L557" s="287">
        <f>ROUND(I557*J557*K557,2)</f>
        <v>0</v>
      </c>
      <c r="M557" s="22"/>
      <c r="N557" s="20">
        <v>1</v>
      </c>
      <c r="O557" s="20">
        <f>SUMIFS(Data_Tech!$AM$3:$AM$67,Data_Tech!$E$3:$E$67,"1",Data_Tech!$G$3:$G$67,"4/12",Data_Tech!$F$3:$F$67,B561)</f>
        <v>0</v>
      </c>
      <c r="P557" s="260">
        <f>ROUND(M557*O557,2)</f>
        <v>0</v>
      </c>
      <c r="Q557" s="592">
        <f>база!$L$5</f>
        <v>231.45480000000001</v>
      </c>
      <c r="R557" s="249">
        <v>1</v>
      </c>
      <c r="S557" s="90">
        <f>SUMIFS(Таблица1[сумма],Таблица1[коэф],"1",Таблица1[р/р],"4/16",Таблица1[Ф. И. О.],B561)</f>
        <v>0</v>
      </c>
      <c r="T557" s="96">
        <f t="shared" si="342"/>
        <v>0</v>
      </c>
      <c r="U557" s="75">
        <f>база!$M$5</f>
        <v>247.41720000000001</v>
      </c>
      <c r="V557" s="249">
        <v>1</v>
      </c>
      <c r="W557" s="90">
        <f>SUMIFS(Таблица1[сумма],Таблица1[коэф],"1",Таблица1[р/р],"4/24",Таблица1[Ф. И. О.],B561)</f>
        <v>0</v>
      </c>
      <c r="X557" s="96">
        <f t="shared" ref="X557" si="345">ROUND(U557*V557*W557,2)</f>
        <v>0</v>
      </c>
      <c r="Y557" s="792"/>
      <c r="Z557" s="794"/>
      <c r="AA557" s="797"/>
    </row>
    <row r="558" spans="1:29" ht="24" thickBot="1">
      <c r="A558" s="740"/>
      <c r="B558" s="591"/>
      <c r="C558" s="799"/>
      <c r="D558" s="801"/>
      <c r="E558" s="68"/>
      <c r="F558" s="249"/>
      <c r="G558" s="82"/>
      <c r="H558" s="96"/>
      <c r="I558" s="22"/>
      <c r="J558" s="256"/>
      <c r="K558" s="20"/>
      <c r="L558" s="287"/>
      <c r="M558" s="22"/>
      <c r="N558" s="20"/>
      <c r="O558" s="20"/>
      <c r="P558" s="260"/>
      <c r="Q558" s="592">
        <f>база!$L$6</f>
        <v>261.04640000000001</v>
      </c>
      <c r="R558" s="249">
        <v>1</v>
      </c>
      <c r="S558" s="90">
        <f>SUMIFS(Таблица1[сумма],Таблица1[коэф],"1",Таблица1[р/р],"5/16",Таблица1[Ф. И. О.],B561)</f>
        <v>0</v>
      </c>
      <c r="T558" s="96">
        <f t="shared" si="342"/>
        <v>0</v>
      </c>
      <c r="U558" s="75">
        <f>база!$M$6</f>
        <v>279.0496</v>
      </c>
      <c r="V558" s="249">
        <v>1</v>
      </c>
      <c r="W558" s="90">
        <f>SUMIFS(Таблица1[сумма],Таблица1[коэф],"1",Таблица1[р/р],"5/24",Таблица1[Ф. И. О.],B561)</f>
        <v>0</v>
      </c>
      <c r="X558" s="96">
        <f>ROUND(U558*V558*W558,2)</f>
        <v>0</v>
      </c>
      <c r="Y558" s="792"/>
      <c r="Z558" s="794"/>
      <c r="AA558" s="797"/>
    </row>
    <row r="559" spans="1:29" ht="24" thickBot="1">
      <c r="A559" s="740"/>
      <c r="B559" s="591"/>
      <c r="C559" s="799"/>
      <c r="D559" s="801"/>
      <c r="E559" s="68"/>
      <c r="F559" s="249"/>
      <c r="G559" s="82"/>
      <c r="H559" s="96"/>
      <c r="I559" s="22">
        <f>база!$J$5</f>
        <v>215.4924</v>
      </c>
      <c r="J559" s="256">
        <v>1.5</v>
      </c>
      <c r="K559" s="20">
        <f>SUMIFS(Таблица1[сумма],Таблица1[коэф],"1,5",Таблица1[р/р],"4/8",Таблица1[Ф. И. О.],B561)</f>
        <v>0</v>
      </c>
      <c r="L559" s="287">
        <f>ROUND(I559*J559*K559,2)</f>
        <v>0</v>
      </c>
      <c r="M559" s="22"/>
      <c r="N559" s="20"/>
      <c r="O559" s="20"/>
      <c r="P559" s="260"/>
      <c r="Q559" s="592">
        <f>IF(D556&lt;=3,база!$L$4,
IF(D556=4,база!$L$5,
IF(D556=5,база!$L$6)))</f>
        <v>210.57480000000001</v>
      </c>
      <c r="R559" s="249">
        <v>1.2</v>
      </c>
      <c r="S559" s="90">
        <f>SUMIFS(Таблица1[сумма],Таблица1[коэф],"1,2",Таблица1[р/р],"3/16",Таблица1[Ф. И. О.],B561)</f>
        <v>0</v>
      </c>
      <c r="T559" s="96">
        <f t="shared" si="342"/>
        <v>0</v>
      </c>
      <c r="U559" s="75">
        <f>IF(D556&lt;=3,база!$M$4,
IF(D556=4,база!$M$5,
IF(D556=5,база!$M$6)))</f>
        <v>225.09719999999999</v>
      </c>
      <c r="V559" s="249">
        <v>1.2</v>
      </c>
      <c r="W559" s="90">
        <f>SUMIFS(Таблица1[сумма],Таблица1[коэф],"1,2",Таблица1[р/р],"3/24",Таблица1[Ф. И. О.],B561)</f>
        <v>0</v>
      </c>
      <c r="X559" s="96">
        <f t="shared" ref="X559:X560" si="346">ROUND(U559*V559*W559,2)</f>
        <v>0</v>
      </c>
      <c r="Y559" s="792"/>
      <c r="Z559" s="794"/>
      <c r="AA559" s="797"/>
    </row>
    <row r="560" spans="1:29" ht="24" thickBot="1">
      <c r="A560" s="740"/>
      <c r="B560" s="591"/>
      <c r="C560" s="799"/>
      <c r="D560" s="801"/>
      <c r="E560" s="68"/>
      <c r="F560" s="249"/>
      <c r="G560" s="82"/>
      <c r="H560" s="96"/>
      <c r="I560" s="22">
        <f>база!$J$6</f>
        <v>243.04319999999998</v>
      </c>
      <c r="J560" s="256">
        <v>1.5</v>
      </c>
      <c r="K560" s="20">
        <f>SUMIFS(Таблица1[сумма],Таблица1[коэф],"1,5",Таблица1[р/р],"5/8",Таблица1[Ф. И. О.],B561)</f>
        <v>0</v>
      </c>
      <c r="L560" s="287">
        <f>ROUND(I560*J560*K560,2)</f>
        <v>0</v>
      </c>
      <c r="M560" s="22"/>
      <c r="N560" s="20"/>
      <c r="O560" s="20"/>
      <c r="P560" s="260"/>
      <c r="Q560" s="592">
        <f>база!$L$5</f>
        <v>231.45480000000001</v>
      </c>
      <c r="R560" s="249">
        <v>1.2</v>
      </c>
      <c r="S560" s="90">
        <f>SUMIFS(Таблица1[сумма],Таблица1[коэф],"1,2",Таблица1[р/р],"4/16",Таблица1[Ф. И. О.],B561)</f>
        <v>0</v>
      </c>
      <c r="T560" s="96">
        <f t="shared" si="342"/>
        <v>0</v>
      </c>
      <c r="U560" s="75">
        <f>база!$M$5</f>
        <v>247.41720000000001</v>
      </c>
      <c r="V560" s="249">
        <v>1.2</v>
      </c>
      <c r="W560" s="90">
        <f>SUMIFS(Таблица1[сумма],Таблица1[коэф],"1,2",Таблица1[р/р],"4/24",Таблица1[Ф. И. О.],B561)</f>
        <v>0</v>
      </c>
      <c r="X560" s="96">
        <f t="shared" si="346"/>
        <v>0</v>
      </c>
      <c r="Y560" s="792"/>
      <c r="Z560" s="794"/>
      <c r="AA560" s="797"/>
      <c r="AC560" s="688" t="str">
        <f>IF(SUMIFS(Таблица1[Столбец2],Таблица1[Ф. И. О.],B561)-Z556=0,"",SUMIFS(Таблица1[Столбец2],Таблица1[Ф. И. О.],B561)-Z556)</f>
        <v/>
      </c>
    </row>
    <row r="561" spans="1:29" ht="24" thickBot="1">
      <c r="A561" s="740"/>
      <c r="B561" s="591" t="str">
        <f>база!B52</f>
        <v>Михно Татьяна Николаевна</v>
      </c>
      <c r="C561" s="799"/>
      <c r="D561" s="801"/>
      <c r="E561" s="68"/>
      <c r="F561" s="249"/>
      <c r="G561" s="82"/>
      <c r="H561" s="96"/>
      <c r="I561" s="22"/>
      <c r="J561" s="256"/>
      <c r="K561" s="20"/>
      <c r="L561" s="287"/>
      <c r="M561" s="22"/>
      <c r="N561" s="20"/>
      <c r="O561" s="20"/>
      <c r="P561" s="260"/>
      <c r="Q561" s="592">
        <f>база!$L$6</f>
        <v>261.04640000000001</v>
      </c>
      <c r="R561" s="249">
        <v>1.2</v>
      </c>
      <c r="S561" s="90">
        <f>SUMIFS(Таблица1[сумма],Таблица1[коэф],"1,2",Таблица1[р/р],"5/16",Таблица1[Ф. И. О.],B561)</f>
        <v>0</v>
      </c>
      <c r="T561" s="96">
        <f>ROUND(Q561*R561*S561,2)</f>
        <v>0</v>
      </c>
      <c r="U561" s="75">
        <f>база!$M$6</f>
        <v>279.0496</v>
      </c>
      <c r="V561" s="249">
        <v>1.2</v>
      </c>
      <c r="W561" s="90">
        <f>SUMIFS(Таблица1[сумма],Таблица1[коэф],"1,2",Таблица1[р/р],"5/24",Таблица1[Ф. И. О.],B561)</f>
        <v>0</v>
      </c>
      <c r="X561" s="96">
        <f>ROUND(U561*V561*W561,2)</f>
        <v>0</v>
      </c>
      <c r="Y561" s="792"/>
      <c r="Z561" s="794"/>
      <c r="AA561" s="797"/>
      <c r="AC561" s="688" t="str">
        <f>IF(SUMIFS(Таблица1[сумма],Таблица1[Ф. И. О.],B561)=Y556,"",B556&amp;"  часы не верны")</f>
        <v/>
      </c>
    </row>
    <row r="562" spans="1:29" ht="24" thickBot="1">
      <c r="A562" s="740"/>
      <c r="B562" s="591"/>
      <c r="C562" s="799"/>
      <c r="D562" s="801"/>
      <c r="E562" s="68"/>
      <c r="F562" s="249"/>
      <c r="G562" s="82"/>
      <c r="H562" s="96"/>
      <c r="I562" s="22"/>
      <c r="J562" s="256"/>
      <c r="K562" s="20"/>
      <c r="L562" s="287"/>
      <c r="M562" s="22"/>
      <c r="N562" s="20"/>
      <c r="O562" s="20"/>
      <c r="P562" s="260"/>
      <c r="Q562" s="592">
        <f>IF($D$6&lt;=3,база!$L$4,
IF($D$6=4,база!$L$5,
IF($D$6=5,база!$L$6)))</f>
        <v>231.45480000000001</v>
      </c>
      <c r="R562" s="249">
        <v>1.3</v>
      </c>
      <c r="S562" s="90">
        <f>SUMIFS(Таблица1[сумма],Таблица1[коэф],"1,3",Таблица1[р/р],"3/16",Таблица1[Ф. И. О.],B561)</f>
        <v>0</v>
      </c>
      <c r="T562" s="96">
        <f t="shared" ref="T562:T563" si="347">ROUND(Q562*R562*S562,2)</f>
        <v>0</v>
      </c>
      <c r="U562" s="75">
        <f>IF(D556&lt;=3,база!$M$4,
IF(D556=4,база!$M$5,
IF(D556=5,база!$M$6)))</f>
        <v>225.09719999999999</v>
      </c>
      <c r="V562" s="249">
        <v>1.3</v>
      </c>
      <c r="W562" s="90">
        <f>SUMIFS(Таблица1[сумма],Таблица1[коэф],"1,3",Таблица1[р/р],"3/24",Таблица1[Ф. И. О.],B561)</f>
        <v>0</v>
      </c>
      <c r="X562" s="96">
        <f t="shared" ref="X562:X563" si="348">ROUND(U562*V562*W562,2)</f>
        <v>0</v>
      </c>
      <c r="Y562" s="792"/>
      <c r="Z562" s="794"/>
      <c r="AA562" s="797"/>
    </row>
    <row r="563" spans="1:29" ht="24" thickBot="1">
      <c r="A563" s="740"/>
      <c r="B563" s="591"/>
      <c r="C563" s="799"/>
      <c r="D563" s="801"/>
      <c r="E563" s="68"/>
      <c r="F563" s="249"/>
      <c r="G563" s="82"/>
      <c r="H563" s="96"/>
      <c r="I563" s="22"/>
      <c r="J563" s="256"/>
      <c r="K563" s="20"/>
      <c r="L563" s="287"/>
      <c r="M563" s="22"/>
      <c r="N563" s="20"/>
      <c r="O563" s="20"/>
      <c r="P563" s="260"/>
      <c r="Q563" s="592">
        <f>база!$L$5</f>
        <v>231.45480000000001</v>
      </c>
      <c r="R563" s="249">
        <v>1.3</v>
      </c>
      <c r="S563" s="90">
        <f>SUMIFS(Таблица1[сумма],Таблица1[коэф],"1,3",Таблица1[р/р],"4/16",Таблица1[Ф. И. О.],B561)</f>
        <v>0</v>
      </c>
      <c r="T563" s="96">
        <f t="shared" si="347"/>
        <v>0</v>
      </c>
      <c r="U563" s="75">
        <f>база!$M$5</f>
        <v>247.41720000000001</v>
      </c>
      <c r="V563" s="249">
        <v>1.3</v>
      </c>
      <c r="W563" s="90">
        <f>SUMIFS(Таблица1[сумма],Таблица1[коэф],"1,3",Таблица1[р/р],"4/24",Таблица1[Ф. И. О.],B561)</f>
        <v>0</v>
      </c>
      <c r="X563" s="96">
        <f t="shared" si="348"/>
        <v>0</v>
      </c>
      <c r="Y563" s="792"/>
      <c r="Z563" s="794"/>
      <c r="AA563" s="797"/>
    </row>
    <row r="564" spans="1:29" ht="24" thickBot="1">
      <c r="A564" s="740"/>
      <c r="B564" s="591"/>
      <c r="C564" s="799"/>
      <c r="D564" s="801"/>
      <c r="E564" s="68"/>
      <c r="F564" s="249"/>
      <c r="G564" s="82"/>
      <c r="H564" s="96"/>
      <c r="I564" s="22"/>
      <c r="J564" s="256"/>
      <c r="K564" s="20"/>
      <c r="L564" s="287"/>
      <c r="M564" s="22"/>
      <c r="N564" s="20"/>
      <c r="O564" s="20"/>
      <c r="P564" s="260"/>
      <c r="Q564" s="592">
        <f>IF(D556&lt;=3,база!$L$4,
IF(D556=4,база!$L$5,
IF(D556=5,база!$L$6)))</f>
        <v>210.57480000000001</v>
      </c>
      <c r="R564" s="249">
        <v>1.4</v>
      </c>
      <c r="S564" s="90">
        <f>SUMIFS(Таблица1[сумма],Таблица1[коэф],"1,4",Таблица1[р/р],"3/16",Таблица1[Ф. И. О.],B561)</f>
        <v>0</v>
      </c>
      <c r="T564" s="96">
        <f>ROUND(Q564*R564*S564,2)</f>
        <v>0</v>
      </c>
      <c r="U564" s="75">
        <f>IF(D556&lt;=3,база!$M$4,
IF(D556=4,база!$M$5,
IF(D556=5,база!$M$6)))</f>
        <v>225.09719999999999</v>
      </c>
      <c r="V564" s="249">
        <v>1.4</v>
      </c>
      <c r="W564" s="90">
        <f>SUMIFS(Таблица1[сумма],Таблица1[коэф],"1,4",Таблица1[р/р],"3/24",Таблица1[Ф. И. О.],B561)</f>
        <v>0</v>
      </c>
      <c r="X564" s="96">
        <f>ROUND(U564*V564*W564,2)</f>
        <v>0</v>
      </c>
      <c r="Y564" s="792"/>
      <c r="Z564" s="794"/>
      <c r="AA564" s="797"/>
    </row>
    <row r="565" spans="1:29" ht="24" thickBot="1">
      <c r="A565" s="740"/>
      <c r="B565" s="591"/>
      <c r="C565" s="799"/>
      <c r="D565" s="801"/>
      <c r="E565" s="78"/>
      <c r="F565" s="251"/>
      <c r="G565" s="601"/>
      <c r="H565" s="83"/>
      <c r="I565" s="60"/>
      <c r="J565" s="602"/>
      <c r="K565" s="53"/>
      <c r="L565" s="302"/>
      <c r="M565" s="60"/>
      <c r="N565" s="53"/>
      <c r="O565" s="53"/>
      <c r="P565" s="261"/>
      <c r="Q565" s="603">
        <f>база!$L$5</f>
        <v>231.45480000000001</v>
      </c>
      <c r="R565" s="251">
        <v>1.4</v>
      </c>
      <c r="S565" s="94">
        <f>SUMIFS(Таблица1[сумма],Таблица1[коэф],"1,4",Таблица1[р/р],"4/16",Таблица1[Ф. И. О.],B561)</f>
        <v>0</v>
      </c>
      <c r="T565" s="83">
        <f>ROUND(Q565*R565*S565,2)</f>
        <v>0</v>
      </c>
      <c r="U565" s="99">
        <f>база!$M$5</f>
        <v>247.41720000000001</v>
      </c>
      <c r="V565" s="251">
        <v>1.4</v>
      </c>
      <c r="W565" s="94">
        <f>SUMIFS(Таблица1[сумма],Таблица1[коэф],"1,4",Таблица1[р/р],"4/24",Таблица1[Ф. И. О.],B561)</f>
        <v>0</v>
      </c>
      <c r="X565" s="83">
        <f>ROUND(U565*V565*W565,2)</f>
        <v>0</v>
      </c>
      <c r="Y565" s="792"/>
      <c r="Z565" s="794"/>
      <c r="AA565" s="797"/>
    </row>
    <row r="566" spans="1:29" ht="24" thickBot="1">
      <c r="A566" s="741"/>
      <c r="B566" s="329"/>
      <c r="C566" s="800"/>
      <c r="D566" s="802"/>
      <c r="E566" s="70"/>
      <c r="F566" s="254"/>
      <c r="G566" s="593"/>
      <c r="H566" s="87"/>
      <c r="I566" s="594"/>
      <c r="J566" s="567"/>
      <c r="K566" s="595"/>
      <c r="L566" s="305"/>
      <c r="M566" s="594"/>
      <c r="N566" s="595"/>
      <c r="O566" s="595"/>
      <c r="P566" s="268"/>
      <c r="Q566" s="596">
        <f>база!$L$6</f>
        <v>261.04640000000001</v>
      </c>
      <c r="R566" s="254">
        <v>1.4</v>
      </c>
      <c r="S566" s="93">
        <f>SUMIFS(Таблица1[сумма],Таблица1[коэф],"1,4",Таблица1[р/р],"5/16",Таблица1[Ф. И. О.],B561)</f>
        <v>0</v>
      </c>
      <c r="T566" s="87">
        <f>ROUND(Q566*R566*S566,2)</f>
        <v>0</v>
      </c>
      <c r="U566" s="77">
        <f>база!$M$6</f>
        <v>279.0496</v>
      </c>
      <c r="V566" s="254">
        <v>1.4</v>
      </c>
      <c r="W566" s="93">
        <f>SUMIFS(Таблица1[сумма],Таблица1[коэф],"1,4",Таблица1[р/р],"5/24",Таблица1[Ф. И. О.],B561)</f>
        <v>0</v>
      </c>
      <c r="X566" s="87">
        <f>ROUND(U566*V566*W566,2)</f>
        <v>0</v>
      </c>
      <c r="Y566" s="793"/>
      <c r="Z566" s="795"/>
      <c r="AA566" s="798"/>
    </row>
    <row r="567" spans="1:29" ht="20.25" customHeight="1">
      <c r="A567" s="739">
        <v>52</v>
      </c>
      <c r="B567" s="591"/>
      <c r="C567" s="805">
        <f>INDEX(база!$E$2:$E$181, MATCH(B572,база!$B$2:$B$160,0))</f>
        <v>15041</v>
      </c>
      <c r="D567" s="806">
        <f>INDEX(база!$D$2:$D$189, MATCH(B572,база!$B$2:$B$160,0))</f>
        <v>3</v>
      </c>
      <c r="E567" s="68">
        <f>IF(D567&lt;=3,база!$I$4,
IF(D567=4,база!$I$5,
IF(D567=5,база!$I$6)))</f>
        <v>188.7912</v>
      </c>
      <c r="F567" s="249">
        <v>1</v>
      </c>
      <c r="G567" s="82">
        <f>SUMIFS(Таблица1[сумма],Таблица1[коэф],"1",Таблица1[р/р],"2/4",Таблица1[Ф. И. О.],B572)</f>
        <v>0</v>
      </c>
      <c r="H567" s="96">
        <f>ROUND(E567*F567*G567,2)</f>
        <v>0</v>
      </c>
      <c r="I567" s="22">
        <f>IF(D567&lt;=3,база!$J$4,
IF(D567=4,база!$J$5,
IF(D567=5,база!$J$6)))</f>
        <v>196.05240000000001</v>
      </c>
      <c r="J567" s="256">
        <v>1</v>
      </c>
      <c r="K567" s="20">
        <f>SUMIFS(Таблица1[сумма],Таблица1[коэф],"1",Таблица1[р/р],"2/8",Таблица1[Ф. И. О.],B572)</f>
        <v>0</v>
      </c>
      <c r="L567" s="287">
        <f>ROUND(I567*J567*K567,2)</f>
        <v>0</v>
      </c>
      <c r="M567" s="22"/>
      <c r="N567" s="20">
        <v>1</v>
      </c>
      <c r="O567" s="20">
        <f>SUMIFS(Data_Tech!$AM$3:$AM$67,Data_Tech!$E$3:$E$67,"1",Data_Tech!$G$3:$G$67,"3/12",Data_Tech!$F$3:$F$67,B572)</f>
        <v>0</v>
      </c>
      <c r="P567" s="260">
        <f>ROUND(M567*N567*O567,2)</f>
        <v>0</v>
      </c>
      <c r="Q567" s="592">
        <f>IF(D567&lt;=3,база!$L$4,
IF(D567=4,база!$L$5,
IF(D567=5,база!$L$6)))</f>
        <v>210.57480000000001</v>
      </c>
      <c r="R567" s="249">
        <v>1</v>
      </c>
      <c r="S567" s="90">
        <f>SUMIFS(Таблица1[сумма],Таблица1[коэф],"1",Таблица1[р/р],"3/16",Таблица1[Ф. И. О.],B572)</f>
        <v>0</v>
      </c>
      <c r="T567" s="96">
        <f t="shared" ref="T567:T571" si="349">ROUND(Q567*R567*S567,2)</f>
        <v>0</v>
      </c>
      <c r="U567" s="75">
        <f>IF(D567&lt;=3,база!$M$4,
IF(D567=4,база!$M$5,
IF(D567=5,база!$M$6)))</f>
        <v>225.09719999999999</v>
      </c>
      <c r="V567" s="249">
        <v>1</v>
      </c>
      <c r="W567" s="90">
        <f>SUMIFS(Таблица1[сумма],Таблица1[коэф],"1",Таблица1[р/р],"3/24",Таблица1[Ф. И. О.],B572)</f>
        <v>0</v>
      </c>
      <c r="X567" s="96">
        <f>ROUND(U567*V567*W567,2)</f>
        <v>0</v>
      </c>
      <c r="Y567" s="791">
        <f t="shared" ref="Y567" si="350">SUM(G567:G577,K567:K577,O567:O577,S567:S577,W567:W577)</f>
        <v>0</v>
      </c>
      <c r="Z567" s="807">
        <f t="shared" ref="Z567" si="351">IFERROR(SUM(H567:H577,L567:L577,T567:T577,X567:X577),"")</f>
        <v>0</v>
      </c>
      <c r="AA567" s="796"/>
    </row>
    <row r="568" spans="1:29">
      <c r="A568" s="740"/>
      <c r="B568" s="591"/>
      <c r="C568" s="799"/>
      <c r="D568" s="801"/>
      <c r="E568" s="68">
        <f>IF(D567&lt;=3,база!$I$4,
IF(D567=4,база!$I$5,
IF(D567=5,база!$I$6)))</f>
        <v>188.7912</v>
      </c>
      <c r="F568" s="249">
        <v>1</v>
      </c>
      <c r="G568" s="82">
        <f>SUMIFS(Таблица1[сумма],Таблица1[коэф],"1",Таблица1[р/р],"3/4",Таблица1[Ф. И. О.],B572)</f>
        <v>0</v>
      </c>
      <c r="H568" s="96">
        <f>ROUND(E568*F568*G568,2)</f>
        <v>0</v>
      </c>
      <c r="I568" s="22">
        <f>IF(D567&lt;=3,база!$J$4,
IF(D567=4,база!$J$5,
IF(D567=5,база!$J$6)))</f>
        <v>196.05240000000001</v>
      </c>
      <c r="J568" s="256">
        <v>1</v>
      </c>
      <c r="K568" s="20"/>
      <c r="L568" s="287">
        <f>ROUND(I568*J568*K568,2)</f>
        <v>0</v>
      </c>
      <c r="M568" s="22"/>
      <c r="N568" s="20">
        <v>1</v>
      </c>
      <c r="O568" s="20">
        <f>SUMIFS(Data_Tech!$AM$3:$AM$67,Data_Tech!$E$3:$E$67,"1",Data_Tech!$G$3:$G$67,"4/12",Data_Tech!$F$3:$F$67,B572)</f>
        <v>0</v>
      </c>
      <c r="P568" s="260">
        <f>ROUND(M568*O568,2)</f>
        <v>0</v>
      </c>
      <c r="Q568" s="592">
        <f>база!$L$5</f>
        <v>231.45480000000001</v>
      </c>
      <c r="R568" s="249">
        <v>1</v>
      </c>
      <c r="S568" s="90">
        <f>SUMIFS(Таблица1[сумма],Таблица1[коэф],"1",Таблица1[р/р],"4/16",Таблица1[Ф. И. О.],B572)</f>
        <v>0</v>
      </c>
      <c r="T568" s="96">
        <f t="shared" si="349"/>
        <v>0</v>
      </c>
      <c r="U568" s="75">
        <f>база!$M$5</f>
        <v>247.41720000000001</v>
      </c>
      <c r="V568" s="249">
        <v>1</v>
      </c>
      <c r="W568" s="90">
        <f>SUMIFS(Таблица1[сумма],Таблица1[коэф],"1",Таблица1[р/р],"4/24",Таблица1[Ф. И. О.],B572)</f>
        <v>0</v>
      </c>
      <c r="X568" s="96">
        <f t="shared" ref="X568" si="352">ROUND(U568*V568*W568,2)</f>
        <v>0</v>
      </c>
      <c r="Y568" s="792"/>
      <c r="Z568" s="794"/>
      <c r="AA568" s="797"/>
    </row>
    <row r="569" spans="1:29" ht="24" thickBot="1">
      <c r="A569" s="740"/>
      <c r="B569" s="591"/>
      <c r="C569" s="799"/>
      <c r="D569" s="801"/>
      <c r="E569" s="68"/>
      <c r="F569" s="249"/>
      <c r="G569" s="82"/>
      <c r="H569" s="96"/>
      <c r="I569" s="22"/>
      <c r="J569" s="256"/>
      <c r="K569" s="20"/>
      <c r="L569" s="287"/>
      <c r="M569" s="22"/>
      <c r="N569" s="20"/>
      <c r="O569" s="20"/>
      <c r="P569" s="260"/>
      <c r="Q569" s="592">
        <f>база!$L$6</f>
        <v>261.04640000000001</v>
      </c>
      <c r="R569" s="249">
        <v>1</v>
      </c>
      <c r="S569" s="90">
        <f>SUMIFS(Таблица1[сумма],Таблица1[коэф],"1",Таблица1[р/р],"5/16",Таблица1[Ф. И. О.],B572)</f>
        <v>0</v>
      </c>
      <c r="T569" s="96">
        <f t="shared" si="349"/>
        <v>0</v>
      </c>
      <c r="U569" s="75">
        <f>база!$M$6</f>
        <v>279.0496</v>
      </c>
      <c r="V569" s="249">
        <v>1</v>
      </c>
      <c r="W569" s="90">
        <f>SUMIFS(Таблица1[сумма],Таблица1[коэф],"1",Таблица1[р/р],"5/24",Таблица1[Ф. И. О.],B572)</f>
        <v>0</v>
      </c>
      <c r="X569" s="96">
        <f>ROUND(U569*V569*W569,2)</f>
        <v>0</v>
      </c>
      <c r="Y569" s="792"/>
      <c r="Z569" s="794"/>
      <c r="AA569" s="797"/>
    </row>
    <row r="570" spans="1:29" ht="24" thickBot="1">
      <c r="A570" s="740"/>
      <c r="B570" s="591"/>
      <c r="C570" s="799"/>
      <c r="D570" s="801"/>
      <c r="E570" s="68"/>
      <c r="F570" s="249"/>
      <c r="G570" s="82"/>
      <c r="H570" s="96"/>
      <c r="I570" s="22">
        <f>база!$J$5</f>
        <v>215.4924</v>
      </c>
      <c r="J570" s="256">
        <v>1.5</v>
      </c>
      <c r="K570" s="20">
        <f>SUMIFS(Таблица1[сумма],Таблица1[коэф],"1,5",Таблица1[р/р],"4/8",Таблица1[Ф. И. О.],B572)</f>
        <v>0</v>
      </c>
      <c r="L570" s="287">
        <f>ROUND(I570*J570*K570,2)</f>
        <v>0</v>
      </c>
      <c r="M570" s="22"/>
      <c r="N570" s="20"/>
      <c r="O570" s="20"/>
      <c r="P570" s="260"/>
      <c r="Q570" s="592">
        <f>IF(D567&lt;=3,база!$L$4,
IF(D567=4,база!$L$5,
IF(D567=5,база!$L$6)))</f>
        <v>210.57480000000001</v>
      </c>
      <c r="R570" s="249">
        <v>1.2</v>
      </c>
      <c r="S570" s="90">
        <f>SUMIFS(Таблица1[сумма],Таблица1[коэф],"1,2",Таблица1[р/р],"3/16",Таблица1[Ф. И. О.],B572)</f>
        <v>0</v>
      </c>
      <c r="T570" s="96">
        <f t="shared" si="349"/>
        <v>0</v>
      </c>
      <c r="U570" s="75">
        <f>IF(D567&lt;=3,база!$M$4,
IF(D567=4,база!$M$5,
IF(D567=5,база!$M$6)))</f>
        <v>225.09719999999999</v>
      </c>
      <c r="V570" s="249">
        <v>1.2</v>
      </c>
      <c r="W570" s="90">
        <f>SUMIFS(Таблица1[сумма],Таблица1[коэф],"1,2",Таблица1[р/р],"3/24",Таблица1[Ф. И. О.],B572)</f>
        <v>0</v>
      </c>
      <c r="X570" s="96">
        <f t="shared" ref="X570:X571" si="353">ROUND(U570*V570*W570,2)</f>
        <v>0</v>
      </c>
      <c r="Y570" s="792"/>
      <c r="Z570" s="794"/>
      <c r="AA570" s="797"/>
    </row>
    <row r="571" spans="1:29" ht="24" thickBot="1">
      <c r="A571" s="740"/>
      <c r="B571" s="591"/>
      <c r="C571" s="799"/>
      <c r="D571" s="801"/>
      <c r="E571" s="68"/>
      <c r="F571" s="249"/>
      <c r="G571" s="82"/>
      <c r="H571" s="96"/>
      <c r="I571" s="22">
        <f>база!$J$6</f>
        <v>243.04319999999998</v>
      </c>
      <c r="J571" s="256">
        <v>1.5</v>
      </c>
      <c r="K571" s="20">
        <f>SUMIFS(Таблица1[сумма],Таблица1[коэф],"1,5",Таблица1[р/р],"5/8",Таблица1[Ф. И. О.],B572)</f>
        <v>0</v>
      </c>
      <c r="L571" s="287">
        <f>ROUND(I571*J571*K571,2)</f>
        <v>0</v>
      </c>
      <c r="M571" s="22"/>
      <c r="N571" s="20"/>
      <c r="O571" s="20"/>
      <c r="P571" s="260"/>
      <c r="Q571" s="592">
        <f>база!$L$5</f>
        <v>231.45480000000001</v>
      </c>
      <c r="R571" s="249">
        <v>1.2</v>
      </c>
      <c r="S571" s="90">
        <f>SUMIFS(Таблица1[сумма],Таблица1[коэф],"1,2",Таблица1[р/р],"4/16",Таблица1[Ф. И. О.],B572)</f>
        <v>0</v>
      </c>
      <c r="T571" s="96">
        <f t="shared" si="349"/>
        <v>0</v>
      </c>
      <c r="U571" s="75">
        <f>база!$M$5</f>
        <v>247.41720000000001</v>
      </c>
      <c r="V571" s="249">
        <v>1.2</v>
      </c>
      <c r="W571" s="90">
        <f>SUMIFS(Таблица1[сумма],Таблица1[коэф],"1,2",Таблица1[р/р],"4/24",Таблица1[Ф. И. О.],B572)</f>
        <v>0</v>
      </c>
      <c r="X571" s="96">
        <f t="shared" si="353"/>
        <v>0</v>
      </c>
      <c r="Y571" s="792"/>
      <c r="Z571" s="794"/>
      <c r="AA571" s="797"/>
      <c r="AC571" s="688" t="str">
        <f>IF(SUMIFS(Таблица1[Столбец2],Таблица1[Ф. И. О.],B572)-Z567=0,"",SUMIFS(Таблица1[Столбец2],Таблица1[Ф. И. О.],B572)-Z567)</f>
        <v/>
      </c>
    </row>
    <row r="572" spans="1:29" ht="24" thickBot="1">
      <c r="A572" s="740"/>
      <c r="B572" s="591" t="str">
        <f>база!B53</f>
        <v>Набойченко Седа Хамидовна</v>
      </c>
      <c r="C572" s="799"/>
      <c r="D572" s="801"/>
      <c r="E572" s="68"/>
      <c r="F572" s="249"/>
      <c r="G572" s="82"/>
      <c r="H572" s="96"/>
      <c r="I572" s="22"/>
      <c r="J572" s="256"/>
      <c r="K572" s="20"/>
      <c r="L572" s="287"/>
      <c r="M572" s="22"/>
      <c r="N572" s="20"/>
      <c r="O572" s="20"/>
      <c r="P572" s="260"/>
      <c r="Q572" s="592">
        <f>база!$L$6</f>
        <v>261.04640000000001</v>
      </c>
      <c r="R572" s="249">
        <v>1.2</v>
      </c>
      <c r="S572" s="90">
        <f>SUMIFS(Таблица1[сумма],Таблица1[коэф],"1,2",Таблица1[р/р],"5/16",Таблица1[Ф. И. О.],B572)</f>
        <v>0</v>
      </c>
      <c r="T572" s="96">
        <f>ROUND(Q572*R572*S572,2)</f>
        <v>0</v>
      </c>
      <c r="U572" s="75">
        <f>база!$M$6</f>
        <v>279.0496</v>
      </c>
      <c r="V572" s="249">
        <v>1.2</v>
      </c>
      <c r="W572" s="90">
        <f>SUMIFS(Таблица1[сумма],Таблица1[коэф],"1,2",Таблица1[р/р],"5/24",Таблица1[Ф. И. О.],B572)</f>
        <v>0</v>
      </c>
      <c r="X572" s="96">
        <f>ROUND(U572*V572*W572,2)</f>
        <v>0</v>
      </c>
      <c r="Y572" s="792"/>
      <c r="Z572" s="794"/>
      <c r="AA572" s="797"/>
      <c r="AC572" s="688" t="str">
        <f>IF(SUMIFS(Таблица1[сумма],Таблица1[Ф. И. О.],B572)=Y567,"",B567&amp;"  часы не верны")</f>
        <v/>
      </c>
    </row>
    <row r="573" spans="1:29" ht="24" thickBot="1">
      <c r="A573" s="740"/>
      <c r="B573" s="591"/>
      <c r="C573" s="799"/>
      <c r="D573" s="801"/>
      <c r="E573" s="68"/>
      <c r="F573" s="249"/>
      <c r="G573" s="82"/>
      <c r="H573" s="96"/>
      <c r="I573" s="22"/>
      <c r="J573" s="256"/>
      <c r="K573" s="20"/>
      <c r="L573" s="287"/>
      <c r="M573" s="22"/>
      <c r="N573" s="20"/>
      <c r="O573" s="20"/>
      <c r="P573" s="260"/>
      <c r="Q573" s="592">
        <f>IF($D$6&lt;=3,база!$L$4,
IF($D$6=4,база!$L$5,
IF($D$6=5,база!$L$6)))</f>
        <v>231.45480000000001</v>
      </c>
      <c r="R573" s="249">
        <v>1.3</v>
      </c>
      <c r="S573" s="90">
        <f>SUMIFS(Таблица1[сумма],Таблица1[коэф],"1,3",Таблица1[р/р],"3/16",Таблица1[Ф. И. О.],B572)</f>
        <v>0</v>
      </c>
      <c r="T573" s="96">
        <f t="shared" ref="T573:T574" si="354">ROUND(Q573*R573*S573,2)</f>
        <v>0</v>
      </c>
      <c r="U573" s="75">
        <f>IF(D567&lt;=3,база!$M$4,
IF(D567=4,база!$M$5,
IF(D567=5,база!$M$6)))</f>
        <v>225.09719999999999</v>
      </c>
      <c r="V573" s="249">
        <v>1.3</v>
      </c>
      <c r="W573" s="90">
        <f>SUMIFS(Таблица1[сумма],Таблица1[коэф],"1,3",Таблица1[р/р],"3/24",Таблица1[Ф. И. О.],B572)</f>
        <v>0</v>
      </c>
      <c r="X573" s="96">
        <f t="shared" ref="X573:X574" si="355">ROUND(U573*V573*W573,2)</f>
        <v>0</v>
      </c>
      <c r="Y573" s="792"/>
      <c r="Z573" s="794"/>
      <c r="AA573" s="797"/>
    </row>
    <row r="574" spans="1:29" ht="24" thickBot="1">
      <c r="A574" s="740"/>
      <c r="B574" s="591"/>
      <c r="C574" s="799"/>
      <c r="D574" s="801"/>
      <c r="E574" s="68"/>
      <c r="F574" s="249"/>
      <c r="G574" s="82"/>
      <c r="H574" s="96"/>
      <c r="I574" s="22"/>
      <c r="J574" s="256"/>
      <c r="K574" s="20"/>
      <c r="L574" s="287"/>
      <c r="M574" s="22"/>
      <c r="N574" s="20"/>
      <c r="O574" s="20"/>
      <c r="P574" s="260"/>
      <c r="Q574" s="592">
        <f>база!$L$5</f>
        <v>231.45480000000001</v>
      </c>
      <c r="R574" s="249">
        <v>1.3</v>
      </c>
      <c r="S574" s="90">
        <f>SUMIFS(Таблица1[сумма],Таблица1[коэф],"1,3",Таблица1[р/р],"4/16",Таблица1[Ф. И. О.],B572)</f>
        <v>0</v>
      </c>
      <c r="T574" s="96">
        <f t="shared" si="354"/>
        <v>0</v>
      </c>
      <c r="U574" s="75">
        <f>база!$M$5</f>
        <v>247.41720000000001</v>
      </c>
      <c r="V574" s="249">
        <v>1.3</v>
      </c>
      <c r="W574" s="90">
        <f>SUMIFS(Таблица1[сумма],Таблица1[коэф],"1,3",Таблица1[р/р],"4/24",Таблица1[Ф. И. О.],B572)</f>
        <v>0</v>
      </c>
      <c r="X574" s="96">
        <f t="shared" si="355"/>
        <v>0</v>
      </c>
      <c r="Y574" s="792"/>
      <c r="Z574" s="794"/>
      <c r="AA574" s="797"/>
    </row>
    <row r="575" spans="1:29" ht="24" thickBot="1">
      <c r="A575" s="740"/>
      <c r="B575" s="591"/>
      <c r="C575" s="799"/>
      <c r="D575" s="801"/>
      <c r="E575" s="68"/>
      <c r="F575" s="249"/>
      <c r="G575" s="82"/>
      <c r="H575" s="96"/>
      <c r="I575" s="22"/>
      <c r="J575" s="256"/>
      <c r="K575" s="20"/>
      <c r="L575" s="287"/>
      <c r="M575" s="22"/>
      <c r="N575" s="20"/>
      <c r="O575" s="20"/>
      <c r="P575" s="260"/>
      <c r="Q575" s="592">
        <f>IF(D567&lt;=3,база!$L$4,
IF(D567=4,база!$L$5,
IF(D567=5,база!$L$6)))</f>
        <v>210.57480000000001</v>
      </c>
      <c r="R575" s="249">
        <v>1.4</v>
      </c>
      <c r="S575" s="90">
        <f>SUMIFS(Таблица1[сумма],Таблица1[коэф],"1,4",Таблица1[р/р],"3/16",Таблица1[Ф. И. О.],B572)</f>
        <v>0</v>
      </c>
      <c r="T575" s="96">
        <f>ROUND(Q575*R575*S575,2)</f>
        <v>0</v>
      </c>
      <c r="U575" s="75">
        <f>IF(D567&lt;=3,база!$M$4,
IF(D567=4,база!$M$5,
IF(D567=5,база!$M$6)))</f>
        <v>225.09719999999999</v>
      </c>
      <c r="V575" s="249">
        <v>1.4</v>
      </c>
      <c r="W575" s="90">
        <f>SUMIFS(Таблица1[сумма],Таблица1[коэф],"1,4",Таблица1[р/р],"3/24",Таблица1[Ф. И. О.],B572)</f>
        <v>0</v>
      </c>
      <c r="X575" s="96">
        <f>ROUND(U575*V575*W575,2)</f>
        <v>0</v>
      </c>
      <c r="Y575" s="792"/>
      <c r="Z575" s="794"/>
      <c r="AA575" s="797"/>
    </row>
    <row r="576" spans="1:29" ht="24" thickBot="1">
      <c r="A576" s="740"/>
      <c r="B576" s="591"/>
      <c r="C576" s="799"/>
      <c r="D576" s="801"/>
      <c r="E576" s="78"/>
      <c r="F576" s="251"/>
      <c r="G576" s="601"/>
      <c r="H576" s="83"/>
      <c r="I576" s="60"/>
      <c r="J576" s="602"/>
      <c r="K576" s="53"/>
      <c r="L576" s="302"/>
      <c r="M576" s="60"/>
      <c r="N576" s="53"/>
      <c r="O576" s="53"/>
      <c r="P576" s="261"/>
      <c r="Q576" s="603">
        <f>база!$L$5</f>
        <v>231.45480000000001</v>
      </c>
      <c r="R576" s="251">
        <v>1.4</v>
      </c>
      <c r="S576" s="94">
        <f>SUMIFS(Таблица1[сумма],Таблица1[коэф],"1,4",Таблица1[р/р],"4/16",Таблица1[Ф. И. О.],B572)</f>
        <v>0</v>
      </c>
      <c r="T576" s="83">
        <f>ROUND(Q576*R576*S576,2)</f>
        <v>0</v>
      </c>
      <c r="U576" s="99">
        <f>база!$M$5</f>
        <v>247.41720000000001</v>
      </c>
      <c r="V576" s="251">
        <v>1.4</v>
      </c>
      <c r="W576" s="94">
        <f>SUMIFS(Таблица1[сумма],Таблица1[коэф],"1,4",Таблица1[р/р],"4/24",Таблица1[Ф. И. О.],B572)</f>
        <v>0</v>
      </c>
      <c r="X576" s="83">
        <f>ROUND(U576*V576*W576,2)</f>
        <v>0</v>
      </c>
      <c r="Y576" s="792"/>
      <c r="Z576" s="794"/>
      <c r="AA576" s="797"/>
    </row>
    <row r="577" spans="1:29" ht="24" thickBot="1">
      <c r="A577" s="741"/>
      <c r="B577" s="329"/>
      <c r="C577" s="800"/>
      <c r="D577" s="802"/>
      <c r="E577" s="70"/>
      <c r="F577" s="254"/>
      <c r="G577" s="593"/>
      <c r="H577" s="87"/>
      <c r="I577" s="594"/>
      <c r="J577" s="567"/>
      <c r="K577" s="595"/>
      <c r="L577" s="305"/>
      <c r="M577" s="594"/>
      <c r="N577" s="595"/>
      <c r="O577" s="595"/>
      <c r="P577" s="268"/>
      <c r="Q577" s="596">
        <f>база!$L$6</f>
        <v>261.04640000000001</v>
      </c>
      <c r="R577" s="254">
        <v>1.4</v>
      </c>
      <c r="S577" s="93">
        <f>SUMIFS(Таблица1[сумма],Таблица1[коэф],"1,4",Таблица1[р/р],"5/16",Таблица1[Ф. И. О.],B572)</f>
        <v>0</v>
      </c>
      <c r="T577" s="87">
        <f>ROUND(Q577*R577*S577,2)</f>
        <v>0</v>
      </c>
      <c r="U577" s="77">
        <f>база!$M$6</f>
        <v>279.0496</v>
      </c>
      <c r="V577" s="254">
        <v>1.4</v>
      </c>
      <c r="W577" s="93">
        <f>SUMIFS(Таблица1[сумма],Таблица1[коэф],"1,4",Таблица1[р/р],"5/24",Таблица1[Ф. И. О.],B572)</f>
        <v>0</v>
      </c>
      <c r="X577" s="87">
        <f>ROUND(U577*V577*W577,2)</f>
        <v>0</v>
      </c>
      <c r="Y577" s="793"/>
      <c r="Z577" s="795"/>
      <c r="AA577" s="798"/>
    </row>
    <row r="578" spans="1:29" ht="20.25" customHeight="1">
      <c r="A578" s="739">
        <v>53</v>
      </c>
      <c r="B578" s="591"/>
      <c r="C578" s="805">
        <f>INDEX(база!$E$2:$E$181, MATCH(B583,база!$B$2:$B$160,0))</f>
        <v>17164</v>
      </c>
      <c r="D578" s="806">
        <f>INDEX(база!$D$2:$D$189, MATCH(B583,база!$B$2:$B$160,0))</f>
        <v>3</v>
      </c>
      <c r="E578" s="68">
        <f>IF(D578&lt;=3,база!$I$4,
IF(D578=4,база!$I$5,
IF(D578=5,база!$I$6)))</f>
        <v>188.7912</v>
      </c>
      <c r="F578" s="249">
        <v>1</v>
      </c>
      <c r="G578" s="82">
        <f>SUMIFS(Таблица1[сумма],Таблица1[коэф],"1",Таблица1[р/р],"2/4",Таблица1[Ф. И. О.],B583)</f>
        <v>0</v>
      </c>
      <c r="H578" s="96">
        <f>ROUND(E578*F578*G578,2)</f>
        <v>0</v>
      </c>
      <c r="I578" s="22">
        <f>IF(D578&lt;=3,база!$J$4,
IF(D578=4,база!$J$5,
IF(D578=5,база!$J$6)))</f>
        <v>196.05240000000001</v>
      </c>
      <c r="J578" s="256">
        <v>1</v>
      </c>
      <c r="K578" s="20">
        <f>SUMIFS(Таблица1[сумма],Таблица1[коэф],"1",Таблица1[р/р],"2/8",Таблица1[Ф. И. О.],B583)</f>
        <v>0</v>
      </c>
      <c r="L578" s="287">
        <f>ROUND(I578*J578*K578,2)</f>
        <v>0</v>
      </c>
      <c r="M578" s="22"/>
      <c r="N578" s="20">
        <v>1</v>
      </c>
      <c r="O578" s="20">
        <f>SUMIFS(Data_Tech!$AM$3:$AM$67,Data_Tech!$E$3:$E$67,"1",Data_Tech!$G$3:$G$67,"3/12",Data_Tech!$F$3:$F$67,B583)</f>
        <v>0</v>
      </c>
      <c r="P578" s="260">
        <f>ROUND(M578*N578*O578,2)</f>
        <v>0</v>
      </c>
      <c r="Q578" s="592">
        <f>IF(D578&lt;=3,база!$L$4,
IF(D578=4,база!$L$5,
IF(D578=5,база!$L$6)))</f>
        <v>210.57480000000001</v>
      </c>
      <c r="R578" s="249">
        <v>1</v>
      </c>
      <c r="S578" s="90">
        <f>SUMIFS(Таблица1[сумма],Таблица1[коэф],"1",Таблица1[р/р],"3/16",Таблица1[Ф. И. О.],B583)</f>
        <v>0</v>
      </c>
      <c r="T578" s="96">
        <f t="shared" ref="T578:T582" si="356">ROUND(Q578*R578*S578,2)</f>
        <v>0</v>
      </c>
      <c r="U578" s="75">
        <f>IF(D578&lt;=3,база!$M$4,
IF(D578=4,база!$M$5,
IF(D578=5,база!$M$6)))</f>
        <v>225.09719999999999</v>
      </c>
      <c r="V578" s="249">
        <v>1</v>
      </c>
      <c r="W578" s="90">
        <f>SUMIFS(Таблица1[сумма],Таблица1[коэф],"1",Таблица1[р/р],"3/24",Таблица1[Ф. И. О.],B583)</f>
        <v>0</v>
      </c>
      <c r="X578" s="96">
        <f>ROUND(U578*V578*W578,2)</f>
        <v>0</v>
      </c>
      <c r="Y578" s="791">
        <f t="shared" ref="Y578" si="357">SUM(G578:G588,K578:K588,O578:O588,S578:S588,W578:W588)</f>
        <v>0</v>
      </c>
      <c r="Z578" s="807">
        <f t="shared" ref="Z578" si="358">IFERROR(SUM(H578:H588,L578:L588,T578:T588,X578:X588),"")</f>
        <v>0</v>
      </c>
      <c r="AA578" s="796"/>
    </row>
    <row r="579" spans="1:29">
      <c r="A579" s="740"/>
      <c r="B579" s="591"/>
      <c r="C579" s="799"/>
      <c r="D579" s="801"/>
      <c r="E579" s="68">
        <f>IF(D578&lt;=3,база!$I$4,
IF(D578=4,база!$I$5,
IF(D578=5,база!$I$6)))</f>
        <v>188.7912</v>
      </c>
      <c r="F579" s="249">
        <v>1</v>
      </c>
      <c r="G579" s="82">
        <f>SUMIFS(Таблица1[сумма],Таблица1[коэф],"1",Таблица1[р/р],"3/4",Таблица1[Ф. И. О.],B583)</f>
        <v>0</v>
      </c>
      <c r="H579" s="96">
        <f>ROUND(E579*F579*G579,2)</f>
        <v>0</v>
      </c>
      <c r="I579" s="22">
        <f>IF(D578&lt;=3,база!$J$4,
IF(D578=4,база!$J$5,
IF(D578=5,база!$J$6)))</f>
        <v>196.05240000000001</v>
      </c>
      <c r="J579" s="256">
        <v>1</v>
      </c>
      <c r="K579" s="20"/>
      <c r="L579" s="287">
        <f>ROUND(I579*J579*K579,2)</f>
        <v>0</v>
      </c>
      <c r="M579" s="22"/>
      <c r="N579" s="20">
        <v>1</v>
      </c>
      <c r="O579" s="20">
        <f>SUMIFS(Data_Tech!$AM$3:$AM$67,Data_Tech!$E$3:$E$67,"1",Data_Tech!$G$3:$G$67,"4/12",Data_Tech!$F$3:$F$67,B583)</f>
        <v>0</v>
      </c>
      <c r="P579" s="260">
        <f>ROUND(M579*O579,2)</f>
        <v>0</v>
      </c>
      <c r="Q579" s="592">
        <f>база!$L$5</f>
        <v>231.45480000000001</v>
      </c>
      <c r="R579" s="249">
        <v>1</v>
      </c>
      <c r="S579" s="90">
        <f>SUMIFS(Таблица1[сумма],Таблица1[коэф],"1",Таблица1[р/р],"4/16",Таблица1[Ф. И. О.],B583)</f>
        <v>0</v>
      </c>
      <c r="T579" s="96">
        <f t="shared" si="356"/>
        <v>0</v>
      </c>
      <c r="U579" s="75">
        <f>база!$M$5</f>
        <v>247.41720000000001</v>
      </c>
      <c r="V579" s="249">
        <v>1</v>
      </c>
      <c r="W579" s="90">
        <f>SUMIFS(Таблица1[сумма],Таблица1[коэф],"1",Таблица1[р/р],"4/24",Таблица1[Ф. И. О.],B583)</f>
        <v>0</v>
      </c>
      <c r="X579" s="96">
        <f t="shared" ref="X579" si="359">ROUND(U579*V579*W579,2)</f>
        <v>0</v>
      </c>
      <c r="Y579" s="792"/>
      <c r="Z579" s="794"/>
      <c r="AA579" s="797"/>
    </row>
    <row r="580" spans="1:29">
      <c r="A580" s="740"/>
      <c r="B580" s="591"/>
      <c r="C580" s="799"/>
      <c r="D580" s="801"/>
      <c r="E580" s="68"/>
      <c r="F580" s="249"/>
      <c r="G580" s="82"/>
      <c r="H580" s="96"/>
      <c r="I580" s="22"/>
      <c r="J580" s="256"/>
      <c r="K580" s="20"/>
      <c r="L580" s="287"/>
      <c r="M580" s="22"/>
      <c r="N580" s="20"/>
      <c r="O580" s="20"/>
      <c r="P580" s="260"/>
      <c r="Q580" s="592">
        <f>база!$L$6</f>
        <v>261.04640000000001</v>
      </c>
      <c r="R580" s="249">
        <v>1</v>
      </c>
      <c r="S580" s="90">
        <f>SUMIFS(Таблица1[сумма],Таблица1[коэф],"1",Таблица1[р/р],"5/16",Таблица1[Ф. И. О.],B583)</f>
        <v>0</v>
      </c>
      <c r="T580" s="96">
        <f t="shared" si="356"/>
        <v>0</v>
      </c>
      <c r="U580" s="75">
        <f>база!$M$6</f>
        <v>279.0496</v>
      </c>
      <c r="V580" s="249">
        <v>1</v>
      </c>
      <c r="W580" s="90">
        <f>SUMIFS(Таблица1[сумма],Таблица1[коэф],"1",Таблица1[р/р],"5/24",Таблица1[Ф. И. О.],B583)</f>
        <v>0</v>
      </c>
      <c r="X580" s="96">
        <f>ROUND(U580*V580*W580,2)</f>
        <v>0</v>
      </c>
      <c r="Y580" s="792"/>
      <c r="Z580" s="794"/>
      <c r="AA580" s="797"/>
    </row>
    <row r="581" spans="1:29">
      <c r="A581" s="740"/>
      <c r="B581" s="591"/>
      <c r="C581" s="799"/>
      <c r="D581" s="801"/>
      <c r="E581" s="68"/>
      <c r="F581" s="249"/>
      <c r="G581" s="82"/>
      <c r="H581" s="96"/>
      <c r="I581" s="22">
        <f>база!$J$5</f>
        <v>215.4924</v>
      </c>
      <c r="J581" s="256">
        <v>1.5</v>
      </c>
      <c r="K581" s="20">
        <f>SUMIFS(Таблица1[сумма],Таблица1[коэф],"1,5",Таблица1[р/р],"4/8",Таблица1[Ф. И. О.],B583)</f>
        <v>0</v>
      </c>
      <c r="L581" s="287">
        <f>ROUND(I581*J581*K581,2)</f>
        <v>0</v>
      </c>
      <c r="M581" s="22"/>
      <c r="N581" s="20"/>
      <c r="O581" s="20"/>
      <c r="P581" s="260"/>
      <c r="Q581" s="592">
        <f>IF(D578&lt;=3,база!$L$4,
IF(D578=4,база!$L$5,
IF(D578=5,база!$L$6)))</f>
        <v>210.57480000000001</v>
      </c>
      <c r="R581" s="249">
        <v>1.2</v>
      </c>
      <c r="S581" s="90">
        <f>SUMIFS(Таблица1[сумма],Таблица1[коэф],"1,2",Таблица1[р/р],"3/16",Таблица1[Ф. И. О.],B583)</f>
        <v>0</v>
      </c>
      <c r="T581" s="96">
        <f t="shared" si="356"/>
        <v>0</v>
      </c>
      <c r="U581" s="75">
        <f>IF(D578&lt;=3,база!$M$4,
IF(D578=4,база!$M$5,
IF(D578=5,база!$M$6)))</f>
        <v>225.09719999999999</v>
      </c>
      <c r="V581" s="249">
        <v>1.2</v>
      </c>
      <c r="W581" s="90">
        <f>SUMIFS(Таблица1[сумма],Таблица1[коэф],"1,2",Таблица1[р/р],"3/24",Таблица1[Ф. И. О.],B583)</f>
        <v>0</v>
      </c>
      <c r="X581" s="96">
        <f t="shared" ref="X581:X582" si="360">ROUND(U581*V581*W581,2)</f>
        <v>0</v>
      </c>
      <c r="Y581" s="792"/>
      <c r="Z581" s="794"/>
      <c r="AA581" s="797"/>
    </row>
    <row r="582" spans="1:29">
      <c r="A582" s="740"/>
      <c r="B582" s="591"/>
      <c r="C582" s="799"/>
      <c r="D582" s="801"/>
      <c r="E582" s="68"/>
      <c r="F582" s="249"/>
      <c r="G582" s="82"/>
      <c r="H582" s="96"/>
      <c r="I582" s="22">
        <f>база!$J$6</f>
        <v>243.04319999999998</v>
      </c>
      <c r="J582" s="256">
        <v>1.5</v>
      </c>
      <c r="K582" s="20">
        <f>SUMIFS(Таблица1[сумма],Таблица1[коэф],"1,5",Таблица1[р/р],"5/8",Таблица1[Ф. И. О.],B583)</f>
        <v>0</v>
      </c>
      <c r="L582" s="287">
        <f>ROUND(I582*J582*K582,2)</f>
        <v>0</v>
      </c>
      <c r="M582" s="22"/>
      <c r="N582" s="20"/>
      <c r="O582" s="20"/>
      <c r="P582" s="260"/>
      <c r="Q582" s="592">
        <f>база!$L$5</f>
        <v>231.45480000000001</v>
      </c>
      <c r="R582" s="249">
        <v>1.2</v>
      </c>
      <c r="S582" s="90">
        <f>SUMIFS(Таблица1[сумма],Таблица1[коэф],"1,2",Таблица1[р/р],"4/16",Таблица1[Ф. И. О.],B583)</f>
        <v>0</v>
      </c>
      <c r="T582" s="96">
        <f t="shared" si="356"/>
        <v>0</v>
      </c>
      <c r="U582" s="75">
        <f>база!$M$5</f>
        <v>247.41720000000001</v>
      </c>
      <c r="V582" s="249">
        <v>1.2</v>
      </c>
      <c r="W582" s="90">
        <f>SUMIFS(Таблица1[сумма],Таблица1[коэф],"1,2",Таблица1[р/р],"4/24",Таблица1[Ф. И. О.],B583)</f>
        <v>0</v>
      </c>
      <c r="X582" s="96">
        <f t="shared" si="360"/>
        <v>0</v>
      </c>
      <c r="Y582" s="792"/>
      <c r="Z582" s="794"/>
      <c r="AA582" s="797"/>
      <c r="AC582" s="688" t="str">
        <f>IF(SUMIFS(Таблица1[Столбец2],Таблица1[Ф. И. О.],B583)-Z578=0,"",SUMIFS(Таблица1[Столбец2],Таблица1[Ф. И. О.],B583)-Z578)</f>
        <v/>
      </c>
    </row>
    <row r="583" spans="1:29">
      <c r="A583" s="740"/>
      <c r="B583" s="591" t="str">
        <f>база!B54</f>
        <v>Никифорова Юлия Анатольевна</v>
      </c>
      <c r="C583" s="799"/>
      <c r="D583" s="801"/>
      <c r="E583" s="68"/>
      <c r="F583" s="249"/>
      <c r="G583" s="82"/>
      <c r="H583" s="96"/>
      <c r="I583" s="22"/>
      <c r="J583" s="256"/>
      <c r="K583" s="20"/>
      <c r="L583" s="287"/>
      <c r="M583" s="22"/>
      <c r="N583" s="20"/>
      <c r="O583" s="20"/>
      <c r="P583" s="260"/>
      <c r="Q583" s="592">
        <f>база!$L$6</f>
        <v>261.04640000000001</v>
      </c>
      <c r="R583" s="249">
        <v>1.2</v>
      </c>
      <c r="S583" s="90">
        <f>SUMIFS(Таблица1[сумма],Таблица1[коэф],"1,2",Таблица1[р/р],"5/16",Таблица1[Ф. И. О.],B583)</f>
        <v>0</v>
      </c>
      <c r="T583" s="96">
        <f>ROUND(Q583*R583*S583,2)</f>
        <v>0</v>
      </c>
      <c r="U583" s="75">
        <f>база!$M$6</f>
        <v>279.0496</v>
      </c>
      <c r="V583" s="249">
        <v>1.2</v>
      </c>
      <c r="W583" s="90">
        <f>SUMIFS(Таблица1[сумма],Таблица1[коэф],"1,2",Таблица1[р/р],"5/24",Таблица1[Ф. И. О.],B583)</f>
        <v>0</v>
      </c>
      <c r="X583" s="96">
        <f>ROUND(U583*V583*W583,2)</f>
        <v>0</v>
      </c>
      <c r="Y583" s="792"/>
      <c r="Z583" s="794"/>
      <c r="AA583" s="797"/>
      <c r="AC583" s="688" t="str">
        <f>IF(SUMIFS(Таблица1[сумма],Таблица1[Ф. И. О.],B583)=Y578,"",B578&amp;"  часы не верны")</f>
        <v/>
      </c>
    </row>
    <row r="584" spans="1:29">
      <c r="A584" s="740"/>
      <c r="B584" s="591"/>
      <c r="C584" s="799"/>
      <c r="D584" s="801"/>
      <c r="E584" s="68"/>
      <c r="F584" s="249"/>
      <c r="G584" s="82"/>
      <c r="H584" s="96"/>
      <c r="I584" s="22"/>
      <c r="J584" s="256"/>
      <c r="K584" s="20"/>
      <c r="L584" s="287"/>
      <c r="M584" s="22"/>
      <c r="N584" s="20"/>
      <c r="O584" s="20"/>
      <c r="P584" s="260"/>
      <c r="Q584" s="592">
        <f>IF($D$6&lt;=3,база!$L$4,
IF($D$6=4,база!$L$5,
IF($D$6=5,база!$L$6)))</f>
        <v>231.45480000000001</v>
      </c>
      <c r="R584" s="249">
        <v>1.3</v>
      </c>
      <c r="S584" s="90">
        <f>SUMIFS(Таблица1[сумма],Таблица1[коэф],"1,3",Таблица1[р/р],"3/16",Таблица1[Ф. И. О.],B583)</f>
        <v>0</v>
      </c>
      <c r="T584" s="96">
        <f t="shared" ref="T584:T585" si="361">ROUND(Q584*R584*S584,2)</f>
        <v>0</v>
      </c>
      <c r="U584" s="75">
        <f>IF(D578&lt;=3,база!$M$4,
IF(D578=4,база!$M$5,
IF(D578=5,база!$M$6)))</f>
        <v>225.09719999999999</v>
      </c>
      <c r="V584" s="249">
        <v>1.3</v>
      </c>
      <c r="W584" s="90">
        <f>SUMIFS(Таблица1[сумма],Таблица1[коэф],"1,3",Таблица1[р/р],"3/24",Таблица1[Ф. И. О.],B583)</f>
        <v>0</v>
      </c>
      <c r="X584" s="96">
        <f t="shared" ref="X584:X585" si="362">ROUND(U584*V584*W584,2)</f>
        <v>0</v>
      </c>
      <c r="Y584" s="792"/>
      <c r="Z584" s="794"/>
      <c r="AA584" s="797"/>
    </row>
    <row r="585" spans="1:29">
      <c r="A585" s="740"/>
      <c r="B585" s="591"/>
      <c r="C585" s="799"/>
      <c r="D585" s="801"/>
      <c r="E585" s="68"/>
      <c r="F585" s="249"/>
      <c r="G585" s="82"/>
      <c r="H585" s="96"/>
      <c r="I585" s="22"/>
      <c r="J585" s="256"/>
      <c r="K585" s="20"/>
      <c r="L585" s="287"/>
      <c r="M585" s="22"/>
      <c r="N585" s="20"/>
      <c r="O585" s="20"/>
      <c r="P585" s="260"/>
      <c r="Q585" s="592">
        <f>база!$L$5</f>
        <v>231.45480000000001</v>
      </c>
      <c r="R585" s="249">
        <v>1.3</v>
      </c>
      <c r="S585" s="90">
        <f>SUMIFS(Таблица1[сумма],Таблица1[коэф],"1,3",Таблица1[р/р],"4/16",Таблица1[Ф. И. О.],B583)</f>
        <v>0</v>
      </c>
      <c r="T585" s="96">
        <f t="shared" si="361"/>
        <v>0</v>
      </c>
      <c r="U585" s="75">
        <f>база!$M$5</f>
        <v>247.41720000000001</v>
      </c>
      <c r="V585" s="249">
        <v>1.3</v>
      </c>
      <c r="W585" s="90">
        <f>SUMIFS(Таблица1[сумма],Таблица1[коэф],"1,3",Таблица1[р/р],"4/24",Таблица1[Ф. И. О.],B583)</f>
        <v>0</v>
      </c>
      <c r="X585" s="96">
        <f t="shared" si="362"/>
        <v>0</v>
      </c>
      <c r="Y585" s="792"/>
      <c r="Z585" s="794"/>
      <c r="AA585" s="797"/>
    </row>
    <row r="586" spans="1:29">
      <c r="A586" s="740"/>
      <c r="B586" s="591"/>
      <c r="C586" s="799"/>
      <c r="D586" s="801"/>
      <c r="E586" s="68"/>
      <c r="F586" s="249"/>
      <c r="G586" s="82"/>
      <c r="H586" s="96"/>
      <c r="I586" s="22"/>
      <c r="J586" s="256"/>
      <c r="K586" s="20"/>
      <c r="L586" s="287"/>
      <c r="M586" s="22"/>
      <c r="N586" s="20"/>
      <c r="O586" s="20"/>
      <c r="P586" s="260"/>
      <c r="Q586" s="592">
        <f>IF(D578&lt;=3,база!$L$4,
IF(D578=4,база!$L$5,
IF(D578=5,база!$L$6)))</f>
        <v>210.57480000000001</v>
      </c>
      <c r="R586" s="249">
        <v>1.4</v>
      </c>
      <c r="S586" s="90">
        <f>SUMIFS(Таблица1[сумма],Таблица1[коэф],"1,4",Таблица1[р/р],"3/16",Таблица1[Ф. И. О.],B583)</f>
        <v>0</v>
      </c>
      <c r="T586" s="96">
        <f>ROUND(Q586*R586*S586,2)</f>
        <v>0</v>
      </c>
      <c r="U586" s="75">
        <f>IF(D578&lt;=3,база!$M$4,
IF(D578=4,база!$M$5,
IF(D578=5,база!$M$6)))</f>
        <v>225.09719999999999</v>
      </c>
      <c r="V586" s="249">
        <v>1.4</v>
      </c>
      <c r="W586" s="90">
        <f>SUMIFS(Таблица1[сумма],Таблица1[коэф],"1,4",Таблица1[р/р],"3/24",Таблица1[Ф. И. О.],B583)</f>
        <v>0</v>
      </c>
      <c r="X586" s="96">
        <f>ROUND(U586*V586*W586,2)</f>
        <v>0</v>
      </c>
      <c r="Y586" s="792"/>
      <c r="Z586" s="794"/>
      <c r="AA586" s="797"/>
    </row>
    <row r="587" spans="1:29">
      <c r="A587" s="740"/>
      <c r="B587" s="591"/>
      <c r="C587" s="799"/>
      <c r="D587" s="801"/>
      <c r="E587" s="78"/>
      <c r="F587" s="251"/>
      <c r="G587" s="601"/>
      <c r="H587" s="83"/>
      <c r="I587" s="60"/>
      <c r="J587" s="602"/>
      <c r="K587" s="53"/>
      <c r="L587" s="302"/>
      <c r="M587" s="60"/>
      <c r="N587" s="53"/>
      <c r="O587" s="53"/>
      <c r="P587" s="261"/>
      <c r="Q587" s="603">
        <f>база!$L$5</f>
        <v>231.45480000000001</v>
      </c>
      <c r="R587" s="251">
        <v>1.4</v>
      </c>
      <c r="S587" s="94">
        <f>SUMIFS(Таблица1[сумма],Таблица1[коэф],"1,4",Таблица1[р/р],"4/16",Таблица1[Ф. И. О.],B583)</f>
        <v>0</v>
      </c>
      <c r="T587" s="83">
        <f>ROUND(Q587*R587*S587,2)</f>
        <v>0</v>
      </c>
      <c r="U587" s="99">
        <f>база!$M$5</f>
        <v>247.41720000000001</v>
      </c>
      <c r="V587" s="251">
        <v>1.4</v>
      </c>
      <c r="W587" s="94">
        <f>SUMIFS(Таблица1[сумма],Таблица1[коэф],"1,4",Таблица1[р/р],"4/24",Таблица1[Ф. И. О.],B583)</f>
        <v>0</v>
      </c>
      <c r="X587" s="83">
        <f>ROUND(U587*V587*W587,2)</f>
        <v>0</v>
      </c>
      <c r="Y587" s="792"/>
      <c r="Z587" s="794"/>
      <c r="AA587" s="797"/>
    </row>
    <row r="588" spans="1:29" ht="24" thickBot="1">
      <c r="A588" s="741"/>
      <c r="B588" s="329"/>
      <c r="C588" s="800"/>
      <c r="D588" s="802"/>
      <c r="E588" s="70"/>
      <c r="F588" s="254"/>
      <c r="G588" s="593"/>
      <c r="H588" s="87"/>
      <c r="I588" s="594"/>
      <c r="J588" s="567"/>
      <c r="K588" s="595"/>
      <c r="L588" s="305"/>
      <c r="M588" s="594"/>
      <c r="N588" s="595"/>
      <c r="O588" s="595"/>
      <c r="P588" s="268"/>
      <c r="Q588" s="596">
        <f>база!$L$6</f>
        <v>261.04640000000001</v>
      </c>
      <c r="R588" s="254">
        <v>1.4</v>
      </c>
      <c r="S588" s="93">
        <f>SUMIFS(Таблица1[сумма],Таблица1[коэф],"1,4",Таблица1[р/р],"5/16",Таблица1[Ф. И. О.],B583)</f>
        <v>0</v>
      </c>
      <c r="T588" s="87">
        <f>ROUND(Q588*R588*S588,2)</f>
        <v>0</v>
      </c>
      <c r="U588" s="77">
        <f>база!$M$6</f>
        <v>279.0496</v>
      </c>
      <c r="V588" s="254">
        <v>1.4</v>
      </c>
      <c r="W588" s="93">
        <f>SUMIFS(Таблица1[сумма],Таблица1[коэф],"1,4",Таблица1[р/р],"5/24",Таблица1[Ф. И. О.],B583)</f>
        <v>0</v>
      </c>
      <c r="X588" s="87">
        <f>ROUND(U588*V588*W588,2)</f>
        <v>0</v>
      </c>
      <c r="Y588" s="793"/>
      <c r="Z588" s="795"/>
      <c r="AA588" s="798"/>
    </row>
    <row r="589" spans="1:29" ht="20.25" customHeight="1">
      <c r="A589" s="739">
        <v>54</v>
      </c>
      <c r="B589" s="591"/>
      <c r="C589" s="805">
        <f>INDEX(база!$E$2:$E$181, MATCH(B594,база!$B$2:$B$160,0))</f>
        <v>17307</v>
      </c>
      <c r="D589" s="806">
        <f>INDEX(база!$D$2:$D$189, MATCH(B594,база!$B$2:$B$160,0))</f>
        <v>3</v>
      </c>
      <c r="E589" s="68">
        <f>IF(D589&lt;=3,база!$I$4,
IF(D589=4,база!$I$5,
IF(D589=5,база!$I$6)))</f>
        <v>188.7912</v>
      </c>
      <c r="F589" s="249">
        <v>1</v>
      </c>
      <c r="G589" s="82">
        <f>SUMIFS(Таблица1[сумма],Таблица1[коэф],"1",Таблица1[р/р],"2/4",Таблица1[Ф. И. О.],B594)</f>
        <v>0</v>
      </c>
      <c r="H589" s="96">
        <f>ROUND(E589*F589*G589,2)</f>
        <v>0</v>
      </c>
      <c r="I589" s="22">
        <f>IF(D589&lt;=3,база!$J$4,
IF(D589=4,база!$J$5,
IF(D589=5,база!$J$6)))</f>
        <v>196.05240000000001</v>
      </c>
      <c r="J589" s="256">
        <v>1</v>
      </c>
      <c r="K589" s="20">
        <f>SUMIFS(Таблица1[сумма],Таблица1[коэф],"1",Таблица1[р/р],"2/8",Таблица1[Ф. И. О.],B594)</f>
        <v>0</v>
      </c>
      <c r="L589" s="287">
        <f>ROUND(I589*J589*K589,2)</f>
        <v>0</v>
      </c>
      <c r="M589" s="22"/>
      <c r="N589" s="20">
        <v>1</v>
      </c>
      <c r="O589" s="20">
        <f>SUMIFS(Data_Tech!$AM$3:$AM$67,Data_Tech!$E$3:$E$67,"1",Data_Tech!$G$3:$G$67,"3/12",Data_Tech!$F$3:$F$67,B594)</f>
        <v>0</v>
      </c>
      <c r="P589" s="260">
        <f>ROUND(M589*N589*O589,2)</f>
        <v>0</v>
      </c>
      <c r="Q589" s="592">
        <f>IF(D589&lt;=3,база!$L$4,
IF(D589=4,база!$L$5,
IF(D589=5,база!$L$6)))</f>
        <v>210.57480000000001</v>
      </c>
      <c r="R589" s="249">
        <v>1</v>
      </c>
      <c r="S589" s="90">
        <f>SUMIFS(Таблица1[сумма],Таблица1[коэф],"1",Таблица1[р/р],"3/16",Таблица1[Ф. И. О.],B594)</f>
        <v>0</v>
      </c>
      <c r="T589" s="96">
        <f t="shared" ref="T589:T593" si="363">ROUND(Q589*R589*S589,2)</f>
        <v>0</v>
      </c>
      <c r="U589" s="75">
        <f>IF(D589&lt;=3,база!$M$4,
IF(D589=4,база!$M$5,
IF(D589=5,база!$M$6)))</f>
        <v>225.09719999999999</v>
      </c>
      <c r="V589" s="249">
        <v>1</v>
      </c>
      <c r="W589" s="90">
        <f>SUMIFS(Таблица1[сумма],Таблица1[коэф],"1",Таблица1[р/р],"3/24",Таблица1[Ф. И. О.],B594)</f>
        <v>0</v>
      </c>
      <c r="X589" s="96">
        <f>ROUND(U589*V589*W589,2)</f>
        <v>0</v>
      </c>
      <c r="Y589" s="791">
        <f t="shared" ref="Y589" si="364">SUM(G589:G599,K589:K599,O589:O599,S589:S599,W589:W599)</f>
        <v>0</v>
      </c>
      <c r="Z589" s="807">
        <f t="shared" ref="Z589" si="365">IFERROR(SUM(H589:H599,L589:L599,T589:T599,X589:X599),"")</f>
        <v>0</v>
      </c>
      <c r="AA589" s="796"/>
    </row>
    <row r="590" spans="1:29">
      <c r="A590" s="740"/>
      <c r="B590" s="591"/>
      <c r="C590" s="799"/>
      <c r="D590" s="801"/>
      <c r="E590" s="68">
        <f>IF(D589&lt;=3,база!$I$4,
IF(D589=4,база!$I$5,
IF(D589=5,база!$I$6)))</f>
        <v>188.7912</v>
      </c>
      <c r="F590" s="249">
        <v>1</v>
      </c>
      <c r="G590" s="82">
        <f>SUMIFS(Таблица1[сумма],Таблица1[коэф],"1",Таблица1[р/р],"3/4",Таблица1[Ф. И. О.],B594)</f>
        <v>0</v>
      </c>
      <c r="H590" s="96">
        <f>ROUND(E590*F590*G590,2)</f>
        <v>0</v>
      </c>
      <c r="I590" s="22">
        <f>IF(D589&lt;=3,база!$J$4,
IF(D589=4,база!$J$5,
IF(D589=5,база!$J$6)))</f>
        <v>196.05240000000001</v>
      </c>
      <c r="J590" s="256">
        <v>1</v>
      </c>
      <c r="K590" s="20"/>
      <c r="L590" s="287">
        <f>ROUND(I590*J590*K590,2)</f>
        <v>0</v>
      </c>
      <c r="M590" s="22"/>
      <c r="N590" s="20">
        <v>1</v>
      </c>
      <c r="O590" s="20">
        <f>SUMIFS(Data_Tech!$AM$3:$AM$67,Data_Tech!$E$3:$E$67,"1",Data_Tech!$G$3:$G$67,"4/12",Data_Tech!$F$3:$F$67,B594)</f>
        <v>0</v>
      </c>
      <c r="P590" s="260">
        <f>ROUND(M590*O590,2)</f>
        <v>0</v>
      </c>
      <c r="Q590" s="592">
        <f>база!$L$5</f>
        <v>231.45480000000001</v>
      </c>
      <c r="R590" s="249">
        <v>1</v>
      </c>
      <c r="S590" s="90">
        <f>SUMIFS(Таблица1[сумма],Таблица1[коэф],"1",Таблица1[р/р],"4/16",Таблица1[Ф. И. О.],B594)</f>
        <v>0</v>
      </c>
      <c r="T590" s="96">
        <f t="shared" si="363"/>
        <v>0</v>
      </c>
      <c r="U590" s="75">
        <f>база!$M$5</f>
        <v>247.41720000000001</v>
      </c>
      <c r="V590" s="249">
        <v>1</v>
      </c>
      <c r="W590" s="90">
        <f>SUMIFS(Таблица1[сумма],Таблица1[коэф],"1",Таблица1[р/р],"4/24",Таблица1[Ф. И. О.],B594)</f>
        <v>0</v>
      </c>
      <c r="X590" s="96">
        <f t="shared" ref="X590" si="366">ROUND(U590*V590*W590,2)</f>
        <v>0</v>
      </c>
      <c r="Y590" s="792"/>
      <c r="Z590" s="794"/>
      <c r="AA590" s="797"/>
    </row>
    <row r="591" spans="1:29">
      <c r="A591" s="740"/>
      <c r="B591" s="591"/>
      <c r="C591" s="799"/>
      <c r="D591" s="801"/>
      <c r="E591" s="68"/>
      <c r="F591" s="249"/>
      <c r="G591" s="82"/>
      <c r="H591" s="96"/>
      <c r="I591" s="22"/>
      <c r="J591" s="256"/>
      <c r="K591" s="20"/>
      <c r="L591" s="287"/>
      <c r="M591" s="22"/>
      <c r="N591" s="20"/>
      <c r="O591" s="20"/>
      <c r="P591" s="260"/>
      <c r="Q591" s="592">
        <f>база!$L$6</f>
        <v>261.04640000000001</v>
      </c>
      <c r="R591" s="249">
        <v>1</v>
      </c>
      <c r="S591" s="90">
        <f>SUMIFS(Таблица1[сумма],Таблица1[коэф],"1",Таблица1[р/р],"5/16",Таблица1[Ф. И. О.],B594)</f>
        <v>0</v>
      </c>
      <c r="T591" s="96">
        <f t="shared" si="363"/>
        <v>0</v>
      </c>
      <c r="U591" s="75">
        <f>база!$M$6</f>
        <v>279.0496</v>
      </c>
      <c r="V591" s="249">
        <v>1</v>
      </c>
      <c r="W591" s="90">
        <f>SUMIFS(Таблица1[сумма],Таблица1[коэф],"1",Таблица1[р/р],"5/24",Таблица1[Ф. И. О.],B594)</f>
        <v>0</v>
      </c>
      <c r="X591" s="96">
        <f>ROUND(U591*V591*W591,2)</f>
        <v>0</v>
      </c>
      <c r="Y591" s="792"/>
      <c r="Z591" s="794"/>
      <c r="AA591" s="797"/>
    </row>
    <row r="592" spans="1:29">
      <c r="A592" s="740"/>
      <c r="B592" s="591"/>
      <c r="C592" s="799"/>
      <c r="D592" s="801"/>
      <c r="E592" s="68"/>
      <c r="F592" s="249"/>
      <c r="G592" s="82"/>
      <c r="H592" s="96"/>
      <c r="I592" s="22">
        <f>база!$J$5</f>
        <v>215.4924</v>
      </c>
      <c r="J592" s="256">
        <v>1.5</v>
      </c>
      <c r="K592" s="20">
        <f>SUMIFS(Таблица1[сумма],Таблица1[коэф],"1,5",Таблица1[р/р],"4/8",Таблица1[Ф. И. О.],B594)</f>
        <v>0</v>
      </c>
      <c r="L592" s="287">
        <f>ROUND(I592*J592*K592,2)</f>
        <v>0</v>
      </c>
      <c r="M592" s="22"/>
      <c r="N592" s="20"/>
      <c r="O592" s="20"/>
      <c r="P592" s="260"/>
      <c r="Q592" s="592">
        <f>IF(D589&lt;=3,база!$L$4,
IF(D589=4,база!$L$5,
IF(D589=5,база!$L$6)))</f>
        <v>210.57480000000001</v>
      </c>
      <c r="R592" s="249">
        <v>1.2</v>
      </c>
      <c r="S592" s="90">
        <f>SUMIFS(Таблица1[сумма],Таблица1[коэф],"1,2",Таблица1[р/р],"3/16",Таблица1[Ф. И. О.],B594)</f>
        <v>0</v>
      </c>
      <c r="T592" s="96">
        <f t="shared" si="363"/>
        <v>0</v>
      </c>
      <c r="U592" s="75">
        <f>IF(D589&lt;=3,база!$M$4,
IF(D589=4,база!$M$5,
IF(D589=5,база!$M$6)))</f>
        <v>225.09719999999999</v>
      </c>
      <c r="V592" s="249">
        <v>1.2</v>
      </c>
      <c r="W592" s="90">
        <f>SUMIFS(Таблица1[сумма],Таблица1[коэф],"1,2",Таблица1[р/р],"3/24",Таблица1[Ф. И. О.],B594)</f>
        <v>0</v>
      </c>
      <c r="X592" s="96">
        <f t="shared" ref="X592:X593" si="367">ROUND(U592*V592*W592,2)</f>
        <v>0</v>
      </c>
      <c r="Y592" s="792"/>
      <c r="Z592" s="794"/>
      <c r="AA592" s="797"/>
    </row>
    <row r="593" spans="1:29">
      <c r="A593" s="740"/>
      <c r="B593" s="591"/>
      <c r="C593" s="799"/>
      <c r="D593" s="801"/>
      <c r="E593" s="68"/>
      <c r="F593" s="249"/>
      <c r="G593" s="82"/>
      <c r="H593" s="96"/>
      <c r="I593" s="22">
        <f>база!$J$6</f>
        <v>243.04319999999998</v>
      </c>
      <c r="J593" s="256">
        <v>1.5</v>
      </c>
      <c r="K593" s="20">
        <f>SUMIFS(Таблица1[сумма],Таблица1[коэф],"1,5",Таблица1[р/р],"5/8",Таблица1[Ф. И. О.],B594)</f>
        <v>0</v>
      </c>
      <c r="L593" s="287">
        <f>ROUND(I593*J593*K593,2)</f>
        <v>0</v>
      </c>
      <c r="M593" s="22"/>
      <c r="N593" s="20"/>
      <c r="O593" s="20"/>
      <c r="P593" s="260"/>
      <c r="Q593" s="592">
        <f>база!$L$5</f>
        <v>231.45480000000001</v>
      </c>
      <c r="R593" s="249">
        <v>1.2</v>
      </c>
      <c r="S593" s="90">
        <f>SUMIFS(Таблица1[сумма],Таблица1[коэф],"1,2",Таблица1[р/р],"4/16",Таблица1[Ф. И. О.],B594)</f>
        <v>0</v>
      </c>
      <c r="T593" s="96">
        <f t="shared" si="363"/>
        <v>0</v>
      </c>
      <c r="U593" s="75">
        <f>база!$M$5</f>
        <v>247.41720000000001</v>
      </c>
      <c r="V593" s="249">
        <v>1.2</v>
      </c>
      <c r="W593" s="90">
        <f>SUMIFS(Таблица1[сумма],Таблица1[коэф],"1,2",Таблица1[р/р],"4/24",Таблица1[Ф. И. О.],B594)</f>
        <v>0</v>
      </c>
      <c r="X593" s="96">
        <f t="shared" si="367"/>
        <v>0</v>
      </c>
      <c r="Y593" s="792"/>
      <c r="Z593" s="794"/>
      <c r="AA593" s="797"/>
      <c r="AC593" s="688" t="str">
        <f>IF(SUMIFS(Таблица1[Столбец2],Таблица1[Ф. И. О.],B594)-Z589=0,"",SUMIFS(Таблица1[Столбец2],Таблица1[Ф. И. О.],B594)-Z589)</f>
        <v/>
      </c>
    </row>
    <row r="594" spans="1:29">
      <c r="A594" s="740"/>
      <c r="B594" s="591" t="str">
        <f>база!B55</f>
        <v>Новикова Александра Владимировна</v>
      </c>
      <c r="C594" s="799"/>
      <c r="D594" s="801"/>
      <c r="E594" s="68"/>
      <c r="F594" s="249"/>
      <c r="G594" s="82"/>
      <c r="H594" s="96"/>
      <c r="I594" s="22"/>
      <c r="J594" s="256"/>
      <c r="K594" s="20"/>
      <c r="L594" s="287"/>
      <c r="M594" s="22"/>
      <c r="N594" s="20"/>
      <c r="O594" s="20"/>
      <c r="P594" s="260"/>
      <c r="Q594" s="592">
        <f>база!$L$6</f>
        <v>261.04640000000001</v>
      </c>
      <c r="R594" s="249">
        <v>1.2</v>
      </c>
      <c r="S594" s="90">
        <f>SUMIFS(Таблица1[сумма],Таблица1[коэф],"1,2",Таблица1[р/р],"5/16",Таблица1[Ф. И. О.],B594)</f>
        <v>0</v>
      </c>
      <c r="T594" s="96">
        <f>ROUND(Q594*R594*S594,2)</f>
        <v>0</v>
      </c>
      <c r="U594" s="75">
        <f>база!$M$6</f>
        <v>279.0496</v>
      </c>
      <c r="V594" s="249">
        <v>1.2</v>
      </c>
      <c r="W594" s="90">
        <f>SUMIFS(Таблица1[сумма],Таблица1[коэф],"1,2",Таблица1[р/р],"5/24",Таблица1[Ф. И. О.],B594)</f>
        <v>0</v>
      </c>
      <c r="X594" s="96">
        <f>ROUND(U594*V594*W594,2)</f>
        <v>0</v>
      </c>
      <c r="Y594" s="792"/>
      <c r="Z594" s="794"/>
      <c r="AA594" s="797"/>
      <c r="AC594" s="688" t="str">
        <f>IF(SUMIFS(Таблица1[сумма],Таблица1[Ф. И. О.],B594)=Y589,"",B589&amp;"  часы не верны")</f>
        <v/>
      </c>
    </row>
    <row r="595" spans="1:29">
      <c r="A595" s="740"/>
      <c r="B595" s="591"/>
      <c r="C595" s="799"/>
      <c r="D595" s="801"/>
      <c r="E595" s="68"/>
      <c r="F595" s="249"/>
      <c r="G595" s="82"/>
      <c r="H595" s="96"/>
      <c r="I595" s="22"/>
      <c r="J595" s="256"/>
      <c r="K595" s="20"/>
      <c r="L595" s="287"/>
      <c r="M595" s="22"/>
      <c r="N595" s="20"/>
      <c r="O595" s="20"/>
      <c r="P595" s="260"/>
      <c r="Q595" s="592">
        <f>IF($D$6&lt;=3,база!$L$4,
IF($D$6=4,база!$L$5,
IF($D$6=5,база!$L$6)))</f>
        <v>231.45480000000001</v>
      </c>
      <c r="R595" s="249">
        <v>1.3</v>
      </c>
      <c r="S595" s="90">
        <f>SUMIFS(Таблица1[сумма],Таблица1[коэф],"1,3",Таблица1[р/р],"3/16",Таблица1[Ф. И. О.],B594)</f>
        <v>0</v>
      </c>
      <c r="T595" s="96">
        <f t="shared" ref="T595:T596" si="368">ROUND(Q595*R595*S595,2)</f>
        <v>0</v>
      </c>
      <c r="U595" s="75">
        <f>IF(D589&lt;=3,база!$M$4,
IF(D589=4,база!$M$5,
IF(D589=5,база!$M$6)))</f>
        <v>225.09719999999999</v>
      </c>
      <c r="V595" s="249">
        <v>1.3</v>
      </c>
      <c r="W595" s="90">
        <f>SUMIFS(Таблица1[сумма],Таблица1[коэф],"1,3",Таблица1[р/р],"3/24",Таблица1[Ф. И. О.],B594)</f>
        <v>0</v>
      </c>
      <c r="X595" s="96">
        <f t="shared" ref="X595:X596" si="369">ROUND(U595*V595*W595,2)</f>
        <v>0</v>
      </c>
      <c r="Y595" s="792"/>
      <c r="Z595" s="794"/>
      <c r="AA595" s="797"/>
    </row>
    <row r="596" spans="1:29">
      <c r="A596" s="740"/>
      <c r="B596" s="591"/>
      <c r="C596" s="799"/>
      <c r="D596" s="801"/>
      <c r="E596" s="68"/>
      <c r="F596" s="249"/>
      <c r="G596" s="82"/>
      <c r="H596" s="96"/>
      <c r="I596" s="22"/>
      <c r="J596" s="256"/>
      <c r="K596" s="20"/>
      <c r="L596" s="287"/>
      <c r="M596" s="22"/>
      <c r="N596" s="20"/>
      <c r="O596" s="20"/>
      <c r="P596" s="260"/>
      <c r="Q596" s="592">
        <f>база!$L$5</f>
        <v>231.45480000000001</v>
      </c>
      <c r="R596" s="249">
        <v>1.3</v>
      </c>
      <c r="S596" s="90">
        <f>SUMIFS(Таблица1[сумма],Таблица1[коэф],"1,3",Таблица1[р/р],"4/16",Таблица1[Ф. И. О.],B594)</f>
        <v>0</v>
      </c>
      <c r="T596" s="96">
        <f t="shared" si="368"/>
        <v>0</v>
      </c>
      <c r="U596" s="75">
        <f>база!$M$5</f>
        <v>247.41720000000001</v>
      </c>
      <c r="V596" s="249">
        <v>1.3</v>
      </c>
      <c r="W596" s="90">
        <f>SUMIFS(Таблица1[сумма],Таблица1[коэф],"1,3",Таблица1[р/р],"4/24",Таблица1[Ф. И. О.],B594)</f>
        <v>0</v>
      </c>
      <c r="X596" s="96">
        <f t="shared" si="369"/>
        <v>0</v>
      </c>
      <c r="Y596" s="792"/>
      <c r="Z596" s="794"/>
      <c r="AA596" s="797"/>
    </row>
    <row r="597" spans="1:29">
      <c r="A597" s="740"/>
      <c r="B597" s="591"/>
      <c r="C597" s="799"/>
      <c r="D597" s="801"/>
      <c r="E597" s="68"/>
      <c r="F597" s="249"/>
      <c r="G597" s="82"/>
      <c r="H597" s="96"/>
      <c r="I597" s="22"/>
      <c r="J597" s="256"/>
      <c r="K597" s="20"/>
      <c r="L597" s="287"/>
      <c r="M597" s="22"/>
      <c r="N597" s="20"/>
      <c r="O597" s="20"/>
      <c r="P597" s="260"/>
      <c r="Q597" s="592">
        <f>IF(D589&lt;=3,база!$L$4,
IF(D589=4,база!$L$5,
IF(D589=5,база!$L$6)))</f>
        <v>210.57480000000001</v>
      </c>
      <c r="R597" s="249">
        <v>1.4</v>
      </c>
      <c r="S597" s="90">
        <f>SUMIFS(Таблица1[сумма],Таблица1[коэф],"1,4",Таблица1[р/р],"3/16",Таблица1[Ф. И. О.],B594)</f>
        <v>0</v>
      </c>
      <c r="T597" s="96">
        <f>ROUND(Q597*R597*S597,2)</f>
        <v>0</v>
      </c>
      <c r="U597" s="75">
        <f>IF(D589&lt;=3,база!$M$4,
IF(D589=4,база!$M$5,
IF(D589=5,база!$M$6)))</f>
        <v>225.09719999999999</v>
      </c>
      <c r="V597" s="249">
        <v>1.4</v>
      </c>
      <c r="W597" s="90">
        <f>SUMIFS(Таблица1[сумма],Таблица1[коэф],"1,4",Таблица1[р/р],"3/24",Таблица1[Ф. И. О.],B594)</f>
        <v>0</v>
      </c>
      <c r="X597" s="96">
        <f>ROUND(U597*V597*W597,2)</f>
        <v>0</v>
      </c>
      <c r="Y597" s="792"/>
      <c r="Z597" s="794"/>
      <c r="AA597" s="797"/>
    </row>
    <row r="598" spans="1:29">
      <c r="A598" s="740"/>
      <c r="B598" s="591"/>
      <c r="C598" s="799"/>
      <c r="D598" s="801"/>
      <c r="E598" s="78"/>
      <c r="F598" s="251"/>
      <c r="G598" s="601"/>
      <c r="H598" s="83"/>
      <c r="I598" s="60"/>
      <c r="J598" s="602"/>
      <c r="K598" s="53"/>
      <c r="L598" s="302"/>
      <c r="M598" s="60"/>
      <c r="N598" s="53"/>
      <c r="O598" s="53"/>
      <c r="P598" s="261"/>
      <c r="Q598" s="603">
        <f>база!$L$5</f>
        <v>231.45480000000001</v>
      </c>
      <c r="R598" s="251">
        <v>1.4</v>
      </c>
      <c r="S598" s="94">
        <f>SUMIFS(Таблица1[сумма],Таблица1[коэф],"1,4",Таблица1[р/р],"4/16",Таблица1[Ф. И. О.],B594)</f>
        <v>0</v>
      </c>
      <c r="T598" s="83">
        <f>ROUND(Q598*R598*S598,2)</f>
        <v>0</v>
      </c>
      <c r="U598" s="99">
        <f>база!$M$5</f>
        <v>247.41720000000001</v>
      </c>
      <c r="V598" s="251">
        <v>1.4</v>
      </c>
      <c r="W598" s="94">
        <f>SUMIFS(Таблица1[сумма],Таблица1[коэф],"1,4",Таблица1[р/р],"4/24",Таблица1[Ф. И. О.],B594)</f>
        <v>0</v>
      </c>
      <c r="X598" s="83">
        <f>ROUND(U598*V598*W598,2)</f>
        <v>0</v>
      </c>
      <c r="Y598" s="792"/>
      <c r="Z598" s="794"/>
      <c r="AA598" s="797"/>
    </row>
    <row r="599" spans="1:29" ht="24" thickBot="1">
      <c r="A599" s="741"/>
      <c r="B599" s="329"/>
      <c r="C599" s="800"/>
      <c r="D599" s="802"/>
      <c r="E599" s="70"/>
      <c r="F599" s="254"/>
      <c r="G599" s="593"/>
      <c r="H599" s="87"/>
      <c r="I599" s="594"/>
      <c r="J599" s="567"/>
      <c r="K599" s="595"/>
      <c r="L599" s="305"/>
      <c r="M599" s="594"/>
      <c r="N599" s="595"/>
      <c r="O599" s="595"/>
      <c r="P599" s="268"/>
      <c r="Q599" s="596">
        <f>база!$L$6</f>
        <v>261.04640000000001</v>
      </c>
      <c r="R599" s="254">
        <v>1.4</v>
      </c>
      <c r="S599" s="93">
        <f>SUMIFS(Таблица1[сумма],Таблица1[коэф],"1,4",Таблица1[р/р],"5/16",Таблица1[Ф. И. О.],B594)</f>
        <v>0</v>
      </c>
      <c r="T599" s="87">
        <f>ROUND(Q599*R599*S599,2)</f>
        <v>0</v>
      </c>
      <c r="U599" s="77">
        <f>база!$M$6</f>
        <v>279.0496</v>
      </c>
      <c r="V599" s="254">
        <v>1.4</v>
      </c>
      <c r="W599" s="93">
        <f>SUMIFS(Таблица1[сумма],Таблица1[коэф],"1,4",Таблица1[р/р],"5/24",Таблица1[Ф. И. О.],B594)</f>
        <v>0</v>
      </c>
      <c r="X599" s="87">
        <f>ROUND(U599*V599*W599,2)</f>
        <v>0</v>
      </c>
      <c r="Y599" s="793"/>
      <c r="Z599" s="795"/>
      <c r="AA599" s="798"/>
    </row>
    <row r="600" spans="1:29" ht="20.25" customHeight="1">
      <c r="A600" s="739">
        <v>55</v>
      </c>
      <c r="B600" s="591"/>
      <c r="C600" s="805">
        <f>INDEX(база!$E$2:$E$181, MATCH(B605,база!$B$2:$B$160,0))</f>
        <v>16950</v>
      </c>
      <c r="D600" s="806">
        <f>INDEX(база!$D$2:$D$189, MATCH(B605,база!$B$2:$B$160,0))</f>
        <v>3</v>
      </c>
      <c r="E600" s="68">
        <f>IF(D600&lt;=3,база!$I$4,
IF(D600=4,база!$I$5,
IF(D600=5,база!$I$6)))</f>
        <v>188.7912</v>
      </c>
      <c r="F600" s="249">
        <v>1</v>
      </c>
      <c r="G600" s="82">
        <f>SUMIFS(Таблица1[сумма],Таблица1[коэф],"1",Таблица1[р/р],"2/4",Таблица1[Ф. И. О.],B605)</f>
        <v>0</v>
      </c>
      <c r="H600" s="96">
        <f>ROUND(E600*F600*G600,2)</f>
        <v>0</v>
      </c>
      <c r="I600" s="22">
        <f>IF(D600&lt;=3,база!$J$4,
IF(D600=4,база!$J$5,
IF(D600=5,база!$J$6)))</f>
        <v>196.05240000000001</v>
      </c>
      <c r="J600" s="256">
        <v>1</v>
      </c>
      <c r="K600" s="20">
        <f>SUMIFS(Таблица1[сумма],Таблица1[коэф],"1",Таблица1[р/р],"2/8",Таблица1[Ф. И. О.],B605)</f>
        <v>0</v>
      </c>
      <c r="L600" s="287">
        <f>ROUND(I600*J600*K600,2)</f>
        <v>0</v>
      </c>
      <c r="M600" s="22"/>
      <c r="N600" s="20">
        <v>1</v>
      </c>
      <c r="O600" s="20">
        <f>SUMIFS(Data_Tech!$AM$3:$AM$67,Data_Tech!$E$3:$E$67,"1",Data_Tech!$G$3:$G$67,"3/12",Data_Tech!$F$3:$F$67,B605)</f>
        <v>0</v>
      </c>
      <c r="P600" s="260">
        <f>ROUND(M600*N600*O600,2)</f>
        <v>0</v>
      </c>
      <c r="Q600" s="592">
        <f>IF(D600&lt;=3,база!$L$4,
IF(D600=4,база!$L$5,
IF(D600=5,база!$L$6)))</f>
        <v>210.57480000000001</v>
      </c>
      <c r="R600" s="249">
        <v>1</v>
      </c>
      <c r="S600" s="90">
        <f>SUMIFS(Таблица1[сумма],Таблица1[коэф],"1",Таблица1[р/р],"3/16",Таблица1[Ф. И. О.],B605)</f>
        <v>0</v>
      </c>
      <c r="T600" s="96">
        <f t="shared" ref="T600:T604" si="370">ROUND(Q600*R600*S600,2)</f>
        <v>0</v>
      </c>
      <c r="U600" s="75">
        <f>IF(D600&lt;=3,база!$M$4,
IF(D600=4,база!$M$5,
IF(D600=5,база!$M$6)))</f>
        <v>225.09719999999999</v>
      </c>
      <c r="V600" s="249">
        <v>1</v>
      </c>
      <c r="W600" s="90">
        <f>SUMIFS(Таблица1[сумма],Таблица1[коэф],"1",Таблица1[р/р],"3/24",Таблица1[Ф. И. О.],B605)</f>
        <v>0</v>
      </c>
      <c r="X600" s="96">
        <f>ROUND(U600*V600*W600,2)</f>
        <v>0</v>
      </c>
      <c r="Y600" s="791">
        <f t="shared" ref="Y600" si="371">SUM(G600:G610,K600:K610,O600:O610,S600:S610,W600:W610)</f>
        <v>0</v>
      </c>
      <c r="Z600" s="807">
        <f t="shared" ref="Z600" si="372">IFERROR(SUM(H600:H610,L600:L610,T600:T610,X600:X610),"")</f>
        <v>0</v>
      </c>
      <c r="AA600" s="796"/>
    </row>
    <row r="601" spans="1:29">
      <c r="A601" s="740"/>
      <c r="B601" s="591"/>
      <c r="C601" s="799"/>
      <c r="D601" s="801"/>
      <c r="E601" s="68">
        <f>IF(D600&lt;=3,база!$I$4,
IF(D600=4,база!$I$5,
IF(D600=5,база!$I$6)))</f>
        <v>188.7912</v>
      </c>
      <c r="F601" s="249">
        <v>1</v>
      </c>
      <c r="G601" s="82">
        <f>SUMIFS(Таблица1[сумма],Таблица1[коэф],"1",Таблица1[р/р],"3/4",Таблица1[Ф. И. О.],B605)</f>
        <v>0</v>
      </c>
      <c r="H601" s="96">
        <f>ROUND(E601*F601*G601,2)</f>
        <v>0</v>
      </c>
      <c r="I601" s="22">
        <f>IF(D600&lt;=3,база!$J$4,
IF(D600=4,база!$J$5,
IF(D600=5,база!$J$6)))</f>
        <v>196.05240000000001</v>
      </c>
      <c r="J601" s="256">
        <v>1</v>
      </c>
      <c r="K601" s="20"/>
      <c r="L601" s="287">
        <f>ROUND(I601*J601*K601,2)</f>
        <v>0</v>
      </c>
      <c r="M601" s="22"/>
      <c r="N601" s="20">
        <v>1</v>
      </c>
      <c r="O601" s="20">
        <f>SUMIFS(Data_Tech!$AM$3:$AM$67,Data_Tech!$E$3:$E$67,"1",Data_Tech!$G$3:$G$67,"4/12",Data_Tech!$F$3:$F$67,B605)</f>
        <v>0</v>
      </c>
      <c r="P601" s="260">
        <f>ROUND(M601*O601,2)</f>
        <v>0</v>
      </c>
      <c r="Q601" s="592">
        <f>база!$L$5</f>
        <v>231.45480000000001</v>
      </c>
      <c r="R601" s="249">
        <v>1</v>
      </c>
      <c r="S601" s="90">
        <f>SUMIFS(Таблица1[сумма],Таблица1[коэф],"1",Таблица1[р/р],"4/16",Таблица1[Ф. И. О.],B605)</f>
        <v>0</v>
      </c>
      <c r="T601" s="96">
        <f t="shared" si="370"/>
        <v>0</v>
      </c>
      <c r="U601" s="75">
        <f>база!$M$5</f>
        <v>247.41720000000001</v>
      </c>
      <c r="V601" s="249">
        <v>1</v>
      </c>
      <c r="W601" s="90">
        <f>SUMIFS(Таблица1[сумма],Таблица1[коэф],"1",Таблица1[р/р],"4/24",Таблица1[Ф. И. О.],B605)</f>
        <v>0</v>
      </c>
      <c r="X601" s="96">
        <f t="shared" ref="X601" si="373">ROUND(U601*V601*W601,2)</f>
        <v>0</v>
      </c>
      <c r="Y601" s="792"/>
      <c r="Z601" s="794"/>
      <c r="AA601" s="797"/>
    </row>
    <row r="602" spans="1:29">
      <c r="A602" s="740"/>
      <c r="B602" s="591"/>
      <c r="C602" s="799"/>
      <c r="D602" s="801"/>
      <c r="E602" s="68"/>
      <c r="F602" s="249"/>
      <c r="G602" s="82"/>
      <c r="H602" s="96"/>
      <c r="I602" s="22"/>
      <c r="J602" s="256"/>
      <c r="K602" s="20"/>
      <c r="L602" s="287"/>
      <c r="M602" s="22"/>
      <c r="N602" s="20"/>
      <c r="O602" s="20"/>
      <c r="P602" s="260"/>
      <c r="Q602" s="592">
        <f>база!$L$6</f>
        <v>261.04640000000001</v>
      </c>
      <c r="R602" s="249">
        <v>1</v>
      </c>
      <c r="S602" s="90">
        <f>SUMIFS(Таблица1[сумма],Таблица1[коэф],"1",Таблица1[р/р],"5/16",Таблица1[Ф. И. О.],B605)</f>
        <v>0</v>
      </c>
      <c r="T602" s="96">
        <f t="shared" si="370"/>
        <v>0</v>
      </c>
      <c r="U602" s="75">
        <f>база!$M$6</f>
        <v>279.0496</v>
      </c>
      <c r="V602" s="249">
        <v>1</v>
      </c>
      <c r="W602" s="90">
        <f>SUMIFS(Таблица1[сумма],Таблица1[коэф],"1",Таблица1[р/р],"5/24",Таблица1[Ф. И. О.],B605)</f>
        <v>0</v>
      </c>
      <c r="X602" s="96">
        <f>ROUND(U602*V602*W602,2)</f>
        <v>0</v>
      </c>
      <c r="Y602" s="792"/>
      <c r="Z602" s="794"/>
      <c r="AA602" s="797"/>
    </row>
    <row r="603" spans="1:29">
      <c r="A603" s="740"/>
      <c r="B603" s="591"/>
      <c r="C603" s="799"/>
      <c r="D603" s="801"/>
      <c r="E603" s="68"/>
      <c r="F603" s="249"/>
      <c r="G603" s="82"/>
      <c r="H603" s="96"/>
      <c r="I603" s="22">
        <f>база!$J$5</f>
        <v>215.4924</v>
      </c>
      <c r="J603" s="256">
        <v>1.5</v>
      </c>
      <c r="K603" s="20">
        <f>SUMIFS(Таблица1[сумма],Таблица1[коэф],"1,5",Таблица1[р/р],"4/8",Таблица1[Ф. И. О.],B605)</f>
        <v>0</v>
      </c>
      <c r="L603" s="287">
        <f>ROUND(I603*J603*K603,2)</f>
        <v>0</v>
      </c>
      <c r="M603" s="22"/>
      <c r="N603" s="20"/>
      <c r="O603" s="20"/>
      <c r="P603" s="260"/>
      <c r="Q603" s="592">
        <f>IF(D600&lt;=3,база!$L$4,
IF(D600=4,база!$L$5,
IF(D600=5,база!$L$6)))</f>
        <v>210.57480000000001</v>
      </c>
      <c r="R603" s="249">
        <v>1.2</v>
      </c>
      <c r="S603" s="90">
        <f>SUMIFS(Таблица1[сумма],Таблица1[коэф],"1,2",Таблица1[р/р],"3/16",Таблица1[Ф. И. О.],B605)</f>
        <v>0</v>
      </c>
      <c r="T603" s="96">
        <f t="shared" si="370"/>
        <v>0</v>
      </c>
      <c r="U603" s="75">
        <f>IF(D600&lt;=3,база!$M$4,
IF(D600=4,база!$M$5,
IF(D600=5,база!$M$6)))</f>
        <v>225.09719999999999</v>
      </c>
      <c r="V603" s="249">
        <v>1.2</v>
      </c>
      <c r="W603" s="90">
        <f>SUMIFS(Таблица1[сумма],Таблица1[коэф],"1,2",Таблица1[р/р],"3/24",Таблица1[Ф. И. О.],B605)</f>
        <v>0</v>
      </c>
      <c r="X603" s="96">
        <f t="shared" ref="X603:X604" si="374">ROUND(U603*V603*W603,2)</f>
        <v>0</v>
      </c>
      <c r="Y603" s="792"/>
      <c r="Z603" s="794"/>
      <c r="AA603" s="797"/>
    </row>
    <row r="604" spans="1:29">
      <c r="A604" s="740"/>
      <c r="B604" s="591"/>
      <c r="C604" s="799"/>
      <c r="D604" s="801"/>
      <c r="E604" s="68"/>
      <c r="F604" s="249"/>
      <c r="G604" s="82"/>
      <c r="H604" s="96"/>
      <c r="I604" s="22">
        <f>база!$J$6</f>
        <v>243.04319999999998</v>
      </c>
      <c r="J604" s="256">
        <v>1.5</v>
      </c>
      <c r="K604" s="20">
        <f>SUMIFS(Таблица1[сумма],Таблица1[коэф],"1,5",Таблица1[р/р],"5/8",Таблица1[Ф. И. О.],B605)</f>
        <v>0</v>
      </c>
      <c r="L604" s="287">
        <f>ROUND(I604*J604*K604,2)</f>
        <v>0</v>
      </c>
      <c r="M604" s="22"/>
      <c r="N604" s="20"/>
      <c r="O604" s="20"/>
      <c r="P604" s="260"/>
      <c r="Q604" s="592">
        <f>база!$L$5</f>
        <v>231.45480000000001</v>
      </c>
      <c r="R604" s="249">
        <v>1.2</v>
      </c>
      <c r="S604" s="90">
        <f>SUMIFS(Таблица1[сумма],Таблица1[коэф],"1,2",Таблица1[р/р],"4/16",Таблица1[Ф. И. О.],B605)</f>
        <v>0</v>
      </c>
      <c r="T604" s="96">
        <f t="shared" si="370"/>
        <v>0</v>
      </c>
      <c r="U604" s="75">
        <f>база!$M$5</f>
        <v>247.41720000000001</v>
      </c>
      <c r="V604" s="249">
        <v>1.2</v>
      </c>
      <c r="W604" s="90">
        <f>SUMIFS(Таблица1[сумма],Таблица1[коэф],"1,2",Таблица1[р/р],"4/24",Таблица1[Ф. И. О.],B605)</f>
        <v>0</v>
      </c>
      <c r="X604" s="96">
        <f t="shared" si="374"/>
        <v>0</v>
      </c>
      <c r="Y604" s="792"/>
      <c r="Z604" s="794"/>
      <c r="AA604" s="797"/>
      <c r="AC604" s="688" t="str">
        <f>IF(SUMIFS(Таблица1[Столбец2],Таблица1[Ф. И. О.],B605)-Z600=0,"",SUMIFS(Таблица1[Столбец2],Таблица1[Ф. И. О.],B605)-Z600)</f>
        <v/>
      </c>
    </row>
    <row r="605" spans="1:29">
      <c r="A605" s="740"/>
      <c r="B605" s="591" t="str">
        <f>база!B56</f>
        <v>Овчинников Глеб Эдуардович</v>
      </c>
      <c r="C605" s="799"/>
      <c r="D605" s="801"/>
      <c r="E605" s="68"/>
      <c r="F605" s="249"/>
      <c r="G605" s="82"/>
      <c r="H605" s="96"/>
      <c r="I605" s="22"/>
      <c r="J605" s="256"/>
      <c r="K605" s="20"/>
      <c r="L605" s="287"/>
      <c r="M605" s="22"/>
      <c r="N605" s="20"/>
      <c r="O605" s="20"/>
      <c r="P605" s="260"/>
      <c r="Q605" s="592">
        <f>база!$L$6</f>
        <v>261.04640000000001</v>
      </c>
      <c r="R605" s="249">
        <v>1.2</v>
      </c>
      <c r="S605" s="90">
        <f>SUMIFS(Таблица1[сумма],Таблица1[коэф],"1,2",Таблица1[р/р],"5/16",Таблица1[Ф. И. О.],B605)</f>
        <v>0</v>
      </c>
      <c r="T605" s="96">
        <f>ROUND(Q605*R605*S605,2)</f>
        <v>0</v>
      </c>
      <c r="U605" s="75">
        <f>база!$M$6</f>
        <v>279.0496</v>
      </c>
      <c r="V605" s="249">
        <v>1.2</v>
      </c>
      <c r="W605" s="90">
        <f>SUMIFS(Таблица1[сумма],Таблица1[коэф],"1,2",Таблица1[р/р],"5/24",Таблица1[Ф. И. О.],B605)</f>
        <v>0</v>
      </c>
      <c r="X605" s="96">
        <f>ROUND(U605*V605*W605,2)</f>
        <v>0</v>
      </c>
      <c r="Y605" s="792"/>
      <c r="Z605" s="794"/>
      <c r="AA605" s="797"/>
      <c r="AC605" s="688" t="str">
        <f>IF(SUMIFS(Таблица1[сумма],Таблица1[Ф. И. О.],B605)=Y600,"",B600&amp;"  часы не верны")</f>
        <v/>
      </c>
    </row>
    <row r="606" spans="1:29">
      <c r="A606" s="740"/>
      <c r="B606" s="591"/>
      <c r="C606" s="799"/>
      <c r="D606" s="801"/>
      <c r="E606" s="68"/>
      <c r="F606" s="249"/>
      <c r="G606" s="82"/>
      <c r="H606" s="96"/>
      <c r="I606" s="22"/>
      <c r="J606" s="256"/>
      <c r="K606" s="20"/>
      <c r="L606" s="287"/>
      <c r="M606" s="22"/>
      <c r="N606" s="20"/>
      <c r="O606" s="20"/>
      <c r="P606" s="260"/>
      <c r="Q606" s="592">
        <f>IF($D$6&lt;=3,база!$L$4,
IF($D$6=4,база!$L$5,
IF($D$6=5,база!$L$6)))</f>
        <v>231.45480000000001</v>
      </c>
      <c r="R606" s="249">
        <v>1.3</v>
      </c>
      <c r="S606" s="90">
        <f>SUMIFS(Таблица1[сумма],Таблица1[коэф],"1,3",Таблица1[р/р],"3/16",Таблица1[Ф. И. О.],B605)</f>
        <v>0</v>
      </c>
      <c r="T606" s="96">
        <f t="shared" ref="T606:T607" si="375">ROUND(Q606*R606*S606,2)</f>
        <v>0</v>
      </c>
      <c r="U606" s="75">
        <f>IF(D600&lt;=3,база!$M$4,
IF(D600=4,база!$M$5,
IF(D600=5,база!$M$6)))</f>
        <v>225.09719999999999</v>
      </c>
      <c r="V606" s="249">
        <v>1.3</v>
      </c>
      <c r="W606" s="90">
        <f>SUMIFS(Таблица1[сумма],Таблица1[коэф],"1,3",Таблица1[р/р],"3/24",Таблица1[Ф. И. О.],B605)</f>
        <v>0</v>
      </c>
      <c r="X606" s="96">
        <f t="shared" ref="X606:X607" si="376">ROUND(U606*V606*W606,2)</f>
        <v>0</v>
      </c>
      <c r="Y606" s="792"/>
      <c r="Z606" s="794"/>
      <c r="AA606" s="797"/>
    </row>
    <row r="607" spans="1:29">
      <c r="A607" s="740"/>
      <c r="B607" s="591"/>
      <c r="C607" s="799"/>
      <c r="D607" s="801"/>
      <c r="E607" s="68"/>
      <c r="F607" s="249"/>
      <c r="G607" s="82"/>
      <c r="H607" s="96"/>
      <c r="I607" s="22"/>
      <c r="J607" s="256"/>
      <c r="K607" s="20"/>
      <c r="L607" s="287"/>
      <c r="M607" s="22"/>
      <c r="N607" s="20"/>
      <c r="O607" s="20"/>
      <c r="P607" s="260"/>
      <c r="Q607" s="592">
        <f>база!$L$5</f>
        <v>231.45480000000001</v>
      </c>
      <c r="R607" s="249">
        <v>1.3</v>
      </c>
      <c r="S607" s="90">
        <f>SUMIFS(Таблица1[сумма],Таблица1[коэф],"1,3",Таблица1[р/р],"4/16",Таблица1[Ф. И. О.],B605)</f>
        <v>0</v>
      </c>
      <c r="T607" s="96">
        <f t="shared" si="375"/>
        <v>0</v>
      </c>
      <c r="U607" s="75">
        <f>база!$M$5</f>
        <v>247.41720000000001</v>
      </c>
      <c r="V607" s="249">
        <v>1.3</v>
      </c>
      <c r="W607" s="90">
        <f>SUMIFS(Таблица1[сумма],Таблица1[коэф],"1,3",Таблица1[р/р],"4/24",Таблица1[Ф. И. О.],B605)</f>
        <v>0</v>
      </c>
      <c r="X607" s="96">
        <f t="shared" si="376"/>
        <v>0</v>
      </c>
      <c r="Y607" s="792"/>
      <c r="Z607" s="794"/>
      <c r="AA607" s="797"/>
    </row>
    <row r="608" spans="1:29">
      <c r="A608" s="740"/>
      <c r="B608" s="591"/>
      <c r="C608" s="799"/>
      <c r="D608" s="801"/>
      <c r="E608" s="68"/>
      <c r="F608" s="249"/>
      <c r="G608" s="82"/>
      <c r="H608" s="96"/>
      <c r="I608" s="22"/>
      <c r="J608" s="256"/>
      <c r="K608" s="20"/>
      <c r="L608" s="287"/>
      <c r="M608" s="22"/>
      <c r="N608" s="20"/>
      <c r="O608" s="20"/>
      <c r="P608" s="260"/>
      <c r="Q608" s="592">
        <f>IF(D600&lt;=3,база!$L$4,
IF(D600=4,база!$L$5,
IF(D600=5,база!$L$6)))</f>
        <v>210.57480000000001</v>
      </c>
      <c r="R608" s="249">
        <v>1.4</v>
      </c>
      <c r="S608" s="90">
        <f>SUMIFS(Таблица1[сумма],Таблица1[коэф],"1,4",Таблица1[р/р],"3/16",Таблица1[Ф. И. О.],B605)</f>
        <v>0</v>
      </c>
      <c r="T608" s="96">
        <f>ROUND(Q608*R608*S608,2)</f>
        <v>0</v>
      </c>
      <c r="U608" s="75">
        <f>IF(D600&lt;=3,база!$M$4,
IF(D600=4,база!$M$5,
IF(D600=5,база!$M$6)))</f>
        <v>225.09719999999999</v>
      </c>
      <c r="V608" s="249">
        <v>1.4</v>
      </c>
      <c r="W608" s="90">
        <f>SUMIFS(Таблица1[сумма],Таблица1[коэф],"1,4",Таблица1[р/р],"3/24",Таблица1[Ф. И. О.],B605)</f>
        <v>0</v>
      </c>
      <c r="X608" s="96">
        <f>ROUND(U608*V608*W608,2)</f>
        <v>0</v>
      </c>
      <c r="Y608" s="792"/>
      <c r="Z608" s="794"/>
      <c r="AA608" s="797"/>
    </row>
    <row r="609" spans="1:29">
      <c r="A609" s="740"/>
      <c r="B609" s="591"/>
      <c r="C609" s="799"/>
      <c r="D609" s="801"/>
      <c r="E609" s="78"/>
      <c r="F609" s="251"/>
      <c r="G609" s="601"/>
      <c r="H609" s="83"/>
      <c r="I609" s="60"/>
      <c r="J609" s="602"/>
      <c r="K609" s="53"/>
      <c r="L609" s="302"/>
      <c r="M609" s="60"/>
      <c r="N609" s="53"/>
      <c r="O609" s="53"/>
      <c r="P609" s="261"/>
      <c r="Q609" s="603">
        <f>база!$L$5</f>
        <v>231.45480000000001</v>
      </c>
      <c r="R609" s="251">
        <v>1.4</v>
      </c>
      <c r="S609" s="94">
        <f>SUMIFS(Таблица1[сумма],Таблица1[коэф],"1,4",Таблица1[р/р],"4/16",Таблица1[Ф. И. О.],B605)</f>
        <v>0</v>
      </c>
      <c r="T609" s="83">
        <f>ROUND(Q609*R609*S609,2)</f>
        <v>0</v>
      </c>
      <c r="U609" s="99">
        <f>база!$M$5</f>
        <v>247.41720000000001</v>
      </c>
      <c r="V609" s="251">
        <v>1.4</v>
      </c>
      <c r="W609" s="94">
        <f>SUMIFS(Таблица1[сумма],Таблица1[коэф],"1,4",Таблица1[р/р],"4/24",Таблица1[Ф. И. О.],B605)</f>
        <v>0</v>
      </c>
      <c r="X609" s="83">
        <f>ROUND(U609*V609*W609,2)</f>
        <v>0</v>
      </c>
      <c r="Y609" s="792"/>
      <c r="Z609" s="794"/>
      <c r="AA609" s="797"/>
    </row>
    <row r="610" spans="1:29" ht="24" thickBot="1">
      <c r="A610" s="741"/>
      <c r="B610" s="329"/>
      <c r="C610" s="800"/>
      <c r="D610" s="802"/>
      <c r="E610" s="70"/>
      <c r="F610" s="254"/>
      <c r="G610" s="593"/>
      <c r="H610" s="87"/>
      <c r="I610" s="594"/>
      <c r="J610" s="567"/>
      <c r="K610" s="595"/>
      <c r="L610" s="305"/>
      <c r="M610" s="594"/>
      <c r="N610" s="595"/>
      <c r="O610" s="595"/>
      <c r="P610" s="268"/>
      <c r="Q610" s="596">
        <f>база!$L$6</f>
        <v>261.04640000000001</v>
      </c>
      <c r="R610" s="254">
        <v>1.4</v>
      </c>
      <c r="S610" s="93">
        <f>SUMIFS(Таблица1[сумма],Таблица1[коэф],"1,4",Таблица1[р/р],"5/16",Таблица1[Ф. И. О.],B605)</f>
        <v>0</v>
      </c>
      <c r="T610" s="87">
        <f>ROUND(Q610*R610*S610,2)</f>
        <v>0</v>
      </c>
      <c r="U610" s="77">
        <f>база!$M$6</f>
        <v>279.0496</v>
      </c>
      <c r="V610" s="254">
        <v>1.4</v>
      </c>
      <c r="W610" s="93">
        <f>SUMIFS(Таблица1[сумма],Таблица1[коэф],"1,4",Таблица1[р/р],"5/24",Таблица1[Ф. И. О.],B605)</f>
        <v>0</v>
      </c>
      <c r="X610" s="87">
        <f>ROUND(U610*V610*W610,2)</f>
        <v>0</v>
      </c>
      <c r="Y610" s="793"/>
      <c r="Z610" s="795"/>
      <c r="AA610" s="798"/>
    </row>
    <row r="611" spans="1:29" ht="20.25" customHeight="1">
      <c r="A611" s="739">
        <v>56</v>
      </c>
      <c r="B611" s="591"/>
      <c r="C611" s="805">
        <f>INDEX(база!$E$2:$E$181, MATCH(B616,база!$B$2:$B$160,0))</f>
        <v>16311</v>
      </c>
      <c r="D611" s="806">
        <f>INDEX(база!$D$2:$D$189, MATCH(B616,база!$B$2:$B$160,0))</f>
        <v>3</v>
      </c>
      <c r="E611" s="68">
        <f>IF(D611&lt;=3,база!$I$4,
IF(D611=4,база!$I$5,
IF(D611=5,база!$I$6)))</f>
        <v>188.7912</v>
      </c>
      <c r="F611" s="249">
        <v>1</v>
      </c>
      <c r="G611" s="82">
        <f>SUMIFS(Таблица1[сумма],Таблица1[коэф],"1",Таблица1[р/р],"2/4",Таблица1[Ф. И. О.],B616)</f>
        <v>0</v>
      </c>
      <c r="H611" s="96">
        <f>ROUND(E611*F611*G611,2)</f>
        <v>0</v>
      </c>
      <c r="I611" s="22">
        <f>IF(D611&lt;=3,база!$J$4,
IF(D611=4,база!$J$5,
IF(D611=5,база!$J$6)))</f>
        <v>196.05240000000001</v>
      </c>
      <c r="J611" s="256">
        <v>1</v>
      </c>
      <c r="K611" s="20">
        <f>SUMIFS(Таблица1[сумма],Таблица1[коэф],"1",Таблица1[р/р],"2/8",Таблица1[Ф. И. О.],B616)</f>
        <v>0</v>
      </c>
      <c r="L611" s="287">
        <f>ROUND(I611*J611*K611,2)</f>
        <v>0</v>
      </c>
      <c r="M611" s="22"/>
      <c r="N611" s="20">
        <v>1</v>
      </c>
      <c r="O611" s="20">
        <f>SUMIFS(Data_Tech!$AM$3:$AM$67,Data_Tech!$E$3:$E$67,"1",Data_Tech!$G$3:$G$67,"3/12",Data_Tech!$F$3:$F$67,B616)</f>
        <v>0</v>
      </c>
      <c r="P611" s="260">
        <f>ROUND(M611*N611*O611,2)</f>
        <v>0</v>
      </c>
      <c r="Q611" s="592">
        <f>IF(D611&lt;=3,база!$L$4,
IF(D611=4,база!$L$5,
IF(D611=5,база!$L$6)))</f>
        <v>210.57480000000001</v>
      </c>
      <c r="R611" s="249">
        <v>1</v>
      </c>
      <c r="S611" s="90">
        <f>SUMIFS(Таблица1[сумма],Таблица1[коэф],"1",Таблица1[р/р],"3/16",Таблица1[Ф. И. О.],B616)</f>
        <v>0</v>
      </c>
      <c r="T611" s="96">
        <f t="shared" ref="T611:T615" si="377">ROUND(Q611*R611*S611,2)</f>
        <v>0</v>
      </c>
      <c r="U611" s="75">
        <f>IF(D611&lt;=3,база!$M$4,
IF(D611=4,база!$M$5,
IF(D611=5,база!$M$6)))</f>
        <v>225.09719999999999</v>
      </c>
      <c r="V611" s="249">
        <v>1</v>
      </c>
      <c r="W611" s="90">
        <f>SUMIFS(Таблица1[сумма],Таблица1[коэф],"1",Таблица1[р/р],"3/24",Таблица1[Ф. И. О.],B616)</f>
        <v>0</v>
      </c>
      <c r="X611" s="96">
        <f>ROUND(U611*V611*W611,2)</f>
        <v>0</v>
      </c>
      <c r="Y611" s="791">
        <f t="shared" ref="Y611" si="378">SUM(G611:G621,K611:K621,O611:O621,S611:S621,W611:W621)</f>
        <v>0</v>
      </c>
      <c r="Z611" s="807">
        <f t="shared" ref="Z611" si="379">IFERROR(SUM(H611:H621,L611:L621,T611:T621,X611:X621),"")</f>
        <v>0</v>
      </c>
      <c r="AA611" s="796"/>
    </row>
    <row r="612" spans="1:29">
      <c r="A612" s="740"/>
      <c r="B612" s="591"/>
      <c r="C612" s="799"/>
      <c r="D612" s="801"/>
      <c r="E612" s="68">
        <f>IF(D611&lt;=3,база!$I$4,
IF(D611=4,база!$I$5,
IF(D611=5,база!$I$6)))</f>
        <v>188.7912</v>
      </c>
      <c r="F612" s="249">
        <v>1</v>
      </c>
      <c r="G612" s="82">
        <f>SUMIFS(Таблица1[сумма],Таблица1[коэф],"1",Таблица1[р/р],"3/4",Таблица1[Ф. И. О.],B616)</f>
        <v>0</v>
      </c>
      <c r="H612" s="96">
        <f>ROUND(E612*F612*G612,2)</f>
        <v>0</v>
      </c>
      <c r="I612" s="22">
        <f>IF(D611&lt;=3,база!$J$4,
IF(D611=4,база!$J$5,
IF(D611=5,база!$J$6)))</f>
        <v>196.05240000000001</v>
      </c>
      <c r="J612" s="256">
        <v>1</v>
      </c>
      <c r="K612" s="20"/>
      <c r="L612" s="287">
        <f>ROUND(I612*J612*K612,2)</f>
        <v>0</v>
      </c>
      <c r="M612" s="22"/>
      <c r="N612" s="20">
        <v>1</v>
      </c>
      <c r="O612" s="20">
        <f>SUMIFS(Data_Tech!$AM$3:$AM$67,Data_Tech!$E$3:$E$67,"1",Data_Tech!$G$3:$G$67,"4/12",Data_Tech!$F$3:$F$67,B616)</f>
        <v>0</v>
      </c>
      <c r="P612" s="260">
        <f>ROUND(M612*O612,2)</f>
        <v>0</v>
      </c>
      <c r="Q612" s="592">
        <f>база!$L$5</f>
        <v>231.45480000000001</v>
      </c>
      <c r="R612" s="249">
        <v>1</v>
      </c>
      <c r="S612" s="90">
        <f>SUMIFS(Таблица1[сумма],Таблица1[коэф],"1",Таблица1[р/р],"4/16",Таблица1[Ф. И. О.],B616)</f>
        <v>0</v>
      </c>
      <c r="T612" s="96">
        <f t="shared" si="377"/>
        <v>0</v>
      </c>
      <c r="U612" s="75">
        <f>база!$M$5</f>
        <v>247.41720000000001</v>
      </c>
      <c r="V612" s="249">
        <v>1</v>
      </c>
      <c r="W612" s="90">
        <f>SUMIFS(Таблица1[сумма],Таблица1[коэф],"1",Таблица1[р/р],"4/24",Таблица1[Ф. И. О.],B616)</f>
        <v>0</v>
      </c>
      <c r="X612" s="96">
        <f t="shared" ref="X612" si="380">ROUND(U612*V612*W612,2)</f>
        <v>0</v>
      </c>
      <c r="Y612" s="792"/>
      <c r="Z612" s="794"/>
      <c r="AA612" s="797"/>
    </row>
    <row r="613" spans="1:29">
      <c r="A613" s="740"/>
      <c r="B613" s="591"/>
      <c r="C613" s="799"/>
      <c r="D613" s="801"/>
      <c r="E613" s="68"/>
      <c r="F613" s="249"/>
      <c r="G613" s="82"/>
      <c r="H613" s="96"/>
      <c r="I613" s="22"/>
      <c r="J613" s="256"/>
      <c r="K613" s="20"/>
      <c r="L613" s="287"/>
      <c r="M613" s="22"/>
      <c r="N613" s="20"/>
      <c r="O613" s="20"/>
      <c r="P613" s="260"/>
      <c r="Q613" s="592">
        <f>база!$L$6</f>
        <v>261.04640000000001</v>
      </c>
      <c r="R613" s="249">
        <v>1</v>
      </c>
      <c r="S613" s="90">
        <f>SUMIFS(Таблица1[сумма],Таблица1[коэф],"1",Таблица1[р/р],"5/16",Таблица1[Ф. И. О.],B616)</f>
        <v>0</v>
      </c>
      <c r="T613" s="96">
        <f t="shared" si="377"/>
        <v>0</v>
      </c>
      <c r="U613" s="75">
        <f>база!$M$6</f>
        <v>279.0496</v>
      </c>
      <c r="V613" s="249">
        <v>1</v>
      </c>
      <c r="W613" s="90">
        <f>SUMIFS(Таблица1[сумма],Таблица1[коэф],"1",Таблица1[р/р],"5/24",Таблица1[Ф. И. О.],B616)</f>
        <v>0</v>
      </c>
      <c r="X613" s="96">
        <f>ROUND(U613*V613*W613,2)</f>
        <v>0</v>
      </c>
      <c r="Y613" s="792"/>
      <c r="Z613" s="794"/>
      <c r="AA613" s="797"/>
    </row>
    <row r="614" spans="1:29">
      <c r="A614" s="740"/>
      <c r="B614" s="591"/>
      <c r="C614" s="799"/>
      <c r="D614" s="801"/>
      <c r="E614" s="68"/>
      <c r="F614" s="249"/>
      <c r="G614" s="82"/>
      <c r="H614" s="96"/>
      <c r="I614" s="22">
        <f>база!$J$5</f>
        <v>215.4924</v>
      </c>
      <c r="J614" s="256">
        <v>1.5</v>
      </c>
      <c r="K614" s="20">
        <f>SUMIFS(Таблица1[сумма],Таблица1[коэф],"1,5",Таблица1[р/р],"4/8",Таблица1[Ф. И. О.],B616)</f>
        <v>0</v>
      </c>
      <c r="L614" s="287">
        <f>ROUND(I614*J614*K614,2)</f>
        <v>0</v>
      </c>
      <c r="M614" s="22"/>
      <c r="N614" s="20"/>
      <c r="O614" s="20"/>
      <c r="P614" s="260"/>
      <c r="Q614" s="592">
        <f>IF(D611&lt;=3,база!$L$4,
IF(D611=4,база!$L$5,
IF(D611=5,база!$L$6)))</f>
        <v>210.57480000000001</v>
      </c>
      <c r="R614" s="249">
        <v>1.2</v>
      </c>
      <c r="S614" s="90">
        <f>SUMIFS(Таблица1[сумма],Таблица1[коэф],"1,2",Таблица1[р/р],"3/16",Таблица1[Ф. И. О.],B616)</f>
        <v>0</v>
      </c>
      <c r="T614" s="96">
        <f t="shared" si="377"/>
        <v>0</v>
      </c>
      <c r="U614" s="75">
        <f>IF(D611&lt;=3,база!$M$4,
IF(D611=4,база!$M$5,
IF(D611=5,база!$M$6)))</f>
        <v>225.09719999999999</v>
      </c>
      <c r="V614" s="249">
        <v>1.2</v>
      </c>
      <c r="W614" s="90">
        <f>SUMIFS(Таблица1[сумма],Таблица1[коэф],"1,2",Таблица1[р/р],"3/24",Таблица1[Ф. И. О.],B616)</f>
        <v>0</v>
      </c>
      <c r="X614" s="96">
        <f t="shared" ref="X614:X615" si="381">ROUND(U614*V614*W614,2)</f>
        <v>0</v>
      </c>
      <c r="Y614" s="792"/>
      <c r="Z614" s="794"/>
      <c r="AA614" s="797"/>
    </row>
    <row r="615" spans="1:29">
      <c r="A615" s="740"/>
      <c r="B615" s="591"/>
      <c r="C615" s="799"/>
      <c r="D615" s="801"/>
      <c r="E615" s="68"/>
      <c r="F615" s="249"/>
      <c r="G615" s="82"/>
      <c r="H615" s="96"/>
      <c r="I615" s="22">
        <f>база!$J$6</f>
        <v>243.04319999999998</v>
      </c>
      <c r="J615" s="256">
        <v>1.5</v>
      </c>
      <c r="K615" s="20">
        <f>SUMIFS(Таблица1[сумма],Таблица1[коэф],"1,5",Таблица1[р/р],"5/8",Таблица1[Ф. И. О.],B616)</f>
        <v>0</v>
      </c>
      <c r="L615" s="287">
        <f>ROUND(I615*J615*K615,2)</f>
        <v>0</v>
      </c>
      <c r="M615" s="22"/>
      <c r="N615" s="20"/>
      <c r="O615" s="20"/>
      <c r="P615" s="260"/>
      <c r="Q615" s="592">
        <f>база!$L$5</f>
        <v>231.45480000000001</v>
      </c>
      <c r="R615" s="249">
        <v>1.2</v>
      </c>
      <c r="S615" s="90">
        <f>SUMIFS(Таблица1[сумма],Таблица1[коэф],"1,2",Таблица1[р/р],"4/16",Таблица1[Ф. И. О.],B616)</f>
        <v>0</v>
      </c>
      <c r="T615" s="96">
        <f t="shared" si="377"/>
        <v>0</v>
      </c>
      <c r="U615" s="75">
        <f>база!$M$5</f>
        <v>247.41720000000001</v>
      </c>
      <c r="V615" s="249">
        <v>1.2</v>
      </c>
      <c r="W615" s="90">
        <f>SUMIFS(Таблица1[сумма],Таблица1[коэф],"1,2",Таблица1[р/р],"4/24",Таблица1[Ф. И. О.],B616)</f>
        <v>0</v>
      </c>
      <c r="X615" s="96">
        <f t="shared" si="381"/>
        <v>0</v>
      </c>
      <c r="Y615" s="792"/>
      <c r="Z615" s="794"/>
      <c r="AA615" s="797"/>
      <c r="AC615" s="688" t="str">
        <f>IF(SUMIFS(Таблица1[Столбец2],Таблица1[Ф. И. О.],B616)-Z611=0,"",SUMIFS(Таблица1[Столбец2],Таблица1[Ф. И. О.],B616)-Z611)</f>
        <v/>
      </c>
    </row>
    <row r="616" spans="1:29">
      <c r="A616" s="740"/>
      <c r="B616" s="591" t="str">
        <f>база!B57</f>
        <v>Оленева Анна Викторовна</v>
      </c>
      <c r="C616" s="799"/>
      <c r="D616" s="801"/>
      <c r="E616" s="68"/>
      <c r="F616" s="249"/>
      <c r="G616" s="82"/>
      <c r="H616" s="96"/>
      <c r="I616" s="22"/>
      <c r="J616" s="256"/>
      <c r="K616" s="20"/>
      <c r="L616" s="287"/>
      <c r="M616" s="22"/>
      <c r="N616" s="20"/>
      <c r="O616" s="20"/>
      <c r="P616" s="260"/>
      <c r="Q616" s="592">
        <f>база!$L$6</f>
        <v>261.04640000000001</v>
      </c>
      <c r="R616" s="249">
        <v>1.2</v>
      </c>
      <c r="S616" s="90">
        <f>SUMIFS(Таблица1[сумма],Таблица1[коэф],"1,2",Таблица1[р/р],"5/16",Таблица1[Ф. И. О.],B616)</f>
        <v>0</v>
      </c>
      <c r="T616" s="96">
        <f>ROUND(Q616*R616*S616,2)</f>
        <v>0</v>
      </c>
      <c r="U616" s="75">
        <f>база!$M$6</f>
        <v>279.0496</v>
      </c>
      <c r="V616" s="249">
        <v>1.2</v>
      </c>
      <c r="W616" s="90">
        <f>SUMIFS(Таблица1[сумма],Таблица1[коэф],"1,2",Таблица1[р/р],"5/24",Таблица1[Ф. И. О.],B616)</f>
        <v>0</v>
      </c>
      <c r="X616" s="96">
        <f>ROUND(U616*V616*W616,2)</f>
        <v>0</v>
      </c>
      <c r="Y616" s="792"/>
      <c r="Z616" s="794"/>
      <c r="AA616" s="797"/>
      <c r="AC616" s="688" t="str">
        <f>IF(SUMIFS(Таблица1[сумма],Таблица1[Ф. И. О.],B616)=Y611,"",B611&amp;"  часы не верны")</f>
        <v/>
      </c>
    </row>
    <row r="617" spans="1:29">
      <c r="A617" s="740"/>
      <c r="B617" s="591"/>
      <c r="C617" s="799"/>
      <c r="D617" s="801"/>
      <c r="E617" s="68"/>
      <c r="F617" s="249"/>
      <c r="G617" s="82"/>
      <c r="H617" s="96"/>
      <c r="I617" s="22"/>
      <c r="J617" s="256"/>
      <c r="K617" s="20"/>
      <c r="L617" s="287"/>
      <c r="M617" s="22"/>
      <c r="N617" s="20"/>
      <c r="O617" s="20"/>
      <c r="P617" s="260"/>
      <c r="Q617" s="592">
        <f>IF($D$6&lt;=3,база!$L$4,
IF($D$6=4,база!$L$5,
IF($D$6=5,база!$L$6)))</f>
        <v>231.45480000000001</v>
      </c>
      <c r="R617" s="249">
        <v>1.3</v>
      </c>
      <c r="S617" s="90">
        <f>SUMIFS(Таблица1[сумма],Таблица1[коэф],"1,3",Таблица1[р/р],"3/16",Таблица1[Ф. И. О.],B616)</f>
        <v>0</v>
      </c>
      <c r="T617" s="96">
        <f t="shared" ref="T617:T618" si="382">ROUND(Q617*R617*S617,2)</f>
        <v>0</v>
      </c>
      <c r="U617" s="75">
        <f>IF(D611&lt;=3,база!$M$4,
IF(D611=4,база!$M$5,
IF(D611=5,база!$M$6)))</f>
        <v>225.09719999999999</v>
      </c>
      <c r="V617" s="249">
        <v>1.3</v>
      </c>
      <c r="W617" s="90">
        <f>SUMIFS(Таблица1[сумма],Таблица1[коэф],"1,3",Таблица1[р/р],"3/24",Таблица1[Ф. И. О.],B616)</f>
        <v>0</v>
      </c>
      <c r="X617" s="96">
        <f t="shared" ref="X617:X618" si="383">ROUND(U617*V617*W617,2)</f>
        <v>0</v>
      </c>
      <c r="Y617" s="792"/>
      <c r="Z617" s="794"/>
      <c r="AA617" s="797"/>
    </row>
    <row r="618" spans="1:29">
      <c r="A618" s="740"/>
      <c r="B618" s="591"/>
      <c r="C618" s="799"/>
      <c r="D618" s="801"/>
      <c r="E618" s="68"/>
      <c r="F618" s="249"/>
      <c r="G618" s="82"/>
      <c r="H618" s="96"/>
      <c r="I618" s="22"/>
      <c r="J618" s="256"/>
      <c r="K618" s="20"/>
      <c r="L618" s="287"/>
      <c r="M618" s="22"/>
      <c r="N618" s="20"/>
      <c r="O618" s="20"/>
      <c r="P618" s="260"/>
      <c r="Q618" s="592">
        <f>база!$L$5</f>
        <v>231.45480000000001</v>
      </c>
      <c r="R618" s="249">
        <v>1.3</v>
      </c>
      <c r="S618" s="90">
        <f>SUMIFS(Таблица1[сумма],Таблица1[коэф],"1,3",Таблица1[р/р],"4/16",Таблица1[Ф. И. О.],B616)</f>
        <v>0</v>
      </c>
      <c r="T618" s="96">
        <f t="shared" si="382"/>
        <v>0</v>
      </c>
      <c r="U618" s="75">
        <f>база!$M$5</f>
        <v>247.41720000000001</v>
      </c>
      <c r="V618" s="249">
        <v>1.3</v>
      </c>
      <c r="W618" s="90">
        <f>SUMIFS(Таблица1[сумма],Таблица1[коэф],"1,3",Таблица1[р/р],"4/24",Таблица1[Ф. И. О.],B616)</f>
        <v>0</v>
      </c>
      <c r="X618" s="96">
        <f t="shared" si="383"/>
        <v>0</v>
      </c>
      <c r="Y618" s="792"/>
      <c r="Z618" s="794"/>
      <c r="AA618" s="797"/>
    </row>
    <row r="619" spans="1:29">
      <c r="A619" s="740"/>
      <c r="B619" s="591"/>
      <c r="C619" s="799"/>
      <c r="D619" s="801"/>
      <c r="E619" s="68"/>
      <c r="F619" s="249"/>
      <c r="G619" s="82"/>
      <c r="H619" s="96"/>
      <c r="I619" s="22"/>
      <c r="J619" s="256"/>
      <c r="K619" s="20"/>
      <c r="L619" s="287"/>
      <c r="M619" s="22"/>
      <c r="N619" s="20"/>
      <c r="O619" s="20"/>
      <c r="P619" s="260"/>
      <c r="Q619" s="592">
        <f>IF(D611&lt;=3,база!$L$4,
IF(D611=4,база!$L$5,
IF(D611=5,база!$L$6)))</f>
        <v>210.57480000000001</v>
      </c>
      <c r="R619" s="249">
        <v>1.4</v>
      </c>
      <c r="S619" s="90">
        <f>SUMIFS(Таблица1[сумма],Таблица1[коэф],"1,4",Таблица1[р/р],"3/16",Таблица1[Ф. И. О.],B616)</f>
        <v>0</v>
      </c>
      <c r="T619" s="96">
        <f>ROUND(Q619*R619*S619,2)</f>
        <v>0</v>
      </c>
      <c r="U619" s="75">
        <f>IF(D611&lt;=3,база!$M$4,
IF(D611=4,база!$M$5,
IF(D611=5,база!$M$6)))</f>
        <v>225.09719999999999</v>
      </c>
      <c r="V619" s="249">
        <v>1.4</v>
      </c>
      <c r="W619" s="90">
        <f>SUMIFS(Таблица1[сумма],Таблица1[коэф],"1,4",Таблица1[р/р],"3/24",Таблица1[Ф. И. О.],B616)</f>
        <v>0</v>
      </c>
      <c r="X619" s="96">
        <f>ROUND(U619*V619*W619,2)</f>
        <v>0</v>
      </c>
      <c r="Y619" s="792"/>
      <c r="Z619" s="794"/>
      <c r="AA619" s="797"/>
    </row>
    <row r="620" spans="1:29">
      <c r="A620" s="740"/>
      <c r="B620" s="591"/>
      <c r="C620" s="799"/>
      <c r="D620" s="801"/>
      <c r="E620" s="78"/>
      <c r="F620" s="251"/>
      <c r="G620" s="601"/>
      <c r="H620" s="83"/>
      <c r="I620" s="60"/>
      <c r="J620" s="602"/>
      <c r="K620" s="53"/>
      <c r="L620" s="302"/>
      <c r="M620" s="60"/>
      <c r="N620" s="53"/>
      <c r="O620" s="53"/>
      <c r="P620" s="261"/>
      <c r="Q620" s="603">
        <f>база!$L$5</f>
        <v>231.45480000000001</v>
      </c>
      <c r="R620" s="251">
        <v>1.4</v>
      </c>
      <c r="S620" s="94">
        <f>SUMIFS(Таблица1[сумма],Таблица1[коэф],"1,4",Таблица1[р/р],"4/16",Таблица1[Ф. И. О.],B616)</f>
        <v>0</v>
      </c>
      <c r="T620" s="83">
        <f>ROUND(Q620*R620*S620,2)</f>
        <v>0</v>
      </c>
      <c r="U620" s="99">
        <f>база!$M$5</f>
        <v>247.41720000000001</v>
      </c>
      <c r="V620" s="251">
        <v>1.4</v>
      </c>
      <c r="W620" s="94">
        <f>SUMIFS(Таблица1[сумма],Таблица1[коэф],"1,4",Таблица1[р/р],"4/24",Таблица1[Ф. И. О.],B616)</f>
        <v>0</v>
      </c>
      <c r="X620" s="83">
        <f>ROUND(U620*V620*W620,2)</f>
        <v>0</v>
      </c>
      <c r="Y620" s="792"/>
      <c r="Z620" s="794"/>
      <c r="AA620" s="797"/>
    </row>
    <row r="621" spans="1:29" ht="24" thickBot="1">
      <c r="A621" s="741"/>
      <c r="B621" s="329"/>
      <c r="C621" s="800"/>
      <c r="D621" s="802"/>
      <c r="E621" s="70"/>
      <c r="F621" s="254"/>
      <c r="G621" s="593"/>
      <c r="H621" s="87"/>
      <c r="I621" s="594"/>
      <c r="J621" s="567"/>
      <c r="K621" s="595"/>
      <c r="L621" s="305"/>
      <c r="M621" s="594"/>
      <c r="N621" s="595"/>
      <c r="O621" s="595"/>
      <c r="P621" s="268"/>
      <c r="Q621" s="596">
        <f>база!$L$6</f>
        <v>261.04640000000001</v>
      </c>
      <c r="R621" s="254">
        <v>1.4</v>
      </c>
      <c r="S621" s="93">
        <f>SUMIFS(Таблица1[сумма],Таблица1[коэф],"1,4",Таблица1[р/р],"5/16",Таблица1[Ф. И. О.],B616)</f>
        <v>0</v>
      </c>
      <c r="T621" s="87">
        <f>ROUND(Q621*R621*S621,2)</f>
        <v>0</v>
      </c>
      <c r="U621" s="77">
        <f>база!$M$6</f>
        <v>279.0496</v>
      </c>
      <c r="V621" s="254">
        <v>1.4</v>
      </c>
      <c r="W621" s="93">
        <f>SUMIFS(Таблица1[сумма],Таблица1[коэф],"1,4",Таблица1[р/р],"5/24",Таблица1[Ф. И. О.],B616)</f>
        <v>0</v>
      </c>
      <c r="X621" s="87">
        <f>ROUND(U621*V621*W621,2)</f>
        <v>0</v>
      </c>
      <c r="Y621" s="793"/>
      <c r="Z621" s="795"/>
      <c r="AA621" s="798"/>
    </row>
    <row r="622" spans="1:29" ht="20.25" customHeight="1">
      <c r="A622" s="739">
        <v>57</v>
      </c>
      <c r="B622" s="591"/>
      <c r="C622" s="805">
        <f>INDEX(база!$E$2:$E$181, MATCH(B627,база!$B$2:$B$160,0))</f>
        <v>15556</v>
      </c>
      <c r="D622" s="806">
        <f>INDEX(база!$D$2:$D$189, MATCH(B627,база!$B$2:$B$160,0))</f>
        <v>3</v>
      </c>
      <c r="E622" s="68">
        <f>IF(D622&lt;=3,база!$I$4,
IF(D622=4,база!$I$5,
IF(D622=5,база!$I$6)))</f>
        <v>188.7912</v>
      </c>
      <c r="F622" s="249">
        <v>1</v>
      </c>
      <c r="G622" s="82">
        <f>SUMIFS(Таблица1[сумма],Таблица1[коэф],"1",Таблица1[р/р],"2/4",Таблица1[Ф. И. О.],B627)</f>
        <v>0</v>
      </c>
      <c r="H622" s="96">
        <f>ROUND(E622*F622*G622,2)</f>
        <v>0</v>
      </c>
      <c r="I622" s="22">
        <f>IF(D622&lt;=3,база!$J$4,
IF(D622=4,база!$J$5,
IF(D622=5,база!$J$6)))</f>
        <v>196.05240000000001</v>
      </c>
      <c r="J622" s="256">
        <v>1</v>
      </c>
      <c r="K622" s="20">
        <f>SUMIFS(Таблица1[сумма],Таблица1[коэф],"1",Таблица1[р/р],"2/8",Таблица1[Ф. И. О.],B627)</f>
        <v>0</v>
      </c>
      <c r="L622" s="287">
        <f>ROUND(I622*J622*K622,2)</f>
        <v>0</v>
      </c>
      <c r="M622" s="22"/>
      <c r="N622" s="20">
        <v>1</v>
      </c>
      <c r="O622" s="20">
        <f>SUMIFS(Data_Tech!$AM$3:$AM$67,Data_Tech!$E$3:$E$67,"1",Data_Tech!$G$3:$G$67,"3/12",Data_Tech!$F$3:$F$67,B627)</f>
        <v>0</v>
      </c>
      <c r="P622" s="260">
        <f>ROUND(M622*N622*O622,2)</f>
        <v>0</v>
      </c>
      <c r="Q622" s="592">
        <f>IF(D622&lt;=3,база!$L$4,
IF(D622=4,база!$L$5,
IF(D622=5,база!$L$6)))</f>
        <v>210.57480000000001</v>
      </c>
      <c r="R622" s="249">
        <v>1</v>
      </c>
      <c r="S622" s="90">
        <f>SUMIFS(Таблица1[сумма],Таблица1[коэф],"1",Таблица1[р/р],"3/16",Таблица1[Ф. И. О.],B627)</f>
        <v>0</v>
      </c>
      <c r="T622" s="96">
        <f t="shared" ref="T622:T626" si="384">ROUND(Q622*R622*S622,2)</f>
        <v>0</v>
      </c>
      <c r="U622" s="75">
        <f>IF(D622&lt;=3,база!$M$4,
IF(D622=4,база!$M$5,
IF(D622=5,база!$M$6)))</f>
        <v>225.09719999999999</v>
      </c>
      <c r="V622" s="249">
        <v>1</v>
      </c>
      <c r="W622" s="90">
        <f>SUMIFS(Таблица1[сумма],Таблица1[коэф],"1",Таблица1[р/р],"3/24",Таблица1[Ф. И. О.],B627)</f>
        <v>0</v>
      </c>
      <c r="X622" s="96">
        <f>ROUND(U622*V622*W622,2)</f>
        <v>0</v>
      </c>
      <c r="Y622" s="791">
        <f t="shared" ref="Y622" si="385">SUM(G622:G632,K622:K632,O622:O632,S622:S632,W622:W632)</f>
        <v>0</v>
      </c>
      <c r="Z622" s="807">
        <f t="shared" ref="Z622" si="386">IFERROR(SUM(H622:H632,L622:L632,T622:T632,X622:X632),"")</f>
        <v>0</v>
      </c>
      <c r="AA622" s="796"/>
    </row>
    <row r="623" spans="1:29">
      <c r="A623" s="740"/>
      <c r="B623" s="591"/>
      <c r="C623" s="799"/>
      <c r="D623" s="801"/>
      <c r="E623" s="68">
        <f>IF(D622&lt;=3,база!$I$4,
IF(D622=4,база!$I$5,
IF(D622=5,база!$I$6)))</f>
        <v>188.7912</v>
      </c>
      <c r="F623" s="249">
        <v>1</v>
      </c>
      <c r="G623" s="82">
        <f>SUMIFS(Таблица1[сумма],Таблица1[коэф],"1",Таблица1[р/р],"3/4",Таблица1[Ф. И. О.],B627)</f>
        <v>0</v>
      </c>
      <c r="H623" s="96">
        <f>ROUND(E623*F623*G623,2)</f>
        <v>0</v>
      </c>
      <c r="I623" s="22">
        <f>IF(D622&lt;=3,база!$J$4,
IF(D622=4,база!$J$5,
IF(D622=5,база!$J$6)))</f>
        <v>196.05240000000001</v>
      </c>
      <c r="J623" s="256">
        <v>1</v>
      </c>
      <c r="K623" s="20"/>
      <c r="L623" s="287">
        <f>ROUND(I623*J623*K623,2)</f>
        <v>0</v>
      </c>
      <c r="M623" s="22"/>
      <c r="N623" s="20">
        <v>1</v>
      </c>
      <c r="O623" s="20">
        <f>SUMIFS(Data_Tech!$AM$3:$AM$67,Data_Tech!$E$3:$E$67,"1",Data_Tech!$G$3:$G$67,"4/12",Data_Tech!$F$3:$F$67,B627)</f>
        <v>0</v>
      </c>
      <c r="P623" s="260">
        <f>ROUND(M623*O623,2)</f>
        <v>0</v>
      </c>
      <c r="Q623" s="592">
        <f>база!$L$5</f>
        <v>231.45480000000001</v>
      </c>
      <c r="R623" s="249">
        <v>1</v>
      </c>
      <c r="S623" s="90">
        <f>SUMIFS(Таблица1[сумма],Таблица1[коэф],"1",Таблица1[р/р],"4/16",Таблица1[Ф. И. О.],B627)</f>
        <v>0</v>
      </c>
      <c r="T623" s="96">
        <f t="shared" si="384"/>
        <v>0</v>
      </c>
      <c r="U623" s="75">
        <f>база!$M$5</f>
        <v>247.41720000000001</v>
      </c>
      <c r="V623" s="249">
        <v>1</v>
      </c>
      <c r="W623" s="90">
        <f>SUMIFS(Таблица1[сумма],Таблица1[коэф],"1",Таблица1[р/р],"4/24",Таблица1[Ф. И. О.],B627)</f>
        <v>0</v>
      </c>
      <c r="X623" s="96">
        <f t="shared" ref="X623" si="387">ROUND(U623*V623*W623,2)</f>
        <v>0</v>
      </c>
      <c r="Y623" s="792"/>
      <c r="Z623" s="794"/>
      <c r="AA623" s="797"/>
    </row>
    <row r="624" spans="1:29">
      <c r="A624" s="740"/>
      <c r="B624" s="591"/>
      <c r="C624" s="799"/>
      <c r="D624" s="801"/>
      <c r="E624" s="68"/>
      <c r="F624" s="249"/>
      <c r="G624" s="82"/>
      <c r="H624" s="96"/>
      <c r="I624" s="22"/>
      <c r="J624" s="256"/>
      <c r="K624" s="20"/>
      <c r="L624" s="287"/>
      <c r="M624" s="22"/>
      <c r="N624" s="20"/>
      <c r="O624" s="20"/>
      <c r="P624" s="260"/>
      <c r="Q624" s="592">
        <f>база!$L$6</f>
        <v>261.04640000000001</v>
      </c>
      <c r="R624" s="249">
        <v>1</v>
      </c>
      <c r="S624" s="90">
        <f>SUMIFS(Таблица1[сумма],Таблица1[коэф],"1",Таблица1[р/р],"5/16",Таблица1[Ф. И. О.],B627)</f>
        <v>0</v>
      </c>
      <c r="T624" s="96">
        <f t="shared" si="384"/>
        <v>0</v>
      </c>
      <c r="U624" s="75">
        <f>база!$M$6</f>
        <v>279.0496</v>
      </c>
      <c r="V624" s="249">
        <v>1</v>
      </c>
      <c r="W624" s="90">
        <f>SUMIFS(Таблица1[сумма],Таблица1[коэф],"1",Таблица1[р/р],"5/24",Таблица1[Ф. И. О.],B627)</f>
        <v>0</v>
      </c>
      <c r="X624" s="96">
        <f>ROUND(U624*V624*W624,2)</f>
        <v>0</v>
      </c>
      <c r="Y624" s="792"/>
      <c r="Z624" s="794"/>
      <c r="AA624" s="797"/>
    </row>
    <row r="625" spans="1:29">
      <c r="A625" s="740"/>
      <c r="B625" s="591"/>
      <c r="C625" s="799"/>
      <c r="D625" s="801"/>
      <c r="E625" s="68"/>
      <c r="F625" s="249"/>
      <c r="G625" s="82"/>
      <c r="H625" s="96"/>
      <c r="I625" s="22">
        <f>база!$J$5</f>
        <v>215.4924</v>
      </c>
      <c r="J625" s="256">
        <v>1.5</v>
      </c>
      <c r="K625" s="20">
        <f>SUMIFS(Таблица1[сумма],Таблица1[коэф],"1,5",Таблица1[р/р],"4/8",Таблица1[Ф. И. О.],B627)</f>
        <v>0</v>
      </c>
      <c r="L625" s="287">
        <f>ROUND(I625*J625*K625,2)</f>
        <v>0</v>
      </c>
      <c r="M625" s="22"/>
      <c r="N625" s="20"/>
      <c r="O625" s="20"/>
      <c r="P625" s="260"/>
      <c r="Q625" s="592">
        <f>IF(D622&lt;=3,база!$L$4,
IF(D622=4,база!$L$5,
IF(D622=5,база!$L$6)))</f>
        <v>210.57480000000001</v>
      </c>
      <c r="R625" s="249">
        <v>1.2</v>
      </c>
      <c r="S625" s="90">
        <f>SUMIFS(Таблица1[сумма],Таблица1[коэф],"1,2",Таблица1[р/р],"3/16",Таблица1[Ф. И. О.],B627)</f>
        <v>0</v>
      </c>
      <c r="T625" s="96">
        <f t="shared" si="384"/>
        <v>0</v>
      </c>
      <c r="U625" s="75">
        <f>IF(D622&lt;=3,база!$M$4,
IF(D622=4,база!$M$5,
IF(D622=5,база!$M$6)))</f>
        <v>225.09719999999999</v>
      </c>
      <c r="V625" s="249">
        <v>1.2</v>
      </c>
      <c r="W625" s="90">
        <f>SUMIFS(Таблица1[сумма],Таблица1[коэф],"1,2",Таблица1[р/р],"3/24",Таблица1[Ф. И. О.],B627)</f>
        <v>0</v>
      </c>
      <c r="X625" s="96">
        <f t="shared" ref="X625:X626" si="388">ROUND(U625*V625*W625,2)</f>
        <v>0</v>
      </c>
      <c r="Y625" s="792"/>
      <c r="Z625" s="794"/>
      <c r="AA625" s="797"/>
    </row>
    <row r="626" spans="1:29">
      <c r="A626" s="740"/>
      <c r="B626" s="591"/>
      <c r="C626" s="799"/>
      <c r="D626" s="801"/>
      <c r="E626" s="68"/>
      <c r="F626" s="249"/>
      <c r="G626" s="82"/>
      <c r="H626" s="96"/>
      <c r="I626" s="22">
        <f>база!$J$6</f>
        <v>243.04319999999998</v>
      </c>
      <c r="J626" s="256">
        <v>1.5</v>
      </c>
      <c r="K626" s="20">
        <f>SUMIFS(Таблица1[сумма],Таблица1[коэф],"1,5",Таблица1[р/р],"5/8",Таблица1[Ф. И. О.],B627)</f>
        <v>0</v>
      </c>
      <c r="L626" s="287">
        <f>ROUND(I626*J626*K626,2)</f>
        <v>0</v>
      </c>
      <c r="M626" s="22"/>
      <c r="N626" s="20"/>
      <c r="O626" s="20"/>
      <c r="P626" s="260"/>
      <c r="Q626" s="592">
        <f>база!$L$5</f>
        <v>231.45480000000001</v>
      </c>
      <c r="R626" s="249">
        <v>1.2</v>
      </c>
      <c r="S626" s="90">
        <f>SUMIFS(Таблица1[сумма],Таблица1[коэф],"1,2",Таблица1[р/р],"4/16",Таблица1[Ф. И. О.],B627)</f>
        <v>0</v>
      </c>
      <c r="T626" s="96">
        <f t="shared" si="384"/>
        <v>0</v>
      </c>
      <c r="U626" s="75">
        <f>база!$M$5</f>
        <v>247.41720000000001</v>
      </c>
      <c r="V626" s="249">
        <v>1.2</v>
      </c>
      <c r="W626" s="90">
        <f>SUMIFS(Таблица1[сумма],Таблица1[коэф],"1,2",Таблица1[р/р],"4/24",Таблица1[Ф. И. О.],B627)</f>
        <v>0</v>
      </c>
      <c r="X626" s="96">
        <f t="shared" si="388"/>
        <v>0</v>
      </c>
      <c r="Y626" s="792"/>
      <c r="Z626" s="794"/>
      <c r="AA626" s="797"/>
      <c r="AC626" s="688" t="str">
        <f>IF(SUMIFS(Таблица1[Столбец2],Таблица1[Ф. И. О.],B627)-Z622=0,"",SUMIFS(Таблица1[Столбец2],Таблица1[Ф. И. О.],B627)-Z622)</f>
        <v/>
      </c>
    </row>
    <row r="627" spans="1:29">
      <c r="A627" s="740"/>
      <c r="B627" s="591" t="str">
        <f>база!B58</f>
        <v>Петрова Анна Сергеевна</v>
      </c>
      <c r="C627" s="799"/>
      <c r="D627" s="801"/>
      <c r="E627" s="68"/>
      <c r="F627" s="249"/>
      <c r="G627" s="82"/>
      <c r="H627" s="96"/>
      <c r="I627" s="22"/>
      <c r="J627" s="256"/>
      <c r="K627" s="20"/>
      <c r="L627" s="287"/>
      <c r="M627" s="22"/>
      <c r="N627" s="20"/>
      <c r="O627" s="20"/>
      <c r="P627" s="260"/>
      <c r="Q627" s="592">
        <f>база!$L$6</f>
        <v>261.04640000000001</v>
      </c>
      <c r="R627" s="249">
        <v>1.2</v>
      </c>
      <c r="S627" s="90">
        <f>SUMIFS(Таблица1[сумма],Таблица1[коэф],"1,2",Таблица1[р/р],"5/16",Таблица1[Ф. И. О.],B627)</f>
        <v>0</v>
      </c>
      <c r="T627" s="96">
        <f>ROUND(Q627*R627*S627,2)</f>
        <v>0</v>
      </c>
      <c r="U627" s="75">
        <f>база!$M$6</f>
        <v>279.0496</v>
      </c>
      <c r="V627" s="249">
        <v>1.2</v>
      </c>
      <c r="W627" s="90">
        <f>SUMIFS(Таблица1[сумма],Таблица1[коэф],"1,2",Таблица1[р/р],"5/24",Таблица1[Ф. И. О.],B627)</f>
        <v>0</v>
      </c>
      <c r="X627" s="96">
        <f>ROUND(U627*V627*W627,2)</f>
        <v>0</v>
      </c>
      <c r="Y627" s="792"/>
      <c r="Z627" s="794"/>
      <c r="AA627" s="797"/>
      <c r="AC627" s="688" t="str">
        <f>IF(SUMIFS(Таблица1[сумма],Таблица1[Ф. И. О.],B627)=Y622,"",B622&amp;"  часы не верны")</f>
        <v/>
      </c>
    </row>
    <row r="628" spans="1:29">
      <c r="A628" s="740"/>
      <c r="B628" s="591"/>
      <c r="C628" s="799"/>
      <c r="D628" s="801"/>
      <c r="E628" s="68"/>
      <c r="F628" s="249"/>
      <c r="G628" s="82"/>
      <c r="H628" s="96"/>
      <c r="I628" s="22"/>
      <c r="J628" s="256"/>
      <c r="K628" s="20"/>
      <c r="L628" s="287"/>
      <c r="M628" s="22"/>
      <c r="N628" s="20"/>
      <c r="O628" s="20"/>
      <c r="P628" s="260"/>
      <c r="Q628" s="592">
        <f>IF($D$6&lt;=3,база!$L$4,
IF($D$6=4,база!$L$5,
IF($D$6=5,база!$L$6)))</f>
        <v>231.45480000000001</v>
      </c>
      <c r="R628" s="249">
        <v>1.3</v>
      </c>
      <c r="S628" s="90">
        <f>SUMIFS(Таблица1[сумма],Таблица1[коэф],"1,3",Таблица1[р/р],"3/16",Таблица1[Ф. И. О.],B627)</f>
        <v>0</v>
      </c>
      <c r="T628" s="96">
        <f t="shared" ref="T628:T629" si="389">ROUND(Q628*R628*S628,2)</f>
        <v>0</v>
      </c>
      <c r="U628" s="75">
        <f>IF(D622&lt;=3,база!$M$4,
IF(D622=4,база!$M$5,
IF(D622=5,база!$M$6)))</f>
        <v>225.09719999999999</v>
      </c>
      <c r="V628" s="249">
        <v>1.3</v>
      </c>
      <c r="W628" s="90">
        <f>SUMIFS(Таблица1[сумма],Таблица1[коэф],"1,3",Таблица1[р/р],"3/24",Таблица1[Ф. И. О.],B627)</f>
        <v>0</v>
      </c>
      <c r="X628" s="96">
        <f t="shared" ref="X628:X629" si="390">ROUND(U628*V628*W628,2)</f>
        <v>0</v>
      </c>
      <c r="Y628" s="792"/>
      <c r="Z628" s="794"/>
      <c r="AA628" s="797"/>
    </row>
    <row r="629" spans="1:29">
      <c r="A629" s="740"/>
      <c r="B629" s="591"/>
      <c r="C629" s="799"/>
      <c r="D629" s="801"/>
      <c r="E629" s="68"/>
      <c r="F629" s="249"/>
      <c r="G629" s="82"/>
      <c r="H629" s="96"/>
      <c r="I629" s="22"/>
      <c r="J629" s="256"/>
      <c r="K629" s="20"/>
      <c r="L629" s="287"/>
      <c r="M629" s="22"/>
      <c r="N629" s="20"/>
      <c r="O629" s="20"/>
      <c r="P629" s="260"/>
      <c r="Q629" s="592">
        <f>база!$L$5</f>
        <v>231.45480000000001</v>
      </c>
      <c r="R629" s="249">
        <v>1.3</v>
      </c>
      <c r="S629" s="90">
        <f>SUMIFS(Таблица1[сумма],Таблица1[коэф],"1,3",Таблица1[р/р],"4/16",Таблица1[Ф. И. О.],B627)</f>
        <v>0</v>
      </c>
      <c r="T629" s="96">
        <f t="shared" si="389"/>
        <v>0</v>
      </c>
      <c r="U629" s="75">
        <f>база!$M$5</f>
        <v>247.41720000000001</v>
      </c>
      <c r="V629" s="249">
        <v>1.3</v>
      </c>
      <c r="W629" s="90">
        <f>SUMIFS(Таблица1[сумма],Таблица1[коэф],"1,3",Таблица1[р/р],"4/24",Таблица1[Ф. И. О.],B627)</f>
        <v>0</v>
      </c>
      <c r="X629" s="96">
        <f t="shared" si="390"/>
        <v>0</v>
      </c>
      <c r="Y629" s="792"/>
      <c r="Z629" s="794"/>
      <c r="AA629" s="797"/>
    </row>
    <row r="630" spans="1:29">
      <c r="A630" s="740"/>
      <c r="B630" s="591"/>
      <c r="C630" s="799"/>
      <c r="D630" s="801"/>
      <c r="E630" s="68"/>
      <c r="F630" s="249"/>
      <c r="G630" s="82"/>
      <c r="H630" s="96"/>
      <c r="I630" s="22"/>
      <c r="J630" s="256"/>
      <c r="K630" s="20"/>
      <c r="L630" s="287"/>
      <c r="M630" s="22"/>
      <c r="N630" s="20"/>
      <c r="O630" s="20"/>
      <c r="P630" s="260"/>
      <c r="Q630" s="592">
        <f>IF(D622&lt;=3,база!$L$4,
IF(D622=4,база!$L$5,
IF(D622=5,база!$L$6)))</f>
        <v>210.57480000000001</v>
      </c>
      <c r="R630" s="249">
        <v>1.4</v>
      </c>
      <c r="S630" s="90">
        <f>SUMIFS(Таблица1[сумма],Таблица1[коэф],"1,4",Таблица1[р/р],"3/16",Таблица1[Ф. И. О.],B627)</f>
        <v>0</v>
      </c>
      <c r="T630" s="96">
        <f>ROUND(Q630*R630*S630,2)</f>
        <v>0</v>
      </c>
      <c r="U630" s="75">
        <f>IF(D622&lt;=3,база!$M$4,
IF(D622=4,база!$M$5,
IF(D622=5,база!$M$6)))</f>
        <v>225.09719999999999</v>
      </c>
      <c r="V630" s="249">
        <v>1.4</v>
      </c>
      <c r="W630" s="90">
        <f>SUMIFS(Таблица1[сумма],Таблица1[коэф],"1,4",Таблица1[р/р],"3/24",Таблица1[Ф. И. О.],B627)</f>
        <v>0</v>
      </c>
      <c r="X630" s="96">
        <f>ROUND(U630*V630*W630,2)</f>
        <v>0</v>
      </c>
      <c r="Y630" s="792"/>
      <c r="Z630" s="794"/>
      <c r="AA630" s="797"/>
    </row>
    <row r="631" spans="1:29">
      <c r="A631" s="740"/>
      <c r="B631" s="591"/>
      <c r="C631" s="799"/>
      <c r="D631" s="801"/>
      <c r="E631" s="78"/>
      <c r="F631" s="251"/>
      <c r="G631" s="601"/>
      <c r="H631" s="83"/>
      <c r="I631" s="60"/>
      <c r="J631" s="602"/>
      <c r="K631" s="53"/>
      <c r="L631" s="302"/>
      <c r="M631" s="60"/>
      <c r="N631" s="53"/>
      <c r="O631" s="53"/>
      <c r="P631" s="261"/>
      <c r="Q631" s="603">
        <f>база!$L$5</f>
        <v>231.45480000000001</v>
      </c>
      <c r="R631" s="251">
        <v>1.4</v>
      </c>
      <c r="S631" s="94">
        <f>SUMIFS(Таблица1[сумма],Таблица1[коэф],"1,4",Таблица1[р/р],"4/16",Таблица1[Ф. И. О.],B627)</f>
        <v>0</v>
      </c>
      <c r="T631" s="83">
        <f>ROUND(Q631*R631*S631,2)</f>
        <v>0</v>
      </c>
      <c r="U631" s="99">
        <f>база!$M$5</f>
        <v>247.41720000000001</v>
      </c>
      <c r="V631" s="251">
        <v>1.4</v>
      </c>
      <c r="W631" s="94">
        <f>SUMIFS(Таблица1[сумма],Таблица1[коэф],"1,4",Таблица1[р/р],"4/24",Таблица1[Ф. И. О.],B627)</f>
        <v>0</v>
      </c>
      <c r="X631" s="83">
        <f>ROUND(U631*V631*W631,2)</f>
        <v>0</v>
      </c>
      <c r="Y631" s="792"/>
      <c r="Z631" s="794"/>
      <c r="AA631" s="797"/>
    </row>
    <row r="632" spans="1:29" ht="24" thickBot="1">
      <c r="A632" s="741"/>
      <c r="B632" s="329"/>
      <c r="C632" s="800"/>
      <c r="D632" s="802"/>
      <c r="E632" s="70"/>
      <c r="F632" s="254"/>
      <c r="G632" s="593"/>
      <c r="H632" s="87"/>
      <c r="I632" s="594"/>
      <c r="J632" s="567"/>
      <c r="K632" s="595"/>
      <c r="L632" s="305"/>
      <c r="M632" s="594"/>
      <c r="N632" s="595"/>
      <c r="O632" s="595"/>
      <c r="P632" s="268"/>
      <c r="Q632" s="596">
        <f>база!$L$6</f>
        <v>261.04640000000001</v>
      </c>
      <c r="R632" s="254">
        <v>1.4</v>
      </c>
      <c r="S632" s="93">
        <f>SUMIFS(Таблица1[сумма],Таблица1[коэф],"1,4",Таблица1[р/р],"5/16",Таблица1[Ф. И. О.],B627)</f>
        <v>0</v>
      </c>
      <c r="T632" s="87">
        <f>ROUND(Q632*R632*S632,2)</f>
        <v>0</v>
      </c>
      <c r="U632" s="77">
        <f>база!$M$6</f>
        <v>279.0496</v>
      </c>
      <c r="V632" s="254">
        <v>1.4</v>
      </c>
      <c r="W632" s="93">
        <f>SUMIFS(Таблица1[сумма],Таблица1[коэф],"1,4",Таблица1[р/р],"5/24",Таблица1[Ф. И. О.],B627)</f>
        <v>0</v>
      </c>
      <c r="X632" s="87">
        <f>ROUND(U632*V632*W632,2)</f>
        <v>0</v>
      </c>
      <c r="Y632" s="793"/>
      <c r="Z632" s="795"/>
      <c r="AA632" s="798"/>
    </row>
    <row r="633" spans="1:29" ht="20.25" customHeight="1">
      <c r="A633" s="739">
        <v>58</v>
      </c>
      <c r="B633" s="591"/>
      <c r="C633" s="805">
        <f>INDEX(база!$E$2:$E$181, MATCH(B638,база!$B$2:$B$160,0))</f>
        <v>15589</v>
      </c>
      <c r="D633" s="806">
        <f>INDEX(база!$D$2:$D$189, MATCH(B638,база!$B$2:$B$160,0))</f>
        <v>3</v>
      </c>
      <c r="E633" s="68">
        <f>IF(D633&lt;=3,база!$I$4,
IF(D633=4,база!$I$5,
IF(D633=5,база!$I$6)))</f>
        <v>188.7912</v>
      </c>
      <c r="F633" s="249">
        <v>1</v>
      </c>
      <c r="G633" s="82">
        <f>SUMIFS(Таблица1[сумма],Таблица1[коэф],"1",Таблица1[р/р],"2/4",Таблица1[Ф. И. О.],B638)</f>
        <v>0</v>
      </c>
      <c r="H633" s="96">
        <f>ROUND(E633*F633*G633,2)</f>
        <v>0</v>
      </c>
      <c r="I633" s="22">
        <f>IF(D633&lt;=3,база!$J$4,
IF(D633=4,база!$J$5,
IF(D633=5,база!$J$6)))</f>
        <v>196.05240000000001</v>
      </c>
      <c r="J633" s="256">
        <v>1</v>
      </c>
      <c r="K633" s="20">
        <f>SUMIFS(Таблица1[сумма],Таблица1[коэф],"1",Таблица1[р/р],"2/8",Таблица1[Ф. И. О.],B638)</f>
        <v>0</v>
      </c>
      <c r="L633" s="287">
        <f>ROUND(I633*J633*K633,2)</f>
        <v>0</v>
      </c>
      <c r="M633" s="22"/>
      <c r="N633" s="20">
        <v>1</v>
      </c>
      <c r="O633" s="20">
        <f>SUMIFS(Data_Tech!$AM$3:$AM$67,Data_Tech!$E$3:$E$67,"1",Data_Tech!$G$3:$G$67,"3/12",Data_Tech!$F$3:$F$67,B638)</f>
        <v>0</v>
      </c>
      <c r="P633" s="260">
        <f>ROUND(M633*N633*O633,2)</f>
        <v>0</v>
      </c>
      <c r="Q633" s="592">
        <f>IF(D633&lt;=3,база!$L$4,
IF(D633=4,база!$L$5,
IF(D633=5,база!$L$6)))</f>
        <v>210.57480000000001</v>
      </c>
      <c r="R633" s="249">
        <v>1</v>
      </c>
      <c r="S633" s="90">
        <f>SUMIFS(Таблица1[сумма],Таблица1[коэф],"1",Таблица1[р/р],"3/16",Таблица1[Ф. И. О.],B638)</f>
        <v>0</v>
      </c>
      <c r="T633" s="96">
        <f t="shared" ref="T633:T637" si="391">ROUND(Q633*R633*S633,2)</f>
        <v>0</v>
      </c>
      <c r="U633" s="75">
        <f>IF(D633&lt;=3,база!$M$4,
IF(D633=4,база!$M$5,
IF(D633=5,база!$M$6)))</f>
        <v>225.09719999999999</v>
      </c>
      <c r="V633" s="249">
        <v>1</v>
      </c>
      <c r="W633" s="90">
        <f>SUMIFS(Таблица1[сумма],Таблица1[коэф],"1",Таблица1[р/р],"3/24",Таблица1[Ф. И. О.],B638)</f>
        <v>0</v>
      </c>
      <c r="X633" s="96">
        <f>ROUND(U633*V633*W633,2)</f>
        <v>0</v>
      </c>
      <c r="Y633" s="791">
        <f t="shared" ref="Y633" si="392">SUM(G633:G643,K633:K643,O633:O643,S633:S643,W633:W643)</f>
        <v>0</v>
      </c>
      <c r="Z633" s="807">
        <f t="shared" ref="Z633" si="393">IFERROR(SUM(H633:H643,L633:L643,T633:T643,X633:X643),"")</f>
        <v>0</v>
      </c>
      <c r="AA633" s="796"/>
    </row>
    <row r="634" spans="1:29">
      <c r="A634" s="740"/>
      <c r="B634" s="591"/>
      <c r="C634" s="799"/>
      <c r="D634" s="801"/>
      <c r="E634" s="68">
        <f>IF(D633&lt;=3,база!$I$4,
IF(D633=4,база!$I$5,
IF(D633=5,база!$I$6)))</f>
        <v>188.7912</v>
      </c>
      <c r="F634" s="249">
        <v>1</v>
      </c>
      <c r="G634" s="82">
        <f>SUMIFS(Таблица1[сумма],Таблица1[коэф],"1",Таблица1[р/р],"3/4",Таблица1[Ф. И. О.],B638)</f>
        <v>0</v>
      </c>
      <c r="H634" s="96">
        <f>ROUND(E634*F634*G634,2)</f>
        <v>0</v>
      </c>
      <c r="I634" s="22">
        <f>IF(D633&lt;=3,база!$J$4,
IF(D633=4,база!$J$5,
IF(D633=5,база!$J$6)))</f>
        <v>196.05240000000001</v>
      </c>
      <c r="J634" s="256">
        <v>1</v>
      </c>
      <c r="K634" s="20"/>
      <c r="L634" s="287">
        <f>ROUND(I634*J634*K634,2)</f>
        <v>0</v>
      </c>
      <c r="M634" s="22"/>
      <c r="N634" s="20">
        <v>1</v>
      </c>
      <c r="O634" s="20">
        <f>SUMIFS(Data_Tech!$AM$3:$AM$67,Data_Tech!$E$3:$E$67,"1",Data_Tech!$G$3:$G$67,"4/12",Data_Tech!$F$3:$F$67,B638)</f>
        <v>0</v>
      </c>
      <c r="P634" s="260">
        <f>ROUND(M634*O634,2)</f>
        <v>0</v>
      </c>
      <c r="Q634" s="592">
        <f>база!$L$5</f>
        <v>231.45480000000001</v>
      </c>
      <c r="R634" s="249">
        <v>1</v>
      </c>
      <c r="S634" s="90">
        <f>SUMIFS(Таблица1[сумма],Таблица1[коэф],"1",Таблица1[р/р],"4/16",Таблица1[Ф. И. О.],B638)</f>
        <v>0</v>
      </c>
      <c r="T634" s="96">
        <f t="shared" si="391"/>
        <v>0</v>
      </c>
      <c r="U634" s="75">
        <f>база!$M$5</f>
        <v>247.41720000000001</v>
      </c>
      <c r="V634" s="249">
        <v>1</v>
      </c>
      <c r="W634" s="90">
        <f>SUMIFS(Таблица1[сумма],Таблица1[коэф],"1",Таблица1[р/р],"4/24",Таблица1[Ф. И. О.],B638)</f>
        <v>0</v>
      </c>
      <c r="X634" s="96">
        <f t="shared" ref="X634" si="394">ROUND(U634*V634*W634,2)</f>
        <v>0</v>
      </c>
      <c r="Y634" s="792"/>
      <c r="Z634" s="794"/>
      <c r="AA634" s="797"/>
    </row>
    <row r="635" spans="1:29">
      <c r="A635" s="740"/>
      <c r="B635" s="591"/>
      <c r="C635" s="799"/>
      <c r="D635" s="801"/>
      <c r="E635" s="68"/>
      <c r="F635" s="249"/>
      <c r="G635" s="82"/>
      <c r="H635" s="96"/>
      <c r="I635" s="22"/>
      <c r="J635" s="256"/>
      <c r="K635" s="20"/>
      <c r="L635" s="287"/>
      <c r="M635" s="22"/>
      <c r="N635" s="20"/>
      <c r="O635" s="20"/>
      <c r="P635" s="260"/>
      <c r="Q635" s="592">
        <f>база!$L$6</f>
        <v>261.04640000000001</v>
      </c>
      <c r="R635" s="249">
        <v>1</v>
      </c>
      <c r="S635" s="90">
        <f>SUMIFS(Таблица1[сумма],Таблица1[коэф],"1",Таблица1[р/р],"5/16",Таблица1[Ф. И. О.],B638)</f>
        <v>0</v>
      </c>
      <c r="T635" s="96">
        <f t="shared" si="391"/>
        <v>0</v>
      </c>
      <c r="U635" s="75">
        <f>база!$M$6</f>
        <v>279.0496</v>
      </c>
      <c r="V635" s="249">
        <v>1</v>
      </c>
      <c r="W635" s="90">
        <f>SUMIFS(Таблица1[сумма],Таблица1[коэф],"1",Таблица1[р/р],"5/24",Таблица1[Ф. И. О.],B638)</f>
        <v>0</v>
      </c>
      <c r="X635" s="96">
        <f>ROUND(U635*V635*W635,2)</f>
        <v>0</v>
      </c>
      <c r="Y635" s="792"/>
      <c r="Z635" s="794"/>
      <c r="AA635" s="797"/>
    </row>
    <row r="636" spans="1:29">
      <c r="A636" s="740"/>
      <c r="B636" s="591"/>
      <c r="C636" s="799"/>
      <c r="D636" s="801"/>
      <c r="E636" s="68"/>
      <c r="F636" s="249"/>
      <c r="G636" s="82"/>
      <c r="H636" s="96"/>
      <c r="I636" s="22">
        <f>база!$J$5</f>
        <v>215.4924</v>
      </c>
      <c r="J636" s="256">
        <v>1.5</v>
      </c>
      <c r="K636" s="20">
        <f>SUMIFS(Таблица1[сумма],Таблица1[коэф],"1,5",Таблица1[р/р],"4/8",Таблица1[Ф. И. О.],B638)</f>
        <v>0</v>
      </c>
      <c r="L636" s="287">
        <f>ROUND(I636*J636*K636,2)</f>
        <v>0</v>
      </c>
      <c r="M636" s="22"/>
      <c r="N636" s="20"/>
      <c r="O636" s="20"/>
      <c r="P636" s="260"/>
      <c r="Q636" s="592">
        <f>IF(D633&lt;=3,база!$L$4,
IF(D633=4,база!$L$5,
IF(D633=5,база!$L$6)))</f>
        <v>210.57480000000001</v>
      </c>
      <c r="R636" s="249">
        <v>1.2</v>
      </c>
      <c r="S636" s="90">
        <f>SUMIFS(Таблица1[сумма],Таблица1[коэф],"1,2",Таблица1[р/р],"3/16",Таблица1[Ф. И. О.],B638)</f>
        <v>0</v>
      </c>
      <c r="T636" s="96">
        <f t="shared" si="391"/>
        <v>0</v>
      </c>
      <c r="U636" s="75">
        <f>IF(D633&lt;=3,база!$M$4,
IF(D633=4,база!$M$5,
IF(D633=5,база!$M$6)))</f>
        <v>225.09719999999999</v>
      </c>
      <c r="V636" s="249">
        <v>1.2</v>
      </c>
      <c r="W636" s="90">
        <f>SUMIFS(Таблица1[сумма],Таблица1[коэф],"1,2",Таблица1[р/р],"3/24",Таблица1[Ф. И. О.],B638)</f>
        <v>0</v>
      </c>
      <c r="X636" s="96">
        <f t="shared" ref="X636:X637" si="395">ROUND(U636*V636*W636,2)</f>
        <v>0</v>
      </c>
      <c r="Y636" s="792"/>
      <c r="Z636" s="794"/>
      <c r="AA636" s="797"/>
    </row>
    <row r="637" spans="1:29">
      <c r="A637" s="740"/>
      <c r="B637" s="591"/>
      <c r="C637" s="799"/>
      <c r="D637" s="801"/>
      <c r="E637" s="68"/>
      <c r="F637" s="249"/>
      <c r="G637" s="82"/>
      <c r="H637" s="96"/>
      <c r="I637" s="22">
        <f>база!$J$6</f>
        <v>243.04319999999998</v>
      </c>
      <c r="J637" s="256">
        <v>1.5</v>
      </c>
      <c r="K637" s="20">
        <f>SUMIFS(Таблица1[сумма],Таблица1[коэф],"1,5",Таблица1[р/р],"5/8",Таблица1[Ф. И. О.],B638)</f>
        <v>0</v>
      </c>
      <c r="L637" s="287">
        <f>ROUND(I637*J637*K637,2)</f>
        <v>0</v>
      </c>
      <c r="M637" s="22"/>
      <c r="N637" s="20"/>
      <c r="O637" s="20"/>
      <c r="P637" s="260"/>
      <c r="Q637" s="592">
        <f>база!$L$5</f>
        <v>231.45480000000001</v>
      </c>
      <c r="R637" s="249">
        <v>1.2</v>
      </c>
      <c r="S637" s="90">
        <f>SUMIFS(Таблица1[сумма],Таблица1[коэф],"1,2",Таблица1[р/р],"4/16",Таблица1[Ф. И. О.],B638)</f>
        <v>0</v>
      </c>
      <c r="T637" s="96">
        <f t="shared" si="391"/>
        <v>0</v>
      </c>
      <c r="U637" s="75">
        <f>база!$M$5</f>
        <v>247.41720000000001</v>
      </c>
      <c r="V637" s="249">
        <v>1.2</v>
      </c>
      <c r="W637" s="90">
        <f>SUMIFS(Таблица1[сумма],Таблица1[коэф],"1,2",Таблица1[р/р],"4/24",Таблица1[Ф. И. О.],B638)</f>
        <v>0</v>
      </c>
      <c r="X637" s="96">
        <f t="shared" si="395"/>
        <v>0</v>
      </c>
      <c r="Y637" s="792"/>
      <c r="Z637" s="794"/>
      <c r="AA637" s="797"/>
      <c r="AC637" s="688" t="str">
        <f>IF(SUMIFS(Таблица1[Столбец2],Таблица1[Ф. И. О.],B638)-Z633=0,"",SUMIFS(Таблица1[Столбец2],Таблица1[Ф. И. О.],B638)-Z633)</f>
        <v/>
      </c>
    </row>
    <row r="638" spans="1:29">
      <c r="A638" s="740"/>
      <c r="B638" s="591" t="str">
        <f>база!B59</f>
        <v>Пириева Виктория Хозеиновна</v>
      </c>
      <c r="C638" s="799"/>
      <c r="D638" s="801"/>
      <c r="E638" s="68"/>
      <c r="F638" s="249"/>
      <c r="G638" s="82"/>
      <c r="H638" s="96"/>
      <c r="I638" s="22"/>
      <c r="J638" s="256"/>
      <c r="K638" s="20"/>
      <c r="L638" s="287"/>
      <c r="M638" s="22"/>
      <c r="N638" s="20"/>
      <c r="O638" s="20"/>
      <c r="P638" s="260"/>
      <c r="Q638" s="592">
        <f>база!$L$6</f>
        <v>261.04640000000001</v>
      </c>
      <c r="R638" s="249">
        <v>1.2</v>
      </c>
      <c r="S638" s="90">
        <f>SUMIFS(Таблица1[сумма],Таблица1[коэф],"1,2",Таблица1[р/р],"5/16",Таблица1[Ф. И. О.],B638)</f>
        <v>0</v>
      </c>
      <c r="T638" s="96">
        <f>ROUND(Q638*R638*S638,2)</f>
        <v>0</v>
      </c>
      <c r="U638" s="75">
        <f>база!$M$6</f>
        <v>279.0496</v>
      </c>
      <c r="V638" s="249">
        <v>1.2</v>
      </c>
      <c r="W638" s="90">
        <f>SUMIFS(Таблица1[сумма],Таблица1[коэф],"1,2",Таблица1[р/р],"5/24",Таблица1[Ф. И. О.],B638)</f>
        <v>0</v>
      </c>
      <c r="X638" s="96">
        <f>ROUND(U638*V638*W638,2)</f>
        <v>0</v>
      </c>
      <c r="Y638" s="792"/>
      <c r="Z638" s="794"/>
      <c r="AA638" s="797"/>
      <c r="AC638" s="688" t="str">
        <f>IF(SUMIFS(Таблица1[сумма],Таблица1[Ф. И. О.],B638)=Y633,"",B633&amp;"  часы не верны")</f>
        <v/>
      </c>
    </row>
    <row r="639" spans="1:29">
      <c r="A639" s="740"/>
      <c r="B639" s="591"/>
      <c r="C639" s="799"/>
      <c r="D639" s="801"/>
      <c r="E639" s="68"/>
      <c r="F639" s="249"/>
      <c r="G639" s="82"/>
      <c r="H639" s="96"/>
      <c r="I639" s="22"/>
      <c r="J639" s="256"/>
      <c r="K639" s="20"/>
      <c r="L639" s="287"/>
      <c r="M639" s="22"/>
      <c r="N639" s="20"/>
      <c r="O639" s="20"/>
      <c r="P639" s="260"/>
      <c r="Q639" s="592">
        <f>IF($D$6&lt;=3,база!$L$4,
IF($D$6=4,база!$L$5,
IF($D$6=5,база!$L$6)))</f>
        <v>231.45480000000001</v>
      </c>
      <c r="R639" s="249">
        <v>1.3</v>
      </c>
      <c r="S639" s="90">
        <f>SUMIFS(Таблица1[сумма],Таблица1[коэф],"1,3",Таблица1[р/р],"3/16",Таблица1[Ф. И. О.],B638)</f>
        <v>0</v>
      </c>
      <c r="T639" s="96">
        <f t="shared" ref="T639:T640" si="396">ROUND(Q639*R639*S639,2)</f>
        <v>0</v>
      </c>
      <c r="U639" s="75">
        <f>IF(D633&lt;=3,база!$M$4,
IF(D633=4,база!$M$5,
IF(D633=5,база!$M$6)))</f>
        <v>225.09719999999999</v>
      </c>
      <c r="V639" s="249">
        <v>1.3</v>
      </c>
      <c r="W639" s="90">
        <f>SUMIFS(Таблица1[сумма],Таблица1[коэф],"1,3",Таблица1[р/р],"3/24",Таблица1[Ф. И. О.],B638)</f>
        <v>0</v>
      </c>
      <c r="X639" s="96">
        <f t="shared" ref="X639:X640" si="397">ROUND(U639*V639*W639,2)</f>
        <v>0</v>
      </c>
      <c r="Y639" s="792"/>
      <c r="Z639" s="794"/>
      <c r="AA639" s="797"/>
    </row>
    <row r="640" spans="1:29">
      <c r="A640" s="740"/>
      <c r="B640" s="591"/>
      <c r="C640" s="799"/>
      <c r="D640" s="801"/>
      <c r="E640" s="68"/>
      <c r="F640" s="249"/>
      <c r="G640" s="82"/>
      <c r="H640" s="96"/>
      <c r="I640" s="22"/>
      <c r="J640" s="256"/>
      <c r="K640" s="20"/>
      <c r="L640" s="287"/>
      <c r="M640" s="22"/>
      <c r="N640" s="20"/>
      <c r="O640" s="20"/>
      <c r="P640" s="260"/>
      <c r="Q640" s="592">
        <f>база!$L$5</f>
        <v>231.45480000000001</v>
      </c>
      <c r="R640" s="249">
        <v>1.3</v>
      </c>
      <c r="S640" s="90">
        <f>SUMIFS(Таблица1[сумма],Таблица1[коэф],"1,3",Таблица1[р/р],"4/16",Таблица1[Ф. И. О.],B638)</f>
        <v>0</v>
      </c>
      <c r="T640" s="96">
        <f t="shared" si="396"/>
        <v>0</v>
      </c>
      <c r="U640" s="75">
        <f>база!$M$5</f>
        <v>247.41720000000001</v>
      </c>
      <c r="V640" s="249">
        <v>1.3</v>
      </c>
      <c r="W640" s="90">
        <f>SUMIFS(Таблица1[сумма],Таблица1[коэф],"1,3",Таблица1[р/р],"4/24",Таблица1[Ф. И. О.],B638)</f>
        <v>0</v>
      </c>
      <c r="X640" s="96">
        <f t="shared" si="397"/>
        <v>0</v>
      </c>
      <c r="Y640" s="792"/>
      <c r="Z640" s="794"/>
      <c r="AA640" s="797"/>
    </row>
    <row r="641" spans="1:29">
      <c r="A641" s="740"/>
      <c r="B641" s="591"/>
      <c r="C641" s="799"/>
      <c r="D641" s="801"/>
      <c r="E641" s="68"/>
      <c r="F641" s="249"/>
      <c r="G641" s="82"/>
      <c r="H641" s="96"/>
      <c r="I641" s="22"/>
      <c r="J641" s="256"/>
      <c r="K641" s="20"/>
      <c r="L641" s="287"/>
      <c r="M641" s="22"/>
      <c r="N641" s="20"/>
      <c r="O641" s="20"/>
      <c r="P641" s="260"/>
      <c r="Q641" s="592">
        <f>IF(D633&lt;=3,база!$L$4,
IF(D633=4,база!$L$5,
IF(D633=5,база!$L$6)))</f>
        <v>210.57480000000001</v>
      </c>
      <c r="R641" s="249">
        <v>1.4</v>
      </c>
      <c r="S641" s="90">
        <f>SUMIFS(Таблица1[сумма],Таблица1[коэф],"1,4",Таблица1[р/р],"3/16",Таблица1[Ф. И. О.],B638)</f>
        <v>0</v>
      </c>
      <c r="T641" s="96">
        <f>ROUND(Q641*R641*S641,2)</f>
        <v>0</v>
      </c>
      <c r="U641" s="75">
        <f>IF(D633&lt;=3,база!$M$4,
IF(D633=4,база!$M$5,
IF(D633=5,база!$M$6)))</f>
        <v>225.09719999999999</v>
      </c>
      <c r="V641" s="249">
        <v>1.4</v>
      </c>
      <c r="W641" s="90">
        <f>SUMIFS(Таблица1[сумма],Таблица1[коэф],"1,4",Таблица1[р/р],"3/24",Таблица1[Ф. И. О.],B638)</f>
        <v>0</v>
      </c>
      <c r="X641" s="96">
        <f>ROUND(U641*V641*W641,2)</f>
        <v>0</v>
      </c>
      <c r="Y641" s="792"/>
      <c r="Z641" s="794"/>
      <c r="AA641" s="797"/>
    </row>
    <row r="642" spans="1:29">
      <c r="A642" s="740"/>
      <c r="B642" s="591"/>
      <c r="C642" s="799"/>
      <c r="D642" s="801"/>
      <c r="E642" s="78"/>
      <c r="F642" s="251"/>
      <c r="G642" s="601"/>
      <c r="H642" s="83"/>
      <c r="I642" s="60"/>
      <c r="J642" s="602"/>
      <c r="K642" s="53"/>
      <c r="L642" s="302"/>
      <c r="M642" s="60"/>
      <c r="N642" s="53"/>
      <c r="O642" s="53"/>
      <c r="P642" s="261"/>
      <c r="Q642" s="603">
        <f>база!$L$5</f>
        <v>231.45480000000001</v>
      </c>
      <c r="R642" s="251">
        <v>1.4</v>
      </c>
      <c r="S642" s="94">
        <f>SUMIFS(Таблица1[сумма],Таблица1[коэф],"1,4",Таблица1[р/р],"4/16",Таблица1[Ф. И. О.],B638)</f>
        <v>0</v>
      </c>
      <c r="T642" s="83">
        <f>ROUND(Q642*R642*S642,2)</f>
        <v>0</v>
      </c>
      <c r="U642" s="99">
        <f>база!$M$5</f>
        <v>247.41720000000001</v>
      </c>
      <c r="V642" s="251">
        <v>1.4</v>
      </c>
      <c r="W642" s="94">
        <f>SUMIFS(Таблица1[сумма],Таблица1[коэф],"1,4",Таблица1[р/р],"4/24",Таблица1[Ф. И. О.],B638)</f>
        <v>0</v>
      </c>
      <c r="X642" s="83">
        <f>ROUND(U642*V642*W642,2)</f>
        <v>0</v>
      </c>
      <c r="Y642" s="792"/>
      <c r="Z642" s="794"/>
      <c r="AA642" s="797"/>
    </row>
    <row r="643" spans="1:29" ht="24" thickBot="1">
      <c r="A643" s="741"/>
      <c r="B643" s="329"/>
      <c r="C643" s="800"/>
      <c r="D643" s="802"/>
      <c r="E643" s="70"/>
      <c r="F643" s="254"/>
      <c r="G643" s="593"/>
      <c r="H643" s="87"/>
      <c r="I643" s="594"/>
      <c r="J643" s="567"/>
      <c r="K643" s="595"/>
      <c r="L643" s="305"/>
      <c r="M643" s="594"/>
      <c r="N643" s="595"/>
      <c r="O643" s="595"/>
      <c r="P643" s="268"/>
      <c r="Q643" s="596">
        <f>база!$L$6</f>
        <v>261.04640000000001</v>
      </c>
      <c r="R643" s="254">
        <v>1.4</v>
      </c>
      <c r="S643" s="93">
        <f>SUMIFS(Таблица1[сумма],Таблица1[коэф],"1,4",Таблица1[р/р],"5/16",Таблица1[Ф. И. О.],B638)</f>
        <v>0</v>
      </c>
      <c r="T643" s="87">
        <f>ROUND(Q643*R643*S643,2)</f>
        <v>0</v>
      </c>
      <c r="U643" s="77">
        <f>база!$M$6</f>
        <v>279.0496</v>
      </c>
      <c r="V643" s="254">
        <v>1.4</v>
      </c>
      <c r="W643" s="93">
        <f>SUMIFS(Таблица1[сумма],Таблица1[коэф],"1,4",Таблица1[р/р],"5/24",Таблица1[Ф. И. О.],B638)</f>
        <v>0</v>
      </c>
      <c r="X643" s="87">
        <f>ROUND(U643*V643*W643,2)</f>
        <v>0</v>
      </c>
      <c r="Y643" s="793"/>
      <c r="Z643" s="795"/>
      <c r="AA643" s="798"/>
    </row>
    <row r="644" spans="1:29" ht="20.25" customHeight="1">
      <c r="A644" s="739">
        <v>59</v>
      </c>
      <c r="B644" s="591"/>
      <c r="C644" s="805">
        <f>INDEX(база!$E$2:$E$181, MATCH(B649,база!$B$2:$B$160,0))</f>
        <v>16858</v>
      </c>
      <c r="D644" s="806">
        <f>INDEX(база!$D$2:$D$189, MATCH(B649,база!$B$2:$B$160,0))</f>
        <v>3</v>
      </c>
      <c r="E644" s="68">
        <f>IF(D644&lt;=3,база!$I$4,
IF(D644=4,база!$I$5,
IF(D644=5,база!$I$6)))</f>
        <v>188.7912</v>
      </c>
      <c r="F644" s="249">
        <v>1</v>
      </c>
      <c r="G644" s="82">
        <f>SUMIFS(Таблица1[сумма],Таблица1[коэф],"1",Таблица1[р/р],"2/4",Таблица1[Ф. И. О.],B649)</f>
        <v>0</v>
      </c>
      <c r="H644" s="96">
        <f>ROUND(E644*F644*G644,2)</f>
        <v>0</v>
      </c>
      <c r="I644" s="22">
        <f>IF(D644&lt;=3,база!$J$4,
IF(D644=4,база!$J$5,
IF(D644=5,база!$J$6)))</f>
        <v>196.05240000000001</v>
      </c>
      <c r="J644" s="256">
        <v>1</v>
      </c>
      <c r="K644" s="20">
        <f>SUMIFS(Таблица1[сумма],Таблица1[коэф],"1",Таблица1[р/р],"2/8",Таблица1[Ф. И. О.],B649)</f>
        <v>0</v>
      </c>
      <c r="L644" s="287">
        <f>ROUND(I644*J644*K644,2)</f>
        <v>0</v>
      </c>
      <c r="M644" s="22"/>
      <c r="N644" s="20">
        <v>1</v>
      </c>
      <c r="O644" s="20">
        <f>SUMIFS(Data_Tech!$AM$3:$AM$67,Data_Tech!$E$3:$E$67,"1",Data_Tech!$G$3:$G$67,"3/12",Data_Tech!$F$3:$F$67,B649)</f>
        <v>0</v>
      </c>
      <c r="P644" s="260">
        <f>ROUND(M644*N644*O644,2)</f>
        <v>0</v>
      </c>
      <c r="Q644" s="592">
        <f>IF(D644&lt;=3,база!$L$4,
IF(D644=4,база!$L$5,
IF(D644=5,база!$L$6)))</f>
        <v>210.57480000000001</v>
      </c>
      <c r="R644" s="249">
        <v>1</v>
      </c>
      <c r="S644" s="90">
        <f>SUMIFS(Таблица1[сумма],Таблица1[коэф],"1",Таблица1[р/р],"3/16",Таблица1[Ф. И. О.],B649)</f>
        <v>0</v>
      </c>
      <c r="T644" s="96">
        <f t="shared" ref="T644:T648" si="398">ROUND(Q644*R644*S644,2)</f>
        <v>0</v>
      </c>
      <c r="U644" s="75">
        <f>IF(D644&lt;=3,база!$M$4,
IF(D644=4,база!$M$5,
IF(D644=5,база!$M$6)))</f>
        <v>225.09719999999999</v>
      </c>
      <c r="V644" s="249">
        <v>1</v>
      </c>
      <c r="W644" s="90">
        <f>SUMIFS(Таблица1[сумма],Таблица1[коэф],"1",Таблица1[р/р],"3/24",Таблица1[Ф. И. О.],B649)</f>
        <v>0</v>
      </c>
      <c r="X644" s="96">
        <f>ROUND(U644*V644*W644,2)</f>
        <v>0</v>
      </c>
      <c r="Y644" s="791">
        <f t="shared" ref="Y644" si="399">SUM(G644:G654,K644:K654,O644:O654,S644:S654,W644:W654)</f>
        <v>0</v>
      </c>
      <c r="Z644" s="807">
        <f t="shared" ref="Z644" si="400">IFERROR(SUM(H644:H654,L644:L654,T644:T654,X644:X654),"")</f>
        <v>0</v>
      </c>
      <c r="AA644" s="796"/>
    </row>
    <row r="645" spans="1:29">
      <c r="A645" s="740"/>
      <c r="B645" s="591"/>
      <c r="C645" s="799"/>
      <c r="D645" s="801"/>
      <c r="E645" s="68">
        <f>IF(D644&lt;=3,база!$I$4,
IF(D644=4,база!$I$5,
IF(D644=5,база!$I$6)))</f>
        <v>188.7912</v>
      </c>
      <c r="F645" s="249">
        <v>1</v>
      </c>
      <c r="G645" s="82">
        <f>SUMIFS(Таблица1[сумма],Таблица1[коэф],"1",Таблица1[р/р],"3/4",Таблица1[Ф. И. О.],B649)</f>
        <v>0</v>
      </c>
      <c r="H645" s="96">
        <f>ROUND(E645*F645*G645,2)</f>
        <v>0</v>
      </c>
      <c r="I645" s="22">
        <f>IF(D644&lt;=3,база!$J$4,
IF(D644=4,база!$J$5,
IF(D644=5,база!$J$6)))</f>
        <v>196.05240000000001</v>
      </c>
      <c r="J645" s="256">
        <v>1</v>
      </c>
      <c r="K645" s="20"/>
      <c r="L645" s="287">
        <f>ROUND(I645*J645*K645,2)</f>
        <v>0</v>
      </c>
      <c r="M645" s="22"/>
      <c r="N645" s="20">
        <v>1</v>
      </c>
      <c r="O645" s="20">
        <f>SUMIFS(Data_Tech!$AM$3:$AM$67,Data_Tech!$E$3:$E$67,"1",Data_Tech!$G$3:$G$67,"4/12",Data_Tech!$F$3:$F$67,B649)</f>
        <v>0</v>
      </c>
      <c r="P645" s="260">
        <f>ROUND(M645*O645,2)</f>
        <v>0</v>
      </c>
      <c r="Q645" s="592">
        <f>база!$L$5</f>
        <v>231.45480000000001</v>
      </c>
      <c r="R645" s="249">
        <v>1</v>
      </c>
      <c r="S645" s="90">
        <f>SUMIFS(Таблица1[сумма],Таблица1[коэф],"1",Таблица1[р/р],"4/16",Таблица1[Ф. И. О.],B649)</f>
        <v>0</v>
      </c>
      <c r="T645" s="96">
        <f t="shared" si="398"/>
        <v>0</v>
      </c>
      <c r="U645" s="75">
        <f>база!$M$5</f>
        <v>247.41720000000001</v>
      </c>
      <c r="V645" s="249">
        <v>1</v>
      </c>
      <c r="W645" s="90">
        <f>SUMIFS(Таблица1[сумма],Таблица1[коэф],"1",Таблица1[р/р],"4/24",Таблица1[Ф. И. О.],B649)</f>
        <v>0</v>
      </c>
      <c r="X645" s="96">
        <f t="shared" ref="X645" si="401">ROUND(U645*V645*W645,2)</f>
        <v>0</v>
      </c>
      <c r="Y645" s="792"/>
      <c r="Z645" s="794"/>
      <c r="AA645" s="797"/>
    </row>
    <row r="646" spans="1:29">
      <c r="A646" s="740"/>
      <c r="B646" s="591"/>
      <c r="C646" s="799"/>
      <c r="D646" s="801"/>
      <c r="E646" s="68"/>
      <c r="F646" s="249"/>
      <c r="G646" s="82"/>
      <c r="H646" s="96"/>
      <c r="I646" s="22"/>
      <c r="J646" s="256"/>
      <c r="K646" s="20"/>
      <c r="L646" s="287"/>
      <c r="M646" s="22"/>
      <c r="N646" s="20"/>
      <c r="O646" s="20"/>
      <c r="P646" s="260"/>
      <c r="Q646" s="592">
        <f>база!$L$6</f>
        <v>261.04640000000001</v>
      </c>
      <c r="R646" s="249">
        <v>1</v>
      </c>
      <c r="S646" s="90">
        <f>SUMIFS(Таблица1[сумма],Таблица1[коэф],"1",Таблица1[р/р],"5/16",Таблица1[Ф. И. О.],B649)</f>
        <v>0</v>
      </c>
      <c r="T646" s="96">
        <f t="shared" si="398"/>
        <v>0</v>
      </c>
      <c r="U646" s="75">
        <f>база!$M$6</f>
        <v>279.0496</v>
      </c>
      <c r="V646" s="249">
        <v>1</v>
      </c>
      <c r="W646" s="90">
        <f>SUMIFS(Таблица1[сумма],Таблица1[коэф],"1",Таблица1[р/р],"5/24",Таблица1[Ф. И. О.],B649)</f>
        <v>0</v>
      </c>
      <c r="X646" s="96">
        <f>ROUND(U646*V646*W646,2)</f>
        <v>0</v>
      </c>
      <c r="Y646" s="792"/>
      <c r="Z646" s="794"/>
      <c r="AA646" s="797"/>
    </row>
    <row r="647" spans="1:29">
      <c r="A647" s="740"/>
      <c r="B647" s="591"/>
      <c r="C647" s="799"/>
      <c r="D647" s="801"/>
      <c r="E647" s="68"/>
      <c r="F647" s="249"/>
      <c r="G647" s="82"/>
      <c r="H647" s="96"/>
      <c r="I647" s="22">
        <f>база!$J$5</f>
        <v>215.4924</v>
      </c>
      <c r="J647" s="256">
        <v>1.5</v>
      </c>
      <c r="K647" s="20">
        <f>SUMIFS(Таблица1[сумма],Таблица1[коэф],"1,5",Таблица1[р/р],"4/8",Таблица1[Ф. И. О.],B649)</f>
        <v>0</v>
      </c>
      <c r="L647" s="287">
        <f>ROUND(I647*J647*K647,2)</f>
        <v>0</v>
      </c>
      <c r="M647" s="22"/>
      <c r="N647" s="20"/>
      <c r="O647" s="20"/>
      <c r="P647" s="260"/>
      <c r="Q647" s="592">
        <f>IF(D644&lt;=3,база!$L$4,
IF(D644=4,база!$L$5,
IF(D644=5,база!$L$6)))</f>
        <v>210.57480000000001</v>
      </c>
      <c r="R647" s="249">
        <v>1.2</v>
      </c>
      <c r="S647" s="90">
        <f>SUMIFS(Таблица1[сумма],Таблица1[коэф],"1,2",Таблица1[р/р],"3/16",Таблица1[Ф. И. О.],B649)</f>
        <v>0</v>
      </c>
      <c r="T647" s="96">
        <f t="shared" si="398"/>
        <v>0</v>
      </c>
      <c r="U647" s="75">
        <f>IF(D644&lt;=3,база!$M$4,
IF(D644=4,база!$M$5,
IF(D644=5,база!$M$6)))</f>
        <v>225.09719999999999</v>
      </c>
      <c r="V647" s="249">
        <v>1.2</v>
      </c>
      <c r="W647" s="90">
        <f>SUMIFS(Таблица1[сумма],Таблица1[коэф],"1,2",Таблица1[р/р],"3/24",Таблица1[Ф. И. О.],B649)</f>
        <v>0</v>
      </c>
      <c r="X647" s="96">
        <f t="shared" ref="X647:X648" si="402">ROUND(U647*V647*W647,2)</f>
        <v>0</v>
      </c>
      <c r="Y647" s="792"/>
      <c r="Z647" s="794"/>
      <c r="AA647" s="797"/>
    </row>
    <row r="648" spans="1:29">
      <c r="A648" s="740"/>
      <c r="B648" s="591"/>
      <c r="C648" s="799"/>
      <c r="D648" s="801"/>
      <c r="E648" s="68"/>
      <c r="F648" s="249"/>
      <c r="G648" s="82"/>
      <c r="H648" s="96"/>
      <c r="I648" s="22">
        <f>база!$J$6</f>
        <v>243.04319999999998</v>
      </c>
      <c r="J648" s="256">
        <v>1.5</v>
      </c>
      <c r="K648" s="20">
        <f>SUMIFS(Таблица1[сумма],Таблица1[коэф],"1,5",Таблица1[р/р],"5/8",Таблица1[Ф. И. О.],B649)</f>
        <v>0</v>
      </c>
      <c r="L648" s="287">
        <f>ROUND(I648*J648*K648,2)</f>
        <v>0</v>
      </c>
      <c r="M648" s="22"/>
      <c r="N648" s="20"/>
      <c r="O648" s="20"/>
      <c r="P648" s="260"/>
      <c r="Q648" s="592">
        <f>база!$L$5</f>
        <v>231.45480000000001</v>
      </c>
      <c r="R648" s="249">
        <v>1.2</v>
      </c>
      <c r="S648" s="90">
        <f>SUMIFS(Таблица1[сумма],Таблица1[коэф],"1,2",Таблица1[р/р],"4/16",Таблица1[Ф. И. О.],B649)</f>
        <v>0</v>
      </c>
      <c r="T648" s="96">
        <f t="shared" si="398"/>
        <v>0</v>
      </c>
      <c r="U648" s="75">
        <f>база!$M$5</f>
        <v>247.41720000000001</v>
      </c>
      <c r="V648" s="249">
        <v>1.2</v>
      </c>
      <c r="W648" s="90">
        <f>SUMIFS(Таблица1[сумма],Таблица1[коэф],"1,2",Таблица1[р/р],"4/24",Таблица1[Ф. И. О.],B649)</f>
        <v>0</v>
      </c>
      <c r="X648" s="96">
        <f t="shared" si="402"/>
        <v>0</v>
      </c>
      <c r="Y648" s="792"/>
      <c r="Z648" s="794"/>
      <c r="AA648" s="797"/>
      <c r="AC648" s="688" t="str">
        <f>IF(SUMIFS(Таблица1[Столбец2],Таблица1[Ф. И. О.],B649)-Z644=0,"",SUMIFS(Таблица1[Столбец2],Таблица1[Ф. И. О.],B649)-Z644)</f>
        <v/>
      </c>
    </row>
    <row r="649" spans="1:29">
      <c r="A649" s="740"/>
      <c r="B649" s="591" t="str">
        <f>база!B60</f>
        <v>Полушкина Анастасия Юрьевна</v>
      </c>
      <c r="C649" s="799"/>
      <c r="D649" s="801"/>
      <c r="E649" s="68"/>
      <c r="F649" s="249"/>
      <c r="G649" s="82"/>
      <c r="H649" s="96"/>
      <c r="I649" s="22"/>
      <c r="J649" s="256"/>
      <c r="K649" s="20"/>
      <c r="L649" s="287"/>
      <c r="M649" s="22"/>
      <c r="N649" s="20"/>
      <c r="O649" s="20"/>
      <c r="P649" s="260"/>
      <c r="Q649" s="592">
        <f>база!$L$6</f>
        <v>261.04640000000001</v>
      </c>
      <c r="R649" s="249">
        <v>1.2</v>
      </c>
      <c r="S649" s="90">
        <f>SUMIFS(Таблица1[сумма],Таблица1[коэф],"1,2",Таблица1[р/р],"5/16",Таблица1[Ф. И. О.],B649)</f>
        <v>0</v>
      </c>
      <c r="T649" s="96">
        <f>ROUND(Q649*R649*S649,2)</f>
        <v>0</v>
      </c>
      <c r="U649" s="75">
        <f>база!$M$6</f>
        <v>279.0496</v>
      </c>
      <c r="V649" s="249">
        <v>1.2</v>
      </c>
      <c r="W649" s="90">
        <f>SUMIFS(Таблица1[сумма],Таблица1[коэф],"1,2",Таблица1[р/р],"5/24",Таблица1[Ф. И. О.],B649)</f>
        <v>0</v>
      </c>
      <c r="X649" s="96">
        <f>ROUND(U649*V649*W649,2)</f>
        <v>0</v>
      </c>
      <c r="Y649" s="792"/>
      <c r="Z649" s="794"/>
      <c r="AA649" s="797"/>
      <c r="AC649" s="688" t="str">
        <f>IF(SUMIFS(Таблица1[сумма],Таблица1[Ф. И. О.],B649)=Y644,"",B644&amp;"  часы не верны")</f>
        <v/>
      </c>
    </row>
    <row r="650" spans="1:29">
      <c r="A650" s="740"/>
      <c r="B650" s="591"/>
      <c r="C650" s="799"/>
      <c r="D650" s="801"/>
      <c r="E650" s="68"/>
      <c r="F650" s="249"/>
      <c r="G650" s="82"/>
      <c r="H650" s="96"/>
      <c r="I650" s="22"/>
      <c r="J650" s="256"/>
      <c r="K650" s="20"/>
      <c r="L650" s="287"/>
      <c r="M650" s="22"/>
      <c r="N650" s="20"/>
      <c r="O650" s="20"/>
      <c r="P650" s="260"/>
      <c r="Q650" s="592">
        <f>IF($D$6&lt;=3,база!$L$4,
IF($D$6=4,база!$L$5,
IF($D$6=5,база!$L$6)))</f>
        <v>231.45480000000001</v>
      </c>
      <c r="R650" s="249">
        <v>1.3</v>
      </c>
      <c r="S650" s="90">
        <f>SUMIFS(Таблица1[сумма],Таблица1[коэф],"1,3",Таблица1[р/р],"3/16",Таблица1[Ф. И. О.],B649)</f>
        <v>0</v>
      </c>
      <c r="T650" s="96">
        <f t="shared" ref="T650:T651" si="403">ROUND(Q650*R650*S650,2)</f>
        <v>0</v>
      </c>
      <c r="U650" s="75">
        <f>IF(D644&lt;=3,база!$M$4,
IF(D644=4,база!$M$5,
IF(D644=5,база!$M$6)))</f>
        <v>225.09719999999999</v>
      </c>
      <c r="V650" s="249">
        <v>1.3</v>
      </c>
      <c r="W650" s="90">
        <f>SUMIFS(Таблица1[сумма],Таблица1[коэф],"1,3",Таблица1[р/р],"3/24",Таблица1[Ф. И. О.],B649)</f>
        <v>0</v>
      </c>
      <c r="X650" s="96">
        <f t="shared" ref="X650:X651" si="404">ROUND(U650*V650*W650,2)</f>
        <v>0</v>
      </c>
      <c r="Y650" s="792"/>
      <c r="Z650" s="794"/>
      <c r="AA650" s="797"/>
    </row>
    <row r="651" spans="1:29">
      <c r="A651" s="740"/>
      <c r="B651" s="591"/>
      <c r="C651" s="799"/>
      <c r="D651" s="801"/>
      <c r="E651" s="68"/>
      <c r="F651" s="249"/>
      <c r="G651" s="82"/>
      <c r="H651" s="96"/>
      <c r="I651" s="22"/>
      <c r="J651" s="256"/>
      <c r="K651" s="20"/>
      <c r="L651" s="287"/>
      <c r="M651" s="22"/>
      <c r="N651" s="20"/>
      <c r="O651" s="20"/>
      <c r="P651" s="260"/>
      <c r="Q651" s="592">
        <f>база!$L$5</f>
        <v>231.45480000000001</v>
      </c>
      <c r="R651" s="249">
        <v>1.3</v>
      </c>
      <c r="S651" s="90">
        <f>SUMIFS(Таблица1[сумма],Таблица1[коэф],"1,3",Таблица1[р/р],"4/16",Таблица1[Ф. И. О.],B649)</f>
        <v>0</v>
      </c>
      <c r="T651" s="96">
        <f t="shared" si="403"/>
        <v>0</v>
      </c>
      <c r="U651" s="75">
        <f>база!$M$5</f>
        <v>247.41720000000001</v>
      </c>
      <c r="V651" s="249">
        <v>1.3</v>
      </c>
      <c r="W651" s="90">
        <f>SUMIFS(Таблица1[сумма],Таблица1[коэф],"1,3",Таблица1[р/р],"4/24",Таблица1[Ф. И. О.],B649)</f>
        <v>0</v>
      </c>
      <c r="X651" s="96">
        <f t="shared" si="404"/>
        <v>0</v>
      </c>
      <c r="Y651" s="792"/>
      <c r="Z651" s="794"/>
      <c r="AA651" s="797"/>
    </row>
    <row r="652" spans="1:29">
      <c r="A652" s="740"/>
      <c r="B652" s="591"/>
      <c r="C652" s="799"/>
      <c r="D652" s="801"/>
      <c r="E652" s="68"/>
      <c r="F652" s="249"/>
      <c r="G652" s="82"/>
      <c r="H652" s="96"/>
      <c r="I652" s="22"/>
      <c r="J652" s="256"/>
      <c r="K652" s="20"/>
      <c r="L652" s="287"/>
      <c r="M652" s="22"/>
      <c r="N652" s="20"/>
      <c r="O652" s="20"/>
      <c r="P652" s="260"/>
      <c r="Q652" s="592">
        <f>IF(D644&lt;=3,база!$L$4,
IF(D644=4,база!$L$5,
IF(D644=5,база!$L$6)))</f>
        <v>210.57480000000001</v>
      </c>
      <c r="R652" s="249">
        <v>1.4</v>
      </c>
      <c r="S652" s="90">
        <f>SUMIFS(Таблица1[сумма],Таблица1[коэф],"1,4",Таблица1[р/р],"3/16",Таблица1[Ф. И. О.],B649)</f>
        <v>0</v>
      </c>
      <c r="T652" s="96">
        <f>ROUND(Q652*R652*S652,2)</f>
        <v>0</v>
      </c>
      <c r="U652" s="75">
        <f>IF(D644&lt;=3,база!$M$4,
IF(D644=4,база!$M$5,
IF(D644=5,база!$M$6)))</f>
        <v>225.09719999999999</v>
      </c>
      <c r="V652" s="249">
        <v>1.4</v>
      </c>
      <c r="W652" s="90">
        <f>SUMIFS(Таблица1[сумма],Таблица1[коэф],"1,4",Таблица1[р/р],"3/24",Таблица1[Ф. И. О.],B649)</f>
        <v>0</v>
      </c>
      <c r="X652" s="96">
        <f>ROUND(U652*V652*W652,2)</f>
        <v>0</v>
      </c>
      <c r="Y652" s="792"/>
      <c r="Z652" s="794"/>
      <c r="AA652" s="797"/>
    </row>
    <row r="653" spans="1:29">
      <c r="A653" s="740"/>
      <c r="B653" s="591"/>
      <c r="C653" s="799"/>
      <c r="D653" s="801"/>
      <c r="E653" s="78"/>
      <c r="F653" s="251"/>
      <c r="G653" s="601"/>
      <c r="H653" s="83"/>
      <c r="I653" s="60"/>
      <c r="J653" s="602"/>
      <c r="K653" s="53"/>
      <c r="L653" s="302"/>
      <c r="M653" s="60"/>
      <c r="N653" s="53"/>
      <c r="O653" s="53"/>
      <c r="P653" s="261"/>
      <c r="Q653" s="603">
        <f>база!$L$5</f>
        <v>231.45480000000001</v>
      </c>
      <c r="R653" s="251">
        <v>1.4</v>
      </c>
      <c r="S653" s="94">
        <f>SUMIFS(Таблица1[сумма],Таблица1[коэф],"1,4",Таблица1[р/р],"4/16",Таблица1[Ф. И. О.],B649)</f>
        <v>0</v>
      </c>
      <c r="T653" s="83">
        <f>ROUND(Q653*R653*S653,2)</f>
        <v>0</v>
      </c>
      <c r="U653" s="99">
        <f>база!$M$5</f>
        <v>247.41720000000001</v>
      </c>
      <c r="V653" s="251">
        <v>1.4</v>
      </c>
      <c r="W653" s="94">
        <f>SUMIFS(Таблица1[сумма],Таблица1[коэф],"1,4",Таблица1[р/р],"4/24",Таблица1[Ф. И. О.],B649)</f>
        <v>0</v>
      </c>
      <c r="X653" s="83">
        <f>ROUND(U653*V653*W653,2)</f>
        <v>0</v>
      </c>
      <c r="Y653" s="792"/>
      <c r="Z653" s="794"/>
      <c r="AA653" s="797"/>
    </row>
    <row r="654" spans="1:29" ht="24" thickBot="1">
      <c r="A654" s="741"/>
      <c r="B654" s="329"/>
      <c r="C654" s="800"/>
      <c r="D654" s="802"/>
      <c r="E654" s="70"/>
      <c r="F654" s="254"/>
      <c r="G654" s="593"/>
      <c r="H654" s="87"/>
      <c r="I654" s="594"/>
      <c r="J654" s="567"/>
      <c r="K654" s="595"/>
      <c r="L654" s="305"/>
      <c r="M654" s="594"/>
      <c r="N654" s="595"/>
      <c r="O654" s="595"/>
      <c r="P654" s="268"/>
      <c r="Q654" s="596">
        <f>база!$L$6</f>
        <v>261.04640000000001</v>
      </c>
      <c r="R654" s="254">
        <v>1.4</v>
      </c>
      <c r="S654" s="93">
        <f>SUMIFS(Таблица1[сумма],Таблица1[коэф],"1,4",Таблица1[р/р],"5/16",Таблица1[Ф. И. О.],B649)</f>
        <v>0</v>
      </c>
      <c r="T654" s="87">
        <f>ROUND(Q654*R654*S654,2)</f>
        <v>0</v>
      </c>
      <c r="U654" s="77">
        <f>база!$M$6</f>
        <v>279.0496</v>
      </c>
      <c r="V654" s="254">
        <v>1.4</v>
      </c>
      <c r="W654" s="93">
        <f>SUMIFS(Таблица1[сумма],Таблица1[коэф],"1,4",Таблица1[р/р],"5/24",Таблица1[Ф. И. О.],B649)</f>
        <v>0</v>
      </c>
      <c r="X654" s="87">
        <f>ROUND(U654*V654*W654,2)</f>
        <v>0</v>
      </c>
      <c r="Y654" s="793"/>
      <c r="Z654" s="795"/>
      <c r="AA654" s="798"/>
    </row>
    <row r="655" spans="1:29" ht="20.25" customHeight="1">
      <c r="A655" s="739">
        <v>60</v>
      </c>
      <c r="B655" s="591"/>
      <c r="C655" s="805">
        <f>INDEX(база!$E$2:$E$181, MATCH(B660,база!$B$2:$B$160,0))</f>
        <v>16968</v>
      </c>
      <c r="D655" s="806">
        <f>INDEX(база!$D$2:$D$189, MATCH(B660,база!$B$2:$B$160,0))</f>
        <v>3</v>
      </c>
      <c r="E655" s="68">
        <f>IF(D655&lt;=3,база!$I$4,
IF(D655=4,база!$I$5,
IF(D655=5,база!$I$6)))</f>
        <v>188.7912</v>
      </c>
      <c r="F655" s="249">
        <v>1</v>
      </c>
      <c r="G655" s="82">
        <f>SUMIFS(Таблица1[сумма],Таблица1[коэф],"1",Таблица1[р/р],"2/4",Таблица1[Ф. И. О.],B660)</f>
        <v>0</v>
      </c>
      <c r="H655" s="96">
        <f>ROUND(E655*F655*G655,2)</f>
        <v>0</v>
      </c>
      <c r="I655" s="22">
        <f>IF(D655&lt;=3,база!$J$4,
IF(D655=4,база!$J$5,
IF(D655=5,база!$J$6)))</f>
        <v>196.05240000000001</v>
      </c>
      <c r="J655" s="256">
        <v>1</v>
      </c>
      <c r="K655" s="20">
        <f>SUMIFS(Таблица1[сумма],Таблица1[коэф],"1",Таблица1[р/р],"2/8",Таблица1[Ф. И. О.],B660)</f>
        <v>0</v>
      </c>
      <c r="L655" s="287">
        <f>ROUND(I655*J655*K655,2)</f>
        <v>0</v>
      </c>
      <c r="M655" s="22"/>
      <c r="N655" s="20">
        <v>1</v>
      </c>
      <c r="O655" s="20">
        <f>SUMIFS(Data_Tech!$AM$3:$AM$67,Data_Tech!$E$3:$E$67,"1",Data_Tech!$G$3:$G$67,"3/12",Data_Tech!$F$3:$F$67,B660)</f>
        <v>0</v>
      </c>
      <c r="P655" s="260">
        <f>ROUND(M655*N655*O655,2)</f>
        <v>0</v>
      </c>
      <c r="Q655" s="592">
        <f>IF(D655&lt;=3,база!$L$4,
IF(D655=4,база!$L$5,
IF(D655=5,база!$L$6)))</f>
        <v>210.57480000000001</v>
      </c>
      <c r="R655" s="249">
        <v>1</v>
      </c>
      <c r="S655" s="90">
        <f>SUMIFS(Таблица1[сумма],Таблица1[коэф],"1",Таблица1[р/р],"3/16",Таблица1[Ф. И. О.],B660)</f>
        <v>0</v>
      </c>
      <c r="T655" s="96">
        <f t="shared" ref="T655:T659" si="405">ROUND(Q655*R655*S655,2)</f>
        <v>0</v>
      </c>
      <c r="U655" s="75">
        <f>IF(D655&lt;=3,база!$M$4,
IF(D655=4,база!$M$5,
IF(D655=5,база!$M$6)))</f>
        <v>225.09719999999999</v>
      </c>
      <c r="V655" s="249">
        <v>1</v>
      </c>
      <c r="W655" s="90">
        <f>SUMIFS(Таблица1[сумма],Таблица1[коэф],"1",Таблица1[р/р],"3/24",Таблица1[Ф. И. О.],B660)</f>
        <v>0</v>
      </c>
      <c r="X655" s="96">
        <f>ROUND(U655*V655*W655,2)</f>
        <v>0</v>
      </c>
      <c r="Y655" s="791">
        <f t="shared" ref="Y655" si="406">SUM(G655:G665,K655:K665,O655:O665,S655:S665,W655:W665)</f>
        <v>0</v>
      </c>
      <c r="Z655" s="807">
        <f t="shared" ref="Z655" si="407">IFERROR(SUM(H655:H665,L655:L665,T655:T665,X655:X665),"")</f>
        <v>0</v>
      </c>
      <c r="AA655" s="796"/>
    </row>
    <row r="656" spans="1:29">
      <c r="A656" s="740"/>
      <c r="B656" s="591"/>
      <c r="C656" s="799"/>
      <c r="D656" s="801"/>
      <c r="E656" s="68">
        <f>IF(D655&lt;=3,база!$I$4,
IF(D655=4,база!$I$5,
IF(D655=5,база!$I$6)))</f>
        <v>188.7912</v>
      </c>
      <c r="F656" s="249">
        <v>1</v>
      </c>
      <c r="G656" s="82">
        <f>SUMIFS(Таблица1[сумма],Таблица1[коэф],"1",Таблица1[р/р],"3/4",Таблица1[Ф. И. О.],B660)</f>
        <v>0</v>
      </c>
      <c r="H656" s="96">
        <f>ROUND(E656*F656*G656,2)</f>
        <v>0</v>
      </c>
      <c r="I656" s="22">
        <f>IF(D655&lt;=3,база!$J$4,
IF(D655=4,база!$J$5,
IF(D655=5,база!$J$6)))</f>
        <v>196.05240000000001</v>
      </c>
      <c r="J656" s="256">
        <v>1</v>
      </c>
      <c r="K656" s="20"/>
      <c r="L656" s="287">
        <f>ROUND(I656*J656*K656,2)</f>
        <v>0</v>
      </c>
      <c r="M656" s="22"/>
      <c r="N656" s="20">
        <v>1</v>
      </c>
      <c r="O656" s="20">
        <f>SUMIFS(Data_Tech!$AM$3:$AM$67,Data_Tech!$E$3:$E$67,"1",Data_Tech!$G$3:$G$67,"4/12",Data_Tech!$F$3:$F$67,B660)</f>
        <v>0</v>
      </c>
      <c r="P656" s="260">
        <f>ROUND(M656*O656,2)</f>
        <v>0</v>
      </c>
      <c r="Q656" s="592">
        <f>база!$L$5</f>
        <v>231.45480000000001</v>
      </c>
      <c r="R656" s="249">
        <v>1</v>
      </c>
      <c r="S656" s="90">
        <f>SUMIFS(Таблица1[сумма],Таблица1[коэф],"1",Таблица1[р/р],"4/16",Таблица1[Ф. И. О.],B660)</f>
        <v>0</v>
      </c>
      <c r="T656" s="96">
        <f t="shared" si="405"/>
        <v>0</v>
      </c>
      <c r="U656" s="75">
        <f>база!$M$5</f>
        <v>247.41720000000001</v>
      </c>
      <c r="V656" s="249">
        <v>1</v>
      </c>
      <c r="W656" s="90">
        <f>SUMIFS(Таблица1[сумма],Таблица1[коэф],"1",Таблица1[р/р],"4/24",Таблица1[Ф. И. О.],B660)</f>
        <v>0</v>
      </c>
      <c r="X656" s="96">
        <f t="shared" ref="X656" si="408">ROUND(U656*V656*W656,2)</f>
        <v>0</v>
      </c>
      <c r="Y656" s="792"/>
      <c r="Z656" s="794"/>
      <c r="AA656" s="797"/>
    </row>
    <row r="657" spans="1:29">
      <c r="A657" s="740"/>
      <c r="B657" s="591"/>
      <c r="C657" s="799"/>
      <c r="D657" s="801"/>
      <c r="E657" s="68"/>
      <c r="F657" s="249"/>
      <c r="G657" s="82"/>
      <c r="H657" s="96"/>
      <c r="I657" s="22"/>
      <c r="J657" s="256"/>
      <c r="K657" s="20"/>
      <c r="L657" s="287"/>
      <c r="M657" s="22"/>
      <c r="N657" s="20"/>
      <c r="O657" s="20"/>
      <c r="P657" s="260"/>
      <c r="Q657" s="592">
        <f>база!$L$6</f>
        <v>261.04640000000001</v>
      </c>
      <c r="R657" s="249">
        <v>1</v>
      </c>
      <c r="S657" s="90">
        <f>SUMIFS(Таблица1[сумма],Таблица1[коэф],"1",Таблица1[р/р],"5/16",Таблица1[Ф. И. О.],B660)</f>
        <v>0</v>
      </c>
      <c r="T657" s="96">
        <f t="shared" si="405"/>
        <v>0</v>
      </c>
      <c r="U657" s="75">
        <f>база!$M$6</f>
        <v>279.0496</v>
      </c>
      <c r="V657" s="249">
        <v>1</v>
      </c>
      <c r="W657" s="90">
        <f>SUMIFS(Таблица1[сумма],Таблица1[коэф],"1",Таблица1[р/р],"5/24",Таблица1[Ф. И. О.],B660)</f>
        <v>0</v>
      </c>
      <c r="X657" s="96">
        <f>ROUND(U657*V657*W657,2)</f>
        <v>0</v>
      </c>
      <c r="Y657" s="792"/>
      <c r="Z657" s="794"/>
      <c r="AA657" s="797"/>
    </row>
    <row r="658" spans="1:29">
      <c r="A658" s="740"/>
      <c r="B658" s="591"/>
      <c r="C658" s="799"/>
      <c r="D658" s="801"/>
      <c r="E658" s="68"/>
      <c r="F658" s="249"/>
      <c r="G658" s="82"/>
      <c r="H658" s="96"/>
      <c r="I658" s="22">
        <f>база!$J$5</f>
        <v>215.4924</v>
      </c>
      <c r="J658" s="256">
        <v>1.5</v>
      </c>
      <c r="K658" s="20">
        <f>SUMIFS(Таблица1[сумма],Таблица1[коэф],"1,5",Таблица1[р/р],"4/8",Таблица1[Ф. И. О.],B660)</f>
        <v>0</v>
      </c>
      <c r="L658" s="287">
        <f>ROUND(I658*J658*K658,2)</f>
        <v>0</v>
      </c>
      <c r="M658" s="22"/>
      <c r="N658" s="20"/>
      <c r="O658" s="20"/>
      <c r="P658" s="260"/>
      <c r="Q658" s="592">
        <f>IF(D655&lt;=3,база!$L$4,
IF(D655=4,база!$L$5,
IF(D655=5,база!$L$6)))</f>
        <v>210.57480000000001</v>
      </c>
      <c r="R658" s="249">
        <v>1.2</v>
      </c>
      <c r="S658" s="90">
        <f>SUMIFS(Таблица1[сумма],Таблица1[коэф],"1,2",Таблица1[р/р],"3/16",Таблица1[Ф. И. О.],B660)</f>
        <v>0</v>
      </c>
      <c r="T658" s="96">
        <f t="shared" si="405"/>
        <v>0</v>
      </c>
      <c r="U658" s="75">
        <f>IF(D655&lt;=3,база!$M$4,
IF(D655=4,база!$M$5,
IF(D655=5,база!$M$6)))</f>
        <v>225.09719999999999</v>
      </c>
      <c r="V658" s="249">
        <v>1.2</v>
      </c>
      <c r="W658" s="90">
        <f>SUMIFS(Таблица1[сумма],Таблица1[коэф],"1,2",Таблица1[р/р],"3/24",Таблица1[Ф. И. О.],B660)</f>
        <v>0</v>
      </c>
      <c r="X658" s="96">
        <f t="shared" ref="X658:X659" si="409">ROUND(U658*V658*W658,2)</f>
        <v>0</v>
      </c>
      <c r="Y658" s="792"/>
      <c r="Z658" s="794"/>
      <c r="AA658" s="797"/>
    </row>
    <row r="659" spans="1:29">
      <c r="A659" s="740"/>
      <c r="B659" s="591"/>
      <c r="C659" s="799"/>
      <c r="D659" s="801"/>
      <c r="E659" s="68"/>
      <c r="F659" s="249"/>
      <c r="G659" s="82"/>
      <c r="H659" s="96"/>
      <c r="I659" s="22">
        <f>база!$J$6</f>
        <v>243.04319999999998</v>
      </c>
      <c r="J659" s="256">
        <v>1.5</v>
      </c>
      <c r="K659" s="20">
        <f>SUMIFS(Таблица1[сумма],Таблица1[коэф],"1,5",Таблица1[р/р],"5/8",Таблица1[Ф. И. О.],B660)</f>
        <v>0</v>
      </c>
      <c r="L659" s="287">
        <f>ROUND(I659*J659*K659,2)</f>
        <v>0</v>
      </c>
      <c r="M659" s="22"/>
      <c r="N659" s="20"/>
      <c r="O659" s="20"/>
      <c r="P659" s="260"/>
      <c r="Q659" s="592">
        <f>база!$L$5</f>
        <v>231.45480000000001</v>
      </c>
      <c r="R659" s="249">
        <v>1.2</v>
      </c>
      <c r="S659" s="90">
        <f>SUMIFS(Таблица1[сумма],Таблица1[коэф],"1,2",Таблица1[р/р],"4/16",Таблица1[Ф. И. О.],B660)</f>
        <v>0</v>
      </c>
      <c r="T659" s="96">
        <f t="shared" si="405"/>
        <v>0</v>
      </c>
      <c r="U659" s="75">
        <f>база!$M$5</f>
        <v>247.41720000000001</v>
      </c>
      <c r="V659" s="249">
        <v>1.2</v>
      </c>
      <c r="W659" s="90">
        <f>SUMIFS(Таблица1[сумма],Таблица1[коэф],"1,2",Таблица1[р/р],"4/24",Таблица1[Ф. И. О.],B660)</f>
        <v>0</v>
      </c>
      <c r="X659" s="96">
        <f t="shared" si="409"/>
        <v>0</v>
      </c>
      <c r="Y659" s="792"/>
      <c r="Z659" s="794"/>
      <c r="AA659" s="797"/>
      <c r="AC659" s="688" t="str">
        <f>IF(SUMIFS(Таблица1[Столбец2],Таблица1[Ф. И. О.],B660)-Z655=0,"",SUMIFS(Таблица1[Столбец2],Таблица1[Ф. И. О.],B660)-Z655)</f>
        <v/>
      </c>
    </row>
    <row r="660" spans="1:29">
      <c r="A660" s="740"/>
      <c r="B660" s="591" t="str">
        <f>база!B61</f>
        <v>Попова Ольга Геннадьевна</v>
      </c>
      <c r="C660" s="799"/>
      <c r="D660" s="801"/>
      <c r="E660" s="68"/>
      <c r="F660" s="249"/>
      <c r="G660" s="82"/>
      <c r="H660" s="96"/>
      <c r="I660" s="22"/>
      <c r="J660" s="256"/>
      <c r="K660" s="20"/>
      <c r="L660" s="287"/>
      <c r="M660" s="22"/>
      <c r="N660" s="20"/>
      <c r="O660" s="20"/>
      <c r="P660" s="260"/>
      <c r="Q660" s="592">
        <f>база!$L$6</f>
        <v>261.04640000000001</v>
      </c>
      <c r="R660" s="249">
        <v>1.2</v>
      </c>
      <c r="S660" s="90">
        <f>SUMIFS(Таблица1[сумма],Таблица1[коэф],"1,2",Таблица1[р/р],"5/16",Таблица1[Ф. И. О.],B660)</f>
        <v>0</v>
      </c>
      <c r="T660" s="96">
        <f>ROUND(Q660*R660*S660,2)</f>
        <v>0</v>
      </c>
      <c r="U660" s="75">
        <f>база!$M$6</f>
        <v>279.0496</v>
      </c>
      <c r="V660" s="249">
        <v>1.2</v>
      </c>
      <c r="W660" s="90">
        <f>SUMIFS(Таблица1[сумма],Таблица1[коэф],"1,2",Таблица1[р/р],"5/24",Таблица1[Ф. И. О.],B660)</f>
        <v>0</v>
      </c>
      <c r="X660" s="96">
        <f>ROUND(U660*V660*W660,2)</f>
        <v>0</v>
      </c>
      <c r="Y660" s="792"/>
      <c r="Z660" s="794"/>
      <c r="AA660" s="797"/>
      <c r="AC660" s="688" t="str">
        <f>IF(SUMIFS(Таблица1[сумма],Таблица1[Ф. И. О.],B660)=Y655,"",B655&amp;"  часы не верны")</f>
        <v/>
      </c>
    </row>
    <row r="661" spans="1:29">
      <c r="A661" s="740"/>
      <c r="B661" s="591"/>
      <c r="C661" s="799"/>
      <c r="D661" s="801"/>
      <c r="E661" s="68"/>
      <c r="F661" s="249"/>
      <c r="G661" s="82"/>
      <c r="H661" s="96"/>
      <c r="I661" s="22"/>
      <c r="J661" s="256"/>
      <c r="K661" s="20"/>
      <c r="L661" s="287"/>
      <c r="M661" s="22"/>
      <c r="N661" s="20"/>
      <c r="O661" s="20"/>
      <c r="P661" s="260"/>
      <c r="Q661" s="592">
        <f>IF($D$6&lt;=3,база!$L$4,
IF($D$6=4,база!$L$5,
IF($D$6=5,база!$L$6)))</f>
        <v>231.45480000000001</v>
      </c>
      <c r="R661" s="249">
        <v>1.3</v>
      </c>
      <c r="S661" s="90">
        <f>SUMIFS(Таблица1[сумма],Таблица1[коэф],"1,3",Таблица1[р/р],"3/16",Таблица1[Ф. И. О.],B660)</f>
        <v>0</v>
      </c>
      <c r="T661" s="96">
        <f t="shared" ref="T661:T662" si="410">ROUND(Q661*R661*S661,2)</f>
        <v>0</v>
      </c>
      <c r="U661" s="75">
        <f>IF(D655&lt;=3,база!$M$4,
IF(D655=4,база!$M$5,
IF(D655=5,база!$M$6)))</f>
        <v>225.09719999999999</v>
      </c>
      <c r="V661" s="249">
        <v>1.3</v>
      </c>
      <c r="W661" s="90">
        <f>SUMIFS(Таблица1[сумма],Таблица1[коэф],"1,3",Таблица1[р/р],"3/24",Таблица1[Ф. И. О.],B660)</f>
        <v>0</v>
      </c>
      <c r="X661" s="96">
        <f t="shared" ref="X661:X662" si="411">ROUND(U661*V661*W661,2)</f>
        <v>0</v>
      </c>
      <c r="Y661" s="792"/>
      <c r="Z661" s="794"/>
      <c r="AA661" s="797"/>
    </row>
    <row r="662" spans="1:29">
      <c r="A662" s="740"/>
      <c r="B662" s="591"/>
      <c r="C662" s="799"/>
      <c r="D662" s="801"/>
      <c r="E662" s="68"/>
      <c r="F662" s="249"/>
      <c r="G662" s="82"/>
      <c r="H662" s="96"/>
      <c r="I662" s="22"/>
      <c r="J662" s="256"/>
      <c r="K662" s="20"/>
      <c r="L662" s="287"/>
      <c r="M662" s="22"/>
      <c r="N662" s="20"/>
      <c r="O662" s="20"/>
      <c r="P662" s="260"/>
      <c r="Q662" s="592">
        <f>база!$L$5</f>
        <v>231.45480000000001</v>
      </c>
      <c r="R662" s="249">
        <v>1.3</v>
      </c>
      <c r="S662" s="90">
        <f>SUMIFS(Таблица1[сумма],Таблица1[коэф],"1,3",Таблица1[р/р],"4/16",Таблица1[Ф. И. О.],B660)</f>
        <v>0</v>
      </c>
      <c r="T662" s="96">
        <f t="shared" si="410"/>
        <v>0</v>
      </c>
      <c r="U662" s="75">
        <f>база!$M$5</f>
        <v>247.41720000000001</v>
      </c>
      <c r="V662" s="249">
        <v>1.3</v>
      </c>
      <c r="W662" s="90">
        <f>SUMIFS(Таблица1[сумма],Таблица1[коэф],"1,3",Таблица1[р/р],"4/24",Таблица1[Ф. И. О.],B660)</f>
        <v>0</v>
      </c>
      <c r="X662" s="96">
        <f t="shared" si="411"/>
        <v>0</v>
      </c>
      <c r="Y662" s="792"/>
      <c r="Z662" s="794"/>
      <c r="AA662" s="797"/>
    </row>
    <row r="663" spans="1:29">
      <c r="A663" s="740"/>
      <c r="B663" s="591"/>
      <c r="C663" s="799"/>
      <c r="D663" s="801"/>
      <c r="E663" s="68"/>
      <c r="F663" s="249"/>
      <c r="G663" s="82"/>
      <c r="H663" s="96"/>
      <c r="I663" s="22"/>
      <c r="J663" s="256"/>
      <c r="K663" s="20"/>
      <c r="L663" s="287"/>
      <c r="M663" s="22"/>
      <c r="N663" s="20"/>
      <c r="O663" s="20"/>
      <c r="P663" s="260"/>
      <c r="Q663" s="592">
        <f>IF(D655&lt;=3,база!$L$4,
IF(D655=4,база!$L$5,
IF(D655=5,база!$L$6)))</f>
        <v>210.57480000000001</v>
      </c>
      <c r="R663" s="249">
        <v>1.4</v>
      </c>
      <c r="S663" s="90">
        <f>SUMIFS(Таблица1[сумма],Таблица1[коэф],"1,4",Таблица1[р/р],"3/16",Таблица1[Ф. И. О.],B660)</f>
        <v>0</v>
      </c>
      <c r="T663" s="96">
        <f>ROUND(Q663*R663*S663,2)</f>
        <v>0</v>
      </c>
      <c r="U663" s="75">
        <f>IF(D655&lt;=3,база!$M$4,
IF(D655=4,база!$M$5,
IF(D655=5,база!$M$6)))</f>
        <v>225.09719999999999</v>
      </c>
      <c r="V663" s="249">
        <v>1.4</v>
      </c>
      <c r="W663" s="90">
        <f>SUMIFS(Таблица1[сумма],Таблица1[коэф],"1,4",Таблица1[р/р],"3/24",Таблица1[Ф. И. О.],B660)</f>
        <v>0</v>
      </c>
      <c r="X663" s="96">
        <f>ROUND(U663*V663*W663,2)</f>
        <v>0</v>
      </c>
      <c r="Y663" s="792"/>
      <c r="Z663" s="794"/>
      <c r="AA663" s="797"/>
    </row>
    <row r="664" spans="1:29">
      <c r="A664" s="740"/>
      <c r="B664" s="591"/>
      <c r="C664" s="799"/>
      <c r="D664" s="801"/>
      <c r="E664" s="78"/>
      <c r="F664" s="251"/>
      <c r="G664" s="601"/>
      <c r="H664" s="83"/>
      <c r="I664" s="60"/>
      <c r="J664" s="602"/>
      <c r="K664" s="53"/>
      <c r="L664" s="302"/>
      <c r="M664" s="60"/>
      <c r="N664" s="53"/>
      <c r="O664" s="53"/>
      <c r="P664" s="261"/>
      <c r="Q664" s="603">
        <f>база!$L$5</f>
        <v>231.45480000000001</v>
      </c>
      <c r="R664" s="251">
        <v>1.4</v>
      </c>
      <c r="S664" s="94">
        <f>SUMIFS(Таблица1[сумма],Таблица1[коэф],"1,4",Таблица1[р/р],"4/16",Таблица1[Ф. И. О.],B660)</f>
        <v>0</v>
      </c>
      <c r="T664" s="83">
        <f>ROUND(Q664*R664*S664,2)</f>
        <v>0</v>
      </c>
      <c r="U664" s="99">
        <f>база!$M$5</f>
        <v>247.41720000000001</v>
      </c>
      <c r="V664" s="251">
        <v>1.4</v>
      </c>
      <c r="W664" s="94">
        <f>SUMIFS(Таблица1[сумма],Таблица1[коэф],"1,4",Таблица1[р/р],"4/24",Таблица1[Ф. И. О.],B660)</f>
        <v>0</v>
      </c>
      <c r="X664" s="83">
        <f>ROUND(U664*V664*W664,2)</f>
        <v>0</v>
      </c>
      <c r="Y664" s="792"/>
      <c r="Z664" s="794"/>
      <c r="AA664" s="797"/>
    </row>
    <row r="665" spans="1:29" ht="24" thickBot="1">
      <c r="A665" s="741"/>
      <c r="B665" s="329"/>
      <c r="C665" s="800"/>
      <c r="D665" s="802"/>
      <c r="E665" s="70"/>
      <c r="F665" s="254"/>
      <c r="G665" s="593"/>
      <c r="H665" s="87"/>
      <c r="I665" s="594"/>
      <c r="J665" s="567"/>
      <c r="K665" s="595"/>
      <c r="L665" s="305"/>
      <c r="M665" s="594"/>
      <c r="N665" s="595"/>
      <c r="O665" s="595"/>
      <c r="P665" s="268"/>
      <c r="Q665" s="596">
        <f>база!$L$6</f>
        <v>261.04640000000001</v>
      </c>
      <c r="R665" s="254">
        <v>1.4</v>
      </c>
      <c r="S665" s="93">
        <f>SUMIFS(Таблица1[сумма],Таблица1[коэф],"1,4",Таблица1[р/р],"5/16",Таблица1[Ф. И. О.],B660)</f>
        <v>0</v>
      </c>
      <c r="T665" s="87">
        <f>ROUND(Q665*R665*S665,2)</f>
        <v>0</v>
      </c>
      <c r="U665" s="77">
        <f>база!$M$6</f>
        <v>279.0496</v>
      </c>
      <c r="V665" s="254">
        <v>1.4</v>
      </c>
      <c r="W665" s="93">
        <f>SUMIFS(Таблица1[сумма],Таблица1[коэф],"1,4",Таблица1[р/р],"5/24",Таблица1[Ф. И. О.],B660)</f>
        <v>0</v>
      </c>
      <c r="X665" s="87">
        <f>ROUND(U665*V665*W665,2)</f>
        <v>0</v>
      </c>
      <c r="Y665" s="793"/>
      <c r="Z665" s="795"/>
      <c r="AA665" s="798"/>
    </row>
    <row r="666" spans="1:29" ht="20.25" customHeight="1">
      <c r="A666" s="739">
        <v>61</v>
      </c>
      <c r="B666" s="591"/>
      <c r="C666" s="805">
        <f>INDEX(база!$E$2:$E$181, MATCH(B671,база!$B$2:$B$160,0))</f>
        <v>15098</v>
      </c>
      <c r="D666" s="806">
        <f>INDEX(база!$D$2:$D$189, MATCH(B671,база!$B$2:$B$160,0))</f>
        <v>3</v>
      </c>
      <c r="E666" s="68">
        <f>IF(D666&lt;=3,база!$I$4,
IF(D666=4,база!$I$5,
IF(D666=5,база!$I$6)))</f>
        <v>188.7912</v>
      </c>
      <c r="F666" s="249">
        <v>1</v>
      </c>
      <c r="G666" s="82">
        <f>SUMIFS(Таблица1[сумма],Таблица1[коэф],"1",Таблица1[р/р],"2/4",Таблица1[Ф. И. О.],B671)</f>
        <v>0</v>
      </c>
      <c r="H666" s="96">
        <f>ROUND(E666*F666*G666,2)</f>
        <v>0</v>
      </c>
      <c r="I666" s="22">
        <f>IF(D666&lt;=3,база!$J$4,
IF(D666=4,база!$J$5,
IF(D666=5,база!$J$6)))</f>
        <v>196.05240000000001</v>
      </c>
      <c r="J666" s="256">
        <v>1</v>
      </c>
      <c r="K666" s="20">
        <f>SUMIFS(Таблица1[сумма],Таблица1[коэф],"1",Таблица1[р/р],"2/8",Таблица1[Ф. И. О.],B671)</f>
        <v>0</v>
      </c>
      <c r="L666" s="287">
        <f>ROUND(I666*J666*K666,2)</f>
        <v>0</v>
      </c>
      <c r="M666" s="22"/>
      <c r="N666" s="20">
        <v>1</v>
      </c>
      <c r="O666" s="20">
        <f>SUMIFS(Data_Tech!$AM$3:$AM$67,Data_Tech!$E$3:$E$67,"1",Data_Tech!$G$3:$G$67,"3/12",Data_Tech!$F$3:$F$67,B671)</f>
        <v>0</v>
      </c>
      <c r="P666" s="260">
        <f>ROUND(M666*N666*O666,2)</f>
        <v>0</v>
      </c>
      <c r="Q666" s="592">
        <f>IF(D666&lt;=3,база!$L$4,
IF(D666=4,база!$L$5,
IF(D666=5,база!$L$6)))</f>
        <v>210.57480000000001</v>
      </c>
      <c r="R666" s="249">
        <v>1</v>
      </c>
      <c r="S666" s="90">
        <f>SUMIFS(Таблица1[сумма],Таблица1[коэф],"1",Таблица1[р/р],"3/16",Таблица1[Ф. И. О.],B671)</f>
        <v>0</v>
      </c>
      <c r="T666" s="96">
        <f t="shared" ref="T666:T670" si="412">ROUND(Q666*R666*S666,2)</f>
        <v>0</v>
      </c>
      <c r="U666" s="75">
        <f>IF(D666&lt;=3,база!$M$4,
IF(D666=4,база!$M$5,
IF(D666=5,база!$M$6)))</f>
        <v>225.09719999999999</v>
      </c>
      <c r="V666" s="249">
        <v>1</v>
      </c>
      <c r="W666" s="90">
        <f>SUMIFS(Таблица1[сумма],Таблица1[коэф],"1",Таблица1[р/р],"3/24",Таблица1[Ф. И. О.],B671)</f>
        <v>0</v>
      </c>
      <c r="X666" s="96">
        <f>ROUND(U666*V666*W666,2)</f>
        <v>0</v>
      </c>
      <c r="Y666" s="791">
        <f t="shared" ref="Y666" si="413">SUM(G666:G676,K666:K676,O666:O676,S666:S676,W666:W676)</f>
        <v>0</v>
      </c>
      <c r="Z666" s="807">
        <f t="shared" ref="Z666" si="414">IFERROR(SUM(H666:H676,L666:L676,T666:T676,X666:X676),"")</f>
        <v>0</v>
      </c>
      <c r="AA666" s="796"/>
    </row>
    <row r="667" spans="1:29">
      <c r="A667" s="740"/>
      <c r="B667" s="591"/>
      <c r="C667" s="799"/>
      <c r="D667" s="801"/>
      <c r="E667" s="68">
        <f>IF(D666&lt;=3,база!$I$4,
IF(D666=4,база!$I$5,
IF(D666=5,база!$I$6)))</f>
        <v>188.7912</v>
      </c>
      <c r="F667" s="249">
        <v>1</v>
      </c>
      <c r="G667" s="82">
        <f>SUMIFS(Таблица1[сумма],Таблица1[коэф],"1",Таблица1[р/р],"3/4",Таблица1[Ф. И. О.],B671)</f>
        <v>0</v>
      </c>
      <c r="H667" s="96">
        <f>ROUND(E667*F667*G667,2)</f>
        <v>0</v>
      </c>
      <c r="I667" s="22">
        <f>IF(D666&lt;=3,база!$J$4,
IF(D666=4,база!$J$5,
IF(D666=5,база!$J$6)))</f>
        <v>196.05240000000001</v>
      </c>
      <c r="J667" s="256">
        <v>1</v>
      </c>
      <c r="K667" s="20"/>
      <c r="L667" s="287">
        <f>ROUND(I667*J667*K667,2)</f>
        <v>0</v>
      </c>
      <c r="M667" s="22"/>
      <c r="N667" s="20">
        <v>1</v>
      </c>
      <c r="O667" s="20">
        <f>SUMIFS(Data_Tech!$AM$3:$AM$67,Data_Tech!$E$3:$E$67,"1",Data_Tech!$G$3:$G$67,"4/12",Data_Tech!$F$3:$F$67,B671)</f>
        <v>0</v>
      </c>
      <c r="P667" s="260">
        <f>ROUND(M667*O667,2)</f>
        <v>0</v>
      </c>
      <c r="Q667" s="592">
        <f>база!$L$5</f>
        <v>231.45480000000001</v>
      </c>
      <c r="R667" s="249">
        <v>1</v>
      </c>
      <c r="S667" s="90">
        <f>SUMIFS(Таблица1[сумма],Таблица1[коэф],"1",Таблица1[р/р],"4/16",Таблица1[Ф. И. О.],B671)</f>
        <v>0</v>
      </c>
      <c r="T667" s="96">
        <f t="shared" si="412"/>
        <v>0</v>
      </c>
      <c r="U667" s="75">
        <f>база!$M$5</f>
        <v>247.41720000000001</v>
      </c>
      <c r="V667" s="249">
        <v>1</v>
      </c>
      <c r="W667" s="90">
        <f>SUMIFS(Таблица1[сумма],Таблица1[коэф],"1",Таблица1[р/р],"4/24",Таблица1[Ф. И. О.],B671)</f>
        <v>0</v>
      </c>
      <c r="X667" s="96">
        <f t="shared" ref="X667" si="415">ROUND(U667*V667*W667,2)</f>
        <v>0</v>
      </c>
      <c r="Y667" s="792"/>
      <c r="Z667" s="794"/>
      <c r="AA667" s="797"/>
    </row>
    <row r="668" spans="1:29">
      <c r="A668" s="740"/>
      <c r="B668" s="591"/>
      <c r="C668" s="799"/>
      <c r="D668" s="801"/>
      <c r="E668" s="68"/>
      <c r="F668" s="249"/>
      <c r="G668" s="82"/>
      <c r="H668" s="96"/>
      <c r="I668" s="22"/>
      <c r="J668" s="256"/>
      <c r="K668" s="20"/>
      <c r="L668" s="287"/>
      <c r="M668" s="22"/>
      <c r="N668" s="20"/>
      <c r="O668" s="20"/>
      <c r="P668" s="260"/>
      <c r="Q668" s="592">
        <f>база!$L$6</f>
        <v>261.04640000000001</v>
      </c>
      <c r="R668" s="249">
        <v>1</v>
      </c>
      <c r="S668" s="90">
        <f>SUMIFS(Таблица1[сумма],Таблица1[коэф],"1",Таблица1[р/р],"5/16",Таблица1[Ф. И. О.],B671)</f>
        <v>0</v>
      </c>
      <c r="T668" s="96">
        <f t="shared" si="412"/>
        <v>0</v>
      </c>
      <c r="U668" s="75">
        <f>база!$M$6</f>
        <v>279.0496</v>
      </c>
      <c r="V668" s="249">
        <v>1</v>
      </c>
      <c r="W668" s="90">
        <f>SUMIFS(Таблица1[сумма],Таблица1[коэф],"1",Таблица1[р/р],"5/24",Таблица1[Ф. И. О.],B671)</f>
        <v>0</v>
      </c>
      <c r="X668" s="96">
        <f>ROUND(U668*V668*W668,2)</f>
        <v>0</v>
      </c>
      <c r="Y668" s="792"/>
      <c r="Z668" s="794"/>
      <c r="AA668" s="797"/>
    </row>
    <row r="669" spans="1:29">
      <c r="A669" s="740"/>
      <c r="B669" s="591"/>
      <c r="C669" s="799"/>
      <c r="D669" s="801"/>
      <c r="E669" s="68"/>
      <c r="F669" s="249"/>
      <c r="G669" s="82"/>
      <c r="H669" s="96"/>
      <c r="I669" s="22">
        <f>база!$J$5</f>
        <v>215.4924</v>
      </c>
      <c r="J669" s="256">
        <v>1.5</v>
      </c>
      <c r="K669" s="20">
        <f>SUMIFS(Таблица1[сумма],Таблица1[коэф],"1,5",Таблица1[р/р],"4/8",Таблица1[Ф. И. О.],B671)</f>
        <v>0</v>
      </c>
      <c r="L669" s="287">
        <f>ROUND(I669*J669*K669,2)</f>
        <v>0</v>
      </c>
      <c r="M669" s="22"/>
      <c r="N669" s="20"/>
      <c r="O669" s="20"/>
      <c r="P669" s="260"/>
      <c r="Q669" s="592">
        <f>IF(D666&lt;=3,база!$L$4,
IF(D666=4,база!$L$5,
IF(D666=5,база!$L$6)))</f>
        <v>210.57480000000001</v>
      </c>
      <c r="R669" s="249">
        <v>1.2</v>
      </c>
      <c r="S669" s="90">
        <f>SUMIFS(Таблица1[сумма],Таблица1[коэф],"1,2",Таблица1[р/р],"3/16",Таблица1[Ф. И. О.],B671)</f>
        <v>0</v>
      </c>
      <c r="T669" s="96">
        <f t="shared" si="412"/>
        <v>0</v>
      </c>
      <c r="U669" s="75">
        <f>IF(D666&lt;=3,база!$M$4,
IF(D666=4,база!$M$5,
IF(D666=5,база!$M$6)))</f>
        <v>225.09719999999999</v>
      </c>
      <c r="V669" s="249">
        <v>1.2</v>
      </c>
      <c r="W669" s="90">
        <f>SUMIFS(Таблица1[сумма],Таблица1[коэф],"1,2",Таблица1[р/р],"3/24",Таблица1[Ф. И. О.],B671)</f>
        <v>0</v>
      </c>
      <c r="X669" s="96">
        <f t="shared" ref="X669:X670" si="416">ROUND(U669*V669*W669,2)</f>
        <v>0</v>
      </c>
      <c r="Y669" s="792"/>
      <c r="Z669" s="794"/>
      <c r="AA669" s="797"/>
    </row>
    <row r="670" spans="1:29">
      <c r="A670" s="740"/>
      <c r="B670" s="591"/>
      <c r="C670" s="799"/>
      <c r="D670" s="801"/>
      <c r="E670" s="68"/>
      <c r="F670" s="249"/>
      <c r="G670" s="82"/>
      <c r="H670" s="96"/>
      <c r="I670" s="22">
        <f>база!$J$6</f>
        <v>243.04319999999998</v>
      </c>
      <c r="J670" s="256">
        <v>1.5</v>
      </c>
      <c r="K670" s="20">
        <f>SUMIFS(Таблица1[сумма],Таблица1[коэф],"1,5",Таблица1[р/р],"5/8",Таблица1[Ф. И. О.],B671)</f>
        <v>0</v>
      </c>
      <c r="L670" s="287">
        <f>ROUND(I670*J670*K670,2)</f>
        <v>0</v>
      </c>
      <c r="M670" s="22"/>
      <c r="N670" s="20"/>
      <c r="O670" s="20"/>
      <c r="P670" s="260"/>
      <c r="Q670" s="592">
        <f>база!$L$5</f>
        <v>231.45480000000001</v>
      </c>
      <c r="R670" s="249">
        <v>1.2</v>
      </c>
      <c r="S670" s="90">
        <f>SUMIFS(Таблица1[сумма],Таблица1[коэф],"1,2",Таблица1[р/р],"4/16",Таблица1[Ф. И. О.],B671)</f>
        <v>0</v>
      </c>
      <c r="T670" s="96">
        <f t="shared" si="412"/>
        <v>0</v>
      </c>
      <c r="U670" s="75">
        <f>база!$M$5</f>
        <v>247.41720000000001</v>
      </c>
      <c r="V670" s="249">
        <v>1.2</v>
      </c>
      <c r="W670" s="90">
        <f>SUMIFS(Таблица1[сумма],Таблица1[коэф],"1,2",Таблица1[р/р],"4/24",Таблица1[Ф. И. О.],B671)</f>
        <v>0</v>
      </c>
      <c r="X670" s="96">
        <f t="shared" si="416"/>
        <v>0</v>
      </c>
      <c r="Y670" s="792"/>
      <c r="Z670" s="794"/>
      <c r="AA670" s="797"/>
      <c r="AC670" s="688" t="str">
        <f>IF(SUMIFS(Таблица1[Столбец2],Таблица1[Ф. И. О.],B671)-Z666=0,"",SUMIFS(Таблица1[Столбец2],Таблица1[Ф. И. О.],B671)-Z666)</f>
        <v/>
      </c>
    </row>
    <row r="671" spans="1:29">
      <c r="A671" s="740"/>
      <c r="B671" s="591" t="str">
        <f>база!B62</f>
        <v>Потемкина Елена Анатольевна</v>
      </c>
      <c r="C671" s="799"/>
      <c r="D671" s="801"/>
      <c r="E671" s="68"/>
      <c r="F671" s="249"/>
      <c r="G671" s="82"/>
      <c r="H671" s="96"/>
      <c r="I671" s="22"/>
      <c r="J671" s="256"/>
      <c r="K671" s="20"/>
      <c r="L671" s="287"/>
      <c r="M671" s="22"/>
      <c r="N671" s="20"/>
      <c r="O671" s="20"/>
      <c r="P671" s="260"/>
      <c r="Q671" s="592">
        <f>база!$L$6</f>
        <v>261.04640000000001</v>
      </c>
      <c r="R671" s="249">
        <v>1.2</v>
      </c>
      <c r="S671" s="90">
        <f>SUMIFS(Таблица1[сумма],Таблица1[коэф],"1,2",Таблица1[р/р],"5/16",Таблица1[Ф. И. О.],B671)</f>
        <v>0</v>
      </c>
      <c r="T671" s="96">
        <f>ROUND(Q671*R671*S671,2)</f>
        <v>0</v>
      </c>
      <c r="U671" s="75">
        <f>база!$M$6</f>
        <v>279.0496</v>
      </c>
      <c r="V671" s="249">
        <v>1.2</v>
      </c>
      <c r="W671" s="90">
        <f>SUMIFS(Таблица1[сумма],Таблица1[коэф],"1,2",Таблица1[р/р],"5/24",Таблица1[Ф. И. О.],B671)</f>
        <v>0</v>
      </c>
      <c r="X671" s="96">
        <f>ROUND(U671*V671*W671,2)</f>
        <v>0</v>
      </c>
      <c r="Y671" s="792"/>
      <c r="Z671" s="794"/>
      <c r="AA671" s="797"/>
      <c r="AC671" s="688" t="str">
        <f>IF(SUMIFS(Таблица1[сумма],Таблица1[Ф. И. О.],B671)=Y666,"",B666&amp;"  часы не верны")</f>
        <v/>
      </c>
    </row>
    <row r="672" spans="1:29">
      <c r="A672" s="740"/>
      <c r="B672" s="591"/>
      <c r="C672" s="799"/>
      <c r="D672" s="801"/>
      <c r="E672" s="68"/>
      <c r="F672" s="249"/>
      <c r="G672" s="82"/>
      <c r="H672" s="96"/>
      <c r="I672" s="22"/>
      <c r="J672" s="256"/>
      <c r="K672" s="20"/>
      <c r="L672" s="287"/>
      <c r="M672" s="22"/>
      <c r="N672" s="20"/>
      <c r="O672" s="20"/>
      <c r="P672" s="260"/>
      <c r="Q672" s="592">
        <f>IF($D$6&lt;=3,база!$L$4,
IF($D$6=4,база!$L$5,
IF($D$6=5,база!$L$6)))</f>
        <v>231.45480000000001</v>
      </c>
      <c r="R672" s="249">
        <v>1.3</v>
      </c>
      <c r="S672" s="90">
        <f>SUMIFS(Таблица1[сумма],Таблица1[коэф],"1,3",Таблица1[р/р],"3/16",Таблица1[Ф. И. О.],B671)</f>
        <v>0</v>
      </c>
      <c r="T672" s="96">
        <f t="shared" ref="T672:T673" si="417">ROUND(Q672*R672*S672,2)</f>
        <v>0</v>
      </c>
      <c r="U672" s="75">
        <f>IF(D666&lt;=3,база!$M$4,
IF(D666=4,база!$M$5,
IF(D666=5,база!$M$6)))</f>
        <v>225.09719999999999</v>
      </c>
      <c r="V672" s="249">
        <v>1.3</v>
      </c>
      <c r="W672" s="90">
        <f>SUMIFS(Таблица1[сумма],Таблица1[коэф],"1,3",Таблица1[р/р],"3/24",Таблица1[Ф. И. О.],B671)</f>
        <v>0</v>
      </c>
      <c r="X672" s="96">
        <f t="shared" ref="X672:X673" si="418">ROUND(U672*V672*W672,2)</f>
        <v>0</v>
      </c>
      <c r="Y672" s="792"/>
      <c r="Z672" s="794"/>
      <c r="AA672" s="797"/>
    </row>
    <row r="673" spans="1:29">
      <c r="A673" s="740"/>
      <c r="B673" s="591"/>
      <c r="C673" s="799"/>
      <c r="D673" s="801"/>
      <c r="E673" s="68"/>
      <c r="F673" s="249"/>
      <c r="G673" s="82"/>
      <c r="H673" s="96"/>
      <c r="I673" s="22"/>
      <c r="J673" s="256"/>
      <c r="K673" s="20"/>
      <c r="L673" s="287"/>
      <c r="M673" s="22"/>
      <c r="N673" s="20"/>
      <c r="O673" s="20"/>
      <c r="P673" s="260"/>
      <c r="Q673" s="592">
        <f>база!$L$5</f>
        <v>231.45480000000001</v>
      </c>
      <c r="R673" s="249">
        <v>1.3</v>
      </c>
      <c r="S673" s="90">
        <f>SUMIFS(Таблица1[сумма],Таблица1[коэф],"1,3",Таблица1[р/р],"4/16",Таблица1[Ф. И. О.],B671)</f>
        <v>0</v>
      </c>
      <c r="T673" s="96">
        <f t="shared" si="417"/>
        <v>0</v>
      </c>
      <c r="U673" s="75">
        <f>база!$M$5</f>
        <v>247.41720000000001</v>
      </c>
      <c r="V673" s="249">
        <v>1.3</v>
      </c>
      <c r="W673" s="90">
        <f>SUMIFS(Таблица1[сумма],Таблица1[коэф],"1,3",Таблица1[р/р],"4/24",Таблица1[Ф. И. О.],B671)</f>
        <v>0</v>
      </c>
      <c r="X673" s="96">
        <f t="shared" si="418"/>
        <v>0</v>
      </c>
      <c r="Y673" s="792"/>
      <c r="Z673" s="794"/>
      <c r="AA673" s="797"/>
    </row>
    <row r="674" spans="1:29">
      <c r="A674" s="740"/>
      <c r="B674" s="591"/>
      <c r="C674" s="799"/>
      <c r="D674" s="801"/>
      <c r="E674" s="68"/>
      <c r="F674" s="249"/>
      <c r="G674" s="82"/>
      <c r="H674" s="96"/>
      <c r="I674" s="22"/>
      <c r="J674" s="256"/>
      <c r="K674" s="20"/>
      <c r="L674" s="287"/>
      <c r="M674" s="22"/>
      <c r="N674" s="20"/>
      <c r="O674" s="20"/>
      <c r="P674" s="260"/>
      <c r="Q674" s="592">
        <f>IF(D666&lt;=3,база!$L$4,
IF(D666=4,база!$L$5,
IF(D666=5,база!$L$6)))</f>
        <v>210.57480000000001</v>
      </c>
      <c r="R674" s="249">
        <v>1.4</v>
      </c>
      <c r="S674" s="90">
        <f>SUMIFS(Таблица1[сумма],Таблица1[коэф],"1,4",Таблица1[р/р],"3/16",Таблица1[Ф. И. О.],B671)</f>
        <v>0</v>
      </c>
      <c r="T674" s="96">
        <f>ROUND(Q674*R674*S674,2)</f>
        <v>0</v>
      </c>
      <c r="U674" s="75">
        <f>IF(D666&lt;=3,база!$M$4,
IF(D666=4,база!$M$5,
IF(D666=5,база!$M$6)))</f>
        <v>225.09719999999999</v>
      </c>
      <c r="V674" s="249">
        <v>1.4</v>
      </c>
      <c r="W674" s="90">
        <f>SUMIFS(Таблица1[сумма],Таблица1[коэф],"1,4",Таблица1[р/р],"3/24",Таблица1[Ф. И. О.],B671)</f>
        <v>0</v>
      </c>
      <c r="X674" s="96">
        <f>ROUND(U674*V674*W674,2)</f>
        <v>0</v>
      </c>
      <c r="Y674" s="792"/>
      <c r="Z674" s="794"/>
      <c r="AA674" s="797"/>
    </row>
    <row r="675" spans="1:29">
      <c r="A675" s="740"/>
      <c r="B675" s="591"/>
      <c r="C675" s="799"/>
      <c r="D675" s="801"/>
      <c r="E675" s="78"/>
      <c r="F675" s="251"/>
      <c r="G675" s="601"/>
      <c r="H675" s="83"/>
      <c r="I675" s="60"/>
      <c r="J675" s="602"/>
      <c r="K675" s="53"/>
      <c r="L675" s="302"/>
      <c r="M675" s="60"/>
      <c r="N675" s="53"/>
      <c r="O675" s="53"/>
      <c r="P675" s="261"/>
      <c r="Q675" s="603">
        <f>база!$L$5</f>
        <v>231.45480000000001</v>
      </c>
      <c r="R675" s="251">
        <v>1.4</v>
      </c>
      <c r="S675" s="94">
        <f>SUMIFS(Таблица1[сумма],Таблица1[коэф],"1,4",Таблица1[р/р],"4/16",Таблица1[Ф. И. О.],B671)</f>
        <v>0</v>
      </c>
      <c r="T675" s="83">
        <f>ROUND(Q675*R675*S675,2)</f>
        <v>0</v>
      </c>
      <c r="U675" s="99">
        <f>база!$M$5</f>
        <v>247.41720000000001</v>
      </c>
      <c r="V675" s="251">
        <v>1.4</v>
      </c>
      <c r="W675" s="94">
        <f>SUMIFS(Таблица1[сумма],Таблица1[коэф],"1,4",Таблица1[р/р],"4/24",Таблица1[Ф. И. О.],B671)</f>
        <v>0</v>
      </c>
      <c r="X675" s="83">
        <f>ROUND(U675*V675*W675,2)</f>
        <v>0</v>
      </c>
      <c r="Y675" s="792"/>
      <c r="Z675" s="794"/>
      <c r="AA675" s="797"/>
    </row>
    <row r="676" spans="1:29" ht="24" thickBot="1">
      <c r="A676" s="741"/>
      <c r="B676" s="329"/>
      <c r="C676" s="800"/>
      <c r="D676" s="802"/>
      <c r="E676" s="70"/>
      <c r="F676" s="254"/>
      <c r="G676" s="593"/>
      <c r="H676" s="87"/>
      <c r="I676" s="594"/>
      <c r="J676" s="567"/>
      <c r="K676" s="595"/>
      <c r="L676" s="305"/>
      <c r="M676" s="594"/>
      <c r="N676" s="595"/>
      <c r="O676" s="595"/>
      <c r="P676" s="268"/>
      <c r="Q676" s="596">
        <f>база!$L$6</f>
        <v>261.04640000000001</v>
      </c>
      <c r="R676" s="254">
        <v>1.4</v>
      </c>
      <c r="S676" s="93">
        <f>SUMIFS(Таблица1[сумма],Таблица1[коэф],"1,4",Таблица1[р/р],"5/16",Таблица1[Ф. И. О.],B671)</f>
        <v>0</v>
      </c>
      <c r="T676" s="87">
        <f>ROUND(Q676*R676*S676,2)</f>
        <v>0</v>
      </c>
      <c r="U676" s="77">
        <f>база!$M$6</f>
        <v>279.0496</v>
      </c>
      <c r="V676" s="254">
        <v>1.4</v>
      </c>
      <c r="W676" s="93">
        <f>SUMIFS(Таблица1[сумма],Таблица1[коэф],"1,4",Таблица1[р/р],"5/24",Таблица1[Ф. И. О.],B671)</f>
        <v>0</v>
      </c>
      <c r="X676" s="87">
        <f>ROUND(U676*V676*W676,2)</f>
        <v>0</v>
      </c>
      <c r="Y676" s="793"/>
      <c r="Z676" s="795"/>
      <c r="AA676" s="798"/>
    </row>
    <row r="677" spans="1:29" ht="20.25" customHeight="1">
      <c r="A677" s="739">
        <v>62</v>
      </c>
      <c r="B677" s="591"/>
      <c r="C677" s="805">
        <f>INDEX(база!$E$2:$E$181, MATCH(B682,база!$B$2:$B$160,0))</f>
        <v>15237</v>
      </c>
      <c r="D677" s="806">
        <f>INDEX(база!$D$2:$D$189, MATCH(B682,база!$B$2:$B$160,0))</f>
        <v>3</v>
      </c>
      <c r="E677" s="68">
        <f>IF(D677&lt;=3,база!$I$4,
IF(D677=4,база!$I$5,
IF(D677=5,база!$I$6)))</f>
        <v>188.7912</v>
      </c>
      <c r="F677" s="249">
        <v>1</v>
      </c>
      <c r="G677" s="82">
        <f>SUMIFS(Таблица1[сумма],Таблица1[коэф],"1",Таблица1[р/р],"2/4",Таблица1[Ф. И. О.],B682)</f>
        <v>0</v>
      </c>
      <c r="H677" s="96">
        <f>ROUND(E677*F677*G677,2)</f>
        <v>0</v>
      </c>
      <c r="I677" s="22">
        <f>IF(D677&lt;=3,база!$J$4,
IF(D677=4,база!$J$5,
IF(D677=5,база!$J$6)))</f>
        <v>196.05240000000001</v>
      </c>
      <c r="J677" s="256">
        <v>1</v>
      </c>
      <c r="K677" s="20">
        <f>SUMIFS(Таблица1[сумма],Таблица1[коэф],"1",Таблица1[р/р],"2/8",Таблица1[Ф. И. О.],B682)</f>
        <v>0</v>
      </c>
      <c r="L677" s="287">
        <f>ROUND(I677*J677*K677,2)</f>
        <v>0</v>
      </c>
      <c r="M677" s="22"/>
      <c r="N677" s="20">
        <v>1</v>
      </c>
      <c r="O677" s="20">
        <f>SUMIFS(Data_Tech!$AM$3:$AM$67,Data_Tech!$E$3:$E$67,"1",Data_Tech!$G$3:$G$67,"3/12",Data_Tech!$F$3:$F$67,B682)</f>
        <v>0</v>
      </c>
      <c r="P677" s="260">
        <f>ROUND(M677*N677*O677,2)</f>
        <v>0</v>
      </c>
      <c r="Q677" s="592">
        <f>IF(D677&lt;=3,база!$L$4,
IF(D677=4,база!$L$5,
IF(D677=5,база!$L$6)))</f>
        <v>210.57480000000001</v>
      </c>
      <c r="R677" s="249">
        <v>1</v>
      </c>
      <c r="S677" s="90">
        <f>SUMIFS(Таблица1[сумма],Таблица1[коэф],"1",Таблица1[р/р],"3/16",Таблица1[Ф. И. О.],B682)</f>
        <v>0</v>
      </c>
      <c r="T677" s="96">
        <f t="shared" ref="T677:T681" si="419">ROUND(Q677*R677*S677,2)</f>
        <v>0</v>
      </c>
      <c r="U677" s="75">
        <f>IF(D677&lt;=3,база!$M$4,
IF(D677=4,база!$M$5,
IF(D677=5,база!$M$6)))</f>
        <v>225.09719999999999</v>
      </c>
      <c r="V677" s="249">
        <v>1</v>
      </c>
      <c r="W677" s="90">
        <f>SUMIFS(Таблица1[сумма],Таблица1[коэф],"1",Таблица1[р/р],"3/24",Таблица1[Ф. И. О.],B682)</f>
        <v>0</v>
      </c>
      <c r="X677" s="96">
        <f>ROUND(U677*V677*W677,2)</f>
        <v>0</v>
      </c>
      <c r="Y677" s="791">
        <f t="shared" ref="Y677" si="420">SUM(G677:G687,K677:K687,O677:O687,S677:S687,W677:W687)</f>
        <v>0</v>
      </c>
      <c r="Z677" s="807">
        <f t="shared" ref="Z677" si="421">IFERROR(SUM(H677:H687,L677:L687,T677:T687,X677:X687),"")</f>
        <v>0</v>
      </c>
      <c r="AA677" s="796"/>
    </row>
    <row r="678" spans="1:29">
      <c r="A678" s="740"/>
      <c r="B678" s="591"/>
      <c r="C678" s="799"/>
      <c r="D678" s="801"/>
      <c r="E678" s="68">
        <f>IF(D677&lt;=3,база!$I$4,
IF(D677=4,база!$I$5,
IF(D677=5,база!$I$6)))</f>
        <v>188.7912</v>
      </c>
      <c r="F678" s="249">
        <v>1</v>
      </c>
      <c r="G678" s="82">
        <f>SUMIFS(Таблица1[сумма],Таблица1[коэф],"1",Таблица1[р/р],"3/4",Таблица1[Ф. И. О.],B682)</f>
        <v>0</v>
      </c>
      <c r="H678" s="96">
        <f>ROUND(E678*F678*G678,2)</f>
        <v>0</v>
      </c>
      <c r="I678" s="22">
        <f>IF(D677&lt;=3,база!$J$4,
IF(D677=4,база!$J$5,
IF(D677=5,база!$J$6)))</f>
        <v>196.05240000000001</v>
      </c>
      <c r="J678" s="256">
        <v>1</v>
      </c>
      <c r="K678" s="20"/>
      <c r="L678" s="287">
        <f>ROUND(I678*J678*K678,2)</f>
        <v>0</v>
      </c>
      <c r="M678" s="22"/>
      <c r="N678" s="20">
        <v>1</v>
      </c>
      <c r="O678" s="20">
        <f>SUMIFS(Data_Tech!$AM$3:$AM$67,Data_Tech!$E$3:$E$67,"1",Data_Tech!$G$3:$G$67,"4/12",Data_Tech!$F$3:$F$67,B682)</f>
        <v>0</v>
      </c>
      <c r="P678" s="260">
        <f>ROUND(M678*O678,2)</f>
        <v>0</v>
      </c>
      <c r="Q678" s="592">
        <f>база!$L$5</f>
        <v>231.45480000000001</v>
      </c>
      <c r="R678" s="249">
        <v>1</v>
      </c>
      <c r="S678" s="90">
        <f>SUMIFS(Таблица1[сумма],Таблица1[коэф],"1",Таблица1[р/р],"4/16",Таблица1[Ф. И. О.],B682)</f>
        <v>0</v>
      </c>
      <c r="T678" s="96">
        <f t="shared" si="419"/>
        <v>0</v>
      </c>
      <c r="U678" s="75">
        <f>база!$M$5</f>
        <v>247.41720000000001</v>
      </c>
      <c r="V678" s="249">
        <v>1</v>
      </c>
      <c r="W678" s="90">
        <f>SUMIFS(Таблица1[сумма],Таблица1[коэф],"1",Таблица1[р/р],"4/24",Таблица1[Ф. И. О.],B682)</f>
        <v>0</v>
      </c>
      <c r="X678" s="96">
        <f t="shared" ref="X678" si="422">ROUND(U678*V678*W678,2)</f>
        <v>0</v>
      </c>
      <c r="Y678" s="792"/>
      <c r="Z678" s="794"/>
      <c r="AA678" s="797"/>
    </row>
    <row r="679" spans="1:29">
      <c r="A679" s="740"/>
      <c r="B679" s="591"/>
      <c r="C679" s="799"/>
      <c r="D679" s="801"/>
      <c r="E679" s="68"/>
      <c r="F679" s="249"/>
      <c r="G679" s="82"/>
      <c r="H679" s="96"/>
      <c r="I679" s="22"/>
      <c r="J679" s="256"/>
      <c r="K679" s="20"/>
      <c r="L679" s="287"/>
      <c r="M679" s="22"/>
      <c r="N679" s="20"/>
      <c r="O679" s="20"/>
      <c r="P679" s="260"/>
      <c r="Q679" s="592">
        <f>база!$L$6</f>
        <v>261.04640000000001</v>
      </c>
      <c r="R679" s="249">
        <v>1</v>
      </c>
      <c r="S679" s="90">
        <f>SUMIFS(Таблица1[сумма],Таблица1[коэф],"1",Таблица1[р/р],"5/16",Таблица1[Ф. И. О.],B682)</f>
        <v>0</v>
      </c>
      <c r="T679" s="96">
        <f t="shared" si="419"/>
        <v>0</v>
      </c>
      <c r="U679" s="75">
        <f>база!$M$6</f>
        <v>279.0496</v>
      </c>
      <c r="V679" s="249">
        <v>1</v>
      </c>
      <c r="W679" s="90">
        <f>SUMIFS(Таблица1[сумма],Таблица1[коэф],"1",Таблица1[р/р],"5/24",Таблица1[Ф. И. О.],B682)</f>
        <v>0</v>
      </c>
      <c r="X679" s="96">
        <f>ROUND(U679*V679*W679,2)</f>
        <v>0</v>
      </c>
      <c r="Y679" s="792"/>
      <c r="Z679" s="794"/>
      <c r="AA679" s="797"/>
    </row>
    <row r="680" spans="1:29">
      <c r="A680" s="740"/>
      <c r="B680" s="591"/>
      <c r="C680" s="799"/>
      <c r="D680" s="801"/>
      <c r="E680" s="68"/>
      <c r="F680" s="249"/>
      <c r="G680" s="82"/>
      <c r="H680" s="96"/>
      <c r="I680" s="22">
        <f>база!$J$5</f>
        <v>215.4924</v>
      </c>
      <c r="J680" s="256">
        <v>1.5</v>
      </c>
      <c r="K680" s="20">
        <f>SUMIFS(Таблица1[сумма],Таблица1[коэф],"1,5",Таблица1[р/р],"4/8",Таблица1[Ф. И. О.],B682)</f>
        <v>0</v>
      </c>
      <c r="L680" s="287">
        <f>ROUND(I680*J680*K680,2)</f>
        <v>0</v>
      </c>
      <c r="M680" s="22"/>
      <c r="N680" s="20"/>
      <c r="O680" s="20"/>
      <c r="P680" s="260"/>
      <c r="Q680" s="592">
        <f>IF(D677&lt;=3,база!$L$4,
IF(D677=4,база!$L$5,
IF(D677=5,база!$L$6)))</f>
        <v>210.57480000000001</v>
      </c>
      <c r="R680" s="249">
        <v>1.2</v>
      </c>
      <c r="S680" s="90">
        <f>SUMIFS(Таблица1[сумма],Таблица1[коэф],"1,2",Таблица1[р/р],"3/16",Таблица1[Ф. И. О.],B682)</f>
        <v>0</v>
      </c>
      <c r="T680" s="96">
        <f t="shared" si="419"/>
        <v>0</v>
      </c>
      <c r="U680" s="75">
        <f>IF(D677&lt;=3,база!$M$4,
IF(D677=4,база!$M$5,
IF(D677=5,база!$M$6)))</f>
        <v>225.09719999999999</v>
      </c>
      <c r="V680" s="249">
        <v>1.2</v>
      </c>
      <c r="W680" s="90">
        <f>SUMIFS(Таблица1[сумма],Таблица1[коэф],"1,2",Таблица1[р/р],"3/24",Таблица1[Ф. И. О.],B682)</f>
        <v>0</v>
      </c>
      <c r="X680" s="96">
        <f t="shared" ref="X680:X681" si="423">ROUND(U680*V680*W680,2)</f>
        <v>0</v>
      </c>
      <c r="Y680" s="792"/>
      <c r="Z680" s="794"/>
      <c r="AA680" s="797"/>
    </row>
    <row r="681" spans="1:29">
      <c r="A681" s="740"/>
      <c r="B681" s="591"/>
      <c r="C681" s="799"/>
      <c r="D681" s="801"/>
      <c r="E681" s="68"/>
      <c r="F681" s="249"/>
      <c r="G681" s="82"/>
      <c r="H681" s="96"/>
      <c r="I681" s="22">
        <f>база!$J$6</f>
        <v>243.04319999999998</v>
      </c>
      <c r="J681" s="256">
        <v>1.5</v>
      </c>
      <c r="K681" s="20">
        <f>SUMIFS(Таблица1[сумма],Таблица1[коэф],"1,5",Таблица1[р/р],"5/8",Таблица1[Ф. И. О.],B682)</f>
        <v>0</v>
      </c>
      <c r="L681" s="287">
        <f>ROUND(I681*J681*K681,2)</f>
        <v>0</v>
      </c>
      <c r="M681" s="22"/>
      <c r="N681" s="20"/>
      <c r="O681" s="20"/>
      <c r="P681" s="260"/>
      <c r="Q681" s="592">
        <f>база!$L$5</f>
        <v>231.45480000000001</v>
      </c>
      <c r="R681" s="249">
        <v>1.2</v>
      </c>
      <c r="S681" s="90">
        <f>SUMIFS(Таблица1[сумма],Таблица1[коэф],"1,2",Таблица1[р/р],"4/16",Таблица1[Ф. И. О.],B682)</f>
        <v>0</v>
      </c>
      <c r="T681" s="96">
        <f t="shared" si="419"/>
        <v>0</v>
      </c>
      <c r="U681" s="75">
        <f>база!$M$5</f>
        <v>247.41720000000001</v>
      </c>
      <c r="V681" s="249">
        <v>1.2</v>
      </c>
      <c r="W681" s="90">
        <f>SUMIFS(Таблица1[сумма],Таблица1[коэф],"1,2",Таблица1[р/р],"4/24",Таблица1[Ф. И. О.],B682)</f>
        <v>0</v>
      </c>
      <c r="X681" s="96">
        <f t="shared" si="423"/>
        <v>0</v>
      </c>
      <c r="Y681" s="792"/>
      <c r="Z681" s="794"/>
      <c r="AA681" s="797"/>
      <c r="AC681" s="688" t="str">
        <f>IF(SUMIFS(Таблица1[Столбец2],Таблица1[Ф. И. О.],B682)-Z677=0,"",SUMIFS(Таблица1[Столбец2],Таблица1[Ф. И. О.],B682)-Z677)</f>
        <v/>
      </c>
    </row>
    <row r="682" spans="1:29">
      <c r="A682" s="740"/>
      <c r="B682" s="591" t="str">
        <f>база!B63</f>
        <v>Пригоженкова Ольга Сергеевна</v>
      </c>
      <c r="C682" s="799"/>
      <c r="D682" s="801"/>
      <c r="E682" s="68"/>
      <c r="F682" s="249"/>
      <c r="G682" s="82"/>
      <c r="H682" s="96"/>
      <c r="I682" s="22"/>
      <c r="J682" s="256"/>
      <c r="K682" s="20"/>
      <c r="L682" s="287"/>
      <c r="M682" s="22"/>
      <c r="N682" s="20"/>
      <c r="O682" s="20"/>
      <c r="P682" s="260"/>
      <c r="Q682" s="592">
        <f>база!$L$6</f>
        <v>261.04640000000001</v>
      </c>
      <c r="R682" s="249">
        <v>1.2</v>
      </c>
      <c r="S682" s="90">
        <f>SUMIFS(Таблица1[сумма],Таблица1[коэф],"1,2",Таблица1[р/р],"5/16",Таблица1[Ф. И. О.],B682)</f>
        <v>0</v>
      </c>
      <c r="T682" s="96">
        <f>ROUND(Q682*R682*S682,2)</f>
        <v>0</v>
      </c>
      <c r="U682" s="75">
        <f>база!$M$6</f>
        <v>279.0496</v>
      </c>
      <c r="V682" s="249">
        <v>1.2</v>
      </c>
      <c r="W682" s="90">
        <f>SUMIFS(Таблица1[сумма],Таблица1[коэф],"1,2",Таблица1[р/р],"5/24",Таблица1[Ф. И. О.],B682)</f>
        <v>0</v>
      </c>
      <c r="X682" s="96">
        <f>ROUND(U682*V682*W682,2)</f>
        <v>0</v>
      </c>
      <c r="Y682" s="792"/>
      <c r="Z682" s="794"/>
      <c r="AA682" s="797"/>
      <c r="AC682" s="688" t="str">
        <f>IF(SUMIFS(Таблица1[сумма],Таблица1[Ф. И. О.],B682)=Y677,"",B677&amp;"  часы не верны")</f>
        <v/>
      </c>
    </row>
    <row r="683" spans="1:29">
      <c r="A683" s="740"/>
      <c r="B683" s="591"/>
      <c r="C683" s="799"/>
      <c r="D683" s="801"/>
      <c r="E683" s="68"/>
      <c r="F683" s="249"/>
      <c r="G683" s="82"/>
      <c r="H683" s="96"/>
      <c r="I683" s="22"/>
      <c r="J683" s="256"/>
      <c r="K683" s="20"/>
      <c r="L683" s="287"/>
      <c r="M683" s="22"/>
      <c r="N683" s="20"/>
      <c r="O683" s="20"/>
      <c r="P683" s="260"/>
      <c r="Q683" s="592">
        <f>IF($D$6&lt;=3,база!$L$4,
IF($D$6=4,база!$L$5,
IF($D$6=5,база!$L$6)))</f>
        <v>231.45480000000001</v>
      </c>
      <c r="R683" s="249">
        <v>1.3</v>
      </c>
      <c r="S683" s="90">
        <f>SUMIFS(Таблица1[сумма],Таблица1[коэф],"1,3",Таблица1[р/р],"3/16",Таблица1[Ф. И. О.],B682)</f>
        <v>0</v>
      </c>
      <c r="T683" s="96">
        <f t="shared" ref="T683:T684" si="424">ROUND(Q683*R683*S683,2)</f>
        <v>0</v>
      </c>
      <c r="U683" s="75">
        <f>IF(D677&lt;=3,база!$M$4,
IF(D677=4,база!$M$5,
IF(D677=5,база!$M$6)))</f>
        <v>225.09719999999999</v>
      </c>
      <c r="V683" s="249">
        <v>1.3</v>
      </c>
      <c r="W683" s="90">
        <f>SUMIFS(Таблица1[сумма],Таблица1[коэф],"1,3",Таблица1[р/р],"3/24",Таблица1[Ф. И. О.],B682)</f>
        <v>0</v>
      </c>
      <c r="X683" s="96">
        <f t="shared" ref="X683:X684" si="425">ROUND(U683*V683*W683,2)</f>
        <v>0</v>
      </c>
      <c r="Y683" s="792"/>
      <c r="Z683" s="794"/>
      <c r="AA683" s="797"/>
    </row>
    <row r="684" spans="1:29">
      <c r="A684" s="740"/>
      <c r="B684" s="591"/>
      <c r="C684" s="799"/>
      <c r="D684" s="801"/>
      <c r="E684" s="68"/>
      <c r="F684" s="249"/>
      <c r="G684" s="82"/>
      <c r="H684" s="96"/>
      <c r="I684" s="22"/>
      <c r="J684" s="256"/>
      <c r="K684" s="20"/>
      <c r="L684" s="287"/>
      <c r="M684" s="22"/>
      <c r="N684" s="20"/>
      <c r="O684" s="20"/>
      <c r="P684" s="260"/>
      <c r="Q684" s="592">
        <f>база!$L$5</f>
        <v>231.45480000000001</v>
      </c>
      <c r="R684" s="249">
        <v>1.3</v>
      </c>
      <c r="S684" s="90">
        <f>SUMIFS(Таблица1[сумма],Таблица1[коэф],"1,3",Таблица1[р/р],"4/16",Таблица1[Ф. И. О.],B682)</f>
        <v>0</v>
      </c>
      <c r="T684" s="96">
        <f t="shared" si="424"/>
        <v>0</v>
      </c>
      <c r="U684" s="75">
        <f>база!$M$5</f>
        <v>247.41720000000001</v>
      </c>
      <c r="V684" s="249">
        <v>1.3</v>
      </c>
      <c r="W684" s="90">
        <f>SUMIFS(Таблица1[сумма],Таблица1[коэф],"1,3",Таблица1[р/р],"4/24",Таблица1[Ф. И. О.],B682)</f>
        <v>0</v>
      </c>
      <c r="X684" s="96">
        <f t="shared" si="425"/>
        <v>0</v>
      </c>
      <c r="Y684" s="792"/>
      <c r="Z684" s="794"/>
      <c r="AA684" s="797"/>
    </row>
    <row r="685" spans="1:29">
      <c r="A685" s="740"/>
      <c r="B685" s="591"/>
      <c r="C685" s="799"/>
      <c r="D685" s="801"/>
      <c r="E685" s="68"/>
      <c r="F685" s="249"/>
      <c r="G685" s="82"/>
      <c r="H685" s="96"/>
      <c r="I685" s="22"/>
      <c r="J685" s="256"/>
      <c r="K685" s="20"/>
      <c r="L685" s="287"/>
      <c r="M685" s="22"/>
      <c r="N685" s="20"/>
      <c r="O685" s="20"/>
      <c r="P685" s="260"/>
      <c r="Q685" s="592">
        <f>IF(D677&lt;=3,база!$L$4,
IF(D677=4,база!$L$5,
IF(D677=5,база!$L$6)))</f>
        <v>210.57480000000001</v>
      </c>
      <c r="R685" s="249">
        <v>1.4</v>
      </c>
      <c r="S685" s="90">
        <f>SUMIFS(Таблица1[сумма],Таблица1[коэф],"1,4",Таблица1[р/р],"3/16",Таблица1[Ф. И. О.],B682)</f>
        <v>0</v>
      </c>
      <c r="T685" s="96">
        <f>ROUND(Q685*R685*S685,2)</f>
        <v>0</v>
      </c>
      <c r="U685" s="75">
        <f>IF(D677&lt;=3,база!$M$4,
IF(D677=4,база!$M$5,
IF(D677=5,база!$M$6)))</f>
        <v>225.09719999999999</v>
      </c>
      <c r="V685" s="249">
        <v>1.4</v>
      </c>
      <c r="W685" s="90">
        <f>SUMIFS(Таблица1[сумма],Таблица1[коэф],"1,4",Таблица1[р/р],"3/24",Таблица1[Ф. И. О.],B682)</f>
        <v>0</v>
      </c>
      <c r="X685" s="96">
        <f>ROUND(U685*V685*W685,2)</f>
        <v>0</v>
      </c>
      <c r="Y685" s="792"/>
      <c r="Z685" s="794"/>
      <c r="AA685" s="797"/>
    </row>
    <row r="686" spans="1:29">
      <c r="A686" s="740"/>
      <c r="B686" s="591"/>
      <c r="C686" s="799"/>
      <c r="D686" s="801"/>
      <c r="E686" s="78"/>
      <c r="F686" s="251"/>
      <c r="G686" s="601"/>
      <c r="H686" s="83"/>
      <c r="I686" s="60"/>
      <c r="J686" s="602"/>
      <c r="K686" s="53"/>
      <c r="L686" s="302"/>
      <c r="M686" s="60"/>
      <c r="N686" s="53"/>
      <c r="O686" s="53"/>
      <c r="P686" s="261"/>
      <c r="Q686" s="603">
        <f>база!$L$5</f>
        <v>231.45480000000001</v>
      </c>
      <c r="R686" s="251">
        <v>1.4</v>
      </c>
      <c r="S686" s="94">
        <f>SUMIFS(Таблица1[сумма],Таблица1[коэф],"1,4",Таблица1[р/р],"4/16",Таблица1[Ф. И. О.],B682)</f>
        <v>0</v>
      </c>
      <c r="T686" s="83">
        <f>ROUND(Q686*R686*S686,2)</f>
        <v>0</v>
      </c>
      <c r="U686" s="99">
        <f>база!$M$5</f>
        <v>247.41720000000001</v>
      </c>
      <c r="V686" s="251">
        <v>1.4</v>
      </c>
      <c r="W686" s="94">
        <f>SUMIFS(Таблица1[сумма],Таблица1[коэф],"1,4",Таблица1[р/р],"4/24",Таблица1[Ф. И. О.],B682)</f>
        <v>0</v>
      </c>
      <c r="X686" s="83">
        <f>ROUND(U686*V686*W686,2)</f>
        <v>0</v>
      </c>
      <c r="Y686" s="792"/>
      <c r="Z686" s="794"/>
      <c r="AA686" s="797"/>
    </row>
    <row r="687" spans="1:29" ht="24" thickBot="1">
      <c r="A687" s="741"/>
      <c r="B687" s="329"/>
      <c r="C687" s="800"/>
      <c r="D687" s="802"/>
      <c r="E687" s="70"/>
      <c r="F687" s="254"/>
      <c r="G687" s="593"/>
      <c r="H687" s="87"/>
      <c r="I687" s="594"/>
      <c r="J687" s="567"/>
      <c r="K687" s="595"/>
      <c r="L687" s="305"/>
      <c r="M687" s="594"/>
      <c r="N687" s="595"/>
      <c r="O687" s="595"/>
      <c r="P687" s="268"/>
      <c r="Q687" s="596">
        <f>база!$L$6</f>
        <v>261.04640000000001</v>
      </c>
      <c r="R687" s="254">
        <v>1.4</v>
      </c>
      <c r="S687" s="93">
        <f>SUMIFS(Таблица1[сумма],Таблица1[коэф],"1,4",Таблица1[р/р],"5/16",Таблица1[Ф. И. О.],B682)</f>
        <v>0</v>
      </c>
      <c r="T687" s="87">
        <f>ROUND(Q687*R687*S687,2)</f>
        <v>0</v>
      </c>
      <c r="U687" s="77">
        <f>база!$M$6</f>
        <v>279.0496</v>
      </c>
      <c r="V687" s="254">
        <v>1.4</v>
      </c>
      <c r="W687" s="93">
        <f>SUMIFS(Таблица1[сумма],Таблица1[коэф],"1,4",Таблица1[р/р],"5/24",Таблица1[Ф. И. О.],B682)</f>
        <v>0</v>
      </c>
      <c r="X687" s="87">
        <f>ROUND(U687*V687*W687,2)</f>
        <v>0</v>
      </c>
      <c r="Y687" s="793"/>
      <c r="Z687" s="795"/>
      <c r="AA687" s="798"/>
    </row>
    <row r="688" spans="1:29" ht="20.25" customHeight="1">
      <c r="A688" s="739">
        <v>63</v>
      </c>
      <c r="B688" s="591"/>
      <c r="C688" s="805">
        <f>INDEX(база!$E$2:$E$181, MATCH(B693,база!$B$2:$B$160,0))</f>
        <v>17208</v>
      </c>
      <c r="D688" s="806">
        <f>INDEX(база!$D$2:$D$189, MATCH(B693,база!$B$2:$B$160,0))</f>
        <v>3</v>
      </c>
      <c r="E688" s="68">
        <f>IF(D688&lt;=3,база!$I$4,
IF(D688=4,база!$I$5,
IF(D688=5,база!$I$6)))</f>
        <v>188.7912</v>
      </c>
      <c r="F688" s="249">
        <v>1</v>
      </c>
      <c r="G688" s="82">
        <f>SUMIFS(Таблица1[сумма],Таблица1[коэф],"1",Таблица1[р/р],"2/4",Таблица1[Ф. И. О.],B693)</f>
        <v>0</v>
      </c>
      <c r="H688" s="96">
        <f>ROUND(E688*F688*G688,2)</f>
        <v>0</v>
      </c>
      <c r="I688" s="22">
        <f>IF(D688&lt;=3,база!$J$4,
IF(D688=4,база!$J$5,
IF(D688=5,база!$J$6)))</f>
        <v>196.05240000000001</v>
      </c>
      <c r="J688" s="256">
        <v>1</v>
      </c>
      <c r="K688" s="20">
        <f>SUMIFS(Таблица1[сумма],Таблица1[коэф],"1",Таблица1[р/р],"2/8",Таблица1[Ф. И. О.],B693)</f>
        <v>0</v>
      </c>
      <c r="L688" s="287">
        <f>ROUND(I688*J688*K688,2)</f>
        <v>0</v>
      </c>
      <c r="M688" s="22"/>
      <c r="N688" s="20">
        <v>1</v>
      </c>
      <c r="O688" s="20">
        <f>SUMIFS(Data_Tech!$AM$3:$AM$67,Data_Tech!$E$3:$E$67,"1",Data_Tech!$G$3:$G$67,"3/12",Data_Tech!$F$3:$F$67,B693)</f>
        <v>0</v>
      </c>
      <c r="P688" s="260">
        <f>ROUND(M688*N688*O688,2)</f>
        <v>0</v>
      </c>
      <c r="Q688" s="592">
        <f>IF(D688&lt;=3,база!$L$4,
IF(D688=4,база!$L$5,
IF(D688=5,база!$L$6)))</f>
        <v>210.57480000000001</v>
      </c>
      <c r="R688" s="249">
        <v>1</v>
      </c>
      <c r="S688" s="90">
        <f>SUMIFS(Таблица1[сумма],Таблица1[коэф],"1",Таблица1[р/р],"3/16",Таблица1[Ф. И. О.],B693)</f>
        <v>0</v>
      </c>
      <c r="T688" s="96">
        <f t="shared" ref="T688:T692" si="426">ROUND(Q688*R688*S688,2)</f>
        <v>0</v>
      </c>
      <c r="U688" s="75">
        <f>IF(D688&lt;=3,база!$M$4,
IF(D688=4,база!$M$5,
IF(D688=5,база!$M$6)))</f>
        <v>225.09719999999999</v>
      </c>
      <c r="V688" s="249">
        <v>1</v>
      </c>
      <c r="W688" s="90">
        <f>SUMIFS(Таблица1[сумма],Таблица1[коэф],"1",Таблица1[р/р],"3/24",Таблица1[Ф. И. О.],B693)</f>
        <v>0</v>
      </c>
      <c r="X688" s="96">
        <f>ROUND(U688*V688*W688,2)</f>
        <v>0</v>
      </c>
      <c r="Y688" s="791">
        <f t="shared" ref="Y688" si="427">SUM(G688:G698,K688:K698,O688:O698,S688:S698,W688:W698)</f>
        <v>0</v>
      </c>
      <c r="Z688" s="807">
        <f t="shared" ref="Z688" si="428">IFERROR(SUM(H688:H698,L688:L698,T688:T698,X688:X698),"")</f>
        <v>0</v>
      </c>
      <c r="AA688" s="796"/>
    </row>
    <row r="689" spans="1:29">
      <c r="A689" s="740"/>
      <c r="B689" s="591"/>
      <c r="C689" s="799"/>
      <c r="D689" s="801"/>
      <c r="E689" s="68">
        <f>IF(D688&lt;=3,база!$I$4,
IF(D688=4,база!$I$5,
IF(D688=5,база!$I$6)))</f>
        <v>188.7912</v>
      </c>
      <c r="F689" s="249">
        <v>1</v>
      </c>
      <c r="G689" s="82">
        <f>SUMIFS(Таблица1[сумма],Таблица1[коэф],"1",Таблица1[р/р],"3/4",Таблица1[Ф. И. О.],B693)</f>
        <v>0</v>
      </c>
      <c r="H689" s="96">
        <f>ROUND(E689*F689*G689,2)</f>
        <v>0</v>
      </c>
      <c r="I689" s="22">
        <f>IF(D688&lt;=3,база!$J$4,
IF(D688=4,база!$J$5,
IF(D688=5,база!$J$6)))</f>
        <v>196.05240000000001</v>
      </c>
      <c r="J689" s="256">
        <v>1</v>
      </c>
      <c r="K689" s="20"/>
      <c r="L689" s="287">
        <f>ROUND(I689*J689*K689,2)</f>
        <v>0</v>
      </c>
      <c r="M689" s="22"/>
      <c r="N689" s="20">
        <v>1</v>
      </c>
      <c r="O689" s="20">
        <f>SUMIFS(Data_Tech!$AM$3:$AM$67,Data_Tech!$E$3:$E$67,"1",Data_Tech!$G$3:$G$67,"4/12",Data_Tech!$F$3:$F$67,B693)</f>
        <v>0</v>
      </c>
      <c r="P689" s="260">
        <f>ROUND(M689*O689,2)</f>
        <v>0</v>
      </c>
      <c r="Q689" s="592">
        <f>база!$L$5</f>
        <v>231.45480000000001</v>
      </c>
      <c r="R689" s="249">
        <v>1</v>
      </c>
      <c r="S689" s="90">
        <f>SUMIFS(Таблица1[сумма],Таблица1[коэф],"1",Таблица1[р/р],"4/16",Таблица1[Ф. И. О.],B693)</f>
        <v>0</v>
      </c>
      <c r="T689" s="96">
        <f t="shared" si="426"/>
        <v>0</v>
      </c>
      <c r="U689" s="75">
        <f>база!$M$5</f>
        <v>247.41720000000001</v>
      </c>
      <c r="V689" s="249">
        <v>1</v>
      </c>
      <c r="W689" s="90">
        <f>SUMIFS(Таблица1[сумма],Таблица1[коэф],"1",Таблица1[р/р],"4/24",Таблица1[Ф. И. О.],B693)</f>
        <v>0</v>
      </c>
      <c r="X689" s="96">
        <f t="shared" ref="X689" si="429">ROUND(U689*V689*W689,2)</f>
        <v>0</v>
      </c>
      <c r="Y689" s="792"/>
      <c r="Z689" s="794"/>
      <c r="AA689" s="797"/>
    </row>
    <row r="690" spans="1:29">
      <c r="A690" s="740"/>
      <c r="B690" s="591"/>
      <c r="C690" s="799"/>
      <c r="D690" s="801"/>
      <c r="E690" s="68"/>
      <c r="F690" s="249"/>
      <c r="G690" s="82"/>
      <c r="H690" s="96"/>
      <c r="I690" s="22"/>
      <c r="J690" s="256"/>
      <c r="K690" s="20"/>
      <c r="L690" s="287"/>
      <c r="M690" s="22"/>
      <c r="N690" s="20"/>
      <c r="O690" s="20"/>
      <c r="P690" s="260"/>
      <c r="Q690" s="592">
        <f>база!$L$6</f>
        <v>261.04640000000001</v>
      </c>
      <c r="R690" s="249">
        <v>1</v>
      </c>
      <c r="S690" s="90">
        <f>SUMIFS(Таблица1[сумма],Таблица1[коэф],"1",Таблица1[р/р],"5/16",Таблица1[Ф. И. О.],B693)</f>
        <v>0</v>
      </c>
      <c r="T690" s="96">
        <f t="shared" si="426"/>
        <v>0</v>
      </c>
      <c r="U690" s="75">
        <f>база!$M$6</f>
        <v>279.0496</v>
      </c>
      <c r="V690" s="249">
        <v>1</v>
      </c>
      <c r="W690" s="90">
        <f>SUMIFS(Таблица1[сумма],Таблица1[коэф],"1",Таблица1[р/р],"5/24",Таблица1[Ф. И. О.],B693)</f>
        <v>0</v>
      </c>
      <c r="X690" s="96">
        <f>ROUND(U690*V690*W690,2)</f>
        <v>0</v>
      </c>
      <c r="Y690" s="792"/>
      <c r="Z690" s="794"/>
      <c r="AA690" s="797"/>
    </row>
    <row r="691" spans="1:29">
      <c r="A691" s="740"/>
      <c r="B691" s="591"/>
      <c r="C691" s="799"/>
      <c r="D691" s="801"/>
      <c r="E691" s="68"/>
      <c r="F691" s="249"/>
      <c r="G691" s="82"/>
      <c r="H691" s="96"/>
      <c r="I691" s="22">
        <f>база!$J$5</f>
        <v>215.4924</v>
      </c>
      <c r="J691" s="256">
        <v>1.5</v>
      </c>
      <c r="K691" s="20">
        <f>SUMIFS(Таблица1[сумма],Таблица1[коэф],"1,5",Таблица1[р/р],"4/8",Таблица1[Ф. И. О.],B693)</f>
        <v>0</v>
      </c>
      <c r="L691" s="287">
        <f>ROUND(I691*J691*K691,2)</f>
        <v>0</v>
      </c>
      <c r="M691" s="22"/>
      <c r="N691" s="20"/>
      <c r="O691" s="20"/>
      <c r="P691" s="260"/>
      <c r="Q691" s="592">
        <f>IF(D688&lt;=3,база!$L$4,
IF(D688=4,база!$L$5,
IF(D688=5,база!$L$6)))</f>
        <v>210.57480000000001</v>
      </c>
      <c r="R691" s="249">
        <v>1.2</v>
      </c>
      <c r="S691" s="90">
        <f>SUMIFS(Таблица1[сумма],Таблица1[коэф],"1,2",Таблица1[р/р],"3/16",Таблица1[Ф. И. О.],B693)</f>
        <v>0</v>
      </c>
      <c r="T691" s="96">
        <f t="shared" si="426"/>
        <v>0</v>
      </c>
      <c r="U691" s="75">
        <f>IF(D688&lt;=3,база!$M$4,
IF(D688=4,база!$M$5,
IF(D688=5,база!$M$6)))</f>
        <v>225.09719999999999</v>
      </c>
      <c r="V691" s="249">
        <v>1.2</v>
      </c>
      <c r="W691" s="90">
        <f>SUMIFS(Таблица1[сумма],Таблица1[коэф],"1,2",Таблица1[р/р],"3/24",Таблица1[Ф. И. О.],B693)</f>
        <v>0</v>
      </c>
      <c r="X691" s="96">
        <f t="shared" ref="X691:X692" si="430">ROUND(U691*V691*W691,2)</f>
        <v>0</v>
      </c>
      <c r="Y691" s="792"/>
      <c r="Z691" s="794"/>
      <c r="AA691" s="797"/>
    </row>
    <row r="692" spans="1:29">
      <c r="A692" s="740"/>
      <c r="B692" s="591"/>
      <c r="C692" s="799"/>
      <c r="D692" s="801"/>
      <c r="E692" s="68"/>
      <c r="F692" s="249"/>
      <c r="G692" s="82"/>
      <c r="H692" s="96"/>
      <c r="I692" s="22">
        <f>база!$J$6</f>
        <v>243.04319999999998</v>
      </c>
      <c r="J692" s="256">
        <v>1.5</v>
      </c>
      <c r="K692" s="20">
        <f>SUMIFS(Таблица1[сумма],Таблица1[коэф],"1,5",Таблица1[р/р],"5/8",Таблица1[Ф. И. О.],B693)</f>
        <v>0</v>
      </c>
      <c r="L692" s="287">
        <f>ROUND(I692*J692*K692,2)</f>
        <v>0</v>
      </c>
      <c r="M692" s="22"/>
      <c r="N692" s="20"/>
      <c r="O692" s="20"/>
      <c r="P692" s="260"/>
      <c r="Q692" s="592">
        <f>база!$L$5</f>
        <v>231.45480000000001</v>
      </c>
      <c r="R692" s="249">
        <v>1.2</v>
      </c>
      <c r="S692" s="90">
        <f>SUMIFS(Таблица1[сумма],Таблица1[коэф],"1,2",Таблица1[р/р],"4/16",Таблица1[Ф. И. О.],B693)</f>
        <v>0</v>
      </c>
      <c r="T692" s="96">
        <f t="shared" si="426"/>
        <v>0</v>
      </c>
      <c r="U692" s="75">
        <f>база!$M$5</f>
        <v>247.41720000000001</v>
      </c>
      <c r="V692" s="249">
        <v>1.2</v>
      </c>
      <c r="W692" s="90">
        <f>SUMIFS(Таблица1[сумма],Таблица1[коэф],"1,2",Таблица1[р/р],"4/24",Таблица1[Ф. И. О.],B693)</f>
        <v>0</v>
      </c>
      <c r="X692" s="96">
        <f t="shared" si="430"/>
        <v>0</v>
      </c>
      <c r="Y692" s="792"/>
      <c r="Z692" s="794"/>
      <c r="AA692" s="797"/>
      <c r="AC692" s="688" t="str">
        <f>IF(SUMIFS(Таблица1[Столбец2],Таблица1[Ф. И. О.],B693)-Z688=0,"",SUMIFS(Таблица1[Столбец2],Таблица1[Ф. И. О.],B693)-Z688)</f>
        <v/>
      </c>
    </row>
    <row r="693" spans="1:29">
      <c r="A693" s="740"/>
      <c r="B693" s="591" t="str">
        <f>база!B64</f>
        <v>Рысев Иван Александрович</v>
      </c>
      <c r="C693" s="799"/>
      <c r="D693" s="801"/>
      <c r="E693" s="68"/>
      <c r="F693" s="249"/>
      <c r="G693" s="82"/>
      <c r="H693" s="96"/>
      <c r="I693" s="22"/>
      <c r="J693" s="256"/>
      <c r="K693" s="20"/>
      <c r="L693" s="287"/>
      <c r="M693" s="22"/>
      <c r="N693" s="20"/>
      <c r="O693" s="20"/>
      <c r="P693" s="260"/>
      <c r="Q693" s="592">
        <f>база!$L$6</f>
        <v>261.04640000000001</v>
      </c>
      <c r="R693" s="249">
        <v>1.2</v>
      </c>
      <c r="S693" s="90">
        <f>SUMIFS(Таблица1[сумма],Таблица1[коэф],"1,2",Таблица1[р/р],"5/16",Таблица1[Ф. И. О.],B693)</f>
        <v>0</v>
      </c>
      <c r="T693" s="96">
        <f>ROUND(Q693*R693*S693,2)</f>
        <v>0</v>
      </c>
      <c r="U693" s="75">
        <f>база!$M$6</f>
        <v>279.0496</v>
      </c>
      <c r="V693" s="249">
        <v>1.2</v>
      </c>
      <c r="W693" s="90">
        <f>SUMIFS(Таблица1[сумма],Таблица1[коэф],"1,2",Таблица1[р/р],"5/24",Таблица1[Ф. И. О.],B693)</f>
        <v>0</v>
      </c>
      <c r="X693" s="96">
        <f>ROUND(U693*V693*W693,2)</f>
        <v>0</v>
      </c>
      <c r="Y693" s="792"/>
      <c r="Z693" s="794"/>
      <c r="AA693" s="797"/>
      <c r="AC693" s="688" t="str">
        <f>IF(SUMIFS(Таблица1[сумма],Таблица1[Ф. И. О.],B693)=Y688,"",B688&amp;"  часы не верны")</f>
        <v/>
      </c>
    </row>
    <row r="694" spans="1:29">
      <c r="A694" s="740"/>
      <c r="B694" s="591"/>
      <c r="C694" s="799"/>
      <c r="D694" s="801"/>
      <c r="E694" s="68"/>
      <c r="F694" s="249"/>
      <c r="G694" s="82"/>
      <c r="H694" s="96"/>
      <c r="I694" s="22"/>
      <c r="J694" s="256"/>
      <c r="K694" s="20"/>
      <c r="L694" s="287"/>
      <c r="M694" s="22"/>
      <c r="N694" s="20"/>
      <c r="O694" s="20"/>
      <c r="P694" s="260"/>
      <c r="Q694" s="592">
        <f>IF($D$6&lt;=3,база!$L$4,
IF($D$6=4,база!$L$5,
IF($D$6=5,база!$L$6)))</f>
        <v>231.45480000000001</v>
      </c>
      <c r="R694" s="249">
        <v>1.3</v>
      </c>
      <c r="S694" s="90">
        <f>SUMIFS(Таблица1[сумма],Таблица1[коэф],"1,3",Таблица1[р/р],"3/16",Таблица1[Ф. И. О.],B693)</f>
        <v>0</v>
      </c>
      <c r="T694" s="96">
        <f t="shared" ref="T694:T695" si="431">ROUND(Q694*R694*S694,2)</f>
        <v>0</v>
      </c>
      <c r="U694" s="75">
        <f>IF(D688&lt;=3,база!$M$4,
IF(D688=4,база!$M$5,
IF(D688=5,база!$M$6)))</f>
        <v>225.09719999999999</v>
      </c>
      <c r="V694" s="249">
        <v>1.3</v>
      </c>
      <c r="W694" s="90">
        <f>SUMIFS(Таблица1[сумма],Таблица1[коэф],"1,3",Таблица1[р/р],"3/24",Таблица1[Ф. И. О.],B693)</f>
        <v>0</v>
      </c>
      <c r="X694" s="96">
        <f t="shared" ref="X694:X695" si="432">ROUND(U694*V694*W694,2)</f>
        <v>0</v>
      </c>
      <c r="Y694" s="792"/>
      <c r="Z694" s="794"/>
      <c r="AA694" s="797"/>
    </row>
    <row r="695" spans="1:29">
      <c r="A695" s="740"/>
      <c r="B695" s="591"/>
      <c r="C695" s="799"/>
      <c r="D695" s="801"/>
      <c r="E695" s="68"/>
      <c r="F695" s="249"/>
      <c r="G695" s="82"/>
      <c r="H695" s="96"/>
      <c r="I695" s="22"/>
      <c r="J695" s="256"/>
      <c r="K695" s="20"/>
      <c r="L695" s="287"/>
      <c r="M695" s="22"/>
      <c r="N695" s="20"/>
      <c r="O695" s="20"/>
      <c r="P695" s="260"/>
      <c r="Q695" s="592">
        <f>база!$L$5</f>
        <v>231.45480000000001</v>
      </c>
      <c r="R695" s="249">
        <v>1.3</v>
      </c>
      <c r="S695" s="90">
        <f>SUMIFS(Таблица1[сумма],Таблица1[коэф],"1,3",Таблица1[р/р],"4/16",Таблица1[Ф. И. О.],B693)</f>
        <v>0</v>
      </c>
      <c r="T695" s="96">
        <f t="shared" si="431"/>
        <v>0</v>
      </c>
      <c r="U695" s="75">
        <f>база!$M$5</f>
        <v>247.41720000000001</v>
      </c>
      <c r="V695" s="249">
        <v>1.3</v>
      </c>
      <c r="W695" s="90">
        <f>SUMIFS(Таблица1[сумма],Таблица1[коэф],"1,3",Таблица1[р/р],"4/24",Таблица1[Ф. И. О.],B693)</f>
        <v>0</v>
      </c>
      <c r="X695" s="96">
        <f t="shared" si="432"/>
        <v>0</v>
      </c>
      <c r="Y695" s="792"/>
      <c r="Z695" s="794"/>
      <c r="AA695" s="797"/>
    </row>
    <row r="696" spans="1:29">
      <c r="A696" s="740"/>
      <c r="B696" s="591"/>
      <c r="C696" s="799"/>
      <c r="D696" s="801"/>
      <c r="E696" s="68"/>
      <c r="F696" s="249"/>
      <c r="G696" s="82"/>
      <c r="H696" s="96"/>
      <c r="I696" s="22"/>
      <c r="J696" s="256"/>
      <c r="K696" s="20"/>
      <c r="L696" s="287"/>
      <c r="M696" s="22"/>
      <c r="N696" s="20"/>
      <c r="O696" s="20"/>
      <c r="P696" s="260"/>
      <c r="Q696" s="592">
        <f>IF(D688&lt;=3,база!$L$4,
IF(D688=4,база!$L$5,
IF(D688=5,база!$L$6)))</f>
        <v>210.57480000000001</v>
      </c>
      <c r="R696" s="249">
        <v>1.4</v>
      </c>
      <c r="S696" s="90">
        <f>SUMIFS(Таблица1[сумма],Таблица1[коэф],"1,4",Таблица1[р/р],"3/16",Таблица1[Ф. И. О.],B693)</f>
        <v>0</v>
      </c>
      <c r="T696" s="96">
        <f>ROUND(Q696*R696*S696,2)</f>
        <v>0</v>
      </c>
      <c r="U696" s="75">
        <f>IF(D688&lt;=3,база!$M$4,
IF(D688=4,база!$M$5,
IF(D688=5,база!$M$6)))</f>
        <v>225.09719999999999</v>
      </c>
      <c r="V696" s="249">
        <v>1.4</v>
      </c>
      <c r="W696" s="90">
        <f>SUMIFS(Таблица1[сумма],Таблица1[коэф],"1,4",Таблица1[р/р],"3/24",Таблица1[Ф. И. О.],B693)</f>
        <v>0</v>
      </c>
      <c r="X696" s="96">
        <f>ROUND(U696*V696*W696,2)</f>
        <v>0</v>
      </c>
      <c r="Y696" s="792"/>
      <c r="Z696" s="794"/>
      <c r="AA696" s="797"/>
    </row>
    <row r="697" spans="1:29">
      <c r="A697" s="740"/>
      <c r="B697" s="591"/>
      <c r="C697" s="799"/>
      <c r="D697" s="801"/>
      <c r="E697" s="78"/>
      <c r="F697" s="251"/>
      <c r="G697" s="601"/>
      <c r="H697" s="83"/>
      <c r="I697" s="60"/>
      <c r="J697" s="602"/>
      <c r="K697" s="53"/>
      <c r="L697" s="302"/>
      <c r="M697" s="60"/>
      <c r="N697" s="53"/>
      <c r="O697" s="53"/>
      <c r="P697" s="261"/>
      <c r="Q697" s="603">
        <f>база!$L$5</f>
        <v>231.45480000000001</v>
      </c>
      <c r="R697" s="251">
        <v>1.4</v>
      </c>
      <c r="S697" s="94">
        <f>SUMIFS(Таблица1[сумма],Таблица1[коэф],"1,4",Таблица1[р/р],"4/16",Таблица1[Ф. И. О.],B693)</f>
        <v>0</v>
      </c>
      <c r="T697" s="83">
        <f>ROUND(Q697*R697*S697,2)</f>
        <v>0</v>
      </c>
      <c r="U697" s="99">
        <f>база!$M$5</f>
        <v>247.41720000000001</v>
      </c>
      <c r="V697" s="251">
        <v>1.4</v>
      </c>
      <c r="W697" s="94">
        <f>SUMIFS(Таблица1[сумма],Таблица1[коэф],"1,4",Таблица1[р/р],"4/24",Таблица1[Ф. И. О.],B693)</f>
        <v>0</v>
      </c>
      <c r="X697" s="83">
        <f>ROUND(U697*V697*W697,2)</f>
        <v>0</v>
      </c>
      <c r="Y697" s="792"/>
      <c r="Z697" s="794"/>
      <c r="AA697" s="797"/>
    </row>
    <row r="698" spans="1:29" ht="24" thickBot="1">
      <c r="A698" s="741"/>
      <c r="B698" s="329"/>
      <c r="C698" s="800"/>
      <c r="D698" s="802"/>
      <c r="E698" s="70"/>
      <c r="F698" s="254"/>
      <c r="G698" s="593"/>
      <c r="H698" s="87"/>
      <c r="I698" s="594"/>
      <c r="J698" s="567"/>
      <c r="K698" s="595"/>
      <c r="L698" s="305"/>
      <c r="M698" s="594"/>
      <c r="N698" s="595"/>
      <c r="O698" s="595"/>
      <c r="P698" s="268"/>
      <c r="Q698" s="596">
        <f>база!$L$6</f>
        <v>261.04640000000001</v>
      </c>
      <c r="R698" s="254">
        <v>1.4</v>
      </c>
      <c r="S698" s="93">
        <f>SUMIFS(Таблица1[сумма],Таблица1[коэф],"1,4",Таблица1[р/р],"5/16",Таблица1[Ф. И. О.],B693)</f>
        <v>0</v>
      </c>
      <c r="T698" s="87">
        <f>ROUND(Q698*R698*S698,2)</f>
        <v>0</v>
      </c>
      <c r="U698" s="77">
        <f>база!$M$6</f>
        <v>279.0496</v>
      </c>
      <c r="V698" s="254">
        <v>1.4</v>
      </c>
      <c r="W698" s="93">
        <f>SUMIFS(Таблица1[сумма],Таблица1[коэф],"1,4",Таблица1[р/р],"5/24",Таблица1[Ф. И. О.],B693)</f>
        <v>0</v>
      </c>
      <c r="X698" s="87">
        <f>ROUND(U698*V698*W698,2)</f>
        <v>0</v>
      </c>
      <c r="Y698" s="793"/>
      <c r="Z698" s="795"/>
      <c r="AA698" s="798"/>
    </row>
    <row r="699" spans="1:29" ht="20.25" customHeight="1">
      <c r="A699" s="739">
        <v>64</v>
      </c>
      <c r="B699" s="591"/>
      <c r="C699" s="805">
        <f>INDEX(база!$E$2:$E$181, MATCH(B704,база!$B$2:$B$160,0))</f>
        <v>17324</v>
      </c>
      <c r="D699" s="806">
        <f>INDEX(база!$D$2:$D$189, MATCH(B704,база!$B$2:$B$160,0))</f>
        <v>3</v>
      </c>
      <c r="E699" s="68">
        <f>IF(D699&lt;=3,база!$I$4,
IF(D699=4,база!$I$5,
IF(D699=5,база!$I$6)))</f>
        <v>188.7912</v>
      </c>
      <c r="F699" s="249">
        <v>1</v>
      </c>
      <c r="G699" s="82">
        <f>SUMIFS(Таблица1[сумма],Таблица1[коэф],"1",Таблица1[р/р],"2/4",Таблица1[Ф. И. О.],B704)</f>
        <v>0</v>
      </c>
      <c r="H699" s="96">
        <f>ROUND(E699*F699*G699,2)</f>
        <v>0</v>
      </c>
      <c r="I699" s="22">
        <f>IF(D699&lt;=3,база!$J$4,
IF(D699=4,база!$J$5,
IF(D699=5,база!$J$6)))</f>
        <v>196.05240000000001</v>
      </c>
      <c r="J699" s="256">
        <v>1</v>
      </c>
      <c r="K699" s="20">
        <f>SUMIFS(Таблица1[сумма],Таблица1[коэф],"1",Таблица1[р/р],"2/8",Таблица1[Ф. И. О.],B704)</f>
        <v>0</v>
      </c>
      <c r="L699" s="287">
        <f>ROUND(I699*J699*K699,2)</f>
        <v>0</v>
      </c>
      <c r="M699" s="22"/>
      <c r="N699" s="20">
        <v>1</v>
      </c>
      <c r="O699" s="20">
        <f>SUMIFS(Data_Tech!$AM$3:$AM$67,Data_Tech!$E$3:$E$67,"1",Data_Tech!$G$3:$G$67,"3/12",Data_Tech!$F$3:$F$67,B704)</f>
        <v>0</v>
      </c>
      <c r="P699" s="260">
        <f>ROUND(M699*N699*O699,2)</f>
        <v>0</v>
      </c>
      <c r="Q699" s="592">
        <f>IF(D699&lt;=3,база!$L$4,
IF(D699=4,база!$L$5,
IF(D699=5,база!$L$6)))</f>
        <v>210.57480000000001</v>
      </c>
      <c r="R699" s="249">
        <v>1</v>
      </c>
      <c r="S699" s="90">
        <f>SUMIFS(Таблица1[сумма],Таблица1[коэф],"1",Таблица1[р/р],"3/16",Таблица1[Ф. И. О.],B704)</f>
        <v>0</v>
      </c>
      <c r="T699" s="96">
        <f t="shared" ref="T699:T703" si="433">ROUND(Q699*R699*S699,2)</f>
        <v>0</v>
      </c>
      <c r="U699" s="75">
        <f>IF(D699&lt;=3,база!$M$4,
IF(D699=4,база!$M$5,
IF(D699=5,база!$M$6)))</f>
        <v>225.09719999999999</v>
      </c>
      <c r="V699" s="249">
        <v>1</v>
      </c>
      <c r="W699" s="90">
        <f>SUMIFS(Таблица1[сумма],Таблица1[коэф],"1",Таблица1[р/р],"3/24",Таблица1[Ф. И. О.],B704)</f>
        <v>0</v>
      </c>
      <c r="X699" s="96">
        <f>ROUND(U699*V699*W699,2)</f>
        <v>0</v>
      </c>
      <c r="Y699" s="791">
        <f t="shared" ref="Y699" si="434">SUM(G699:G709,K699:K709,O699:O709,S699:S709,W699:W709)</f>
        <v>0</v>
      </c>
      <c r="Z699" s="807">
        <f t="shared" ref="Z699" si="435">IFERROR(SUM(H699:H709,L699:L709,T699:T709,X699:X709),"")</f>
        <v>0</v>
      </c>
      <c r="AA699" s="796"/>
    </row>
    <row r="700" spans="1:29">
      <c r="A700" s="740"/>
      <c r="B700" s="591"/>
      <c r="C700" s="799"/>
      <c r="D700" s="801"/>
      <c r="E700" s="68">
        <f>IF(D699&lt;=3,база!$I$4,
IF(D699=4,база!$I$5,
IF(D699=5,база!$I$6)))</f>
        <v>188.7912</v>
      </c>
      <c r="F700" s="249">
        <v>1</v>
      </c>
      <c r="G700" s="82">
        <f>SUMIFS(Таблица1[сумма],Таблица1[коэф],"1",Таблица1[р/р],"3/4",Таблица1[Ф. И. О.],B704)</f>
        <v>0</v>
      </c>
      <c r="H700" s="96">
        <f>ROUND(E700*F700*G700,2)</f>
        <v>0</v>
      </c>
      <c r="I700" s="22">
        <f>IF(D699&lt;=3,база!$J$4,
IF(D699=4,база!$J$5,
IF(D699=5,база!$J$6)))</f>
        <v>196.05240000000001</v>
      </c>
      <c r="J700" s="256">
        <v>1</v>
      </c>
      <c r="K700" s="20"/>
      <c r="L700" s="287">
        <f>ROUND(I700*J700*K700,2)</f>
        <v>0</v>
      </c>
      <c r="M700" s="22"/>
      <c r="N700" s="20">
        <v>1</v>
      </c>
      <c r="O700" s="20">
        <f>SUMIFS(Data_Tech!$AM$3:$AM$67,Data_Tech!$E$3:$E$67,"1",Data_Tech!$G$3:$G$67,"4/12",Data_Tech!$F$3:$F$67,B704)</f>
        <v>0</v>
      </c>
      <c r="P700" s="260">
        <f>ROUND(M700*O700,2)</f>
        <v>0</v>
      </c>
      <c r="Q700" s="592">
        <f>база!$L$5</f>
        <v>231.45480000000001</v>
      </c>
      <c r="R700" s="249">
        <v>1</v>
      </c>
      <c r="S700" s="90">
        <f>SUMIFS(Таблица1[сумма],Таблица1[коэф],"1",Таблица1[р/р],"4/16",Таблица1[Ф. И. О.],B704)</f>
        <v>0</v>
      </c>
      <c r="T700" s="96">
        <f t="shared" si="433"/>
        <v>0</v>
      </c>
      <c r="U700" s="75">
        <f>база!$M$5</f>
        <v>247.41720000000001</v>
      </c>
      <c r="V700" s="249">
        <v>1</v>
      </c>
      <c r="W700" s="90">
        <f>SUMIFS(Таблица1[сумма],Таблица1[коэф],"1",Таблица1[р/р],"4/24",Таблица1[Ф. И. О.],B704)</f>
        <v>0</v>
      </c>
      <c r="X700" s="96">
        <f t="shared" ref="X700" si="436">ROUND(U700*V700*W700,2)</f>
        <v>0</v>
      </c>
      <c r="Y700" s="792"/>
      <c r="Z700" s="794"/>
      <c r="AA700" s="797"/>
    </row>
    <row r="701" spans="1:29">
      <c r="A701" s="740"/>
      <c r="B701" s="591"/>
      <c r="C701" s="799"/>
      <c r="D701" s="801"/>
      <c r="E701" s="68"/>
      <c r="F701" s="249"/>
      <c r="G701" s="82"/>
      <c r="H701" s="96"/>
      <c r="I701" s="22"/>
      <c r="J701" s="256"/>
      <c r="K701" s="20"/>
      <c r="L701" s="287"/>
      <c r="M701" s="22"/>
      <c r="N701" s="20"/>
      <c r="O701" s="20"/>
      <c r="P701" s="260"/>
      <c r="Q701" s="592">
        <f>база!$L$6</f>
        <v>261.04640000000001</v>
      </c>
      <c r="R701" s="249">
        <v>1</v>
      </c>
      <c r="S701" s="90">
        <f>SUMIFS(Таблица1[сумма],Таблица1[коэф],"1",Таблица1[р/р],"5/16",Таблица1[Ф. И. О.],B704)</f>
        <v>0</v>
      </c>
      <c r="T701" s="96">
        <f t="shared" si="433"/>
        <v>0</v>
      </c>
      <c r="U701" s="75">
        <f>база!$M$6</f>
        <v>279.0496</v>
      </c>
      <c r="V701" s="249">
        <v>1</v>
      </c>
      <c r="W701" s="90">
        <f>SUMIFS(Таблица1[сумма],Таблица1[коэф],"1",Таблица1[р/р],"5/24",Таблица1[Ф. И. О.],B704)</f>
        <v>0</v>
      </c>
      <c r="X701" s="96">
        <f>ROUND(U701*V701*W701,2)</f>
        <v>0</v>
      </c>
      <c r="Y701" s="792"/>
      <c r="Z701" s="794"/>
      <c r="AA701" s="797"/>
    </row>
    <row r="702" spans="1:29">
      <c r="A702" s="740"/>
      <c r="B702" s="591"/>
      <c r="C702" s="799"/>
      <c r="D702" s="801"/>
      <c r="E702" s="68"/>
      <c r="F702" s="249"/>
      <c r="G702" s="82"/>
      <c r="H702" s="96"/>
      <c r="I702" s="22">
        <f>база!$J$5</f>
        <v>215.4924</v>
      </c>
      <c r="J702" s="256">
        <v>1.5</v>
      </c>
      <c r="K702" s="20">
        <f>SUMIFS(Таблица1[сумма],Таблица1[коэф],"1,5",Таблица1[р/р],"4/8",Таблица1[Ф. И. О.],B704)</f>
        <v>0</v>
      </c>
      <c r="L702" s="287">
        <f>ROUND(I702*J702*K702,2)</f>
        <v>0</v>
      </c>
      <c r="M702" s="22"/>
      <c r="N702" s="20"/>
      <c r="O702" s="20"/>
      <c r="P702" s="260"/>
      <c r="Q702" s="592">
        <f>IF(D699&lt;=3,база!$L$4,
IF(D699=4,база!$L$5,
IF(D699=5,база!$L$6)))</f>
        <v>210.57480000000001</v>
      </c>
      <c r="R702" s="249">
        <v>1.2</v>
      </c>
      <c r="S702" s="90">
        <f>SUMIFS(Таблица1[сумма],Таблица1[коэф],"1,2",Таблица1[р/р],"3/16",Таблица1[Ф. И. О.],B704)</f>
        <v>0</v>
      </c>
      <c r="T702" s="96">
        <f t="shared" si="433"/>
        <v>0</v>
      </c>
      <c r="U702" s="75">
        <f>IF(D699&lt;=3,база!$M$4,
IF(D699=4,база!$M$5,
IF(D699=5,база!$M$6)))</f>
        <v>225.09719999999999</v>
      </c>
      <c r="V702" s="249">
        <v>1.2</v>
      </c>
      <c r="W702" s="90">
        <f>SUMIFS(Таблица1[сумма],Таблица1[коэф],"1,2",Таблица1[р/р],"3/24",Таблица1[Ф. И. О.],B704)</f>
        <v>0</v>
      </c>
      <c r="X702" s="96">
        <f t="shared" ref="X702:X703" si="437">ROUND(U702*V702*W702,2)</f>
        <v>0</v>
      </c>
      <c r="Y702" s="792"/>
      <c r="Z702" s="794"/>
      <c r="AA702" s="797"/>
    </row>
    <row r="703" spans="1:29">
      <c r="A703" s="740"/>
      <c r="B703" s="591"/>
      <c r="C703" s="799"/>
      <c r="D703" s="801"/>
      <c r="E703" s="68"/>
      <c r="F703" s="249"/>
      <c r="G703" s="82"/>
      <c r="H703" s="96"/>
      <c r="I703" s="22">
        <f>база!$J$6</f>
        <v>243.04319999999998</v>
      </c>
      <c r="J703" s="256">
        <v>1.5</v>
      </c>
      <c r="K703" s="20">
        <f>SUMIFS(Таблица1[сумма],Таблица1[коэф],"1,5",Таблица1[р/р],"5/8",Таблица1[Ф. И. О.],B704)</f>
        <v>0</v>
      </c>
      <c r="L703" s="287">
        <f>ROUND(I703*J703*K703,2)</f>
        <v>0</v>
      </c>
      <c r="M703" s="22"/>
      <c r="N703" s="20"/>
      <c r="O703" s="20"/>
      <c r="P703" s="260"/>
      <c r="Q703" s="592">
        <f>база!$L$5</f>
        <v>231.45480000000001</v>
      </c>
      <c r="R703" s="249">
        <v>1.2</v>
      </c>
      <c r="S703" s="90">
        <f>SUMIFS(Таблица1[сумма],Таблица1[коэф],"1,2",Таблица1[р/р],"4/16",Таблица1[Ф. И. О.],B704)</f>
        <v>0</v>
      </c>
      <c r="T703" s="96">
        <f t="shared" si="433"/>
        <v>0</v>
      </c>
      <c r="U703" s="75">
        <f>база!$M$5</f>
        <v>247.41720000000001</v>
      </c>
      <c r="V703" s="249">
        <v>1.2</v>
      </c>
      <c r="W703" s="90">
        <f>SUMIFS(Таблица1[сумма],Таблица1[коэф],"1,2",Таблица1[р/р],"4/24",Таблица1[Ф. И. О.],B704)</f>
        <v>0</v>
      </c>
      <c r="X703" s="96">
        <f t="shared" si="437"/>
        <v>0</v>
      </c>
      <c r="Y703" s="792"/>
      <c r="Z703" s="794"/>
      <c r="AA703" s="797"/>
      <c r="AC703" s="688" t="str">
        <f>IF(SUMIFS(Таблица1[Столбец2],Таблица1[Ф. И. О.],B704)-Z699=0,"",SUMIFS(Таблица1[Столбец2],Таблица1[Ф. И. О.],B704)-Z699)</f>
        <v/>
      </c>
    </row>
    <row r="704" spans="1:29">
      <c r="A704" s="740"/>
      <c r="B704" s="591" t="str">
        <f>база!B65</f>
        <v>Саидова Ольга Владимировна</v>
      </c>
      <c r="C704" s="799"/>
      <c r="D704" s="801"/>
      <c r="E704" s="68"/>
      <c r="F704" s="249"/>
      <c r="G704" s="82"/>
      <c r="H704" s="96"/>
      <c r="I704" s="22"/>
      <c r="J704" s="256"/>
      <c r="K704" s="20"/>
      <c r="L704" s="287"/>
      <c r="M704" s="22"/>
      <c r="N704" s="20"/>
      <c r="O704" s="20"/>
      <c r="P704" s="260"/>
      <c r="Q704" s="592">
        <f>база!$L$6</f>
        <v>261.04640000000001</v>
      </c>
      <c r="R704" s="249">
        <v>1.2</v>
      </c>
      <c r="S704" s="90">
        <f>SUMIFS(Таблица1[сумма],Таблица1[коэф],"1,2",Таблица1[р/р],"5/16",Таблица1[Ф. И. О.],B704)</f>
        <v>0</v>
      </c>
      <c r="T704" s="96">
        <f>ROUND(Q704*R704*S704,2)</f>
        <v>0</v>
      </c>
      <c r="U704" s="75">
        <f>база!$M$6</f>
        <v>279.0496</v>
      </c>
      <c r="V704" s="249">
        <v>1.2</v>
      </c>
      <c r="W704" s="90">
        <f>SUMIFS(Таблица1[сумма],Таблица1[коэф],"1,2",Таблица1[р/р],"5/24",Таблица1[Ф. И. О.],B704)</f>
        <v>0</v>
      </c>
      <c r="X704" s="96">
        <f>ROUND(U704*V704*W704,2)</f>
        <v>0</v>
      </c>
      <c r="Y704" s="792"/>
      <c r="Z704" s="794"/>
      <c r="AA704" s="797"/>
      <c r="AC704" s="688" t="str">
        <f>IF(SUMIFS(Таблица1[сумма],Таблица1[Ф. И. О.],B704)=Y699,"",B699&amp;"  часы не верны")</f>
        <v/>
      </c>
    </row>
    <row r="705" spans="1:29">
      <c r="A705" s="740"/>
      <c r="B705" s="591"/>
      <c r="C705" s="799"/>
      <c r="D705" s="801"/>
      <c r="E705" s="68"/>
      <c r="F705" s="249"/>
      <c r="G705" s="82"/>
      <c r="H705" s="96"/>
      <c r="I705" s="22"/>
      <c r="J705" s="256"/>
      <c r="K705" s="20"/>
      <c r="L705" s="287"/>
      <c r="M705" s="22"/>
      <c r="N705" s="20"/>
      <c r="O705" s="20"/>
      <c r="P705" s="260"/>
      <c r="Q705" s="592">
        <f>IF($D$6&lt;=3,база!$L$4,
IF($D$6=4,база!$L$5,
IF($D$6=5,база!$L$6)))</f>
        <v>231.45480000000001</v>
      </c>
      <c r="R705" s="249">
        <v>1.3</v>
      </c>
      <c r="S705" s="90">
        <f>SUMIFS(Таблица1[сумма],Таблица1[коэф],"1,3",Таблица1[р/р],"3/16",Таблица1[Ф. И. О.],B704)</f>
        <v>0</v>
      </c>
      <c r="T705" s="96">
        <f t="shared" ref="T705:T706" si="438">ROUND(Q705*R705*S705,2)</f>
        <v>0</v>
      </c>
      <c r="U705" s="75">
        <f>IF(D699&lt;=3,база!$M$4,
IF(D699=4,база!$M$5,
IF(D699=5,база!$M$6)))</f>
        <v>225.09719999999999</v>
      </c>
      <c r="V705" s="249">
        <v>1.3</v>
      </c>
      <c r="W705" s="90">
        <f>SUMIFS(Таблица1[сумма],Таблица1[коэф],"1,3",Таблица1[р/р],"3/24",Таблица1[Ф. И. О.],B704)</f>
        <v>0</v>
      </c>
      <c r="X705" s="96">
        <f t="shared" ref="X705:X706" si="439">ROUND(U705*V705*W705,2)</f>
        <v>0</v>
      </c>
      <c r="Y705" s="792"/>
      <c r="Z705" s="794"/>
      <c r="AA705" s="797"/>
    </row>
    <row r="706" spans="1:29">
      <c r="A706" s="740"/>
      <c r="B706" s="591"/>
      <c r="C706" s="799"/>
      <c r="D706" s="801"/>
      <c r="E706" s="68"/>
      <c r="F706" s="249"/>
      <c r="G706" s="82"/>
      <c r="H706" s="96"/>
      <c r="I706" s="22"/>
      <c r="J706" s="256"/>
      <c r="K706" s="20"/>
      <c r="L706" s="287"/>
      <c r="M706" s="22"/>
      <c r="N706" s="20"/>
      <c r="O706" s="20"/>
      <c r="P706" s="260"/>
      <c r="Q706" s="592">
        <f>база!$L$5</f>
        <v>231.45480000000001</v>
      </c>
      <c r="R706" s="249">
        <v>1.3</v>
      </c>
      <c r="S706" s="90">
        <f>SUMIFS(Таблица1[сумма],Таблица1[коэф],"1,3",Таблица1[р/р],"4/16",Таблица1[Ф. И. О.],B704)</f>
        <v>0</v>
      </c>
      <c r="T706" s="96">
        <f t="shared" si="438"/>
        <v>0</v>
      </c>
      <c r="U706" s="75">
        <f>база!$M$5</f>
        <v>247.41720000000001</v>
      </c>
      <c r="V706" s="249">
        <v>1.3</v>
      </c>
      <c r="W706" s="90">
        <f>SUMIFS(Таблица1[сумма],Таблица1[коэф],"1,3",Таблица1[р/р],"4/24",Таблица1[Ф. И. О.],B704)</f>
        <v>0</v>
      </c>
      <c r="X706" s="96">
        <f t="shared" si="439"/>
        <v>0</v>
      </c>
      <c r="Y706" s="792"/>
      <c r="Z706" s="794"/>
      <c r="AA706" s="797"/>
    </row>
    <row r="707" spans="1:29">
      <c r="A707" s="740"/>
      <c r="B707" s="591"/>
      <c r="C707" s="799"/>
      <c r="D707" s="801"/>
      <c r="E707" s="68"/>
      <c r="F707" s="249"/>
      <c r="G707" s="82"/>
      <c r="H707" s="96"/>
      <c r="I707" s="22"/>
      <c r="J707" s="256"/>
      <c r="K707" s="20"/>
      <c r="L707" s="287"/>
      <c r="M707" s="22"/>
      <c r="N707" s="20"/>
      <c r="O707" s="20"/>
      <c r="P707" s="260"/>
      <c r="Q707" s="592">
        <f>IF(D699&lt;=3,база!$L$4,
IF(D699=4,база!$L$5,
IF(D699=5,база!$L$6)))</f>
        <v>210.57480000000001</v>
      </c>
      <c r="R707" s="249">
        <v>1.4</v>
      </c>
      <c r="S707" s="90">
        <f>SUMIFS(Таблица1[сумма],Таблица1[коэф],"1,4",Таблица1[р/р],"3/16",Таблица1[Ф. И. О.],B704)</f>
        <v>0</v>
      </c>
      <c r="T707" s="96">
        <f>ROUND(Q707*R707*S707,2)</f>
        <v>0</v>
      </c>
      <c r="U707" s="75">
        <f>IF(D699&lt;=3,база!$M$4,
IF(D699=4,база!$M$5,
IF(D699=5,база!$M$6)))</f>
        <v>225.09719999999999</v>
      </c>
      <c r="V707" s="249">
        <v>1.4</v>
      </c>
      <c r="W707" s="90">
        <f>SUMIFS(Таблица1[сумма],Таблица1[коэф],"1,4",Таблица1[р/р],"3/24",Таблица1[Ф. И. О.],B704)</f>
        <v>0</v>
      </c>
      <c r="X707" s="96">
        <f>ROUND(U707*V707*W707,2)</f>
        <v>0</v>
      </c>
      <c r="Y707" s="792"/>
      <c r="Z707" s="794"/>
      <c r="AA707" s="797"/>
    </row>
    <row r="708" spans="1:29">
      <c r="A708" s="740"/>
      <c r="B708" s="591"/>
      <c r="C708" s="799"/>
      <c r="D708" s="801"/>
      <c r="E708" s="78"/>
      <c r="F708" s="251"/>
      <c r="G708" s="601"/>
      <c r="H708" s="83"/>
      <c r="I708" s="60"/>
      <c r="J708" s="602"/>
      <c r="K708" s="53"/>
      <c r="L708" s="302"/>
      <c r="M708" s="60"/>
      <c r="N708" s="53"/>
      <c r="O708" s="53"/>
      <c r="P708" s="261"/>
      <c r="Q708" s="603">
        <f>база!$L$5</f>
        <v>231.45480000000001</v>
      </c>
      <c r="R708" s="251">
        <v>1.4</v>
      </c>
      <c r="S708" s="94">
        <f>SUMIFS(Таблица1[сумма],Таблица1[коэф],"1,4",Таблица1[р/р],"4/16",Таблица1[Ф. И. О.],B704)</f>
        <v>0</v>
      </c>
      <c r="T708" s="83">
        <f>ROUND(Q708*R708*S708,2)</f>
        <v>0</v>
      </c>
      <c r="U708" s="99">
        <f>база!$M$5</f>
        <v>247.41720000000001</v>
      </c>
      <c r="V708" s="251">
        <v>1.4</v>
      </c>
      <c r="W708" s="94">
        <f>SUMIFS(Таблица1[сумма],Таблица1[коэф],"1,4",Таблица1[р/р],"4/24",Таблица1[Ф. И. О.],B704)</f>
        <v>0</v>
      </c>
      <c r="X708" s="83">
        <f>ROUND(U708*V708*W708,2)</f>
        <v>0</v>
      </c>
      <c r="Y708" s="792"/>
      <c r="Z708" s="794"/>
      <c r="AA708" s="797"/>
    </row>
    <row r="709" spans="1:29" ht="24" thickBot="1">
      <c r="A709" s="741"/>
      <c r="B709" s="329"/>
      <c r="C709" s="800"/>
      <c r="D709" s="802"/>
      <c r="E709" s="70"/>
      <c r="F709" s="254"/>
      <c r="G709" s="593"/>
      <c r="H709" s="87"/>
      <c r="I709" s="594"/>
      <c r="J709" s="567"/>
      <c r="K709" s="595"/>
      <c r="L709" s="305"/>
      <c r="M709" s="594"/>
      <c r="N709" s="595"/>
      <c r="O709" s="595"/>
      <c r="P709" s="268"/>
      <c r="Q709" s="596">
        <f>база!$L$6</f>
        <v>261.04640000000001</v>
      </c>
      <c r="R709" s="254">
        <v>1.4</v>
      </c>
      <c r="S709" s="93">
        <f>SUMIFS(Таблица1[сумма],Таблица1[коэф],"1,4",Таблица1[р/р],"5/16",Таблица1[Ф. И. О.],B704)</f>
        <v>0</v>
      </c>
      <c r="T709" s="87">
        <f>ROUND(Q709*R709*S709,2)</f>
        <v>0</v>
      </c>
      <c r="U709" s="77">
        <f>база!$M$6</f>
        <v>279.0496</v>
      </c>
      <c r="V709" s="254">
        <v>1.4</v>
      </c>
      <c r="W709" s="93">
        <f>SUMIFS(Таблица1[сумма],Таблица1[коэф],"1,4",Таблица1[р/р],"5/24",Таблица1[Ф. И. О.],B704)</f>
        <v>0</v>
      </c>
      <c r="X709" s="87">
        <f>ROUND(U709*V709*W709,2)</f>
        <v>0</v>
      </c>
      <c r="Y709" s="793"/>
      <c r="Z709" s="795"/>
      <c r="AA709" s="798"/>
    </row>
    <row r="710" spans="1:29" ht="20.25" customHeight="1">
      <c r="A710" s="739">
        <v>65</v>
      </c>
      <c r="B710" s="591"/>
      <c r="C710" s="805">
        <f>INDEX(база!$E$2:$E$181, MATCH(B715,база!$B$2:$B$160,0))</f>
        <v>17102</v>
      </c>
      <c r="D710" s="806">
        <f>INDEX(база!$D$2:$D$189, MATCH(B715,база!$B$2:$B$160,0))</f>
        <v>3</v>
      </c>
      <c r="E710" s="68">
        <f>IF(D710&lt;=3,база!$I$4,
IF(D710=4,база!$I$5,
IF(D710=5,база!$I$6)))</f>
        <v>188.7912</v>
      </c>
      <c r="F710" s="249">
        <v>1</v>
      </c>
      <c r="G710" s="82">
        <f>SUMIFS(Таблица1[сумма],Таблица1[коэф],"1",Таблица1[р/р],"2/4",Таблица1[Ф. И. О.],B715)</f>
        <v>0</v>
      </c>
      <c r="H710" s="96">
        <f>ROUND(E710*F710*G710,2)</f>
        <v>0</v>
      </c>
      <c r="I710" s="22">
        <f>IF(D710&lt;=3,база!$J$4,
IF(D710=4,база!$J$5,
IF(D710=5,база!$J$6)))</f>
        <v>196.05240000000001</v>
      </c>
      <c r="J710" s="256">
        <v>1</v>
      </c>
      <c r="K710" s="20">
        <f>SUMIFS(Таблица1[сумма],Таблица1[коэф],"1",Таблица1[р/р],"2/8",Таблица1[Ф. И. О.],B715)</f>
        <v>0</v>
      </c>
      <c r="L710" s="287">
        <f>ROUND(I710*J710*K710,2)</f>
        <v>0</v>
      </c>
      <c r="M710" s="22"/>
      <c r="N710" s="20">
        <v>1</v>
      </c>
      <c r="O710" s="20">
        <f>SUMIFS(Data_Tech!$AM$3:$AM$67,Data_Tech!$E$3:$E$67,"1",Data_Tech!$G$3:$G$67,"3/12",Data_Tech!$F$3:$F$67,B715)</f>
        <v>0</v>
      </c>
      <c r="P710" s="260">
        <f>ROUND(M710*N710*O710,2)</f>
        <v>0</v>
      </c>
      <c r="Q710" s="592">
        <f>IF(D710&lt;=3,база!$L$4,
IF(D710=4,база!$L$5,
IF(D710=5,база!$L$6)))</f>
        <v>210.57480000000001</v>
      </c>
      <c r="R710" s="249">
        <v>1</v>
      </c>
      <c r="S710" s="90">
        <f>SUMIFS(Таблица1[сумма],Таблица1[коэф],"1",Таблица1[р/р],"3/16",Таблица1[Ф. И. О.],B715)</f>
        <v>0</v>
      </c>
      <c r="T710" s="96">
        <f t="shared" ref="T710:T714" si="440">ROUND(Q710*R710*S710,2)</f>
        <v>0</v>
      </c>
      <c r="U710" s="75">
        <f>IF(D710&lt;=3,база!$M$4,
IF(D710=4,база!$M$5,
IF(D710=5,база!$M$6)))</f>
        <v>225.09719999999999</v>
      </c>
      <c r="V710" s="249">
        <v>1</v>
      </c>
      <c r="W710" s="90">
        <f>SUMIFS(Таблица1[сумма],Таблица1[коэф],"1",Таблица1[р/р],"3/24",Таблица1[Ф. И. О.],B715)</f>
        <v>0</v>
      </c>
      <c r="X710" s="96">
        <f>ROUND(U710*V710*W710,2)</f>
        <v>0</v>
      </c>
      <c r="Y710" s="791">
        <f t="shared" ref="Y710" si="441">SUM(G710:G720,K710:K720,O710:O720,S710:S720,W710:W720)</f>
        <v>0</v>
      </c>
      <c r="Z710" s="807">
        <f t="shared" ref="Z710" si="442">IFERROR(SUM(H710:H720,L710:L720,T710:T720,X710:X720),"")</f>
        <v>0</v>
      </c>
      <c r="AA710" s="796"/>
    </row>
    <row r="711" spans="1:29">
      <c r="A711" s="740"/>
      <c r="B711" s="591"/>
      <c r="C711" s="799"/>
      <c r="D711" s="801"/>
      <c r="E711" s="68">
        <f>IF(D710&lt;=3,база!$I$4,
IF(D710=4,база!$I$5,
IF(D710=5,база!$I$6)))</f>
        <v>188.7912</v>
      </c>
      <c r="F711" s="249">
        <v>1</v>
      </c>
      <c r="G711" s="82">
        <f>SUMIFS(Таблица1[сумма],Таблица1[коэф],"1",Таблица1[р/р],"3/4",Таблица1[Ф. И. О.],B715)</f>
        <v>0</v>
      </c>
      <c r="H711" s="96">
        <f>ROUND(E711*F711*G711,2)</f>
        <v>0</v>
      </c>
      <c r="I711" s="22">
        <f>IF(D710&lt;=3,база!$J$4,
IF(D710=4,база!$J$5,
IF(D710=5,база!$J$6)))</f>
        <v>196.05240000000001</v>
      </c>
      <c r="J711" s="256">
        <v>1</v>
      </c>
      <c r="K711" s="20"/>
      <c r="L711" s="287">
        <f>ROUND(I711*J711*K711,2)</f>
        <v>0</v>
      </c>
      <c r="M711" s="22"/>
      <c r="N711" s="20">
        <v>1</v>
      </c>
      <c r="O711" s="20">
        <f>SUMIFS(Data_Tech!$AM$3:$AM$67,Data_Tech!$E$3:$E$67,"1",Data_Tech!$G$3:$G$67,"4/12",Data_Tech!$F$3:$F$67,B715)</f>
        <v>0</v>
      </c>
      <c r="P711" s="260">
        <f>ROUND(M711*O711,2)</f>
        <v>0</v>
      </c>
      <c r="Q711" s="592">
        <f>база!$L$5</f>
        <v>231.45480000000001</v>
      </c>
      <c r="R711" s="249">
        <v>1</v>
      </c>
      <c r="S711" s="90">
        <f>SUMIFS(Таблица1[сумма],Таблица1[коэф],"1",Таблица1[р/р],"4/16",Таблица1[Ф. И. О.],B715)</f>
        <v>0</v>
      </c>
      <c r="T711" s="96">
        <f t="shared" si="440"/>
        <v>0</v>
      </c>
      <c r="U711" s="75">
        <f>база!$M$5</f>
        <v>247.41720000000001</v>
      </c>
      <c r="V711" s="249">
        <v>1</v>
      </c>
      <c r="W711" s="90">
        <f>SUMIFS(Таблица1[сумма],Таблица1[коэф],"1",Таблица1[р/р],"4/24",Таблица1[Ф. И. О.],B715)</f>
        <v>0</v>
      </c>
      <c r="X711" s="96">
        <f t="shared" ref="X711" si="443">ROUND(U711*V711*W711,2)</f>
        <v>0</v>
      </c>
      <c r="Y711" s="792"/>
      <c r="Z711" s="794"/>
      <c r="AA711" s="797"/>
    </row>
    <row r="712" spans="1:29">
      <c r="A712" s="740"/>
      <c r="B712" s="591"/>
      <c r="C712" s="799"/>
      <c r="D712" s="801"/>
      <c r="E712" s="68"/>
      <c r="F712" s="249"/>
      <c r="G712" s="82"/>
      <c r="H712" s="96"/>
      <c r="I712" s="22"/>
      <c r="J712" s="256"/>
      <c r="K712" s="20"/>
      <c r="L712" s="287"/>
      <c r="M712" s="22"/>
      <c r="N712" s="20"/>
      <c r="O712" s="20"/>
      <c r="P712" s="260"/>
      <c r="Q712" s="592">
        <f>база!$L$6</f>
        <v>261.04640000000001</v>
      </c>
      <c r="R712" s="249">
        <v>1</v>
      </c>
      <c r="S712" s="90">
        <f>SUMIFS(Таблица1[сумма],Таблица1[коэф],"1",Таблица1[р/р],"5/16",Таблица1[Ф. И. О.],B715)</f>
        <v>0</v>
      </c>
      <c r="T712" s="96">
        <f t="shared" si="440"/>
        <v>0</v>
      </c>
      <c r="U712" s="75">
        <f>база!$M$6</f>
        <v>279.0496</v>
      </c>
      <c r="V712" s="249">
        <v>1</v>
      </c>
      <c r="W712" s="90">
        <f>SUMIFS(Таблица1[сумма],Таблица1[коэф],"1",Таблица1[р/р],"5/24",Таблица1[Ф. И. О.],B715)</f>
        <v>0</v>
      </c>
      <c r="X712" s="96">
        <f>ROUND(U712*V712*W712,2)</f>
        <v>0</v>
      </c>
      <c r="Y712" s="792"/>
      <c r="Z712" s="794"/>
      <c r="AA712" s="797"/>
    </row>
    <row r="713" spans="1:29">
      <c r="A713" s="740"/>
      <c r="B713" s="591"/>
      <c r="C713" s="799"/>
      <c r="D713" s="801"/>
      <c r="E713" s="68"/>
      <c r="F713" s="249"/>
      <c r="G713" s="82"/>
      <c r="H713" s="96"/>
      <c r="I713" s="22">
        <f>база!$J$5</f>
        <v>215.4924</v>
      </c>
      <c r="J713" s="256">
        <v>1.5</v>
      </c>
      <c r="K713" s="20">
        <f>SUMIFS(Таблица1[сумма],Таблица1[коэф],"1,5",Таблица1[р/р],"4/8",Таблица1[Ф. И. О.],B715)</f>
        <v>0</v>
      </c>
      <c r="L713" s="287">
        <f>ROUND(I713*J713*K713,2)</f>
        <v>0</v>
      </c>
      <c r="M713" s="22"/>
      <c r="N713" s="20"/>
      <c r="O713" s="20"/>
      <c r="P713" s="260"/>
      <c r="Q713" s="592">
        <f>IF(D710&lt;=3,база!$L$4,
IF(D710=4,база!$L$5,
IF(D710=5,база!$L$6)))</f>
        <v>210.57480000000001</v>
      </c>
      <c r="R713" s="249">
        <v>1.2</v>
      </c>
      <c r="S713" s="90">
        <f>SUMIFS(Таблица1[сумма],Таблица1[коэф],"1,2",Таблица1[р/р],"3/16",Таблица1[Ф. И. О.],B715)</f>
        <v>0</v>
      </c>
      <c r="T713" s="96">
        <f t="shared" si="440"/>
        <v>0</v>
      </c>
      <c r="U713" s="75">
        <f>IF(D710&lt;=3,база!$M$4,
IF(D710=4,база!$M$5,
IF(D710=5,база!$M$6)))</f>
        <v>225.09719999999999</v>
      </c>
      <c r="V713" s="249">
        <v>1.2</v>
      </c>
      <c r="W713" s="90">
        <f>SUMIFS(Таблица1[сумма],Таблица1[коэф],"1,2",Таблица1[р/р],"3/24",Таблица1[Ф. И. О.],B715)</f>
        <v>0</v>
      </c>
      <c r="X713" s="96">
        <f t="shared" ref="X713:X714" si="444">ROUND(U713*V713*W713,2)</f>
        <v>0</v>
      </c>
      <c r="Y713" s="792"/>
      <c r="Z713" s="794"/>
      <c r="AA713" s="797"/>
    </row>
    <row r="714" spans="1:29">
      <c r="A714" s="740"/>
      <c r="B714" s="591"/>
      <c r="C714" s="799"/>
      <c r="D714" s="801"/>
      <c r="E714" s="68"/>
      <c r="F714" s="249"/>
      <c r="G714" s="82"/>
      <c r="H714" s="96"/>
      <c r="I714" s="22">
        <f>база!$J$6</f>
        <v>243.04319999999998</v>
      </c>
      <c r="J714" s="256">
        <v>1.5</v>
      </c>
      <c r="K714" s="20">
        <f>SUMIFS(Таблица1[сумма],Таблица1[коэф],"1,5",Таблица1[р/р],"5/8",Таблица1[Ф. И. О.],B715)</f>
        <v>0</v>
      </c>
      <c r="L714" s="287">
        <f>ROUND(I714*J714*K714,2)</f>
        <v>0</v>
      </c>
      <c r="M714" s="22"/>
      <c r="N714" s="20"/>
      <c r="O714" s="20"/>
      <c r="P714" s="260"/>
      <c r="Q714" s="592">
        <f>база!$L$5</f>
        <v>231.45480000000001</v>
      </c>
      <c r="R714" s="249">
        <v>1.2</v>
      </c>
      <c r="S714" s="90">
        <f>SUMIFS(Таблица1[сумма],Таблица1[коэф],"1,2",Таблица1[р/р],"4/16",Таблица1[Ф. И. О.],B715)</f>
        <v>0</v>
      </c>
      <c r="T714" s="96">
        <f t="shared" si="440"/>
        <v>0</v>
      </c>
      <c r="U714" s="75">
        <f>база!$M$5</f>
        <v>247.41720000000001</v>
      </c>
      <c r="V714" s="249">
        <v>1.2</v>
      </c>
      <c r="W714" s="90">
        <f>SUMIFS(Таблица1[сумма],Таблица1[коэф],"1,2",Таблица1[р/р],"4/24",Таблица1[Ф. И. О.],B715)</f>
        <v>0</v>
      </c>
      <c r="X714" s="96">
        <f t="shared" si="444"/>
        <v>0</v>
      </c>
      <c r="Y714" s="792"/>
      <c r="Z714" s="794"/>
      <c r="AA714" s="797"/>
      <c r="AC714" s="688" t="str">
        <f>IF(SUMIFS(Таблица1[Столбец2],Таблица1[Ф. И. О.],B715)-Z710=0,"",SUMIFS(Таблица1[Столбец2],Таблица1[Ф. И. О.],B715)-Z710)</f>
        <v/>
      </c>
    </row>
    <row r="715" spans="1:29">
      <c r="A715" s="740"/>
      <c r="B715" s="591" t="str">
        <f>база!B66</f>
        <v>Сайпулаева Феодосия Андреевна</v>
      </c>
      <c r="C715" s="799"/>
      <c r="D715" s="801"/>
      <c r="E715" s="68"/>
      <c r="F715" s="249"/>
      <c r="G715" s="82"/>
      <c r="H715" s="96"/>
      <c r="I715" s="22"/>
      <c r="J715" s="256"/>
      <c r="K715" s="20"/>
      <c r="L715" s="287"/>
      <c r="M715" s="22"/>
      <c r="N715" s="20"/>
      <c r="O715" s="20"/>
      <c r="P715" s="260"/>
      <c r="Q715" s="592">
        <f>база!$L$6</f>
        <v>261.04640000000001</v>
      </c>
      <c r="R715" s="249">
        <v>1.2</v>
      </c>
      <c r="S715" s="90">
        <f>SUMIFS(Таблица1[сумма],Таблица1[коэф],"1,2",Таблица1[р/р],"5/16",Таблица1[Ф. И. О.],B715)</f>
        <v>0</v>
      </c>
      <c r="T715" s="96">
        <f>ROUND(Q715*R715*S715,2)</f>
        <v>0</v>
      </c>
      <c r="U715" s="75">
        <f>база!$M$6</f>
        <v>279.0496</v>
      </c>
      <c r="V715" s="249">
        <v>1.2</v>
      </c>
      <c r="W715" s="90">
        <f>SUMIFS(Таблица1[сумма],Таблица1[коэф],"1,2",Таблица1[р/р],"5/24",Таблица1[Ф. И. О.],B715)</f>
        <v>0</v>
      </c>
      <c r="X715" s="96">
        <f>ROUND(U715*V715*W715,2)</f>
        <v>0</v>
      </c>
      <c r="Y715" s="792"/>
      <c r="Z715" s="794"/>
      <c r="AA715" s="797"/>
      <c r="AC715" s="688" t="str">
        <f>IF(SUMIFS(Таблица1[сумма],Таблица1[Ф. И. О.],B715)=Y710,"",B710&amp;"  часы не верны")</f>
        <v/>
      </c>
    </row>
    <row r="716" spans="1:29">
      <c r="A716" s="740"/>
      <c r="B716" s="591"/>
      <c r="C716" s="799"/>
      <c r="D716" s="801"/>
      <c r="E716" s="68"/>
      <c r="F716" s="249"/>
      <c r="G716" s="82"/>
      <c r="H716" s="96"/>
      <c r="I716" s="22"/>
      <c r="J716" s="256"/>
      <c r="K716" s="20"/>
      <c r="L716" s="287"/>
      <c r="M716" s="22"/>
      <c r="N716" s="20"/>
      <c r="O716" s="20"/>
      <c r="P716" s="260"/>
      <c r="Q716" s="592">
        <f>IF($D$6&lt;=3,база!$L$4,
IF($D$6=4,база!$L$5,
IF($D$6=5,база!$L$6)))</f>
        <v>231.45480000000001</v>
      </c>
      <c r="R716" s="249">
        <v>1.3</v>
      </c>
      <c r="S716" s="90">
        <f>SUMIFS(Таблица1[сумма],Таблица1[коэф],"1,3",Таблица1[р/р],"3/16",Таблица1[Ф. И. О.],B715)</f>
        <v>0</v>
      </c>
      <c r="T716" s="96">
        <f t="shared" ref="T716:T717" si="445">ROUND(Q716*R716*S716,2)</f>
        <v>0</v>
      </c>
      <c r="U716" s="75">
        <f>IF(D710&lt;=3,база!$M$4,
IF(D710=4,база!$M$5,
IF(D710=5,база!$M$6)))</f>
        <v>225.09719999999999</v>
      </c>
      <c r="V716" s="249">
        <v>1.3</v>
      </c>
      <c r="W716" s="90">
        <f>SUMIFS(Таблица1[сумма],Таблица1[коэф],"1,3",Таблица1[р/р],"3/24",Таблица1[Ф. И. О.],B715)</f>
        <v>0</v>
      </c>
      <c r="X716" s="96">
        <f t="shared" ref="X716:X717" si="446">ROUND(U716*V716*W716,2)</f>
        <v>0</v>
      </c>
      <c r="Y716" s="792"/>
      <c r="Z716" s="794"/>
      <c r="AA716" s="797"/>
    </row>
    <row r="717" spans="1:29">
      <c r="A717" s="740"/>
      <c r="B717" s="591"/>
      <c r="C717" s="799"/>
      <c r="D717" s="801"/>
      <c r="E717" s="68"/>
      <c r="F717" s="249"/>
      <c r="G717" s="82"/>
      <c r="H717" s="96"/>
      <c r="I717" s="22"/>
      <c r="J717" s="256"/>
      <c r="K717" s="20"/>
      <c r="L717" s="287"/>
      <c r="M717" s="22"/>
      <c r="N717" s="20"/>
      <c r="O717" s="20"/>
      <c r="P717" s="260"/>
      <c r="Q717" s="592">
        <f>база!$L$5</f>
        <v>231.45480000000001</v>
      </c>
      <c r="R717" s="249">
        <v>1.3</v>
      </c>
      <c r="S717" s="90">
        <f>SUMIFS(Таблица1[сумма],Таблица1[коэф],"1,3",Таблица1[р/р],"4/16",Таблица1[Ф. И. О.],B715)</f>
        <v>0</v>
      </c>
      <c r="T717" s="96">
        <f t="shared" si="445"/>
        <v>0</v>
      </c>
      <c r="U717" s="75">
        <f>база!$M$5</f>
        <v>247.41720000000001</v>
      </c>
      <c r="V717" s="249">
        <v>1.3</v>
      </c>
      <c r="W717" s="90">
        <f>SUMIFS(Таблица1[сумма],Таблица1[коэф],"1,3",Таблица1[р/р],"4/24",Таблица1[Ф. И. О.],B715)</f>
        <v>0</v>
      </c>
      <c r="X717" s="96">
        <f t="shared" si="446"/>
        <v>0</v>
      </c>
      <c r="Y717" s="792"/>
      <c r="Z717" s="794"/>
      <c r="AA717" s="797"/>
    </row>
    <row r="718" spans="1:29">
      <c r="A718" s="740"/>
      <c r="B718" s="591"/>
      <c r="C718" s="799"/>
      <c r="D718" s="801"/>
      <c r="E718" s="68"/>
      <c r="F718" s="249"/>
      <c r="G718" s="82"/>
      <c r="H718" s="96"/>
      <c r="I718" s="22"/>
      <c r="J718" s="256"/>
      <c r="K718" s="20"/>
      <c r="L718" s="287"/>
      <c r="M718" s="22"/>
      <c r="N718" s="20"/>
      <c r="O718" s="20"/>
      <c r="P718" s="260"/>
      <c r="Q718" s="592">
        <f>IF(D710&lt;=3,база!$L$4,
IF(D710=4,база!$L$5,
IF(D710=5,база!$L$6)))</f>
        <v>210.57480000000001</v>
      </c>
      <c r="R718" s="249">
        <v>1.4</v>
      </c>
      <c r="S718" s="90">
        <f>SUMIFS(Таблица1[сумма],Таблица1[коэф],"1,4",Таблица1[р/р],"3/16",Таблица1[Ф. И. О.],B715)</f>
        <v>0</v>
      </c>
      <c r="T718" s="96">
        <f>ROUND(Q718*R718*S718,2)</f>
        <v>0</v>
      </c>
      <c r="U718" s="75">
        <f>IF(D710&lt;=3,база!$M$4,
IF(D710=4,база!$M$5,
IF(D710=5,база!$M$6)))</f>
        <v>225.09719999999999</v>
      </c>
      <c r="V718" s="249">
        <v>1.4</v>
      </c>
      <c r="W718" s="90">
        <f>SUMIFS(Таблица1[сумма],Таблица1[коэф],"1,4",Таблица1[р/р],"3/24",Таблица1[Ф. И. О.],B715)</f>
        <v>0</v>
      </c>
      <c r="X718" s="96">
        <f>ROUND(U718*V718*W718,2)</f>
        <v>0</v>
      </c>
      <c r="Y718" s="792"/>
      <c r="Z718" s="794"/>
      <c r="AA718" s="797"/>
    </row>
    <row r="719" spans="1:29">
      <c r="A719" s="740"/>
      <c r="B719" s="591"/>
      <c r="C719" s="799"/>
      <c r="D719" s="801"/>
      <c r="E719" s="78"/>
      <c r="F719" s="251"/>
      <c r="G719" s="601"/>
      <c r="H719" s="83"/>
      <c r="I719" s="60"/>
      <c r="J719" s="602"/>
      <c r="K719" s="53"/>
      <c r="L719" s="302"/>
      <c r="M719" s="60"/>
      <c r="N719" s="53"/>
      <c r="O719" s="53"/>
      <c r="P719" s="261"/>
      <c r="Q719" s="603">
        <f>база!$L$5</f>
        <v>231.45480000000001</v>
      </c>
      <c r="R719" s="251">
        <v>1.4</v>
      </c>
      <c r="S719" s="94">
        <f>SUMIFS(Таблица1[сумма],Таблица1[коэф],"1,4",Таблица1[р/р],"4/16",Таблица1[Ф. И. О.],B715)</f>
        <v>0</v>
      </c>
      <c r="T719" s="83">
        <f>ROUND(Q719*R719*S719,2)</f>
        <v>0</v>
      </c>
      <c r="U719" s="99">
        <f>база!$M$5</f>
        <v>247.41720000000001</v>
      </c>
      <c r="V719" s="251">
        <v>1.4</v>
      </c>
      <c r="W719" s="94">
        <f>SUMIFS(Таблица1[сумма],Таблица1[коэф],"1,4",Таблица1[р/р],"4/24",Таблица1[Ф. И. О.],B715)</f>
        <v>0</v>
      </c>
      <c r="X719" s="83">
        <f>ROUND(U719*V719*W719,2)</f>
        <v>0</v>
      </c>
      <c r="Y719" s="792"/>
      <c r="Z719" s="794"/>
      <c r="AA719" s="797"/>
    </row>
    <row r="720" spans="1:29" ht="24" thickBot="1">
      <c r="A720" s="741"/>
      <c r="B720" s="329"/>
      <c r="C720" s="800"/>
      <c r="D720" s="802"/>
      <c r="E720" s="70"/>
      <c r="F720" s="254"/>
      <c r="G720" s="593"/>
      <c r="H720" s="87"/>
      <c r="I720" s="594"/>
      <c r="J720" s="567"/>
      <c r="K720" s="595"/>
      <c r="L720" s="305"/>
      <c r="M720" s="594"/>
      <c r="N720" s="595"/>
      <c r="O720" s="595"/>
      <c r="P720" s="268"/>
      <c r="Q720" s="596">
        <f>база!$L$6</f>
        <v>261.04640000000001</v>
      </c>
      <c r="R720" s="254">
        <v>1.4</v>
      </c>
      <c r="S720" s="93">
        <f>SUMIFS(Таблица1[сумма],Таблица1[коэф],"1,4",Таблица1[р/р],"5/16",Таблица1[Ф. И. О.],B715)</f>
        <v>0</v>
      </c>
      <c r="T720" s="87">
        <f>ROUND(Q720*R720*S720,2)</f>
        <v>0</v>
      </c>
      <c r="U720" s="77">
        <f>база!$M$6</f>
        <v>279.0496</v>
      </c>
      <c r="V720" s="254">
        <v>1.4</v>
      </c>
      <c r="W720" s="93">
        <f>SUMIFS(Таблица1[сумма],Таблица1[коэф],"1,4",Таблица1[р/р],"5/24",Таблица1[Ф. И. О.],B715)</f>
        <v>0</v>
      </c>
      <c r="X720" s="87">
        <f>ROUND(U720*V720*W720,2)</f>
        <v>0</v>
      </c>
      <c r="Y720" s="793"/>
      <c r="Z720" s="795"/>
      <c r="AA720" s="798"/>
    </row>
    <row r="721" spans="1:29" ht="20.25" customHeight="1">
      <c r="A721" s="739">
        <v>66</v>
      </c>
      <c r="B721" s="591"/>
      <c r="C721" s="805">
        <f>INDEX(база!$E$2:$E$181, MATCH(B726,база!$B$2:$B$160,0))</f>
        <v>17289</v>
      </c>
      <c r="D721" s="806">
        <f>INDEX(база!$D$2:$D$189, MATCH(B726,база!$B$2:$B$160,0))</f>
        <v>3</v>
      </c>
      <c r="E721" s="68">
        <f>IF(D721&lt;=3,база!$I$4,
IF(D721=4,база!$I$5,
IF(D721=5,база!$I$6)))</f>
        <v>188.7912</v>
      </c>
      <c r="F721" s="249">
        <v>1</v>
      </c>
      <c r="G721" s="82">
        <f>SUMIFS(Таблица1[сумма],Таблица1[коэф],"1",Таблица1[р/р],"2/4",Таблица1[Ф. И. О.],B726)</f>
        <v>0</v>
      </c>
      <c r="H721" s="96">
        <f>ROUND(E721*F721*G721,2)</f>
        <v>0</v>
      </c>
      <c r="I721" s="22">
        <f>IF(D721&lt;=3,база!$J$4,
IF(D721=4,база!$J$5,
IF(D721=5,база!$J$6)))</f>
        <v>196.05240000000001</v>
      </c>
      <c r="J721" s="256">
        <v>1</v>
      </c>
      <c r="K721" s="20">
        <f>SUMIFS(Таблица1[сумма],Таблица1[коэф],"1",Таблица1[р/р],"2/8",Таблица1[Ф. И. О.],B726)</f>
        <v>0</v>
      </c>
      <c r="L721" s="287">
        <f>ROUND(I721*J721*K721,2)</f>
        <v>0</v>
      </c>
      <c r="M721" s="22"/>
      <c r="N721" s="20">
        <v>1</v>
      </c>
      <c r="O721" s="20">
        <f>SUMIFS(Data_Tech!$AM$3:$AM$67,Data_Tech!$E$3:$E$67,"1",Data_Tech!$G$3:$G$67,"3/12",Data_Tech!$F$3:$F$67,B726)</f>
        <v>0</v>
      </c>
      <c r="P721" s="260">
        <f>ROUND(M721*N721*O721,2)</f>
        <v>0</v>
      </c>
      <c r="Q721" s="592">
        <f>IF(D721&lt;=3,база!$L$4,
IF(D721=4,база!$L$5,
IF(D721=5,база!$L$6)))</f>
        <v>210.57480000000001</v>
      </c>
      <c r="R721" s="249">
        <v>1</v>
      </c>
      <c r="S721" s="90">
        <f>SUMIFS(Таблица1[сумма],Таблица1[коэф],"1",Таблица1[р/р],"3/16",Таблица1[Ф. И. О.],B726)</f>
        <v>0</v>
      </c>
      <c r="T721" s="96">
        <f t="shared" ref="T721:T725" si="447">ROUND(Q721*R721*S721,2)</f>
        <v>0</v>
      </c>
      <c r="U721" s="75">
        <f>IF(D721&lt;=3,база!$M$4,
IF(D721=4,база!$M$5,
IF(D721=5,база!$M$6)))</f>
        <v>225.09719999999999</v>
      </c>
      <c r="V721" s="249">
        <v>1</v>
      </c>
      <c r="W721" s="90">
        <f>SUMIFS(Таблица1[сумма],Таблица1[коэф],"1",Таблица1[р/р],"3/24",Таблица1[Ф. И. О.],B726)</f>
        <v>0</v>
      </c>
      <c r="X721" s="96">
        <f>ROUND(U721*V721*W721,2)</f>
        <v>0</v>
      </c>
      <c r="Y721" s="791">
        <f t="shared" ref="Y721" si="448">SUM(G721:G731,K721:K731,O721:O731,S721:S731,W721:W731)</f>
        <v>0</v>
      </c>
      <c r="Z721" s="807">
        <f t="shared" ref="Z721" si="449">IFERROR(SUM(H721:H731,L721:L731,T721:T731,X721:X731),"")</f>
        <v>0</v>
      </c>
      <c r="AA721" s="796"/>
    </row>
    <row r="722" spans="1:29">
      <c r="A722" s="740"/>
      <c r="B722" s="591"/>
      <c r="C722" s="799"/>
      <c r="D722" s="801"/>
      <c r="E722" s="68">
        <f>IF(D721&lt;=3,база!$I$4,
IF(D721=4,база!$I$5,
IF(D721=5,база!$I$6)))</f>
        <v>188.7912</v>
      </c>
      <c r="F722" s="249">
        <v>1</v>
      </c>
      <c r="G722" s="82">
        <f>SUMIFS(Таблица1[сумма],Таблица1[коэф],"1",Таблица1[р/р],"3/4",Таблица1[Ф. И. О.],B726)</f>
        <v>0</v>
      </c>
      <c r="H722" s="96">
        <f>ROUND(E722*F722*G722,2)</f>
        <v>0</v>
      </c>
      <c r="I722" s="22">
        <f>IF(D721&lt;=3,база!$J$4,
IF(D721=4,база!$J$5,
IF(D721=5,база!$J$6)))</f>
        <v>196.05240000000001</v>
      </c>
      <c r="J722" s="256">
        <v>1</v>
      </c>
      <c r="K722" s="20"/>
      <c r="L722" s="287">
        <f>ROUND(I722*J722*K722,2)</f>
        <v>0</v>
      </c>
      <c r="M722" s="22"/>
      <c r="N722" s="20">
        <v>1</v>
      </c>
      <c r="O722" s="20">
        <f>SUMIFS(Data_Tech!$AM$3:$AM$67,Data_Tech!$E$3:$E$67,"1",Data_Tech!$G$3:$G$67,"4/12",Data_Tech!$F$3:$F$67,B726)</f>
        <v>0</v>
      </c>
      <c r="P722" s="260">
        <f>ROUND(M722*O722,2)</f>
        <v>0</v>
      </c>
      <c r="Q722" s="592">
        <f>база!$L$5</f>
        <v>231.45480000000001</v>
      </c>
      <c r="R722" s="249">
        <v>1</v>
      </c>
      <c r="S722" s="90">
        <f>SUMIFS(Таблица1[сумма],Таблица1[коэф],"1",Таблица1[р/р],"4/16",Таблица1[Ф. И. О.],B726)</f>
        <v>0</v>
      </c>
      <c r="T722" s="96">
        <f t="shared" si="447"/>
        <v>0</v>
      </c>
      <c r="U722" s="75">
        <f>база!$M$5</f>
        <v>247.41720000000001</v>
      </c>
      <c r="V722" s="249">
        <v>1</v>
      </c>
      <c r="W722" s="90">
        <f>SUMIFS(Таблица1[сумма],Таблица1[коэф],"1",Таблица1[р/р],"4/24",Таблица1[Ф. И. О.],B726)</f>
        <v>0</v>
      </c>
      <c r="X722" s="96">
        <f t="shared" ref="X722" si="450">ROUND(U722*V722*W722,2)</f>
        <v>0</v>
      </c>
      <c r="Y722" s="792"/>
      <c r="Z722" s="794"/>
      <c r="AA722" s="797"/>
    </row>
    <row r="723" spans="1:29">
      <c r="A723" s="740"/>
      <c r="B723" s="591"/>
      <c r="C723" s="799"/>
      <c r="D723" s="801"/>
      <c r="E723" s="68"/>
      <c r="F723" s="249"/>
      <c r="G723" s="82"/>
      <c r="H723" s="96"/>
      <c r="I723" s="22"/>
      <c r="J723" s="256"/>
      <c r="K723" s="20"/>
      <c r="L723" s="287"/>
      <c r="M723" s="22"/>
      <c r="N723" s="20"/>
      <c r="O723" s="20"/>
      <c r="P723" s="260"/>
      <c r="Q723" s="592">
        <f>база!$L$6</f>
        <v>261.04640000000001</v>
      </c>
      <c r="R723" s="249">
        <v>1</v>
      </c>
      <c r="S723" s="90">
        <f>SUMIFS(Таблица1[сумма],Таблица1[коэф],"1",Таблица1[р/р],"5/16",Таблица1[Ф. И. О.],B726)</f>
        <v>0</v>
      </c>
      <c r="T723" s="96">
        <f t="shared" si="447"/>
        <v>0</v>
      </c>
      <c r="U723" s="75">
        <f>база!$M$6</f>
        <v>279.0496</v>
      </c>
      <c r="V723" s="249">
        <v>1</v>
      </c>
      <c r="W723" s="90">
        <f>SUMIFS(Таблица1[сумма],Таблица1[коэф],"1",Таблица1[р/р],"5/24",Таблица1[Ф. И. О.],B726)</f>
        <v>0</v>
      </c>
      <c r="X723" s="96">
        <f>ROUND(U723*V723*W723,2)</f>
        <v>0</v>
      </c>
      <c r="Y723" s="792"/>
      <c r="Z723" s="794"/>
      <c r="AA723" s="797"/>
    </row>
    <row r="724" spans="1:29">
      <c r="A724" s="740"/>
      <c r="B724" s="591"/>
      <c r="C724" s="799"/>
      <c r="D724" s="801"/>
      <c r="E724" s="68"/>
      <c r="F724" s="249"/>
      <c r="G724" s="82"/>
      <c r="H724" s="96"/>
      <c r="I724" s="22">
        <f>база!$J$5</f>
        <v>215.4924</v>
      </c>
      <c r="J724" s="256">
        <v>1.5</v>
      </c>
      <c r="K724" s="20">
        <f>SUMIFS(Таблица1[сумма],Таблица1[коэф],"1,5",Таблица1[р/р],"4/8",Таблица1[Ф. И. О.],B726)</f>
        <v>0</v>
      </c>
      <c r="L724" s="287">
        <f>ROUND(I724*J724*K724,2)</f>
        <v>0</v>
      </c>
      <c r="M724" s="22"/>
      <c r="N724" s="20"/>
      <c r="O724" s="20"/>
      <c r="P724" s="260"/>
      <c r="Q724" s="592">
        <f>IF(D721&lt;=3,база!$L$4,
IF(D721=4,база!$L$5,
IF(D721=5,база!$L$6)))</f>
        <v>210.57480000000001</v>
      </c>
      <c r="R724" s="249">
        <v>1.2</v>
      </c>
      <c r="S724" s="90">
        <f>SUMIFS(Таблица1[сумма],Таблица1[коэф],"1,2",Таблица1[р/р],"3/16",Таблица1[Ф. И. О.],B726)</f>
        <v>0</v>
      </c>
      <c r="T724" s="96">
        <f t="shared" si="447"/>
        <v>0</v>
      </c>
      <c r="U724" s="75">
        <f>IF(D721&lt;=3,база!$M$4,
IF(D721=4,база!$M$5,
IF(D721=5,база!$M$6)))</f>
        <v>225.09719999999999</v>
      </c>
      <c r="V724" s="249">
        <v>1.2</v>
      </c>
      <c r="W724" s="90">
        <f>SUMIFS(Таблица1[сумма],Таблица1[коэф],"1,2",Таблица1[р/р],"3/24",Таблица1[Ф. И. О.],B726)</f>
        <v>0</v>
      </c>
      <c r="X724" s="96">
        <f t="shared" ref="X724:X725" si="451">ROUND(U724*V724*W724,2)</f>
        <v>0</v>
      </c>
      <c r="Y724" s="792"/>
      <c r="Z724" s="794"/>
      <c r="AA724" s="797"/>
    </row>
    <row r="725" spans="1:29">
      <c r="A725" s="740"/>
      <c r="B725" s="591"/>
      <c r="C725" s="799"/>
      <c r="D725" s="801"/>
      <c r="E725" s="68"/>
      <c r="F725" s="249"/>
      <c r="G725" s="82"/>
      <c r="H725" s="96"/>
      <c r="I725" s="22">
        <f>база!$J$6</f>
        <v>243.04319999999998</v>
      </c>
      <c r="J725" s="256">
        <v>1.5</v>
      </c>
      <c r="K725" s="20">
        <f>SUMIFS(Таблица1[сумма],Таблица1[коэф],"1,5",Таблица1[р/р],"5/8",Таблица1[Ф. И. О.],B726)</f>
        <v>0</v>
      </c>
      <c r="L725" s="287">
        <f>ROUND(I725*J725*K725,2)</f>
        <v>0</v>
      </c>
      <c r="M725" s="22"/>
      <c r="N725" s="20"/>
      <c r="O725" s="20"/>
      <c r="P725" s="260"/>
      <c r="Q725" s="592">
        <f>база!$L$5</f>
        <v>231.45480000000001</v>
      </c>
      <c r="R725" s="249">
        <v>1.2</v>
      </c>
      <c r="S725" s="90">
        <f>SUMIFS(Таблица1[сумма],Таблица1[коэф],"1,2",Таблица1[р/р],"4/16",Таблица1[Ф. И. О.],B726)</f>
        <v>0</v>
      </c>
      <c r="T725" s="96">
        <f t="shared" si="447"/>
        <v>0</v>
      </c>
      <c r="U725" s="75">
        <f>база!$M$5</f>
        <v>247.41720000000001</v>
      </c>
      <c r="V725" s="249">
        <v>1.2</v>
      </c>
      <c r="W725" s="90">
        <f>SUMIFS(Таблица1[сумма],Таблица1[коэф],"1,2",Таблица1[р/р],"4/24",Таблица1[Ф. И. О.],B726)</f>
        <v>0</v>
      </c>
      <c r="X725" s="96">
        <f t="shared" si="451"/>
        <v>0</v>
      </c>
      <c r="Y725" s="792"/>
      <c r="Z725" s="794"/>
      <c r="AA725" s="797"/>
      <c r="AC725" s="688" t="str">
        <f>IF(SUMIFS(Таблица1[Столбец2],Таблица1[Ф. И. О.],B726)-Z721=0,"",SUMIFS(Таблица1[Столбец2],Таблица1[Ф. И. О.],B726)-Z721)</f>
        <v/>
      </c>
    </row>
    <row r="726" spans="1:29">
      <c r="A726" s="740"/>
      <c r="B726" s="591" t="str">
        <f>база!B67</f>
        <v>Скрынникова Виктория Геннадьевна</v>
      </c>
      <c r="C726" s="799"/>
      <c r="D726" s="801"/>
      <c r="E726" s="68"/>
      <c r="F726" s="249"/>
      <c r="G726" s="82"/>
      <c r="H726" s="96"/>
      <c r="I726" s="22"/>
      <c r="J726" s="256"/>
      <c r="K726" s="20"/>
      <c r="L726" s="287"/>
      <c r="M726" s="22"/>
      <c r="N726" s="20"/>
      <c r="O726" s="20"/>
      <c r="P726" s="260"/>
      <c r="Q726" s="592">
        <f>база!$L$6</f>
        <v>261.04640000000001</v>
      </c>
      <c r="R726" s="249">
        <v>1.2</v>
      </c>
      <c r="S726" s="90">
        <f>SUMIFS(Таблица1[сумма],Таблица1[коэф],"1,2",Таблица1[р/р],"5/16",Таблица1[Ф. И. О.],B726)</f>
        <v>0</v>
      </c>
      <c r="T726" s="96">
        <f>ROUND(Q726*R726*S726,2)</f>
        <v>0</v>
      </c>
      <c r="U726" s="75">
        <f>база!$M$6</f>
        <v>279.0496</v>
      </c>
      <c r="V726" s="249">
        <v>1.2</v>
      </c>
      <c r="W726" s="90">
        <f>SUMIFS(Таблица1[сумма],Таблица1[коэф],"1,2",Таблица1[р/р],"5/24",Таблица1[Ф. И. О.],B726)</f>
        <v>0</v>
      </c>
      <c r="X726" s="96">
        <f>ROUND(U726*V726*W726,2)</f>
        <v>0</v>
      </c>
      <c r="Y726" s="792"/>
      <c r="Z726" s="794"/>
      <c r="AA726" s="797"/>
      <c r="AC726" s="688" t="str">
        <f>IF(SUMIFS(Таблица1[сумма],Таблица1[Ф. И. О.],B726)=Y721,"",B721&amp;"  часы не верны")</f>
        <v/>
      </c>
    </row>
    <row r="727" spans="1:29">
      <c r="A727" s="740"/>
      <c r="B727" s="591"/>
      <c r="C727" s="799"/>
      <c r="D727" s="801"/>
      <c r="E727" s="68"/>
      <c r="F727" s="249"/>
      <c r="G727" s="82"/>
      <c r="H727" s="96"/>
      <c r="I727" s="22"/>
      <c r="J727" s="256"/>
      <c r="K727" s="20"/>
      <c r="L727" s="287"/>
      <c r="M727" s="22"/>
      <c r="N727" s="20"/>
      <c r="O727" s="20"/>
      <c r="P727" s="260"/>
      <c r="Q727" s="592">
        <f>IF($D$6&lt;=3,база!$L$4,
IF($D$6=4,база!$L$5,
IF($D$6=5,база!$L$6)))</f>
        <v>231.45480000000001</v>
      </c>
      <c r="R727" s="249">
        <v>1.3</v>
      </c>
      <c r="S727" s="90">
        <f>SUMIFS(Таблица1[сумма],Таблица1[коэф],"1,3",Таблица1[р/р],"3/16",Таблица1[Ф. И. О.],B726)</f>
        <v>0</v>
      </c>
      <c r="T727" s="96">
        <f t="shared" ref="T727:T728" si="452">ROUND(Q727*R727*S727,2)</f>
        <v>0</v>
      </c>
      <c r="U727" s="75">
        <f>IF(D721&lt;=3,база!$M$4,
IF(D721=4,база!$M$5,
IF(D721=5,база!$M$6)))</f>
        <v>225.09719999999999</v>
      </c>
      <c r="V727" s="249">
        <v>1.3</v>
      </c>
      <c r="W727" s="90">
        <f>SUMIFS(Таблица1[сумма],Таблица1[коэф],"1,3",Таблица1[р/р],"3/24",Таблица1[Ф. И. О.],B726)</f>
        <v>0</v>
      </c>
      <c r="X727" s="96">
        <f t="shared" ref="X727:X728" si="453">ROUND(U727*V727*W727,2)</f>
        <v>0</v>
      </c>
      <c r="Y727" s="792"/>
      <c r="Z727" s="794"/>
      <c r="AA727" s="797"/>
    </row>
    <row r="728" spans="1:29">
      <c r="A728" s="740"/>
      <c r="B728" s="591"/>
      <c r="C728" s="799"/>
      <c r="D728" s="801"/>
      <c r="E728" s="68"/>
      <c r="F728" s="249"/>
      <c r="G728" s="82"/>
      <c r="H728" s="96"/>
      <c r="I728" s="22"/>
      <c r="J728" s="256"/>
      <c r="K728" s="20"/>
      <c r="L728" s="287"/>
      <c r="M728" s="22"/>
      <c r="N728" s="20"/>
      <c r="O728" s="20"/>
      <c r="P728" s="260"/>
      <c r="Q728" s="592">
        <f>база!$L$5</f>
        <v>231.45480000000001</v>
      </c>
      <c r="R728" s="249">
        <v>1.3</v>
      </c>
      <c r="S728" s="90">
        <f>SUMIFS(Таблица1[сумма],Таблица1[коэф],"1,3",Таблица1[р/р],"4/16",Таблица1[Ф. И. О.],B726)</f>
        <v>0</v>
      </c>
      <c r="T728" s="96">
        <f t="shared" si="452"/>
        <v>0</v>
      </c>
      <c r="U728" s="75">
        <f>база!$M$5</f>
        <v>247.41720000000001</v>
      </c>
      <c r="V728" s="249">
        <v>1.3</v>
      </c>
      <c r="W728" s="90">
        <f>SUMIFS(Таблица1[сумма],Таблица1[коэф],"1,3",Таблица1[р/р],"4/24",Таблица1[Ф. И. О.],B726)</f>
        <v>0</v>
      </c>
      <c r="X728" s="96">
        <f t="shared" si="453"/>
        <v>0</v>
      </c>
      <c r="Y728" s="792"/>
      <c r="Z728" s="794"/>
      <c r="AA728" s="797"/>
    </row>
    <row r="729" spans="1:29">
      <c r="A729" s="740"/>
      <c r="B729" s="591"/>
      <c r="C729" s="799"/>
      <c r="D729" s="801"/>
      <c r="E729" s="68"/>
      <c r="F729" s="249"/>
      <c r="G729" s="82"/>
      <c r="H729" s="96"/>
      <c r="I729" s="22"/>
      <c r="J729" s="256"/>
      <c r="K729" s="20"/>
      <c r="L729" s="287"/>
      <c r="M729" s="22"/>
      <c r="N729" s="20"/>
      <c r="O729" s="20"/>
      <c r="P729" s="260"/>
      <c r="Q729" s="592">
        <f>IF(D721&lt;=3,база!$L$4,
IF(D721=4,база!$L$5,
IF(D721=5,база!$L$6)))</f>
        <v>210.57480000000001</v>
      </c>
      <c r="R729" s="249">
        <v>1.4</v>
      </c>
      <c r="S729" s="90">
        <f>SUMIFS(Таблица1[сумма],Таблица1[коэф],"1,4",Таблица1[р/р],"3/16",Таблица1[Ф. И. О.],B726)</f>
        <v>0</v>
      </c>
      <c r="T729" s="96">
        <f>ROUND(Q729*R729*S729,2)</f>
        <v>0</v>
      </c>
      <c r="U729" s="75">
        <f>IF(D721&lt;=3,база!$M$4,
IF(D721=4,база!$M$5,
IF(D721=5,база!$M$6)))</f>
        <v>225.09719999999999</v>
      </c>
      <c r="V729" s="249">
        <v>1.4</v>
      </c>
      <c r="W729" s="90">
        <f>SUMIFS(Таблица1[сумма],Таблица1[коэф],"1,4",Таблица1[р/р],"3/24",Таблица1[Ф. И. О.],B726)</f>
        <v>0</v>
      </c>
      <c r="X729" s="96">
        <f>ROUND(U729*V729*W729,2)</f>
        <v>0</v>
      </c>
      <c r="Y729" s="792"/>
      <c r="Z729" s="794"/>
      <c r="AA729" s="797"/>
    </row>
    <row r="730" spans="1:29">
      <c r="A730" s="740"/>
      <c r="B730" s="591"/>
      <c r="C730" s="799"/>
      <c r="D730" s="801"/>
      <c r="E730" s="78"/>
      <c r="F730" s="251"/>
      <c r="G730" s="601"/>
      <c r="H730" s="83"/>
      <c r="I730" s="60"/>
      <c r="J730" s="602"/>
      <c r="K730" s="53"/>
      <c r="L730" s="302"/>
      <c r="M730" s="60"/>
      <c r="N730" s="53"/>
      <c r="O730" s="53"/>
      <c r="P730" s="261"/>
      <c r="Q730" s="603">
        <f>база!$L$5</f>
        <v>231.45480000000001</v>
      </c>
      <c r="R730" s="251">
        <v>1.4</v>
      </c>
      <c r="S730" s="94">
        <f>SUMIFS(Таблица1[сумма],Таблица1[коэф],"1,4",Таблица1[р/р],"4/16",Таблица1[Ф. И. О.],B726)</f>
        <v>0</v>
      </c>
      <c r="T730" s="83">
        <f>ROUND(Q730*R730*S730,2)</f>
        <v>0</v>
      </c>
      <c r="U730" s="99">
        <f>база!$M$5</f>
        <v>247.41720000000001</v>
      </c>
      <c r="V730" s="251">
        <v>1.4</v>
      </c>
      <c r="W730" s="94">
        <f>SUMIFS(Таблица1[сумма],Таблица1[коэф],"1,4",Таблица1[р/р],"4/24",Таблица1[Ф. И. О.],B726)</f>
        <v>0</v>
      </c>
      <c r="X730" s="83">
        <f>ROUND(U730*V730*W730,2)</f>
        <v>0</v>
      </c>
      <c r="Y730" s="792"/>
      <c r="Z730" s="794"/>
      <c r="AA730" s="797"/>
    </row>
    <row r="731" spans="1:29" ht="24" thickBot="1">
      <c r="A731" s="741"/>
      <c r="B731" s="329"/>
      <c r="C731" s="800"/>
      <c r="D731" s="802"/>
      <c r="E731" s="70"/>
      <c r="F731" s="254"/>
      <c r="G731" s="593"/>
      <c r="H731" s="87"/>
      <c r="I731" s="594"/>
      <c r="J731" s="567"/>
      <c r="K731" s="595"/>
      <c r="L731" s="305"/>
      <c r="M731" s="594"/>
      <c r="N731" s="595"/>
      <c r="O731" s="595"/>
      <c r="P731" s="268"/>
      <c r="Q731" s="596">
        <f>база!$L$6</f>
        <v>261.04640000000001</v>
      </c>
      <c r="R731" s="254">
        <v>1.4</v>
      </c>
      <c r="S731" s="93">
        <f>SUMIFS(Таблица1[сумма],Таблица1[коэф],"1,4",Таблица1[р/р],"5/16",Таблица1[Ф. И. О.],B726)</f>
        <v>0</v>
      </c>
      <c r="T731" s="87">
        <f>ROUND(Q731*R731*S731,2)</f>
        <v>0</v>
      </c>
      <c r="U731" s="77">
        <f>база!$M$6</f>
        <v>279.0496</v>
      </c>
      <c r="V731" s="254">
        <v>1.4</v>
      </c>
      <c r="W731" s="93">
        <f>SUMIFS(Таблица1[сумма],Таблица1[коэф],"1,4",Таблица1[р/р],"5/24",Таблица1[Ф. И. О.],B726)</f>
        <v>0</v>
      </c>
      <c r="X731" s="87">
        <f>ROUND(U731*V731*W731,2)</f>
        <v>0</v>
      </c>
      <c r="Y731" s="793"/>
      <c r="Z731" s="795"/>
      <c r="AA731" s="798"/>
    </row>
    <row r="732" spans="1:29" ht="20.25" customHeight="1">
      <c r="A732" s="739">
        <v>67</v>
      </c>
      <c r="B732" s="591"/>
      <c r="C732" s="805">
        <f>INDEX(база!$E$2:$E$181, MATCH(B737,база!$B$2:$B$160,0))</f>
        <v>14639</v>
      </c>
      <c r="D732" s="806">
        <f>INDEX(база!$D$2:$D$189, MATCH(B737,база!$B$2:$B$160,0))</f>
        <v>4</v>
      </c>
      <c r="E732" s="68">
        <f>IF(D732&lt;=3,база!$I$4,
IF(D732=4,база!$I$5,
IF(D732=5,база!$I$6)))</f>
        <v>207.5112</v>
      </c>
      <c r="F732" s="249">
        <v>1</v>
      </c>
      <c r="G732" s="82">
        <f>SUMIFS(Таблица1[сумма],Таблица1[коэф],"1",Таблица1[р/р],"2/4",Таблица1[Ф. И. О.],B737)</f>
        <v>0</v>
      </c>
      <c r="H732" s="96">
        <f>ROUND(E732*F732*G732,2)</f>
        <v>0</v>
      </c>
      <c r="I732" s="22">
        <f>IF(D732&lt;=3,база!$J$4,
IF(D732=4,база!$J$5,
IF(D732=5,база!$J$6)))</f>
        <v>215.4924</v>
      </c>
      <c r="J732" s="256">
        <v>1</v>
      </c>
      <c r="K732" s="20">
        <f>SUMIFS(Таблица1[сумма],Таблица1[коэф],"1",Таблица1[р/р],"2/8",Таблица1[Ф. И. О.],B737)</f>
        <v>0</v>
      </c>
      <c r="L732" s="287">
        <f>ROUND(I732*J732*K732,2)</f>
        <v>0</v>
      </c>
      <c r="M732" s="22"/>
      <c r="N732" s="20">
        <v>1</v>
      </c>
      <c r="O732" s="20">
        <f>SUMIFS(Data_Tech!$AM$3:$AM$67,Data_Tech!$E$3:$E$67,"1",Data_Tech!$G$3:$G$67,"3/12",Data_Tech!$F$3:$F$67,B737)</f>
        <v>0</v>
      </c>
      <c r="P732" s="260">
        <f>ROUND(M732*N732*O732,2)</f>
        <v>0</v>
      </c>
      <c r="Q732" s="592">
        <f>IF(D732&lt;=3,база!$L$4,
IF(D732=4,база!$L$5,
IF(D732=5,база!$L$6)))</f>
        <v>231.45480000000001</v>
      </c>
      <c r="R732" s="249">
        <v>1</v>
      </c>
      <c r="S732" s="90">
        <f>SUMIFS(Таблица1[сумма],Таблица1[коэф],"1",Таблица1[р/р],"3/16",Таблица1[Ф. И. О.],B737)</f>
        <v>0</v>
      </c>
      <c r="T732" s="96">
        <f t="shared" ref="T732:T736" si="454">ROUND(Q732*R732*S732,2)</f>
        <v>0</v>
      </c>
      <c r="U732" s="75">
        <f>IF(D732&lt;=3,база!$M$4,
IF(D732=4,база!$M$5,
IF(D732=5,база!$M$6)))</f>
        <v>247.41720000000001</v>
      </c>
      <c r="V732" s="249">
        <v>1</v>
      </c>
      <c r="W732" s="90">
        <f>SUMIFS(Таблица1[сумма],Таблица1[коэф],"1",Таблица1[р/р],"3/24",Таблица1[Ф. И. О.],B737)</f>
        <v>0</v>
      </c>
      <c r="X732" s="96">
        <f>ROUND(U732*V732*W732,2)</f>
        <v>0</v>
      </c>
      <c r="Y732" s="791">
        <f t="shared" ref="Y732" si="455">SUM(G732:G742,K732:K742,O732:O742,S732:S742,W732:W742)</f>
        <v>0</v>
      </c>
      <c r="Z732" s="807">
        <f t="shared" ref="Z732" si="456">IFERROR(SUM(H732:H742,L732:L742,T732:T742,X732:X742),"")</f>
        <v>0</v>
      </c>
      <c r="AA732" s="796"/>
    </row>
    <row r="733" spans="1:29">
      <c r="A733" s="740"/>
      <c r="B733" s="591"/>
      <c r="C733" s="799"/>
      <c r="D733" s="801"/>
      <c r="E733" s="68">
        <f>IF(D732&lt;=3,база!$I$4,
IF(D732=4,база!$I$5,
IF(D732=5,база!$I$6)))</f>
        <v>207.5112</v>
      </c>
      <c r="F733" s="249">
        <v>1</v>
      </c>
      <c r="G733" s="82">
        <f>SUMIFS(Таблица1[сумма],Таблица1[коэф],"1",Таблица1[р/р],"3/4",Таблица1[Ф. И. О.],B737)</f>
        <v>0</v>
      </c>
      <c r="H733" s="96">
        <f>ROUND(E733*F733*G733,2)</f>
        <v>0</v>
      </c>
      <c r="I733" s="22">
        <f>IF(D732&lt;=3,база!$J$4,
IF(D732=4,база!$J$5,
IF(D732=5,база!$J$6)))</f>
        <v>215.4924</v>
      </c>
      <c r="J733" s="256">
        <v>1</v>
      </c>
      <c r="K733" s="20"/>
      <c r="L733" s="287">
        <f>ROUND(I733*J733*K733,2)</f>
        <v>0</v>
      </c>
      <c r="M733" s="22"/>
      <c r="N733" s="20">
        <v>1</v>
      </c>
      <c r="O733" s="20">
        <f>SUMIFS(Data_Tech!$AM$3:$AM$67,Data_Tech!$E$3:$E$67,"1",Data_Tech!$G$3:$G$67,"4/12",Data_Tech!$F$3:$F$67,B737)</f>
        <v>0</v>
      </c>
      <c r="P733" s="260">
        <f>ROUND(M733*O733,2)</f>
        <v>0</v>
      </c>
      <c r="Q733" s="592">
        <f>база!$L$5</f>
        <v>231.45480000000001</v>
      </c>
      <c r="R733" s="249">
        <v>1</v>
      </c>
      <c r="S733" s="90">
        <f>SUMIFS(Таблица1[сумма],Таблица1[коэф],"1",Таблица1[р/р],"4/16",Таблица1[Ф. И. О.],B737)</f>
        <v>0</v>
      </c>
      <c r="T733" s="96">
        <f t="shared" si="454"/>
        <v>0</v>
      </c>
      <c r="U733" s="75">
        <f>база!$M$5</f>
        <v>247.41720000000001</v>
      </c>
      <c r="V733" s="249">
        <v>1</v>
      </c>
      <c r="W733" s="90">
        <f>SUMIFS(Таблица1[сумма],Таблица1[коэф],"1",Таблица1[р/р],"4/24",Таблица1[Ф. И. О.],B737)</f>
        <v>0</v>
      </c>
      <c r="X733" s="96">
        <f t="shared" ref="X733" si="457">ROUND(U733*V733*W733,2)</f>
        <v>0</v>
      </c>
      <c r="Y733" s="792"/>
      <c r="Z733" s="794"/>
      <c r="AA733" s="797"/>
    </row>
    <row r="734" spans="1:29">
      <c r="A734" s="740"/>
      <c r="B734" s="591"/>
      <c r="C734" s="799"/>
      <c r="D734" s="801"/>
      <c r="E734" s="68"/>
      <c r="F734" s="249"/>
      <c r="G734" s="82"/>
      <c r="H734" s="96"/>
      <c r="I734" s="22"/>
      <c r="J734" s="256"/>
      <c r="K734" s="20"/>
      <c r="L734" s="287"/>
      <c r="M734" s="22"/>
      <c r="N734" s="20"/>
      <c r="O734" s="20"/>
      <c r="P734" s="260"/>
      <c r="Q734" s="592">
        <f>база!$L$6</f>
        <v>261.04640000000001</v>
      </c>
      <c r="R734" s="249">
        <v>1</v>
      </c>
      <c r="S734" s="90">
        <f>SUMIFS(Таблица1[сумма],Таблица1[коэф],"1",Таблица1[р/р],"5/16",Таблица1[Ф. И. О.],B737)</f>
        <v>0</v>
      </c>
      <c r="T734" s="96">
        <f t="shared" si="454"/>
        <v>0</v>
      </c>
      <c r="U734" s="75">
        <f>база!$M$6</f>
        <v>279.0496</v>
      </c>
      <c r="V734" s="249">
        <v>1</v>
      </c>
      <c r="W734" s="90">
        <f>SUMIFS(Таблица1[сумма],Таблица1[коэф],"1",Таблица1[р/р],"5/24",Таблица1[Ф. И. О.],B737)</f>
        <v>0</v>
      </c>
      <c r="X734" s="96">
        <f>ROUND(U734*V734*W734,2)</f>
        <v>0</v>
      </c>
      <c r="Y734" s="792"/>
      <c r="Z734" s="794"/>
      <c r="AA734" s="797"/>
    </row>
    <row r="735" spans="1:29">
      <c r="A735" s="740"/>
      <c r="B735" s="591"/>
      <c r="C735" s="799"/>
      <c r="D735" s="801"/>
      <c r="E735" s="68"/>
      <c r="F735" s="249"/>
      <c r="G735" s="82"/>
      <c r="H735" s="96"/>
      <c r="I735" s="22">
        <f>база!$J$5</f>
        <v>215.4924</v>
      </c>
      <c r="J735" s="256">
        <v>1.5</v>
      </c>
      <c r="K735" s="20">
        <f>SUMIFS(Таблица1[сумма],Таблица1[коэф],"1,5",Таблица1[р/р],"4/8",Таблица1[Ф. И. О.],B737)</f>
        <v>0</v>
      </c>
      <c r="L735" s="287">
        <f>ROUND(I735*J735*K735,2)</f>
        <v>0</v>
      </c>
      <c r="M735" s="22"/>
      <c r="N735" s="20"/>
      <c r="O735" s="20"/>
      <c r="P735" s="260"/>
      <c r="Q735" s="592">
        <f>IF(D732&lt;=3,база!$L$4,
IF(D732=4,база!$L$5,
IF(D732=5,база!$L$6)))</f>
        <v>231.45480000000001</v>
      </c>
      <c r="R735" s="249">
        <v>1.2</v>
      </c>
      <c r="S735" s="90">
        <f>SUMIFS(Таблица1[сумма],Таблица1[коэф],"1,2",Таблица1[р/р],"3/16",Таблица1[Ф. И. О.],B737)</f>
        <v>0</v>
      </c>
      <c r="T735" s="96">
        <f t="shared" si="454"/>
        <v>0</v>
      </c>
      <c r="U735" s="75">
        <f>IF(D732&lt;=3,база!$M$4,
IF(D732=4,база!$M$5,
IF(D732=5,база!$M$6)))</f>
        <v>247.41720000000001</v>
      </c>
      <c r="V735" s="249">
        <v>1.2</v>
      </c>
      <c r="W735" s="90">
        <f>SUMIFS(Таблица1[сумма],Таблица1[коэф],"1,2",Таблица1[р/р],"3/24",Таблица1[Ф. И. О.],B737)</f>
        <v>0</v>
      </c>
      <c r="X735" s="96">
        <f t="shared" ref="X735:X736" si="458">ROUND(U735*V735*W735,2)</f>
        <v>0</v>
      </c>
      <c r="Y735" s="792"/>
      <c r="Z735" s="794"/>
      <c r="AA735" s="797"/>
    </row>
    <row r="736" spans="1:29">
      <c r="A736" s="740"/>
      <c r="B736" s="591"/>
      <c r="C736" s="799"/>
      <c r="D736" s="801"/>
      <c r="E736" s="68"/>
      <c r="F736" s="249"/>
      <c r="G736" s="82"/>
      <c r="H736" s="96"/>
      <c r="I736" s="22">
        <f>база!$J$6</f>
        <v>243.04319999999998</v>
      </c>
      <c r="J736" s="256">
        <v>1.5</v>
      </c>
      <c r="K736" s="20">
        <f>SUMIFS(Таблица1[сумма],Таблица1[коэф],"1,5",Таблица1[р/р],"5/8",Таблица1[Ф. И. О.],B737)</f>
        <v>0</v>
      </c>
      <c r="L736" s="287">
        <f>ROUND(I736*J736*K736,2)</f>
        <v>0</v>
      </c>
      <c r="M736" s="22"/>
      <c r="N736" s="20"/>
      <c r="O736" s="20"/>
      <c r="P736" s="260"/>
      <c r="Q736" s="592">
        <f>база!$L$5</f>
        <v>231.45480000000001</v>
      </c>
      <c r="R736" s="249">
        <v>1.2</v>
      </c>
      <c r="S736" s="90">
        <f>SUMIFS(Таблица1[сумма],Таблица1[коэф],"1,2",Таблица1[р/р],"4/16",Таблица1[Ф. И. О.],B737)</f>
        <v>0</v>
      </c>
      <c r="T736" s="96">
        <f t="shared" si="454"/>
        <v>0</v>
      </c>
      <c r="U736" s="75">
        <f>база!$M$5</f>
        <v>247.41720000000001</v>
      </c>
      <c r="V736" s="249">
        <v>1.2</v>
      </c>
      <c r="W736" s="90">
        <f>SUMIFS(Таблица1[сумма],Таблица1[коэф],"1,2",Таблица1[р/р],"4/24",Таблица1[Ф. И. О.],B737)</f>
        <v>0</v>
      </c>
      <c r="X736" s="96">
        <f t="shared" si="458"/>
        <v>0</v>
      </c>
      <c r="Y736" s="792"/>
      <c r="Z736" s="794"/>
      <c r="AA736" s="797"/>
      <c r="AC736" s="688" t="str">
        <f>IF(SUMIFS(Таблица1[Столбец2],Таблица1[Ф. И. О.],B737)-Z732=0,"",SUMIFS(Таблица1[Столбец2],Таблица1[Ф. И. О.],B737)-Z732)</f>
        <v/>
      </c>
    </row>
    <row r="737" spans="1:29">
      <c r="A737" s="740"/>
      <c r="B737" s="591" t="str">
        <f>база!B68</f>
        <v>Смирнова Елена Евгеньевна</v>
      </c>
      <c r="C737" s="799"/>
      <c r="D737" s="801"/>
      <c r="E737" s="68"/>
      <c r="F737" s="249"/>
      <c r="G737" s="82"/>
      <c r="H737" s="96"/>
      <c r="I737" s="22"/>
      <c r="J737" s="256"/>
      <c r="K737" s="20"/>
      <c r="L737" s="287"/>
      <c r="M737" s="22"/>
      <c r="N737" s="20"/>
      <c r="O737" s="20"/>
      <c r="P737" s="260"/>
      <c r="Q737" s="592">
        <f>база!$L$6</f>
        <v>261.04640000000001</v>
      </c>
      <c r="R737" s="249">
        <v>1.2</v>
      </c>
      <c r="S737" s="90">
        <f>SUMIFS(Таблица1[сумма],Таблица1[коэф],"1,2",Таблица1[р/р],"5/16",Таблица1[Ф. И. О.],B737)</f>
        <v>0</v>
      </c>
      <c r="T737" s="96">
        <f>ROUND(Q737*R737*S737,2)</f>
        <v>0</v>
      </c>
      <c r="U737" s="75">
        <f>база!$M$6</f>
        <v>279.0496</v>
      </c>
      <c r="V737" s="249">
        <v>1.2</v>
      </c>
      <c r="W737" s="90">
        <f>SUMIFS(Таблица1[сумма],Таблица1[коэф],"1,2",Таблица1[р/р],"5/24",Таблица1[Ф. И. О.],B737)</f>
        <v>0</v>
      </c>
      <c r="X737" s="96">
        <f>ROUND(U737*V737*W737,2)</f>
        <v>0</v>
      </c>
      <c r="Y737" s="792"/>
      <c r="Z737" s="794"/>
      <c r="AA737" s="797"/>
      <c r="AC737" s="688" t="str">
        <f>IF(SUMIFS(Таблица1[сумма],Таблица1[Ф. И. О.],B737)=Y732,"",B732&amp;"  часы не верны")</f>
        <v/>
      </c>
    </row>
    <row r="738" spans="1:29">
      <c r="A738" s="740"/>
      <c r="B738" s="591"/>
      <c r="C738" s="799"/>
      <c r="D738" s="801"/>
      <c r="E738" s="68"/>
      <c r="F738" s="249"/>
      <c r="G738" s="82"/>
      <c r="H738" s="96"/>
      <c r="I738" s="22"/>
      <c r="J738" s="256"/>
      <c r="K738" s="20"/>
      <c r="L738" s="287"/>
      <c r="M738" s="22"/>
      <c r="N738" s="20"/>
      <c r="O738" s="20"/>
      <c r="P738" s="260"/>
      <c r="Q738" s="592">
        <f>IF($D$6&lt;=3,база!$L$4,
IF($D$6=4,база!$L$5,
IF($D$6=5,база!$L$6)))</f>
        <v>231.45480000000001</v>
      </c>
      <c r="R738" s="249">
        <v>1.3</v>
      </c>
      <c r="S738" s="90">
        <f>SUMIFS(Таблица1[сумма],Таблица1[коэф],"1,3",Таблица1[р/р],"3/16",Таблица1[Ф. И. О.],B737)</f>
        <v>0</v>
      </c>
      <c r="T738" s="96">
        <f t="shared" ref="T738:T739" si="459">ROUND(Q738*R738*S738,2)</f>
        <v>0</v>
      </c>
      <c r="U738" s="75">
        <f>IF(D732&lt;=3,база!$M$4,
IF(D732=4,база!$M$5,
IF(D732=5,база!$M$6)))</f>
        <v>247.41720000000001</v>
      </c>
      <c r="V738" s="249">
        <v>1.3</v>
      </c>
      <c r="W738" s="90">
        <f>SUMIFS(Таблица1[сумма],Таблица1[коэф],"1,3",Таблица1[р/р],"3/24",Таблица1[Ф. И. О.],B737)</f>
        <v>0</v>
      </c>
      <c r="X738" s="96">
        <f t="shared" ref="X738:X739" si="460">ROUND(U738*V738*W738,2)</f>
        <v>0</v>
      </c>
      <c r="Y738" s="792"/>
      <c r="Z738" s="794"/>
      <c r="AA738" s="797"/>
    </row>
    <row r="739" spans="1:29">
      <c r="A739" s="740"/>
      <c r="B739" s="591"/>
      <c r="C739" s="799"/>
      <c r="D739" s="801"/>
      <c r="E739" s="68"/>
      <c r="F739" s="249"/>
      <c r="G739" s="82"/>
      <c r="H739" s="96"/>
      <c r="I739" s="22"/>
      <c r="J739" s="256"/>
      <c r="K739" s="20"/>
      <c r="L739" s="287"/>
      <c r="M739" s="22"/>
      <c r="N739" s="20"/>
      <c r="O739" s="20"/>
      <c r="P739" s="260"/>
      <c r="Q739" s="592">
        <f>база!$L$5</f>
        <v>231.45480000000001</v>
      </c>
      <c r="R739" s="249">
        <v>1.3</v>
      </c>
      <c r="S739" s="90">
        <f>SUMIFS(Таблица1[сумма],Таблица1[коэф],"1,3",Таблица1[р/р],"4/16",Таблица1[Ф. И. О.],B737)</f>
        <v>0</v>
      </c>
      <c r="T739" s="96">
        <f t="shared" si="459"/>
        <v>0</v>
      </c>
      <c r="U739" s="75">
        <f>база!$M$5</f>
        <v>247.41720000000001</v>
      </c>
      <c r="V739" s="249">
        <v>1.3</v>
      </c>
      <c r="W739" s="90">
        <f>SUMIFS(Таблица1[сумма],Таблица1[коэф],"1,3",Таблица1[р/р],"4/24",Таблица1[Ф. И. О.],B737)</f>
        <v>0</v>
      </c>
      <c r="X739" s="96">
        <f t="shared" si="460"/>
        <v>0</v>
      </c>
      <c r="Y739" s="792"/>
      <c r="Z739" s="794"/>
      <c r="AA739" s="797"/>
    </row>
    <row r="740" spans="1:29">
      <c r="A740" s="740"/>
      <c r="B740" s="591"/>
      <c r="C740" s="799"/>
      <c r="D740" s="801"/>
      <c r="E740" s="68"/>
      <c r="F740" s="249"/>
      <c r="G740" s="82"/>
      <c r="H740" s="96"/>
      <c r="I740" s="22"/>
      <c r="J740" s="256"/>
      <c r="K740" s="20"/>
      <c r="L740" s="287"/>
      <c r="M740" s="22"/>
      <c r="N740" s="20"/>
      <c r="O740" s="20"/>
      <c r="P740" s="260"/>
      <c r="Q740" s="592">
        <f>IF(D732&lt;=3,база!$L$4,
IF(D732=4,база!$L$5,
IF(D732=5,база!$L$6)))</f>
        <v>231.45480000000001</v>
      </c>
      <c r="R740" s="249">
        <v>1.4</v>
      </c>
      <c r="S740" s="90">
        <f>SUMIFS(Таблица1[сумма],Таблица1[коэф],"1,4",Таблица1[р/р],"3/16",Таблица1[Ф. И. О.],B737)</f>
        <v>0</v>
      </c>
      <c r="T740" s="96">
        <f>ROUND(Q740*R740*S740,2)</f>
        <v>0</v>
      </c>
      <c r="U740" s="75">
        <f>IF(D732&lt;=3,база!$M$4,
IF(D732=4,база!$M$5,
IF(D732=5,база!$M$6)))</f>
        <v>247.41720000000001</v>
      </c>
      <c r="V740" s="249">
        <v>1.4</v>
      </c>
      <c r="W740" s="90">
        <f>SUMIFS(Таблица1[сумма],Таблица1[коэф],"1,4",Таблица1[р/р],"3/24",Таблица1[Ф. И. О.],B737)</f>
        <v>0</v>
      </c>
      <c r="X740" s="96">
        <f>ROUND(U740*V740*W740,2)</f>
        <v>0</v>
      </c>
      <c r="Y740" s="792"/>
      <c r="Z740" s="794"/>
      <c r="AA740" s="797"/>
    </row>
    <row r="741" spans="1:29">
      <c r="A741" s="740"/>
      <c r="B741" s="591"/>
      <c r="C741" s="799"/>
      <c r="D741" s="801"/>
      <c r="E741" s="78"/>
      <c r="F741" s="251"/>
      <c r="G741" s="601"/>
      <c r="H741" s="83"/>
      <c r="I741" s="60"/>
      <c r="J741" s="602"/>
      <c r="K741" s="53"/>
      <c r="L741" s="302"/>
      <c r="M741" s="60"/>
      <c r="N741" s="53"/>
      <c r="O741" s="53"/>
      <c r="P741" s="261"/>
      <c r="Q741" s="603">
        <f>база!$L$5</f>
        <v>231.45480000000001</v>
      </c>
      <c r="R741" s="251">
        <v>1.4</v>
      </c>
      <c r="S741" s="94">
        <f>SUMIFS(Таблица1[сумма],Таблица1[коэф],"1,4",Таблица1[р/р],"4/16",Таблица1[Ф. И. О.],B737)</f>
        <v>0</v>
      </c>
      <c r="T741" s="83">
        <f>ROUND(Q741*R741*S741,2)</f>
        <v>0</v>
      </c>
      <c r="U741" s="99">
        <f>база!$M$5</f>
        <v>247.41720000000001</v>
      </c>
      <c r="V741" s="251">
        <v>1.4</v>
      </c>
      <c r="W741" s="94">
        <f>SUMIFS(Таблица1[сумма],Таблица1[коэф],"1,4",Таблица1[р/р],"4/24",Таблица1[Ф. И. О.],B737)</f>
        <v>0</v>
      </c>
      <c r="X741" s="83">
        <f>ROUND(U741*V741*W741,2)</f>
        <v>0</v>
      </c>
      <c r="Y741" s="792"/>
      <c r="Z741" s="794"/>
      <c r="AA741" s="797"/>
    </row>
    <row r="742" spans="1:29" ht="24" thickBot="1">
      <c r="A742" s="741"/>
      <c r="B742" s="329"/>
      <c r="C742" s="800"/>
      <c r="D742" s="802"/>
      <c r="E742" s="70"/>
      <c r="F742" s="254"/>
      <c r="G742" s="593"/>
      <c r="H742" s="87"/>
      <c r="I742" s="594"/>
      <c r="J742" s="567"/>
      <c r="K742" s="595"/>
      <c r="L742" s="305"/>
      <c r="M742" s="594"/>
      <c r="N742" s="595"/>
      <c r="O742" s="595"/>
      <c r="P742" s="268"/>
      <c r="Q742" s="596">
        <f>база!$L$6</f>
        <v>261.04640000000001</v>
      </c>
      <c r="R742" s="254">
        <v>1.4</v>
      </c>
      <c r="S742" s="93">
        <f>SUMIFS(Таблица1[сумма],Таблица1[коэф],"1,4",Таблица1[р/р],"5/16",Таблица1[Ф. И. О.],B737)</f>
        <v>0</v>
      </c>
      <c r="T742" s="87">
        <f>ROUND(Q742*R742*S742,2)</f>
        <v>0</v>
      </c>
      <c r="U742" s="77">
        <f>база!$M$6</f>
        <v>279.0496</v>
      </c>
      <c r="V742" s="254">
        <v>1.4</v>
      </c>
      <c r="W742" s="93">
        <f>SUMIFS(Таблица1[сумма],Таблица1[коэф],"1,4",Таблица1[р/р],"5/24",Таблица1[Ф. И. О.],B737)</f>
        <v>0</v>
      </c>
      <c r="X742" s="87">
        <f>ROUND(U742*V742*W742,2)</f>
        <v>0</v>
      </c>
      <c r="Y742" s="793"/>
      <c r="Z742" s="795"/>
      <c r="AA742" s="798"/>
    </row>
    <row r="743" spans="1:29" ht="20.25" customHeight="1">
      <c r="A743" s="739">
        <v>68</v>
      </c>
      <c r="B743" s="591"/>
      <c r="C743" s="805">
        <f>INDEX(база!$E$2:$E$181, MATCH(B748,база!$B$2:$B$160,0))</f>
        <v>17076</v>
      </c>
      <c r="D743" s="806">
        <f>INDEX(база!$D$2:$D$189, MATCH(B748,база!$B$2:$B$160,0))</f>
        <v>3</v>
      </c>
      <c r="E743" s="68">
        <f>IF(D743&lt;=3,база!$I$4,
IF(D743=4,база!$I$5,
IF(D743=5,база!$I$6)))</f>
        <v>188.7912</v>
      </c>
      <c r="F743" s="249">
        <v>1</v>
      </c>
      <c r="G743" s="82">
        <f>SUMIFS(Таблица1[сумма],Таблица1[коэф],"1",Таблица1[р/р],"2/4",Таблица1[Ф. И. О.],B748)</f>
        <v>0</v>
      </c>
      <c r="H743" s="96">
        <f>ROUND(E743*F743*G743,2)</f>
        <v>0</v>
      </c>
      <c r="I743" s="22">
        <f>IF(D743&lt;=3,база!$J$4,
IF(D743=4,база!$J$5,
IF(D743=5,база!$J$6)))</f>
        <v>196.05240000000001</v>
      </c>
      <c r="J743" s="256">
        <v>1</v>
      </c>
      <c r="K743" s="20">
        <f>SUMIFS(Таблица1[сумма],Таблица1[коэф],"1",Таблица1[р/р],"2/8",Таблица1[Ф. И. О.],B748)</f>
        <v>0</v>
      </c>
      <c r="L743" s="287">
        <f>ROUND(I743*J743*K743,2)</f>
        <v>0</v>
      </c>
      <c r="M743" s="22"/>
      <c r="N743" s="20">
        <v>1</v>
      </c>
      <c r="O743" s="20">
        <f>SUMIFS(Data_Tech!$AM$3:$AM$67,Data_Tech!$E$3:$E$67,"1",Data_Tech!$G$3:$G$67,"3/12",Data_Tech!$F$3:$F$67,B748)</f>
        <v>0</v>
      </c>
      <c r="P743" s="260">
        <f>ROUND(M743*N743*O743,2)</f>
        <v>0</v>
      </c>
      <c r="Q743" s="592">
        <f>IF(D743&lt;=3,база!$L$4,
IF(D743=4,база!$L$5,
IF(D743=5,база!$L$6)))</f>
        <v>210.57480000000001</v>
      </c>
      <c r="R743" s="249">
        <v>1</v>
      </c>
      <c r="S743" s="90">
        <f>SUMIFS(Таблица1[сумма],Таблица1[коэф],"1",Таблица1[р/р],"3/16",Таблица1[Ф. И. О.],B748)</f>
        <v>0</v>
      </c>
      <c r="T743" s="96">
        <f t="shared" ref="T743:T747" si="461">ROUND(Q743*R743*S743,2)</f>
        <v>0</v>
      </c>
      <c r="U743" s="75">
        <f>IF(D743&lt;=3,база!$M$4,
IF(D743=4,база!$M$5,
IF(D743=5,база!$M$6)))</f>
        <v>225.09719999999999</v>
      </c>
      <c r="V743" s="249">
        <v>1</v>
      </c>
      <c r="W743" s="90">
        <f>SUMIFS(Таблица1[сумма],Таблица1[коэф],"1",Таблица1[р/р],"3/24",Таблица1[Ф. И. О.],B748)</f>
        <v>0</v>
      </c>
      <c r="X743" s="96">
        <f>ROUND(U743*V743*W743,2)</f>
        <v>0</v>
      </c>
      <c r="Y743" s="791">
        <f t="shared" ref="Y743" si="462">SUM(G743:G753,K743:K753,O743:O753,S743:S753,W743:W753)</f>
        <v>0</v>
      </c>
      <c r="Z743" s="807">
        <f t="shared" ref="Z743" si="463">IFERROR(SUM(H743:H753,L743:L753,T743:T753,X743:X753),"")</f>
        <v>0</v>
      </c>
      <c r="AA743" s="796"/>
    </row>
    <row r="744" spans="1:29">
      <c r="A744" s="740"/>
      <c r="B744" s="591"/>
      <c r="C744" s="799"/>
      <c r="D744" s="801"/>
      <c r="E744" s="68">
        <f>IF(D743&lt;=3,база!$I$4,
IF(D743=4,база!$I$5,
IF(D743=5,база!$I$6)))</f>
        <v>188.7912</v>
      </c>
      <c r="F744" s="249">
        <v>1</v>
      </c>
      <c r="G744" s="82">
        <f>SUMIFS(Таблица1[сумма],Таблица1[коэф],"1",Таблица1[р/р],"3/4",Таблица1[Ф. И. О.],B748)</f>
        <v>0</v>
      </c>
      <c r="H744" s="96">
        <f>ROUND(E744*F744*G744,2)</f>
        <v>0</v>
      </c>
      <c r="I744" s="22">
        <f>IF(D743&lt;=3,база!$J$4,
IF(D743=4,база!$J$5,
IF(D743=5,база!$J$6)))</f>
        <v>196.05240000000001</v>
      </c>
      <c r="J744" s="256">
        <v>1</v>
      </c>
      <c r="K744" s="20"/>
      <c r="L744" s="287">
        <f>ROUND(I744*J744*K744,2)</f>
        <v>0</v>
      </c>
      <c r="M744" s="22"/>
      <c r="N744" s="20">
        <v>1</v>
      </c>
      <c r="O744" s="20">
        <f>SUMIFS(Data_Tech!$AM$3:$AM$67,Data_Tech!$E$3:$E$67,"1",Data_Tech!$G$3:$G$67,"4/12",Data_Tech!$F$3:$F$67,B748)</f>
        <v>0</v>
      </c>
      <c r="P744" s="260">
        <f>ROUND(M744*O744,2)</f>
        <v>0</v>
      </c>
      <c r="Q744" s="592">
        <f>база!$L$5</f>
        <v>231.45480000000001</v>
      </c>
      <c r="R744" s="249">
        <v>1</v>
      </c>
      <c r="S744" s="90">
        <f>SUMIFS(Таблица1[сумма],Таблица1[коэф],"1",Таблица1[р/р],"4/16",Таблица1[Ф. И. О.],B748)</f>
        <v>0</v>
      </c>
      <c r="T744" s="96">
        <f t="shared" si="461"/>
        <v>0</v>
      </c>
      <c r="U744" s="75">
        <f>база!$M$5</f>
        <v>247.41720000000001</v>
      </c>
      <c r="V744" s="249">
        <v>1</v>
      </c>
      <c r="W744" s="90">
        <f>SUMIFS(Таблица1[сумма],Таблица1[коэф],"1",Таблица1[р/р],"4/24",Таблица1[Ф. И. О.],B748)</f>
        <v>0</v>
      </c>
      <c r="X744" s="96">
        <f t="shared" ref="X744" si="464">ROUND(U744*V744*W744,2)</f>
        <v>0</v>
      </c>
      <c r="Y744" s="792"/>
      <c r="Z744" s="794"/>
      <c r="AA744" s="797"/>
    </row>
    <row r="745" spans="1:29">
      <c r="A745" s="740"/>
      <c r="B745" s="591"/>
      <c r="C745" s="799"/>
      <c r="D745" s="801"/>
      <c r="E745" s="68"/>
      <c r="F745" s="249"/>
      <c r="G745" s="82"/>
      <c r="H745" s="96"/>
      <c r="I745" s="22"/>
      <c r="J745" s="256"/>
      <c r="K745" s="20"/>
      <c r="L745" s="287"/>
      <c r="M745" s="22"/>
      <c r="N745" s="20"/>
      <c r="O745" s="20"/>
      <c r="P745" s="260"/>
      <c r="Q745" s="592">
        <f>база!$L$6</f>
        <v>261.04640000000001</v>
      </c>
      <c r="R745" s="249">
        <v>1</v>
      </c>
      <c r="S745" s="90">
        <f>SUMIFS(Таблица1[сумма],Таблица1[коэф],"1",Таблица1[р/р],"5/16",Таблица1[Ф. И. О.],B748)</f>
        <v>0</v>
      </c>
      <c r="T745" s="96">
        <f t="shared" si="461"/>
        <v>0</v>
      </c>
      <c r="U745" s="75">
        <f>база!$M$6</f>
        <v>279.0496</v>
      </c>
      <c r="V745" s="249">
        <v>1</v>
      </c>
      <c r="W745" s="90">
        <f>SUMIFS(Таблица1[сумма],Таблица1[коэф],"1",Таблица1[р/р],"5/24",Таблица1[Ф. И. О.],B748)</f>
        <v>0</v>
      </c>
      <c r="X745" s="96">
        <f>ROUND(U745*V745*W745,2)</f>
        <v>0</v>
      </c>
      <c r="Y745" s="792"/>
      <c r="Z745" s="794"/>
      <c r="AA745" s="797"/>
    </row>
    <row r="746" spans="1:29">
      <c r="A746" s="740"/>
      <c r="B746" s="591"/>
      <c r="C746" s="799"/>
      <c r="D746" s="801"/>
      <c r="E746" s="68"/>
      <c r="F746" s="249"/>
      <c r="G746" s="82"/>
      <c r="H746" s="96"/>
      <c r="I746" s="22">
        <f>база!$J$5</f>
        <v>215.4924</v>
      </c>
      <c r="J746" s="256">
        <v>1.5</v>
      </c>
      <c r="K746" s="20">
        <f>SUMIFS(Таблица1[сумма],Таблица1[коэф],"1,5",Таблица1[р/р],"4/8",Таблица1[Ф. И. О.],B748)</f>
        <v>0</v>
      </c>
      <c r="L746" s="287">
        <f>ROUND(I746*J746*K746,2)</f>
        <v>0</v>
      </c>
      <c r="M746" s="22"/>
      <c r="N746" s="20"/>
      <c r="O746" s="20"/>
      <c r="P746" s="260"/>
      <c r="Q746" s="592">
        <f>IF(D743&lt;=3,база!$L$4,
IF(D743=4,база!$L$5,
IF(D743=5,база!$L$6)))</f>
        <v>210.57480000000001</v>
      </c>
      <c r="R746" s="249">
        <v>1.2</v>
      </c>
      <c r="S746" s="90">
        <f>SUMIFS(Таблица1[сумма],Таблица1[коэф],"1,2",Таблица1[р/р],"3/16",Таблица1[Ф. И. О.],B748)</f>
        <v>0</v>
      </c>
      <c r="T746" s="96">
        <f t="shared" si="461"/>
        <v>0</v>
      </c>
      <c r="U746" s="75">
        <f>IF(D743&lt;=3,база!$M$4,
IF(D743=4,база!$M$5,
IF(D743=5,база!$M$6)))</f>
        <v>225.09719999999999</v>
      </c>
      <c r="V746" s="249">
        <v>1.2</v>
      </c>
      <c r="W746" s="90">
        <f>SUMIFS(Таблица1[сумма],Таблица1[коэф],"1,2",Таблица1[р/р],"3/24",Таблица1[Ф. И. О.],B748)</f>
        <v>0</v>
      </c>
      <c r="X746" s="96">
        <f t="shared" ref="X746:X747" si="465">ROUND(U746*V746*W746,2)</f>
        <v>0</v>
      </c>
      <c r="Y746" s="792"/>
      <c r="Z746" s="794"/>
      <c r="AA746" s="797"/>
    </row>
    <row r="747" spans="1:29">
      <c r="A747" s="740"/>
      <c r="B747" s="591"/>
      <c r="C747" s="799"/>
      <c r="D747" s="801"/>
      <c r="E747" s="68"/>
      <c r="F747" s="249"/>
      <c r="G747" s="82"/>
      <c r="H747" s="96"/>
      <c r="I747" s="22">
        <f>база!$J$6</f>
        <v>243.04319999999998</v>
      </c>
      <c r="J747" s="256">
        <v>1.5</v>
      </c>
      <c r="K747" s="20">
        <f>SUMIFS(Таблица1[сумма],Таблица1[коэф],"1,5",Таблица1[р/р],"5/8",Таблица1[Ф. И. О.],B748)</f>
        <v>0</v>
      </c>
      <c r="L747" s="287">
        <f>ROUND(I747*J747*K747,2)</f>
        <v>0</v>
      </c>
      <c r="M747" s="22"/>
      <c r="N747" s="20"/>
      <c r="O747" s="20"/>
      <c r="P747" s="260"/>
      <c r="Q747" s="592">
        <f>база!$L$5</f>
        <v>231.45480000000001</v>
      </c>
      <c r="R747" s="249">
        <v>1.2</v>
      </c>
      <c r="S747" s="90">
        <f>SUMIFS(Таблица1[сумма],Таблица1[коэф],"1,2",Таблица1[р/р],"4/16",Таблица1[Ф. И. О.],B748)</f>
        <v>0</v>
      </c>
      <c r="T747" s="96">
        <f t="shared" si="461"/>
        <v>0</v>
      </c>
      <c r="U747" s="75">
        <f>база!$M$5</f>
        <v>247.41720000000001</v>
      </c>
      <c r="V747" s="249">
        <v>1.2</v>
      </c>
      <c r="W747" s="90">
        <f>SUMIFS(Таблица1[сумма],Таблица1[коэф],"1,2",Таблица1[р/р],"4/24",Таблица1[Ф. И. О.],B748)</f>
        <v>0</v>
      </c>
      <c r="X747" s="96">
        <f t="shared" si="465"/>
        <v>0</v>
      </c>
      <c r="Y747" s="792"/>
      <c r="Z747" s="794"/>
      <c r="AA747" s="797"/>
      <c r="AC747" s="688" t="str">
        <f>IF(SUMIFS(Таблица1[Столбец2],Таблица1[Ф. И. О.],B748)-Z743=0,"",SUMIFS(Таблица1[Столбец2],Таблица1[Ф. И. О.],B748)-Z743)</f>
        <v/>
      </c>
    </row>
    <row r="748" spans="1:29">
      <c r="A748" s="740"/>
      <c r="B748" s="591" t="str">
        <f>база!B69</f>
        <v>Соболева Наталья Александровна</v>
      </c>
      <c r="C748" s="799"/>
      <c r="D748" s="801"/>
      <c r="E748" s="68"/>
      <c r="F748" s="249"/>
      <c r="G748" s="82"/>
      <c r="H748" s="96"/>
      <c r="I748" s="22"/>
      <c r="J748" s="256"/>
      <c r="K748" s="20"/>
      <c r="L748" s="287"/>
      <c r="M748" s="22"/>
      <c r="N748" s="20"/>
      <c r="O748" s="20"/>
      <c r="P748" s="260"/>
      <c r="Q748" s="592">
        <f>база!$L$6</f>
        <v>261.04640000000001</v>
      </c>
      <c r="R748" s="249">
        <v>1.2</v>
      </c>
      <c r="S748" s="90">
        <f>SUMIFS(Таблица1[сумма],Таблица1[коэф],"1,2",Таблица1[р/р],"5/16",Таблица1[Ф. И. О.],B748)</f>
        <v>0</v>
      </c>
      <c r="T748" s="96">
        <f>ROUND(Q748*R748*S748,2)</f>
        <v>0</v>
      </c>
      <c r="U748" s="75">
        <f>база!$M$6</f>
        <v>279.0496</v>
      </c>
      <c r="V748" s="249">
        <v>1.2</v>
      </c>
      <c r="W748" s="90">
        <f>SUMIFS(Таблица1[сумма],Таблица1[коэф],"1,2",Таблица1[р/р],"5/24",Таблица1[Ф. И. О.],B748)</f>
        <v>0</v>
      </c>
      <c r="X748" s="96">
        <f>ROUND(U748*V748*W748,2)</f>
        <v>0</v>
      </c>
      <c r="Y748" s="792"/>
      <c r="Z748" s="794"/>
      <c r="AA748" s="797"/>
      <c r="AC748" s="688" t="str">
        <f>IF(SUMIFS(Таблица1[сумма],Таблица1[Ф. И. О.],B748)=Y743,"",B743&amp;"  часы не верны")</f>
        <v/>
      </c>
    </row>
    <row r="749" spans="1:29">
      <c r="A749" s="740"/>
      <c r="B749" s="591"/>
      <c r="C749" s="799"/>
      <c r="D749" s="801"/>
      <c r="E749" s="68"/>
      <c r="F749" s="249"/>
      <c r="G749" s="82"/>
      <c r="H749" s="96"/>
      <c r="I749" s="22"/>
      <c r="J749" s="256"/>
      <c r="K749" s="20"/>
      <c r="L749" s="287"/>
      <c r="M749" s="22"/>
      <c r="N749" s="20"/>
      <c r="O749" s="20"/>
      <c r="P749" s="260"/>
      <c r="Q749" s="592">
        <f>IF($D$6&lt;=3,база!$L$4,
IF($D$6=4,база!$L$5,
IF($D$6=5,база!$L$6)))</f>
        <v>231.45480000000001</v>
      </c>
      <c r="R749" s="249">
        <v>1.3</v>
      </c>
      <c r="S749" s="90">
        <f>SUMIFS(Таблица1[сумма],Таблица1[коэф],"1,3",Таблица1[р/р],"3/16",Таблица1[Ф. И. О.],B748)</f>
        <v>0</v>
      </c>
      <c r="T749" s="96">
        <f t="shared" ref="T749:T750" si="466">ROUND(Q749*R749*S749,2)</f>
        <v>0</v>
      </c>
      <c r="U749" s="75">
        <f>IF(D743&lt;=3,база!$M$4,
IF(D743=4,база!$M$5,
IF(D743=5,база!$M$6)))</f>
        <v>225.09719999999999</v>
      </c>
      <c r="V749" s="249">
        <v>1.3</v>
      </c>
      <c r="W749" s="90">
        <f>SUMIFS(Таблица1[сумма],Таблица1[коэф],"1,3",Таблица1[р/р],"3/24",Таблица1[Ф. И. О.],B748)</f>
        <v>0</v>
      </c>
      <c r="X749" s="96">
        <f t="shared" ref="X749:X750" si="467">ROUND(U749*V749*W749,2)</f>
        <v>0</v>
      </c>
      <c r="Y749" s="792"/>
      <c r="Z749" s="794"/>
      <c r="AA749" s="797"/>
    </row>
    <row r="750" spans="1:29">
      <c r="A750" s="740"/>
      <c r="B750" s="591"/>
      <c r="C750" s="799"/>
      <c r="D750" s="801"/>
      <c r="E750" s="68"/>
      <c r="F750" s="249"/>
      <c r="G750" s="82"/>
      <c r="H750" s="96"/>
      <c r="I750" s="22"/>
      <c r="J750" s="256"/>
      <c r="K750" s="20"/>
      <c r="L750" s="287"/>
      <c r="M750" s="22"/>
      <c r="N750" s="20"/>
      <c r="O750" s="20"/>
      <c r="P750" s="260"/>
      <c r="Q750" s="592">
        <f>база!$L$5</f>
        <v>231.45480000000001</v>
      </c>
      <c r="R750" s="249">
        <v>1.3</v>
      </c>
      <c r="S750" s="90">
        <f>SUMIFS(Таблица1[сумма],Таблица1[коэф],"1,3",Таблица1[р/р],"4/16",Таблица1[Ф. И. О.],B748)</f>
        <v>0</v>
      </c>
      <c r="T750" s="96">
        <f t="shared" si="466"/>
        <v>0</v>
      </c>
      <c r="U750" s="75">
        <f>база!$M$5</f>
        <v>247.41720000000001</v>
      </c>
      <c r="V750" s="249">
        <v>1.3</v>
      </c>
      <c r="W750" s="90">
        <f>SUMIFS(Таблица1[сумма],Таблица1[коэф],"1,3",Таблица1[р/р],"4/24",Таблица1[Ф. И. О.],B748)</f>
        <v>0</v>
      </c>
      <c r="X750" s="96">
        <f t="shared" si="467"/>
        <v>0</v>
      </c>
      <c r="Y750" s="792"/>
      <c r="Z750" s="794"/>
      <c r="AA750" s="797"/>
    </row>
    <row r="751" spans="1:29">
      <c r="A751" s="740"/>
      <c r="B751" s="591"/>
      <c r="C751" s="799"/>
      <c r="D751" s="801"/>
      <c r="E751" s="68"/>
      <c r="F751" s="249"/>
      <c r="G751" s="82"/>
      <c r="H751" s="96"/>
      <c r="I751" s="22"/>
      <c r="J751" s="256"/>
      <c r="K751" s="20"/>
      <c r="L751" s="287"/>
      <c r="M751" s="22"/>
      <c r="N751" s="20"/>
      <c r="O751" s="20"/>
      <c r="P751" s="260"/>
      <c r="Q751" s="592">
        <f>IF(D743&lt;=3,база!$L$4,
IF(D743=4,база!$L$5,
IF(D743=5,база!$L$6)))</f>
        <v>210.57480000000001</v>
      </c>
      <c r="R751" s="249">
        <v>1.4</v>
      </c>
      <c r="S751" s="90">
        <f>SUMIFS(Таблица1[сумма],Таблица1[коэф],"1,4",Таблица1[р/р],"3/16",Таблица1[Ф. И. О.],B748)</f>
        <v>0</v>
      </c>
      <c r="T751" s="96">
        <f>ROUND(Q751*R751*S751,2)</f>
        <v>0</v>
      </c>
      <c r="U751" s="75">
        <f>IF(D743&lt;=3,база!$M$4,
IF(D743=4,база!$M$5,
IF(D743=5,база!$M$6)))</f>
        <v>225.09719999999999</v>
      </c>
      <c r="V751" s="249">
        <v>1.4</v>
      </c>
      <c r="W751" s="90">
        <f>SUMIFS(Таблица1[сумма],Таблица1[коэф],"1,4",Таблица1[р/р],"3/24",Таблица1[Ф. И. О.],B748)</f>
        <v>0</v>
      </c>
      <c r="X751" s="96">
        <f>ROUND(U751*V751*W751,2)</f>
        <v>0</v>
      </c>
      <c r="Y751" s="792"/>
      <c r="Z751" s="794"/>
      <c r="AA751" s="797"/>
    </row>
    <row r="752" spans="1:29">
      <c r="A752" s="740"/>
      <c r="B752" s="591"/>
      <c r="C752" s="799"/>
      <c r="D752" s="801"/>
      <c r="E752" s="78"/>
      <c r="F752" s="251"/>
      <c r="G752" s="601"/>
      <c r="H752" s="83"/>
      <c r="I752" s="60"/>
      <c r="J752" s="602"/>
      <c r="K752" s="53"/>
      <c r="L752" s="302"/>
      <c r="M752" s="60"/>
      <c r="N752" s="53"/>
      <c r="O752" s="53"/>
      <c r="P752" s="261"/>
      <c r="Q752" s="603">
        <f>база!$L$5</f>
        <v>231.45480000000001</v>
      </c>
      <c r="R752" s="251">
        <v>1.4</v>
      </c>
      <c r="S752" s="94">
        <f>SUMIFS(Таблица1[сумма],Таблица1[коэф],"1,4",Таблица1[р/р],"4/16",Таблица1[Ф. И. О.],B748)</f>
        <v>0</v>
      </c>
      <c r="T752" s="83">
        <f>ROUND(Q752*R752*S752,2)</f>
        <v>0</v>
      </c>
      <c r="U752" s="99">
        <f>база!$M$5</f>
        <v>247.41720000000001</v>
      </c>
      <c r="V752" s="251">
        <v>1.4</v>
      </c>
      <c r="W752" s="94">
        <f>SUMIFS(Таблица1[сумма],Таблица1[коэф],"1,4",Таблица1[р/р],"4/24",Таблица1[Ф. И. О.],B748)</f>
        <v>0</v>
      </c>
      <c r="X752" s="83">
        <f>ROUND(U752*V752*W752,2)</f>
        <v>0</v>
      </c>
      <c r="Y752" s="792"/>
      <c r="Z752" s="794"/>
      <c r="AA752" s="797"/>
    </row>
    <row r="753" spans="1:29" ht="24" thickBot="1">
      <c r="A753" s="741"/>
      <c r="B753" s="329"/>
      <c r="C753" s="800"/>
      <c r="D753" s="802"/>
      <c r="E753" s="70"/>
      <c r="F753" s="254"/>
      <c r="G753" s="593"/>
      <c r="H753" s="87"/>
      <c r="I753" s="594"/>
      <c r="J753" s="567"/>
      <c r="K753" s="595"/>
      <c r="L753" s="305"/>
      <c r="M753" s="594"/>
      <c r="N753" s="595"/>
      <c r="O753" s="595"/>
      <c r="P753" s="268"/>
      <c r="Q753" s="596">
        <f>база!$L$6</f>
        <v>261.04640000000001</v>
      </c>
      <c r="R753" s="254">
        <v>1.4</v>
      </c>
      <c r="S753" s="93">
        <f>SUMIFS(Таблица1[сумма],Таблица1[коэф],"1,4",Таблица1[р/р],"5/16",Таблица1[Ф. И. О.],B748)</f>
        <v>0</v>
      </c>
      <c r="T753" s="87">
        <f>ROUND(Q753*R753*S753,2)</f>
        <v>0</v>
      </c>
      <c r="U753" s="77">
        <f>база!$M$6</f>
        <v>279.0496</v>
      </c>
      <c r="V753" s="254">
        <v>1.4</v>
      </c>
      <c r="W753" s="93">
        <f>SUMIFS(Таблица1[сумма],Таблица1[коэф],"1,4",Таблица1[р/р],"5/24",Таблица1[Ф. И. О.],B748)</f>
        <v>0</v>
      </c>
      <c r="X753" s="87">
        <f>ROUND(U753*V753*W753,2)</f>
        <v>0</v>
      </c>
      <c r="Y753" s="793"/>
      <c r="Z753" s="795"/>
      <c r="AA753" s="798"/>
    </row>
    <row r="754" spans="1:29" ht="20.25" customHeight="1">
      <c r="A754" s="739">
        <v>69</v>
      </c>
      <c r="B754" s="591"/>
      <c r="C754" s="805">
        <f>INDEX(база!$E$2:$E$181, MATCH(B759,база!$B$2:$B$160,0))</f>
        <v>17196</v>
      </c>
      <c r="D754" s="806">
        <f>INDEX(база!$D$2:$D$189, MATCH(B759,база!$B$2:$B$160,0))</f>
        <v>3</v>
      </c>
      <c r="E754" s="68">
        <f>IF(D754&lt;=3,база!$I$4,
IF(D754=4,база!$I$5,
IF(D754=5,база!$I$6)))</f>
        <v>188.7912</v>
      </c>
      <c r="F754" s="249">
        <v>1</v>
      </c>
      <c r="G754" s="82">
        <f>SUMIFS(Таблица1[сумма],Таблица1[коэф],"1",Таблица1[р/р],"2/4",Таблица1[Ф. И. О.],B759)</f>
        <v>0</v>
      </c>
      <c r="H754" s="96">
        <f>ROUND(E754*F754*G754,2)</f>
        <v>0</v>
      </c>
      <c r="I754" s="22">
        <f>IF(D754&lt;=3,база!$J$4,
IF(D754=4,база!$J$5,
IF(D754=5,база!$J$6)))</f>
        <v>196.05240000000001</v>
      </c>
      <c r="J754" s="256">
        <v>1</v>
      </c>
      <c r="K754" s="20">
        <f>SUMIFS(Таблица1[сумма],Таблица1[коэф],"1",Таблица1[р/р],"2/8",Таблица1[Ф. И. О.],B759)</f>
        <v>0</v>
      </c>
      <c r="L754" s="287">
        <f>ROUND(I754*J754*K754,2)</f>
        <v>0</v>
      </c>
      <c r="M754" s="22"/>
      <c r="N754" s="20">
        <v>1</v>
      </c>
      <c r="O754" s="20">
        <f>SUMIFS(Data_Tech!$AM$3:$AM$67,Data_Tech!$E$3:$E$67,"1",Data_Tech!$G$3:$G$67,"3/12",Data_Tech!$F$3:$F$67,B759)</f>
        <v>0</v>
      </c>
      <c r="P754" s="260">
        <f>ROUND(M754*N754*O754,2)</f>
        <v>0</v>
      </c>
      <c r="Q754" s="592">
        <f>IF(D754&lt;=3,база!$L$4,
IF(D754=4,база!$L$5,
IF(D754=5,база!$L$6)))</f>
        <v>210.57480000000001</v>
      </c>
      <c r="R754" s="249">
        <v>1</v>
      </c>
      <c r="S754" s="90">
        <f>SUMIFS(Таблица1[сумма],Таблица1[коэф],"1",Таблица1[р/р],"3/16",Таблица1[Ф. И. О.],B759)</f>
        <v>0</v>
      </c>
      <c r="T754" s="96">
        <f t="shared" ref="T754:T758" si="468">ROUND(Q754*R754*S754,2)</f>
        <v>0</v>
      </c>
      <c r="U754" s="75">
        <f>IF(D754&lt;=3,база!$M$4,
IF(D754=4,база!$M$5,
IF(D754=5,база!$M$6)))</f>
        <v>225.09719999999999</v>
      </c>
      <c r="V754" s="249">
        <v>1</v>
      </c>
      <c r="W754" s="90">
        <f>SUMIFS(Таблица1[сумма],Таблица1[коэф],"1",Таблица1[р/р],"3/24",Таблица1[Ф. И. О.],B759)</f>
        <v>0</v>
      </c>
      <c r="X754" s="96">
        <f>ROUND(U754*V754*W754,2)</f>
        <v>0</v>
      </c>
      <c r="Y754" s="791">
        <f t="shared" ref="Y754" si="469">SUM(G754:G764,K754:K764,O754:O764,S754:S764,W754:W764)</f>
        <v>0</v>
      </c>
      <c r="Z754" s="807">
        <f t="shared" ref="Z754" si="470">IFERROR(SUM(H754:H764,L754:L764,T754:T764,X754:X764),"")</f>
        <v>0</v>
      </c>
      <c r="AA754" s="796"/>
    </row>
    <row r="755" spans="1:29">
      <c r="A755" s="740"/>
      <c r="B755" s="591"/>
      <c r="C755" s="799"/>
      <c r="D755" s="801"/>
      <c r="E755" s="68">
        <f>IF(D754&lt;=3,база!$I$4,
IF(D754=4,база!$I$5,
IF(D754=5,база!$I$6)))</f>
        <v>188.7912</v>
      </c>
      <c r="F755" s="249">
        <v>1</v>
      </c>
      <c r="G755" s="82">
        <f>SUMIFS(Таблица1[сумма],Таблица1[коэф],"1",Таблица1[р/р],"3/4",Таблица1[Ф. И. О.],B759)</f>
        <v>0</v>
      </c>
      <c r="H755" s="96">
        <f>ROUND(E755*F755*G755,2)</f>
        <v>0</v>
      </c>
      <c r="I755" s="22">
        <f>IF(D754&lt;=3,база!$J$4,
IF(D754=4,база!$J$5,
IF(D754=5,база!$J$6)))</f>
        <v>196.05240000000001</v>
      </c>
      <c r="J755" s="256">
        <v>1</v>
      </c>
      <c r="K755" s="20"/>
      <c r="L755" s="287">
        <f>ROUND(I755*J755*K755,2)</f>
        <v>0</v>
      </c>
      <c r="M755" s="22"/>
      <c r="N755" s="20">
        <v>1</v>
      </c>
      <c r="O755" s="20">
        <f>SUMIFS(Data_Tech!$AM$3:$AM$67,Data_Tech!$E$3:$E$67,"1",Data_Tech!$G$3:$G$67,"4/12",Data_Tech!$F$3:$F$67,B759)</f>
        <v>0</v>
      </c>
      <c r="P755" s="260">
        <f>ROUND(M755*O755,2)</f>
        <v>0</v>
      </c>
      <c r="Q755" s="592">
        <f>база!$L$5</f>
        <v>231.45480000000001</v>
      </c>
      <c r="R755" s="249">
        <v>1</v>
      </c>
      <c r="S755" s="90">
        <f>SUMIFS(Таблица1[сумма],Таблица1[коэф],"1",Таблица1[р/р],"4/16",Таблица1[Ф. И. О.],B759)</f>
        <v>0</v>
      </c>
      <c r="T755" s="96">
        <f t="shared" si="468"/>
        <v>0</v>
      </c>
      <c r="U755" s="75">
        <f>база!$M$5</f>
        <v>247.41720000000001</v>
      </c>
      <c r="V755" s="249">
        <v>1</v>
      </c>
      <c r="W755" s="90">
        <f>SUMIFS(Таблица1[сумма],Таблица1[коэф],"1",Таблица1[р/р],"4/24",Таблица1[Ф. И. О.],B759)</f>
        <v>0</v>
      </c>
      <c r="X755" s="96">
        <f t="shared" ref="X755" si="471">ROUND(U755*V755*W755,2)</f>
        <v>0</v>
      </c>
      <c r="Y755" s="792"/>
      <c r="Z755" s="794"/>
      <c r="AA755" s="797"/>
    </row>
    <row r="756" spans="1:29">
      <c r="A756" s="740"/>
      <c r="B756" s="591"/>
      <c r="C756" s="799"/>
      <c r="D756" s="801"/>
      <c r="E756" s="68"/>
      <c r="F756" s="249"/>
      <c r="G756" s="82"/>
      <c r="H756" s="96"/>
      <c r="I756" s="22"/>
      <c r="J756" s="256"/>
      <c r="K756" s="20"/>
      <c r="L756" s="287"/>
      <c r="M756" s="22"/>
      <c r="N756" s="20"/>
      <c r="O756" s="20"/>
      <c r="P756" s="260"/>
      <c r="Q756" s="592">
        <f>база!$L$6</f>
        <v>261.04640000000001</v>
      </c>
      <c r="R756" s="249">
        <v>1</v>
      </c>
      <c r="S756" s="90">
        <f>SUMIFS(Таблица1[сумма],Таблица1[коэф],"1",Таблица1[р/р],"5/16",Таблица1[Ф. И. О.],B759)</f>
        <v>0</v>
      </c>
      <c r="T756" s="96">
        <f t="shared" si="468"/>
        <v>0</v>
      </c>
      <c r="U756" s="75">
        <f>база!$M$6</f>
        <v>279.0496</v>
      </c>
      <c r="V756" s="249">
        <v>1</v>
      </c>
      <c r="W756" s="90">
        <f>SUMIFS(Таблица1[сумма],Таблица1[коэф],"1",Таблица1[р/р],"5/24",Таблица1[Ф. И. О.],B759)</f>
        <v>0</v>
      </c>
      <c r="X756" s="96">
        <f>ROUND(U756*V756*W756,2)</f>
        <v>0</v>
      </c>
      <c r="Y756" s="792"/>
      <c r="Z756" s="794"/>
      <c r="AA756" s="797"/>
    </row>
    <row r="757" spans="1:29">
      <c r="A757" s="740"/>
      <c r="B757" s="591"/>
      <c r="C757" s="799"/>
      <c r="D757" s="801"/>
      <c r="E757" s="68"/>
      <c r="F757" s="249"/>
      <c r="G757" s="82"/>
      <c r="H757" s="96"/>
      <c r="I757" s="22">
        <f>база!$J$5</f>
        <v>215.4924</v>
      </c>
      <c r="J757" s="256">
        <v>1.5</v>
      </c>
      <c r="K757" s="20">
        <f>SUMIFS(Таблица1[сумма],Таблица1[коэф],"1,5",Таблица1[р/р],"4/8",Таблица1[Ф. И. О.],B759)</f>
        <v>0</v>
      </c>
      <c r="L757" s="287">
        <f>ROUND(I757*J757*K757,2)</f>
        <v>0</v>
      </c>
      <c r="M757" s="22"/>
      <c r="N757" s="20"/>
      <c r="O757" s="20"/>
      <c r="P757" s="260"/>
      <c r="Q757" s="592">
        <f>IF(D754&lt;=3,база!$L$4,
IF(D754=4,база!$L$5,
IF(D754=5,база!$L$6)))</f>
        <v>210.57480000000001</v>
      </c>
      <c r="R757" s="249">
        <v>1.2</v>
      </c>
      <c r="S757" s="90">
        <f>SUMIFS(Таблица1[сумма],Таблица1[коэф],"1,2",Таблица1[р/р],"3/16",Таблица1[Ф. И. О.],B759)</f>
        <v>0</v>
      </c>
      <c r="T757" s="96">
        <f t="shared" si="468"/>
        <v>0</v>
      </c>
      <c r="U757" s="75">
        <f>IF(D754&lt;=3,база!$M$4,
IF(D754=4,база!$M$5,
IF(D754=5,база!$M$6)))</f>
        <v>225.09719999999999</v>
      </c>
      <c r="V757" s="249">
        <v>1.2</v>
      </c>
      <c r="W757" s="90">
        <f>SUMIFS(Таблица1[сумма],Таблица1[коэф],"1,2",Таблица1[р/р],"3/24",Таблица1[Ф. И. О.],B759)</f>
        <v>0</v>
      </c>
      <c r="X757" s="96">
        <f t="shared" ref="X757:X758" si="472">ROUND(U757*V757*W757,2)</f>
        <v>0</v>
      </c>
      <c r="Y757" s="792"/>
      <c r="Z757" s="794"/>
      <c r="AA757" s="797"/>
    </row>
    <row r="758" spans="1:29">
      <c r="A758" s="740"/>
      <c r="B758" s="591"/>
      <c r="C758" s="799"/>
      <c r="D758" s="801"/>
      <c r="E758" s="68"/>
      <c r="F758" s="249"/>
      <c r="G758" s="82"/>
      <c r="H758" s="96"/>
      <c r="I758" s="22">
        <f>база!$J$6</f>
        <v>243.04319999999998</v>
      </c>
      <c r="J758" s="256">
        <v>1.5</v>
      </c>
      <c r="K758" s="20">
        <f>SUMIFS(Таблица1[сумма],Таблица1[коэф],"1,5",Таблица1[р/р],"5/8",Таблица1[Ф. И. О.],B759)</f>
        <v>0</v>
      </c>
      <c r="L758" s="287">
        <f>ROUND(I758*J758*K758,2)</f>
        <v>0</v>
      </c>
      <c r="M758" s="22"/>
      <c r="N758" s="20"/>
      <c r="O758" s="20"/>
      <c r="P758" s="260"/>
      <c r="Q758" s="592">
        <f>база!$L$5</f>
        <v>231.45480000000001</v>
      </c>
      <c r="R758" s="249">
        <v>1.2</v>
      </c>
      <c r="S758" s="90">
        <f>SUMIFS(Таблица1[сумма],Таблица1[коэф],"1,2",Таблица1[р/р],"4/16",Таблица1[Ф. И. О.],B759)</f>
        <v>0</v>
      </c>
      <c r="T758" s="96">
        <f t="shared" si="468"/>
        <v>0</v>
      </c>
      <c r="U758" s="75">
        <f>база!$M$5</f>
        <v>247.41720000000001</v>
      </c>
      <c r="V758" s="249">
        <v>1.2</v>
      </c>
      <c r="W758" s="90">
        <f>SUMIFS(Таблица1[сумма],Таблица1[коэф],"1,2",Таблица1[р/р],"4/24",Таблица1[Ф. И. О.],B759)</f>
        <v>0</v>
      </c>
      <c r="X758" s="96">
        <f t="shared" si="472"/>
        <v>0</v>
      </c>
      <c r="Y758" s="792"/>
      <c r="Z758" s="794"/>
      <c r="AA758" s="797"/>
      <c r="AC758" s="688" t="str">
        <f>IF(SUMIFS(Таблица1[Столбец2],Таблица1[Ф. И. О.],B759)-Z754=0,"",SUMIFS(Таблица1[Столбец2],Таблица1[Ф. И. О.],B759)-Z754)</f>
        <v/>
      </c>
    </row>
    <row r="759" spans="1:29">
      <c r="A759" s="740"/>
      <c r="B759" s="591" t="str">
        <f>база!B70</f>
        <v>Старичкова Полина Анатольевна</v>
      </c>
      <c r="C759" s="799"/>
      <c r="D759" s="801"/>
      <c r="E759" s="68"/>
      <c r="F759" s="249"/>
      <c r="G759" s="82"/>
      <c r="H759" s="96"/>
      <c r="I759" s="22"/>
      <c r="J759" s="256"/>
      <c r="K759" s="20"/>
      <c r="L759" s="287"/>
      <c r="M759" s="22"/>
      <c r="N759" s="20"/>
      <c r="O759" s="20"/>
      <c r="P759" s="260"/>
      <c r="Q759" s="592">
        <f>база!$L$6</f>
        <v>261.04640000000001</v>
      </c>
      <c r="R759" s="249">
        <v>1.2</v>
      </c>
      <c r="S759" s="90">
        <f>SUMIFS(Таблица1[сумма],Таблица1[коэф],"1,2",Таблица1[р/р],"5/16",Таблица1[Ф. И. О.],B759)</f>
        <v>0</v>
      </c>
      <c r="T759" s="96">
        <f>ROUND(Q759*R759*S759,2)</f>
        <v>0</v>
      </c>
      <c r="U759" s="75">
        <f>база!$M$6</f>
        <v>279.0496</v>
      </c>
      <c r="V759" s="249">
        <v>1.2</v>
      </c>
      <c r="W759" s="90">
        <f>SUMIFS(Таблица1[сумма],Таблица1[коэф],"1,2",Таблица1[р/р],"5/24",Таблица1[Ф. И. О.],B759)</f>
        <v>0</v>
      </c>
      <c r="X759" s="96">
        <f>ROUND(U759*V759*W759,2)</f>
        <v>0</v>
      </c>
      <c r="Y759" s="792"/>
      <c r="Z759" s="794"/>
      <c r="AA759" s="797"/>
      <c r="AC759" s="688" t="str">
        <f>IF(SUMIFS(Таблица1[сумма],Таблица1[Ф. И. О.],B759)=Y754,"",B754&amp;"  часы не верны")</f>
        <v/>
      </c>
    </row>
    <row r="760" spans="1:29">
      <c r="A760" s="740"/>
      <c r="B760" s="591"/>
      <c r="C760" s="799"/>
      <c r="D760" s="801"/>
      <c r="E760" s="68"/>
      <c r="F760" s="249"/>
      <c r="G760" s="82"/>
      <c r="H760" s="96"/>
      <c r="I760" s="22"/>
      <c r="J760" s="256"/>
      <c r="K760" s="20"/>
      <c r="L760" s="287"/>
      <c r="M760" s="22"/>
      <c r="N760" s="20"/>
      <c r="O760" s="20"/>
      <c r="P760" s="260"/>
      <c r="Q760" s="592">
        <f>IF($D$6&lt;=3,база!$L$4,
IF($D$6=4,база!$L$5,
IF($D$6=5,база!$L$6)))</f>
        <v>231.45480000000001</v>
      </c>
      <c r="R760" s="249">
        <v>1.3</v>
      </c>
      <c r="S760" s="90">
        <f>SUMIFS(Таблица1[сумма],Таблица1[коэф],"1,3",Таблица1[р/р],"3/16",Таблица1[Ф. И. О.],B759)</f>
        <v>0</v>
      </c>
      <c r="T760" s="96">
        <f t="shared" ref="T760:T761" si="473">ROUND(Q760*R760*S760,2)</f>
        <v>0</v>
      </c>
      <c r="U760" s="75">
        <f>IF(D754&lt;=3,база!$M$4,
IF(D754=4,база!$M$5,
IF(D754=5,база!$M$6)))</f>
        <v>225.09719999999999</v>
      </c>
      <c r="V760" s="249">
        <v>1.3</v>
      </c>
      <c r="W760" s="90">
        <f>SUMIFS(Таблица1[сумма],Таблица1[коэф],"1,3",Таблица1[р/р],"3/24",Таблица1[Ф. И. О.],B759)</f>
        <v>0</v>
      </c>
      <c r="X760" s="96">
        <f t="shared" ref="X760:X761" si="474">ROUND(U760*V760*W760,2)</f>
        <v>0</v>
      </c>
      <c r="Y760" s="792"/>
      <c r="Z760" s="794"/>
      <c r="AA760" s="797"/>
    </row>
    <row r="761" spans="1:29">
      <c r="A761" s="740"/>
      <c r="B761" s="591"/>
      <c r="C761" s="799"/>
      <c r="D761" s="801"/>
      <c r="E761" s="68"/>
      <c r="F761" s="249"/>
      <c r="G761" s="82"/>
      <c r="H761" s="96"/>
      <c r="I761" s="22"/>
      <c r="J761" s="256"/>
      <c r="K761" s="20"/>
      <c r="L761" s="287"/>
      <c r="M761" s="22"/>
      <c r="N761" s="20"/>
      <c r="O761" s="20"/>
      <c r="P761" s="260"/>
      <c r="Q761" s="592">
        <f>база!$L$5</f>
        <v>231.45480000000001</v>
      </c>
      <c r="R761" s="249">
        <v>1.3</v>
      </c>
      <c r="S761" s="90">
        <f>SUMIFS(Таблица1[сумма],Таблица1[коэф],"1,3",Таблица1[р/р],"4/16",Таблица1[Ф. И. О.],B759)</f>
        <v>0</v>
      </c>
      <c r="T761" s="96">
        <f t="shared" si="473"/>
        <v>0</v>
      </c>
      <c r="U761" s="75">
        <f>база!$M$5</f>
        <v>247.41720000000001</v>
      </c>
      <c r="V761" s="249">
        <v>1.3</v>
      </c>
      <c r="W761" s="90">
        <f>SUMIFS(Таблица1[сумма],Таблица1[коэф],"1,3",Таблица1[р/р],"4/24",Таблица1[Ф. И. О.],B759)</f>
        <v>0</v>
      </c>
      <c r="X761" s="96">
        <f t="shared" si="474"/>
        <v>0</v>
      </c>
      <c r="Y761" s="792"/>
      <c r="Z761" s="794"/>
      <c r="AA761" s="797"/>
    </row>
    <row r="762" spans="1:29">
      <c r="A762" s="740"/>
      <c r="B762" s="591"/>
      <c r="C762" s="799"/>
      <c r="D762" s="801"/>
      <c r="E762" s="68"/>
      <c r="F762" s="249"/>
      <c r="G762" s="82"/>
      <c r="H762" s="96"/>
      <c r="I762" s="22"/>
      <c r="J762" s="256"/>
      <c r="K762" s="20"/>
      <c r="L762" s="287"/>
      <c r="M762" s="22"/>
      <c r="N762" s="20"/>
      <c r="O762" s="20"/>
      <c r="P762" s="260"/>
      <c r="Q762" s="592">
        <f>IF(D754&lt;=3,база!$L$4,
IF(D754=4,база!$L$5,
IF(D754=5,база!$L$6)))</f>
        <v>210.57480000000001</v>
      </c>
      <c r="R762" s="249">
        <v>1.4</v>
      </c>
      <c r="S762" s="90">
        <f>SUMIFS(Таблица1[сумма],Таблица1[коэф],"1,4",Таблица1[р/р],"3/16",Таблица1[Ф. И. О.],B759)</f>
        <v>0</v>
      </c>
      <c r="T762" s="96">
        <f>ROUND(Q762*R762*S762,2)</f>
        <v>0</v>
      </c>
      <c r="U762" s="75">
        <f>IF(D754&lt;=3,база!$M$4,
IF(D754=4,база!$M$5,
IF(D754=5,база!$M$6)))</f>
        <v>225.09719999999999</v>
      </c>
      <c r="V762" s="249">
        <v>1.4</v>
      </c>
      <c r="W762" s="90">
        <f>SUMIFS(Таблица1[сумма],Таблица1[коэф],"1,4",Таблица1[р/р],"3/24",Таблица1[Ф. И. О.],B759)</f>
        <v>0</v>
      </c>
      <c r="X762" s="96">
        <f>ROUND(U762*V762*W762,2)</f>
        <v>0</v>
      </c>
      <c r="Y762" s="792"/>
      <c r="Z762" s="794"/>
      <c r="AA762" s="797"/>
    </row>
    <row r="763" spans="1:29">
      <c r="A763" s="740"/>
      <c r="B763" s="591"/>
      <c r="C763" s="799"/>
      <c r="D763" s="801"/>
      <c r="E763" s="78"/>
      <c r="F763" s="251"/>
      <c r="G763" s="601"/>
      <c r="H763" s="83"/>
      <c r="I763" s="60"/>
      <c r="J763" s="602"/>
      <c r="K763" s="53"/>
      <c r="L763" s="302"/>
      <c r="M763" s="60"/>
      <c r="N763" s="53"/>
      <c r="O763" s="53"/>
      <c r="P763" s="261"/>
      <c r="Q763" s="603">
        <f>база!$L$5</f>
        <v>231.45480000000001</v>
      </c>
      <c r="R763" s="251">
        <v>1.4</v>
      </c>
      <c r="S763" s="94">
        <f>SUMIFS(Таблица1[сумма],Таблица1[коэф],"1,4",Таблица1[р/р],"4/16",Таблица1[Ф. И. О.],B759)</f>
        <v>0</v>
      </c>
      <c r="T763" s="83">
        <f>ROUND(Q763*R763*S763,2)</f>
        <v>0</v>
      </c>
      <c r="U763" s="99">
        <f>база!$M$5</f>
        <v>247.41720000000001</v>
      </c>
      <c r="V763" s="251">
        <v>1.4</v>
      </c>
      <c r="W763" s="94">
        <f>SUMIFS(Таблица1[сумма],Таблица1[коэф],"1,4",Таблица1[р/р],"4/24",Таблица1[Ф. И. О.],B759)</f>
        <v>0</v>
      </c>
      <c r="X763" s="83">
        <f>ROUND(U763*V763*W763,2)</f>
        <v>0</v>
      </c>
      <c r="Y763" s="792"/>
      <c r="Z763" s="794"/>
      <c r="AA763" s="797"/>
    </row>
    <row r="764" spans="1:29" ht="24" thickBot="1">
      <c r="A764" s="741"/>
      <c r="B764" s="329"/>
      <c r="C764" s="800"/>
      <c r="D764" s="802"/>
      <c r="E764" s="70"/>
      <c r="F764" s="254"/>
      <c r="G764" s="593"/>
      <c r="H764" s="87"/>
      <c r="I764" s="594"/>
      <c r="J764" s="567"/>
      <c r="K764" s="595"/>
      <c r="L764" s="305"/>
      <c r="M764" s="594"/>
      <c r="N764" s="595"/>
      <c r="O764" s="595"/>
      <c r="P764" s="268"/>
      <c r="Q764" s="596">
        <f>база!$L$6</f>
        <v>261.04640000000001</v>
      </c>
      <c r="R764" s="254">
        <v>1.4</v>
      </c>
      <c r="S764" s="93">
        <f>SUMIFS(Таблица1[сумма],Таблица1[коэф],"1,4",Таблица1[р/р],"5/16",Таблица1[Ф. И. О.],B759)</f>
        <v>0</v>
      </c>
      <c r="T764" s="87">
        <f>ROUND(Q764*R764*S764,2)</f>
        <v>0</v>
      </c>
      <c r="U764" s="77">
        <f>база!$M$6</f>
        <v>279.0496</v>
      </c>
      <c r="V764" s="254">
        <v>1.4</v>
      </c>
      <c r="W764" s="93">
        <f>SUMIFS(Таблица1[сумма],Таблица1[коэф],"1,4",Таблица1[р/р],"5/24",Таблица1[Ф. И. О.],B759)</f>
        <v>0</v>
      </c>
      <c r="X764" s="87">
        <f>ROUND(U764*V764*W764,2)</f>
        <v>0</v>
      </c>
      <c r="Y764" s="793"/>
      <c r="Z764" s="795"/>
      <c r="AA764" s="798"/>
    </row>
    <row r="765" spans="1:29">
      <c r="A765" s="740">
        <v>70</v>
      </c>
      <c r="B765" s="201"/>
      <c r="C765" s="799">
        <f>INDEX(база!$E$2:$E$181, MATCH(B770,база!$B$2:$B$160,0))</f>
        <v>17266</v>
      </c>
      <c r="D765" s="801">
        <f>INDEX(база!$D$2:$D$189, MATCH(B770,база!$B$2:$B$160,0))</f>
        <v>3</v>
      </c>
      <c r="E765" s="68">
        <f>IF(D765&lt;=3,база!$I$4,
IF(D765=4,база!$I$5,
IF(D765=5,база!$I$6)))</f>
        <v>188.7912</v>
      </c>
      <c r="F765" s="249">
        <v>1</v>
      </c>
      <c r="G765" s="90">
        <f>SUMIFS(Таблица1[сумма],Таблица1[коэф],"1",Таблица1[р/р],"2/4",Таблица1[Ф. И. О.],B770)</f>
        <v>0</v>
      </c>
      <c r="H765" s="96">
        <f>ROUND(E765*F765*G765,2)</f>
        <v>0</v>
      </c>
      <c r="I765" s="321">
        <f>IF(D765&lt;=3,база!$J$4,
IF(D765=4,база!$J$5,
IF(D765=5,база!$J$6)))</f>
        <v>196.05240000000001</v>
      </c>
      <c r="J765" s="256">
        <v>1</v>
      </c>
      <c r="K765" s="287">
        <f>SUMIFS(Таблица1[сумма],Таблица1[коэф],"1",Таблица1[р/р],"2/8",Таблица1[Ф. И. О.],B770)</f>
        <v>0</v>
      </c>
      <c r="L765" s="287">
        <f>ROUND(I765*J765*K765,2)</f>
        <v>0</v>
      </c>
      <c r="M765" s="287"/>
      <c r="N765" s="287">
        <v>1</v>
      </c>
      <c r="O765" s="287">
        <f>SUMIFS(Data_Tech!$AM$3:$AM$67,Data_Tech!$E$3:$E$67,"1",Data_Tech!$G$3:$G$67,"3/12",Data_Tech!$F$3:$F$67,B770)</f>
        <v>0</v>
      </c>
      <c r="P765" s="260">
        <f>ROUND(M765*N765*O765,2)</f>
        <v>0</v>
      </c>
      <c r="Q765" s="68">
        <f>IF(D765&lt;=3,база!$L$4,
IF(D765=4,база!$L$5,
IF(D765=5,база!$L$6)))</f>
        <v>210.57480000000001</v>
      </c>
      <c r="R765" s="249">
        <v>1</v>
      </c>
      <c r="S765" s="90">
        <f>SUMIFS(Таблица1[сумма],Таблица1[коэф],"1",Таблица1[р/р],"3/16",Таблица1[Ф. И. О.],B770)</f>
        <v>0</v>
      </c>
      <c r="T765" s="96">
        <f t="shared" ref="T765:T769" si="475">ROUND(Q765*R765*S765,2)</f>
        <v>0</v>
      </c>
      <c r="U765" s="326">
        <f>IF(D765&lt;=3,база!$M$4,
IF(D765=4,база!$M$5,
IF(D765=5,база!$M$6)))</f>
        <v>225.09719999999999</v>
      </c>
      <c r="V765" s="249">
        <v>1</v>
      </c>
      <c r="W765" s="314">
        <f>SUMIFS(Таблица1[сумма],Таблица1[коэф],"1",Таблица1[р/р],"3/24",Таблица1[Ф. И. О.],B770)</f>
        <v>0</v>
      </c>
      <c r="X765" s="328">
        <f>ROUND(U765*V765*W765,2)</f>
        <v>0</v>
      </c>
      <c r="Y765" s="803">
        <f t="shared" ref="Y765" si="476">SUM(G765:G775,K765:K775,O765:O775,S765:S775,W765:W775)</f>
        <v>0</v>
      </c>
      <c r="Z765" s="794">
        <f t="shared" ref="Z765" si="477">IFERROR(SUM(H765:H775,L765:L775,T765:T775,X765:X775),"")</f>
        <v>0</v>
      </c>
      <c r="AA765" s="797"/>
    </row>
    <row r="766" spans="1:29">
      <c r="A766" s="740"/>
      <c r="B766" s="201"/>
      <c r="C766" s="799"/>
      <c r="D766" s="801"/>
      <c r="E766" s="72">
        <f>IF(D765&lt;=3,база!$I$4,
IF(D765=4,база!$I$5,
IF(D765=5,база!$I$6)))</f>
        <v>188.7912</v>
      </c>
      <c r="F766" s="250">
        <v>1</v>
      </c>
      <c r="G766" s="92">
        <f>SUMIFS(Таблица1[сумма],Таблица1[коэф],"1",Таблица1[р/р],"3/4",Таблица1[Ф. И. О.],B770)</f>
        <v>0</v>
      </c>
      <c r="H766" s="88">
        <f>ROUND(E766*F766*G766,2)</f>
        <v>0</v>
      </c>
      <c r="I766" s="311">
        <f>IF(D765&lt;=3,база!$J$4,
IF(D765=4,база!$J$5,
IF(D765=5,база!$J$6)))</f>
        <v>196.05240000000001</v>
      </c>
      <c r="J766" s="257">
        <v>1</v>
      </c>
      <c r="K766" s="202"/>
      <c r="L766" s="202">
        <f>ROUND(I766*J766*K766,2)</f>
        <v>0</v>
      </c>
      <c r="M766" s="202"/>
      <c r="N766" s="202">
        <v>1</v>
      </c>
      <c r="O766" s="202">
        <f>SUMIFS(Data_Tech!$AM$3:$AM$67,Data_Tech!$E$3:$E$67,"1",Data_Tech!$G$3:$G$67,"4/12",Data_Tech!$F$3:$F$67,B770)</f>
        <v>0</v>
      </c>
      <c r="P766" s="28">
        <f>ROUND(M766*O766,2)</f>
        <v>0</v>
      </c>
      <c r="Q766" s="72">
        <f>база!$L$5</f>
        <v>231.45480000000001</v>
      </c>
      <c r="R766" s="250">
        <v>1</v>
      </c>
      <c r="S766" s="92">
        <f>SUMIFS(Таблица1[сумма],Таблица1[коэф],"1",Таблица1[р/р],"4/16",Таблица1[Ф. И. О.],B770)</f>
        <v>0</v>
      </c>
      <c r="T766" s="88">
        <f t="shared" si="475"/>
        <v>0</v>
      </c>
      <c r="U766" s="292">
        <f>база!$M$5</f>
        <v>247.41720000000001</v>
      </c>
      <c r="V766" s="250">
        <v>1</v>
      </c>
      <c r="W766" s="285">
        <f>SUMIFS(Таблица1[сумма],Таблица1[коэф],"1",Таблица1[р/р],"4/24",Таблица1[Ф. И. О.],B770)</f>
        <v>0</v>
      </c>
      <c r="X766" s="291">
        <f t="shared" ref="X766" si="478">ROUND(U766*V766*W766,2)</f>
        <v>0</v>
      </c>
      <c r="Y766" s="803"/>
      <c r="Z766" s="794"/>
      <c r="AA766" s="797"/>
    </row>
    <row r="767" spans="1:29">
      <c r="A767" s="740"/>
      <c r="B767" s="201"/>
      <c r="C767" s="799"/>
      <c r="D767" s="801"/>
      <c r="E767" s="72"/>
      <c r="F767" s="250"/>
      <c r="G767" s="92"/>
      <c r="H767" s="88"/>
      <c r="I767" s="311"/>
      <c r="J767" s="257"/>
      <c r="K767" s="202"/>
      <c r="L767" s="202"/>
      <c r="M767" s="202"/>
      <c r="N767" s="202"/>
      <c r="O767" s="202"/>
      <c r="P767" s="28"/>
      <c r="Q767" s="72">
        <f>база!$L$6</f>
        <v>261.04640000000001</v>
      </c>
      <c r="R767" s="250">
        <v>1</v>
      </c>
      <c r="S767" s="92">
        <f>SUMIFS(Таблица1[сумма],Таблица1[коэф],"1",Таблица1[р/р],"5/16",Таблица1[Ф. И. О.],B770)</f>
        <v>0</v>
      </c>
      <c r="T767" s="88">
        <f t="shared" si="475"/>
        <v>0</v>
      </c>
      <c r="U767" s="292">
        <f>база!$M$6</f>
        <v>279.0496</v>
      </c>
      <c r="V767" s="250">
        <v>1</v>
      </c>
      <c r="W767" s="285">
        <f>SUMIFS(Таблица1[сумма],Таблица1[коэф],"1",Таблица1[р/р],"5/24",Таблица1[Ф. И. О.],B770)</f>
        <v>0</v>
      </c>
      <c r="X767" s="291">
        <f>ROUND(U767*V767*W767,2)</f>
        <v>0</v>
      </c>
      <c r="Y767" s="803"/>
      <c r="Z767" s="794"/>
      <c r="AA767" s="797"/>
    </row>
    <row r="768" spans="1:29">
      <c r="A768" s="740"/>
      <c r="B768" s="201"/>
      <c r="C768" s="799"/>
      <c r="D768" s="801"/>
      <c r="E768" s="72"/>
      <c r="F768" s="250"/>
      <c r="G768" s="92"/>
      <c r="H768" s="88"/>
      <c r="I768" s="311">
        <f>база!$J$5</f>
        <v>215.4924</v>
      </c>
      <c r="J768" s="257">
        <v>1.5</v>
      </c>
      <c r="K768" s="202">
        <f>SUMIFS(Таблица1[сумма],Таблица1[коэф],"1,5",Таблица1[р/р],"4/8",Таблица1[Ф. И. О.],B770)</f>
        <v>0</v>
      </c>
      <c r="L768" s="202">
        <f>ROUND(I768*J768*K768,2)</f>
        <v>0</v>
      </c>
      <c r="M768" s="202"/>
      <c r="N768" s="202"/>
      <c r="O768" s="202"/>
      <c r="P768" s="28"/>
      <c r="Q768" s="72">
        <f>IF(D765&lt;=3,база!$L$4,
IF(D765=4,база!$L$5,
IF(D765=5,база!$L$6)))</f>
        <v>210.57480000000001</v>
      </c>
      <c r="R768" s="250">
        <v>1.2</v>
      </c>
      <c r="S768" s="92">
        <f>SUMIFS(Таблица1[сумма],Таблица1[коэф],"1,2",Таблица1[р/р],"3/16",Таблица1[Ф. И. О.],B770)</f>
        <v>0</v>
      </c>
      <c r="T768" s="88">
        <f t="shared" si="475"/>
        <v>0</v>
      </c>
      <c r="U768" s="292">
        <f>IF(D765&lt;=3,база!$M$4,
IF(D765=4,база!$M$5,
IF(D765=5,база!$M$6)))</f>
        <v>225.09719999999999</v>
      </c>
      <c r="V768" s="250">
        <v>1.2</v>
      </c>
      <c r="W768" s="285">
        <f>SUMIFS(Таблица1[сумма],Таблица1[коэф],"1,2",Таблица1[р/р],"3/24",Таблица1[Ф. И. О.],B770)</f>
        <v>0</v>
      </c>
      <c r="X768" s="291">
        <f t="shared" ref="X768:X769" si="479">ROUND(U768*V768*W768,2)</f>
        <v>0</v>
      </c>
      <c r="Y768" s="803"/>
      <c r="Z768" s="794"/>
      <c r="AA768" s="797"/>
    </row>
    <row r="769" spans="1:29">
      <c r="A769" s="740"/>
      <c r="B769" s="201"/>
      <c r="C769" s="799"/>
      <c r="D769" s="801"/>
      <c r="E769" s="72"/>
      <c r="F769" s="250"/>
      <c r="G769" s="92"/>
      <c r="H769" s="88"/>
      <c r="I769" s="311">
        <f>база!$J$6</f>
        <v>243.04319999999998</v>
      </c>
      <c r="J769" s="257">
        <v>1.5</v>
      </c>
      <c r="K769" s="202">
        <f>SUMIFS(Таблица1[сумма],Таблица1[коэф],"1,5",Таблица1[р/р],"5/8",Таблица1[Ф. И. О.],B770)</f>
        <v>0</v>
      </c>
      <c r="L769" s="202">
        <f>ROUND(I769*J769*K769,2)</f>
        <v>0</v>
      </c>
      <c r="M769" s="202"/>
      <c r="N769" s="202"/>
      <c r="O769" s="202"/>
      <c r="P769" s="28"/>
      <c r="Q769" s="72">
        <f>база!$L$5</f>
        <v>231.45480000000001</v>
      </c>
      <c r="R769" s="250">
        <v>1.2</v>
      </c>
      <c r="S769" s="92">
        <f>SUMIFS(Таблица1[сумма],Таблица1[коэф],"1,2",Таблица1[р/р],"4/16",Таблица1[Ф. И. О.],B770)</f>
        <v>0</v>
      </c>
      <c r="T769" s="88">
        <f t="shared" si="475"/>
        <v>0</v>
      </c>
      <c r="U769" s="292">
        <f>база!$M$5</f>
        <v>247.41720000000001</v>
      </c>
      <c r="V769" s="250">
        <v>1.2</v>
      </c>
      <c r="W769" s="285">
        <f>SUMIFS(Таблица1[сумма],Таблица1[коэф],"1,2",Таблица1[р/р],"4/24",Таблица1[Ф. И. О.],B770)</f>
        <v>0</v>
      </c>
      <c r="X769" s="291">
        <f t="shared" si="479"/>
        <v>0</v>
      </c>
      <c r="Y769" s="803"/>
      <c r="Z769" s="794"/>
      <c r="AA769" s="797"/>
      <c r="AC769" s="688" t="str">
        <f>IF(SUMIFS(Таблица1[Столбец2],Таблица1[Ф. И. О.],B770)-Z765=0,"",SUMIFS(Таблица1[Столбец2],Таблица1[Ф. И. О.],B770)-Z765)</f>
        <v/>
      </c>
    </row>
    <row r="770" spans="1:29">
      <c r="A770" s="740"/>
      <c r="B770" s="201" t="str">
        <f>база!B71</f>
        <v>Степанова Ольга Юрьевна</v>
      </c>
      <c r="C770" s="799"/>
      <c r="D770" s="801"/>
      <c r="E770" s="72"/>
      <c r="F770" s="250"/>
      <c r="G770" s="92"/>
      <c r="H770" s="88"/>
      <c r="I770" s="311"/>
      <c r="J770" s="257"/>
      <c r="K770" s="202"/>
      <c r="L770" s="202"/>
      <c r="M770" s="202"/>
      <c r="N770" s="202"/>
      <c r="O770" s="202"/>
      <c r="P770" s="28"/>
      <c r="Q770" s="72">
        <f>база!$L$6</f>
        <v>261.04640000000001</v>
      </c>
      <c r="R770" s="250">
        <v>1.2</v>
      </c>
      <c r="S770" s="92">
        <f>SUMIFS(Таблица1[сумма],Таблица1[коэф],"1,2",Таблица1[р/р],"5/16",Таблица1[Ф. И. О.],B770)</f>
        <v>0</v>
      </c>
      <c r="T770" s="88">
        <f>ROUND(Q770*R770*S770,2)</f>
        <v>0</v>
      </c>
      <c r="U770" s="292">
        <f>база!$M$6</f>
        <v>279.0496</v>
      </c>
      <c r="V770" s="250">
        <v>1.2</v>
      </c>
      <c r="W770" s="285">
        <f>SUMIFS(Таблица1[сумма],Таблица1[коэф],"1,2",Таблица1[р/р],"5/24",Таблица1[Ф. И. О.],B770)</f>
        <v>0</v>
      </c>
      <c r="X770" s="291">
        <f>ROUND(U770*V770*W770,2)</f>
        <v>0</v>
      </c>
      <c r="Y770" s="803"/>
      <c r="Z770" s="794"/>
      <c r="AA770" s="797"/>
      <c r="AC770" s="688" t="str">
        <f>IF(SUMIFS(Таблица1[сумма],Таблица1[Ф. И. О.],B770)=Y765,"",B765&amp;"  часы не верны")</f>
        <v/>
      </c>
    </row>
    <row r="771" spans="1:29">
      <c r="A771" s="740"/>
      <c r="B771" s="201"/>
      <c r="C771" s="799"/>
      <c r="D771" s="801"/>
      <c r="E771" s="72"/>
      <c r="F771" s="250"/>
      <c r="G771" s="92"/>
      <c r="H771" s="88"/>
      <c r="I771" s="311"/>
      <c r="J771" s="257"/>
      <c r="K771" s="202"/>
      <c r="L771" s="202"/>
      <c r="M771" s="202"/>
      <c r="N771" s="202"/>
      <c r="O771" s="202"/>
      <c r="P771" s="28"/>
      <c r="Q771" s="72">
        <f>IF($D$6&lt;=3,база!$L$4,
IF($D$6=4,база!$L$5,
IF($D$6=5,база!$L$6)))</f>
        <v>231.45480000000001</v>
      </c>
      <c r="R771" s="250">
        <v>1.3</v>
      </c>
      <c r="S771" s="92">
        <f>SUMIFS(Таблица1[сумма],Таблица1[коэф],"1,3",Таблица1[р/р],"3/16",Таблица1[Ф. И. О.],B770)</f>
        <v>0</v>
      </c>
      <c r="T771" s="88">
        <f t="shared" ref="T771:T772" si="480">ROUND(Q771*R771*S771,2)</f>
        <v>0</v>
      </c>
      <c r="U771" s="292">
        <f>IF(D765&lt;=3,база!$M$4,
IF(D765=4,база!$M$5,
IF(D765=5,база!$M$6)))</f>
        <v>225.09719999999999</v>
      </c>
      <c r="V771" s="250">
        <v>1.3</v>
      </c>
      <c r="W771" s="285">
        <f>SUMIFS(Таблица1[сумма],Таблица1[коэф],"1,3",Таблица1[р/р],"3/24",Таблица1[Ф. И. О.],B770)</f>
        <v>0</v>
      </c>
      <c r="X771" s="291">
        <f t="shared" ref="X771:X772" si="481">ROUND(U771*V771*W771,2)</f>
        <v>0</v>
      </c>
      <c r="Y771" s="803"/>
      <c r="Z771" s="794"/>
      <c r="AA771" s="797"/>
    </row>
    <row r="772" spans="1:29">
      <c r="A772" s="740"/>
      <c r="B772" s="201"/>
      <c r="C772" s="799"/>
      <c r="D772" s="801"/>
      <c r="E772" s="72"/>
      <c r="F772" s="250"/>
      <c r="G772" s="92"/>
      <c r="H772" s="88"/>
      <c r="I772" s="311"/>
      <c r="J772" s="257"/>
      <c r="K772" s="202"/>
      <c r="L772" s="202"/>
      <c r="M772" s="202"/>
      <c r="N772" s="202"/>
      <c r="O772" s="202"/>
      <c r="P772" s="28"/>
      <c r="Q772" s="72">
        <f>база!$L$5</f>
        <v>231.45480000000001</v>
      </c>
      <c r="R772" s="250">
        <v>1.3</v>
      </c>
      <c r="S772" s="92">
        <f>SUMIFS(Таблица1[сумма],Таблица1[коэф],"1,3",Таблица1[р/р],"4/16",Таблица1[Ф. И. О.],B770)</f>
        <v>0</v>
      </c>
      <c r="T772" s="88">
        <f t="shared" si="480"/>
        <v>0</v>
      </c>
      <c r="U772" s="292">
        <f>база!$M$5</f>
        <v>247.41720000000001</v>
      </c>
      <c r="V772" s="250">
        <v>1.3</v>
      </c>
      <c r="W772" s="285">
        <f>SUMIFS(Таблица1[сумма],Таблица1[коэф],"1,3",Таблица1[р/р],"4/24",Таблица1[Ф. И. О.],B770)</f>
        <v>0</v>
      </c>
      <c r="X772" s="291">
        <f t="shared" si="481"/>
        <v>0</v>
      </c>
      <c r="Y772" s="803"/>
      <c r="Z772" s="794"/>
      <c r="AA772" s="797"/>
    </row>
    <row r="773" spans="1:29">
      <c r="A773" s="740"/>
      <c r="B773" s="201"/>
      <c r="C773" s="799"/>
      <c r="D773" s="801"/>
      <c r="E773" s="72"/>
      <c r="F773" s="250"/>
      <c r="G773" s="92"/>
      <c r="H773" s="88"/>
      <c r="I773" s="311"/>
      <c r="J773" s="257"/>
      <c r="K773" s="202"/>
      <c r="L773" s="202"/>
      <c r="M773" s="202"/>
      <c r="N773" s="202"/>
      <c r="O773" s="202"/>
      <c r="P773" s="28"/>
      <c r="Q773" s="72">
        <f>IF(D765&lt;=3,база!$L$4,
IF(D765=4,база!$L$5,
IF(D765=5,база!$L$6)))</f>
        <v>210.57480000000001</v>
      </c>
      <c r="R773" s="250">
        <v>1.4</v>
      </c>
      <c r="S773" s="92">
        <f>SUMIFS(Таблица1[сумма],Таблица1[коэф],"1,4",Таблица1[р/р],"3/16",Таблица1[Ф. И. О.],B770)</f>
        <v>0</v>
      </c>
      <c r="T773" s="88">
        <f>ROUND(Q773*R773*S773,2)</f>
        <v>0</v>
      </c>
      <c r="U773" s="292">
        <f>IF(D765&lt;=3,база!$M$4,
IF(D765=4,база!$M$5,
IF(D765=5,база!$M$6)))</f>
        <v>225.09719999999999</v>
      </c>
      <c r="V773" s="250">
        <v>1.4</v>
      </c>
      <c r="W773" s="285">
        <f>SUMIFS(Таблица1[сумма],Таблица1[коэф],"1,4",Таблица1[р/р],"3/24",Таблица1[Ф. И. О.],B770)</f>
        <v>0</v>
      </c>
      <c r="X773" s="291">
        <f>ROUND(U773*V773*W773,2)</f>
        <v>0</v>
      </c>
      <c r="Y773" s="803"/>
      <c r="Z773" s="794"/>
      <c r="AA773" s="797"/>
    </row>
    <row r="774" spans="1:29">
      <c r="A774" s="740"/>
      <c r="B774" s="201"/>
      <c r="C774" s="799"/>
      <c r="D774" s="801"/>
      <c r="E774" s="72"/>
      <c r="F774" s="250"/>
      <c r="G774" s="92"/>
      <c r="H774" s="88"/>
      <c r="I774" s="311"/>
      <c r="J774" s="257"/>
      <c r="K774" s="202"/>
      <c r="L774" s="202"/>
      <c r="M774" s="202"/>
      <c r="N774" s="202"/>
      <c r="O774" s="202"/>
      <c r="P774" s="28"/>
      <c r="Q774" s="72">
        <f>база!$L$5</f>
        <v>231.45480000000001</v>
      </c>
      <c r="R774" s="250">
        <v>1.4</v>
      </c>
      <c r="S774" s="92">
        <f>SUMIFS(Таблица1[сумма],Таблица1[коэф],"1,4",Таблица1[р/р],"4/16",Таблица1[Ф. И. О.],B770)</f>
        <v>0</v>
      </c>
      <c r="T774" s="88">
        <f>ROUND(Q774*R774*S774,2)</f>
        <v>0</v>
      </c>
      <c r="U774" s="292">
        <f>база!$M$5</f>
        <v>247.41720000000001</v>
      </c>
      <c r="V774" s="250">
        <v>1.4</v>
      </c>
      <c r="W774" s="285">
        <f>SUMIFS(Таблица1[сумма],Таблица1[коэф],"1,4",Таблица1[р/р],"4/24",Таблица1[Ф. И. О.],B770)</f>
        <v>0</v>
      </c>
      <c r="X774" s="291">
        <f>ROUND(U774*V774*W774,2)</f>
        <v>0</v>
      </c>
      <c r="Y774" s="803"/>
      <c r="Z774" s="794"/>
      <c r="AA774" s="797"/>
    </row>
    <row r="775" spans="1:29" ht="24" thickBot="1">
      <c r="A775" s="741"/>
      <c r="B775" s="329"/>
      <c r="C775" s="800"/>
      <c r="D775" s="802"/>
      <c r="E775" s="95"/>
      <c r="F775" s="252"/>
      <c r="G775" s="597"/>
      <c r="H775" s="84"/>
      <c r="I775" s="598"/>
      <c r="J775" s="258"/>
      <c r="K775" s="599"/>
      <c r="L775" s="267"/>
      <c r="M775" s="598"/>
      <c r="N775" s="599"/>
      <c r="O775" s="599"/>
      <c r="P775" s="293"/>
      <c r="Q775" s="600">
        <f>база!$L$6</f>
        <v>261.04640000000001</v>
      </c>
      <c r="R775" s="252">
        <v>1.4</v>
      </c>
      <c r="S775" s="91">
        <f>SUMIFS(Таблица1[сумма],Таблица1[коэф],"1,4",Таблица1[р/р],"5/16",Таблица1[Ф. И. О.],B770)</f>
        <v>0</v>
      </c>
      <c r="T775" s="84">
        <f>ROUND(Q775*R775*S775,2)</f>
        <v>0</v>
      </c>
      <c r="U775" s="206">
        <f>база!$M$6</f>
        <v>279.0496</v>
      </c>
      <c r="V775" s="252">
        <v>1.4</v>
      </c>
      <c r="W775" s="91">
        <f>SUMIFS(Таблица1[сумма],Таблица1[коэф],"1,4",Таблица1[р/р],"5/24",Таблица1[Ф. И. О.],B770)</f>
        <v>0</v>
      </c>
      <c r="X775" s="84">
        <f>ROUND(U775*V775*W775,2)</f>
        <v>0</v>
      </c>
      <c r="Y775" s="804"/>
      <c r="Z775" s="795"/>
      <c r="AA775" s="798"/>
    </row>
    <row r="776" spans="1:29">
      <c r="A776" s="740">
        <v>71</v>
      </c>
      <c r="B776" s="201"/>
      <c r="C776" s="799">
        <f>INDEX(база!$E$2:$E$181, MATCH(B781,база!$B$2:$B$160,0))</f>
        <v>17062</v>
      </c>
      <c r="D776" s="801">
        <f>INDEX(база!$D$2:$D$189, MATCH(B781,база!$B$2:$B$160,0))</f>
        <v>3</v>
      </c>
      <c r="E776" s="68">
        <f>IF(D776&lt;=3,база!$I$4,
IF(D776=4,база!$I$5,
IF(D776=5,база!$I$6)))</f>
        <v>188.7912</v>
      </c>
      <c r="F776" s="249">
        <v>1</v>
      </c>
      <c r="G776" s="90">
        <f>SUMIFS(Таблица1[сумма],Таблица1[коэф],"1",Таблица1[р/р],"2/4",Таблица1[Ф. И. О.],B781)</f>
        <v>0</v>
      </c>
      <c r="H776" s="96">
        <f>ROUND(E776*F776*G776,2)</f>
        <v>0</v>
      </c>
      <c r="I776" s="321">
        <f>IF(D776&lt;=3,база!$J$4,
IF(D776=4,база!$J$5,
IF(D776=5,база!$J$6)))</f>
        <v>196.05240000000001</v>
      </c>
      <c r="J776" s="256">
        <v>1</v>
      </c>
      <c r="K776" s="287">
        <f>SUMIFS(Таблица1[сумма],Таблица1[коэф],"1",Таблица1[р/р],"2/8",Таблица1[Ф. И. О.],B781)</f>
        <v>0</v>
      </c>
      <c r="L776" s="287">
        <f>ROUND(I776*J776*K776,2)</f>
        <v>0</v>
      </c>
      <c r="M776" s="287"/>
      <c r="N776" s="287">
        <v>1</v>
      </c>
      <c r="O776" s="287">
        <f>SUMIFS(Data_Tech!$AM$3:$AM$67,Data_Tech!$E$3:$E$67,"1",Data_Tech!$G$3:$G$67,"3/12",Data_Tech!$F$3:$F$67,B781)</f>
        <v>0</v>
      </c>
      <c r="P776" s="260">
        <f>ROUND(M776*N776*O776,2)</f>
        <v>0</v>
      </c>
      <c r="Q776" s="68">
        <f>IF(D776&lt;=3,база!$L$4,
IF(D776=4,база!$L$5,
IF(D776=5,база!$L$6)))</f>
        <v>210.57480000000001</v>
      </c>
      <c r="R776" s="249">
        <v>1</v>
      </c>
      <c r="S776" s="90">
        <f>SUMIFS(Таблица1[сумма],Таблица1[коэф],"1",Таблица1[р/р],"3/16",Таблица1[Ф. И. О.],B781)</f>
        <v>0</v>
      </c>
      <c r="T776" s="96">
        <f t="shared" ref="T776:T780" si="482">ROUND(Q776*R776*S776,2)</f>
        <v>0</v>
      </c>
      <c r="U776" s="326">
        <f>IF(D776&lt;=3,база!$M$4,
IF(D776=4,база!$M$5,
IF(D776=5,база!$M$6)))</f>
        <v>225.09719999999999</v>
      </c>
      <c r="V776" s="249">
        <v>1</v>
      </c>
      <c r="W776" s="314">
        <f>SUMIFS(Таблица1[сумма],Таблица1[коэф],"1",Таблица1[р/р],"3/24",Таблица1[Ф. И. О.],B781)</f>
        <v>0</v>
      </c>
      <c r="X776" s="328">
        <f>ROUND(U776*V776*W776,2)</f>
        <v>0</v>
      </c>
      <c r="Y776" s="803">
        <f>SUM(G776:G786,K776:K786,O776:O786,S776:S786,W776:W786)</f>
        <v>0</v>
      </c>
      <c r="Z776" s="794">
        <f t="shared" ref="Z776" si="483">IFERROR(SUM(H776:H786,L776:L786,T776:T786,X776:X786),"")</f>
        <v>0</v>
      </c>
      <c r="AA776" s="797"/>
    </row>
    <row r="777" spans="1:29">
      <c r="A777" s="740"/>
      <c r="B777" s="201"/>
      <c r="C777" s="799"/>
      <c r="D777" s="801"/>
      <c r="E777" s="72">
        <f>IF(D776&lt;=3,база!$I$4,
IF(D776=4,база!$I$5,
IF(D776=5,база!$I$6)))</f>
        <v>188.7912</v>
      </c>
      <c r="F777" s="250">
        <v>1</v>
      </c>
      <c r="G777" s="92">
        <f>SUMIFS(Таблица1[сумма],Таблица1[коэф],"1",Таблица1[р/р],"3/4",Таблица1[Ф. И. О.],B781)</f>
        <v>0</v>
      </c>
      <c r="H777" s="88">
        <f>ROUND(E777*F777*G777,2)</f>
        <v>0</v>
      </c>
      <c r="I777" s="311">
        <f>IF(D776&lt;=3,база!$J$4,
IF(D776=4,база!$J$5,
IF(D776=5,база!$J$6)))</f>
        <v>196.05240000000001</v>
      </c>
      <c r="J777" s="257">
        <v>1</v>
      </c>
      <c r="K777" s="202"/>
      <c r="L777" s="202">
        <f>ROUND(I777*J777*K777,2)</f>
        <v>0</v>
      </c>
      <c r="M777" s="202"/>
      <c r="N777" s="202">
        <v>1</v>
      </c>
      <c r="O777" s="202">
        <f>SUMIFS(Data_Tech!$AM$3:$AM$67,Data_Tech!$E$3:$E$67,"1",Data_Tech!$G$3:$G$67,"4/12",Data_Tech!$F$3:$F$67,B781)</f>
        <v>0</v>
      </c>
      <c r="P777" s="28">
        <f>ROUND(M777*O777,2)</f>
        <v>0</v>
      </c>
      <c r="Q777" s="72">
        <f>база!$L$5</f>
        <v>231.45480000000001</v>
      </c>
      <c r="R777" s="250">
        <v>1</v>
      </c>
      <c r="S777" s="92">
        <f>SUMIFS(Таблица1[сумма],Таблица1[коэф],"1",Таблица1[р/р],"4/16",Таблица1[Ф. И. О.],B781)</f>
        <v>0</v>
      </c>
      <c r="T777" s="88">
        <f t="shared" si="482"/>
        <v>0</v>
      </c>
      <c r="U777" s="292">
        <f>база!$M$5</f>
        <v>247.41720000000001</v>
      </c>
      <c r="V777" s="250">
        <v>1</v>
      </c>
      <c r="W777" s="285">
        <f>SUMIFS(Таблица1[сумма],Таблица1[коэф],"1",Таблица1[р/р],"4/24",Таблица1[Ф. И. О.],B781)</f>
        <v>0</v>
      </c>
      <c r="X777" s="291">
        <f t="shared" ref="X777" si="484">ROUND(U777*V777*W777,2)</f>
        <v>0</v>
      </c>
      <c r="Y777" s="803"/>
      <c r="Z777" s="794"/>
      <c r="AA777" s="797"/>
    </row>
    <row r="778" spans="1:29">
      <c r="A778" s="740"/>
      <c r="B778" s="201"/>
      <c r="C778" s="799"/>
      <c r="D778" s="801"/>
      <c r="E778" s="72"/>
      <c r="F778" s="250"/>
      <c r="G778" s="92"/>
      <c r="H778" s="88"/>
      <c r="I778" s="311"/>
      <c r="J778" s="257"/>
      <c r="K778" s="202"/>
      <c r="L778" s="202"/>
      <c r="M778" s="202"/>
      <c r="N778" s="202"/>
      <c r="O778" s="202"/>
      <c r="P778" s="28"/>
      <c r="Q778" s="72">
        <f>база!$L$6</f>
        <v>261.04640000000001</v>
      </c>
      <c r="R778" s="250">
        <v>1</v>
      </c>
      <c r="S778" s="92">
        <f>SUMIFS(Таблица1[сумма],Таблица1[коэф],"1",Таблица1[р/р],"5/16",Таблица1[Ф. И. О.],B781)</f>
        <v>0</v>
      </c>
      <c r="T778" s="88">
        <f t="shared" si="482"/>
        <v>0</v>
      </c>
      <c r="U778" s="292">
        <f>база!$M$6</f>
        <v>279.0496</v>
      </c>
      <c r="V778" s="250">
        <v>1</v>
      </c>
      <c r="W778" s="285">
        <f>SUMIFS(Таблица1[сумма],Таблица1[коэф],"1",Таблица1[р/р],"5/24",Таблица1[Ф. И. О.],B781)</f>
        <v>0</v>
      </c>
      <c r="X778" s="291">
        <f>ROUND(U778*V778*W778,2)</f>
        <v>0</v>
      </c>
      <c r="Y778" s="803"/>
      <c r="Z778" s="794"/>
      <c r="AA778" s="797"/>
    </row>
    <row r="779" spans="1:29">
      <c r="A779" s="740"/>
      <c r="B779" s="201"/>
      <c r="C779" s="799"/>
      <c r="D779" s="801"/>
      <c r="E779" s="72"/>
      <c r="F779" s="250"/>
      <c r="G779" s="92"/>
      <c r="H779" s="88"/>
      <c r="I779" s="311">
        <f>база!$J$5</f>
        <v>215.4924</v>
      </c>
      <c r="J779" s="257">
        <v>1.5</v>
      </c>
      <c r="K779" s="202">
        <f>SUMIFS(Таблица1[сумма],Таблица1[коэф],"1,5",Таблица1[р/р],"4/8",Таблица1[Ф. И. О.],B781)</f>
        <v>0</v>
      </c>
      <c r="L779" s="202">
        <f>ROUND(I779*J779*K779,2)</f>
        <v>0</v>
      </c>
      <c r="M779" s="202"/>
      <c r="N779" s="202"/>
      <c r="O779" s="202"/>
      <c r="P779" s="28"/>
      <c r="Q779" s="72">
        <f>IF(D776&lt;=3,база!$L$4,
IF(D776=4,база!$L$5,
IF(D776=5,база!$L$6)))</f>
        <v>210.57480000000001</v>
      </c>
      <c r="R779" s="250">
        <v>1.2</v>
      </c>
      <c r="S779" s="92">
        <f>SUMIFS(Таблица1[сумма],Таблица1[коэф],"1,2",Таблица1[р/р],"3/16",Таблица1[Ф. И. О.],B781)</f>
        <v>0</v>
      </c>
      <c r="T779" s="88">
        <f t="shared" si="482"/>
        <v>0</v>
      </c>
      <c r="U779" s="292">
        <f>IF(D776&lt;=3,база!$M$4,
IF(D776=4,база!$M$5,
IF(D776=5,база!$M$6)))</f>
        <v>225.09719999999999</v>
      </c>
      <c r="V779" s="250">
        <v>1.2</v>
      </c>
      <c r="W779" s="285">
        <f>SUMIFS(Таблица1[сумма],Таблица1[коэф],"1,2",Таблица1[р/р],"3/24",Таблица1[Ф. И. О.],B781)</f>
        <v>0</v>
      </c>
      <c r="X779" s="291">
        <f t="shared" ref="X779:X780" si="485">ROUND(U779*V779*W779,2)</f>
        <v>0</v>
      </c>
      <c r="Y779" s="803"/>
      <c r="Z779" s="794"/>
      <c r="AA779" s="797"/>
    </row>
    <row r="780" spans="1:29">
      <c r="A780" s="740"/>
      <c r="B780" s="201"/>
      <c r="C780" s="799"/>
      <c r="D780" s="801"/>
      <c r="E780" s="72"/>
      <c r="F780" s="250"/>
      <c r="G780" s="92"/>
      <c r="H780" s="88"/>
      <c r="I780" s="311">
        <f>база!$J$6</f>
        <v>243.04319999999998</v>
      </c>
      <c r="J780" s="257">
        <v>1.5</v>
      </c>
      <c r="K780" s="202">
        <f>SUMIFS(Таблица1[сумма],Таблица1[коэф],"1,5",Таблица1[р/р],"5/8",Таблица1[Ф. И. О.],B781)</f>
        <v>0</v>
      </c>
      <c r="L780" s="202">
        <f>ROUND(I780*J780*K780,2)</f>
        <v>0</v>
      </c>
      <c r="M780" s="202"/>
      <c r="N780" s="202"/>
      <c r="O780" s="202"/>
      <c r="P780" s="28"/>
      <c r="Q780" s="72">
        <f>база!$L$5</f>
        <v>231.45480000000001</v>
      </c>
      <c r="R780" s="250">
        <v>1.2</v>
      </c>
      <c r="S780" s="92">
        <f>SUMIFS(Таблица1[сумма],Таблица1[коэф],"1,2",Таблица1[р/р],"4/16",Таблица1[Ф. И. О.],B781)</f>
        <v>0</v>
      </c>
      <c r="T780" s="88">
        <f t="shared" si="482"/>
        <v>0</v>
      </c>
      <c r="U780" s="292">
        <f>база!$M$5</f>
        <v>247.41720000000001</v>
      </c>
      <c r="V780" s="250">
        <v>1.2</v>
      </c>
      <c r="W780" s="285">
        <f>SUMIFS(Таблица1[сумма],Таблица1[коэф],"1,2",Таблица1[р/р],"4/24",Таблица1[Ф. И. О.],B781)</f>
        <v>0</v>
      </c>
      <c r="X780" s="291">
        <f t="shared" si="485"/>
        <v>0</v>
      </c>
      <c r="Y780" s="803"/>
      <c r="Z780" s="794"/>
      <c r="AA780" s="797"/>
      <c r="AC780" s="688" t="str">
        <f>IF(SUMIFS(Таблица1[Столбец2],Таблица1[Ф. И. О.],B781)-Z776=0,"",SUMIFS(Таблица1[Столбец2],Таблица1[Ф. И. О.],B781)-Z776)</f>
        <v/>
      </c>
    </row>
    <row r="781" spans="1:29">
      <c r="A781" s="740"/>
      <c r="B781" s="201" t="str">
        <f>база!B72</f>
        <v>Терещенко Виктория Евгеньевна</v>
      </c>
      <c r="C781" s="799"/>
      <c r="D781" s="801"/>
      <c r="E781" s="72"/>
      <c r="F781" s="250"/>
      <c r="G781" s="92"/>
      <c r="H781" s="88"/>
      <c r="I781" s="311"/>
      <c r="J781" s="257"/>
      <c r="K781" s="202"/>
      <c r="L781" s="202"/>
      <c r="M781" s="202"/>
      <c r="N781" s="202"/>
      <c r="O781" s="202"/>
      <c r="P781" s="28"/>
      <c r="Q781" s="72">
        <f>база!$L$6</f>
        <v>261.04640000000001</v>
      </c>
      <c r="R781" s="250">
        <v>1.2</v>
      </c>
      <c r="S781" s="92">
        <f>SUMIFS(Таблица1[сумма],Таблица1[коэф],"1,2",Таблица1[р/р],"5/16",Таблица1[Ф. И. О.],B781)</f>
        <v>0</v>
      </c>
      <c r="T781" s="88">
        <f>ROUND(Q781*R781*S781,2)</f>
        <v>0</v>
      </c>
      <c r="U781" s="292">
        <f>база!$M$6</f>
        <v>279.0496</v>
      </c>
      <c r="V781" s="250">
        <v>1.2</v>
      </c>
      <c r="W781" s="285">
        <f>SUMIFS(Таблица1[сумма],Таблица1[коэф],"1,2",Таблица1[р/р],"5/24",Таблица1[Ф. И. О.],B781)</f>
        <v>0</v>
      </c>
      <c r="X781" s="291">
        <f>ROUND(U781*V781*W781,2)</f>
        <v>0</v>
      </c>
      <c r="Y781" s="803"/>
      <c r="Z781" s="794"/>
      <c r="AA781" s="797"/>
      <c r="AC781" s="688" t="str">
        <f>IF(SUMIFS(Таблица1[сумма],Таблица1[Ф. И. О.],B781)=Y776,"",B776&amp;"  часы не верны")</f>
        <v/>
      </c>
    </row>
    <row r="782" spans="1:29">
      <c r="A782" s="740"/>
      <c r="B782" s="201"/>
      <c r="C782" s="799"/>
      <c r="D782" s="801"/>
      <c r="E782" s="72"/>
      <c r="F782" s="250"/>
      <c r="G782" s="92"/>
      <c r="H782" s="88"/>
      <c r="I782" s="311"/>
      <c r="J782" s="257"/>
      <c r="K782" s="202"/>
      <c r="L782" s="202"/>
      <c r="M782" s="202"/>
      <c r="N782" s="202"/>
      <c r="O782" s="202"/>
      <c r="P782" s="28"/>
      <c r="Q782" s="72">
        <f>IF($D$6&lt;=3,база!$L$4,
IF($D$6=4,база!$L$5,
IF($D$6=5,база!$L$6)))</f>
        <v>231.45480000000001</v>
      </c>
      <c r="R782" s="250">
        <v>1.3</v>
      </c>
      <c r="S782" s="92">
        <f>SUMIFS(Таблица1[сумма],Таблица1[коэф],"1,3",Таблица1[р/р],"3/16",Таблица1[Ф. И. О.],B781)</f>
        <v>0</v>
      </c>
      <c r="T782" s="88">
        <f t="shared" ref="T782:T783" si="486">ROUND(Q782*R782*S782,2)</f>
        <v>0</v>
      </c>
      <c r="U782" s="292">
        <f>IF(D776&lt;=3,база!$M$4,
IF(D776=4,база!$M$5,
IF(D776=5,база!$M$6)))</f>
        <v>225.09719999999999</v>
      </c>
      <c r="V782" s="250">
        <v>1.3</v>
      </c>
      <c r="W782" s="285">
        <f>SUMIFS(Таблица1[сумма],Таблица1[коэф],"1,3",Таблица1[р/р],"3/24",Таблица1[Ф. И. О.],B781)</f>
        <v>0</v>
      </c>
      <c r="X782" s="291">
        <f t="shared" ref="X782:X783" si="487">ROUND(U782*V782*W782,2)</f>
        <v>0</v>
      </c>
      <c r="Y782" s="803"/>
      <c r="Z782" s="794"/>
      <c r="AA782" s="797"/>
    </row>
    <row r="783" spans="1:29">
      <c r="A783" s="740"/>
      <c r="B783" s="201"/>
      <c r="C783" s="799"/>
      <c r="D783" s="801"/>
      <c r="E783" s="72"/>
      <c r="F783" s="250"/>
      <c r="G783" s="92"/>
      <c r="H783" s="88"/>
      <c r="I783" s="311"/>
      <c r="J783" s="257"/>
      <c r="K783" s="202"/>
      <c r="L783" s="202"/>
      <c r="M783" s="202"/>
      <c r="N783" s="202"/>
      <c r="O783" s="202"/>
      <c r="P783" s="28"/>
      <c r="Q783" s="72">
        <f>база!$L$5</f>
        <v>231.45480000000001</v>
      </c>
      <c r="R783" s="250">
        <v>1.3</v>
      </c>
      <c r="S783" s="92">
        <f>SUMIFS(Таблица1[сумма],Таблица1[коэф],"1,3",Таблица1[р/р],"4/16",Таблица1[Ф. И. О.],B781)</f>
        <v>0</v>
      </c>
      <c r="T783" s="88">
        <f t="shared" si="486"/>
        <v>0</v>
      </c>
      <c r="U783" s="292">
        <f>база!$M$5</f>
        <v>247.41720000000001</v>
      </c>
      <c r="V783" s="250">
        <v>1.3</v>
      </c>
      <c r="W783" s="285">
        <f>SUMIFS(Таблица1[сумма],Таблица1[коэф],"1,3",Таблица1[р/р],"4/24",Таблица1[Ф. И. О.],B781)</f>
        <v>0</v>
      </c>
      <c r="X783" s="291">
        <f t="shared" si="487"/>
        <v>0</v>
      </c>
      <c r="Y783" s="803"/>
      <c r="Z783" s="794"/>
      <c r="AA783" s="797"/>
    </row>
    <row r="784" spans="1:29">
      <c r="A784" s="740"/>
      <c r="B784" s="201"/>
      <c r="C784" s="799"/>
      <c r="D784" s="801"/>
      <c r="E784" s="72"/>
      <c r="F784" s="250"/>
      <c r="G784" s="92"/>
      <c r="H784" s="88"/>
      <c r="I784" s="311"/>
      <c r="J784" s="257"/>
      <c r="K784" s="202"/>
      <c r="L784" s="202"/>
      <c r="M784" s="202"/>
      <c r="N784" s="202"/>
      <c r="O784" s="202"/>
      <c r="P784" s="28"/>
      <c r="Q784" s="72">
        <f>IF(D776&lt;=3,база!$L$4,
IF(D776=4,база!$L$5,
IF(D776=5,база!$L$6)))</f>
        <v>210.57480000000001</v>
      </c>
      <c r="R784" s="250">
        <v>1.4</v>
      </c>
      <c r="S784" s="92">
        <f>SUMIFS(Таблица1[сумма],Таблица1[коэф],"1,4",Таблица1[р/р],"3/16",Таблица1[Ф. И. О.],B781)</f>
        <v>0</v>
      </c>
      <c r="T784" s="88">
        <f>ROUND(Q784*R784*S784,2)</f>
        <v>0</v>
      </c>
      <c r="U784" s="292">
        <f>IF(D776&lt;=3,база!$M$4,
IF(D776=4,база!$M$5,
IF(D776=5,база!$M$6)))</f>
        <v>225.09719999999999</v>
      </c>
      <c r="V784" s="250">
        <v>1.4</v>
      </c>
      <c r="W784" s="285">
        <f>SUMIFS(Таблица1[сумма],Таблица1[коэф],"1,4",Таблица1[р/р],"3/24",Таблица1[Ф. И. О.],B781)</f>
        <v>0</v>
      </c>
      <c r="X784" s="291">
        <f>ROUND(U784*V784*W784,2)</f>
        <v>0</v>
      </c>
      <c r="Y784" s="803"/>
      <c r="Z784" s="794"/>
      <c r="AA784" s="797"/>
    </row>
    <row r="785" spans="1:29">
      <c r="A785" s="740"/>
      <c r="B785" s="201"/>
      <c r="C785" s="799"/>
      <c r="D785" s="801"/>
      <c r="E785" s="72"/>
      <c r="F785" s="250"/>
      <c r="G785" s="92"/>
      <c r="H785" s="88"/>
      <c r="I785" s="311"/>
      <c r="J785" s="257"/>
      <c r="K785" s="202"/>
      <c r="L785" s="202"/>
      <c r="M785" s="202"/>
      <c r="N785" s="202"/>
      <c r="O785" s="202"/>
      <c r="P785" s="28"/>
      <c r="Q785" s="72">
        <f>база!$L$5</f>
        <v>231.45480000000001</v>
      </c>
      <c r="R785" s="250">
        <v>1.4</v>
      </c>
      <c r="S785" s="92">
        <f>SUMIFS(Таблица1[сумма],Таблица1[коэф],"1,4",Таблица1[р/р],"4/16",Таблица1[Ф. И. О.],B781)</f>
        <v>0</v>
      </c>
      <c r="T785" s="88">
        <f>ROUND(Q785*R785*S785,2)</f>
        <v>0</v>
      </c>
      <c r="U785" s="292">
        <f>база!$M$5</f>
        <v>247.41720000000001</v>
      </c>
      <c r="V785" s="250">
        <v>1.4</v>
      </c>
      <c r="W785" s="285">
        <f>SUMIFS(Таблица1[сумма],Таблица1[коэф],"1,4",Таблица1[р/р],"4/24",Таблица1[Ф. И. О.],B781)</f>
        <v>0</v>
      </c>
      <c r="X785" s="291">
        <f>ROUND(U785*V785*W785,2)</f>
        <v>0</v>
      </c>
      <c r="Y785" s="803"/>
      <c r="Z785" s="794"/>
      <c r="AA785" s="797"/>
    </row>
    <row r="786" spans="1:29" ht="24" thickBot="1">
      <c r="A786" s="741"/>
      <c r="B786" s="329"/>
      <c r="C786" s="800"/>
      <c r="D786" s="802"/>
      <c r="E786" s="95"/>
      <c r="F786" s="252"/>
      <c r="G786" s="597"/>
      <c r="H786" s="84"/>
      <c r="I786" s="598"/>
      <c r="J786" s="258"/>
      <c r="K786" s="599"/>
      <c r="L786" s="267"/>
      <c r="M786" s="598"/>
      <c r="N786" s="599"/>
      <c r="O786" s="599"/>
      <c r="P786" s="293"/>
      <c r="Q786" s="600">
        <f>база!$L$6</f>
        <v>261.04640000000001</v>
      </c>
      <c r="R786" s="252">
        <v>1.4</v>
      </c>
      <c r="S786" s="91">
        <f>SUMIFS(Таблица1[сумма],Таблица1[коэф],"1,4",Таблица1[р/р],"5/16",Таблица1[Ф. И. О.],B781)</f>
        <v>0</v>
      </c>
      <c r="T786" s="84">
        <f>ROUND(Q786*R786*S786,2)</f>
        <v>0</v>
      </c>
      <c r="U786" s="206">
        <f>база!$M$6</f>
        <v>279.0496</v>
      </c>
      <c r="V786" s="252">
        <v>1.4</v>
      </c>
      <c r="W786" s="91">
        <f>SUMIFS(Таблица1[сумма],Таблица1[коэф],"1,4",Таблица1[р/р],"5/24",Таблица1[Ф. И. О.],B781)</f>
        <v>0</v>
      </c>
      <c r="X786" s="84">
        <f>ROUND(U786*V786*W786,2)</f>
        <v>0</v>
      </c>
      <c r="Y786" s="804"/>
      <c r="Z786" s="795"/>
      <c r="AA786" s="798"/>
    </row>
    <row r="787" spans="1:29">
      <c r="A787" s="740">
        <v>72</v>
      </c>
      <c r="B787" s="201"/>
      <c r="C787" s="799">
        <f>INDEX(база!$E$2:$E$181, MATCH(B792,база!$B$2:$B$160,0))</f>
        <v>14988</v>
      </c>
      <c r="D787" s="801">
        <f>INDEX(база!$D$2:$D$189, MATCH(B792,база!$B$2:$B$160,0))</f>
        <v>4</v>
      </c>
      <c r="E787" s="68">
        <f>IF(D787&lt;=3,база!$I$4,
IF(D787=4,база!$I$5,
IF(D787=5,база!$I$6)))</f>
        <v>207.5112</v>
      </c>
      <c r="F787" s="249">
        <v>1</v>
      </c>
      <c r="G787" s="90">
        <f>SUMIFS(Таблица1[сумма],Таблица1[коэф],"1",Таблица1[р/р],"2/4",Таблица1[Ф. И. О.],B792)</f>
        <v>0</v>
      </c>
      <c r="H787" s="96">
        <f>ROUND(E787*F787*G787,2)</f>
        <v>0</v>
      </c>
      <c r="I787" s="321">
        <f>IF(D787&lt;=3,база!$J$4,
IF(D787=4,база!$J$5,
IF(D787=5,база!$J$6)))</f>
        <v>215.4924</v>
      </c>
      <c r="J787" s="256">
        <v>1</v>
      </c>
      <c r="K787" s="287">
        <f>SUMIFS(Таблица1[сумма],Таблица1[коэф],"1",Таблица1[р/р],"2/8",Таблица1[Ф. И. О.],B792)</f>
        <v>0</v>
      </c>
      <c r="L787" s="287">
        <f>ROUND(I787*J787*K787,2)</f>
        <v>0</v>
      </c>
      <c r="M787" s="287"/>
      <c r="N787" s="287">
        <v>1</v>
      </c>
      <c r="O787" s="287">
        <f>SUMIFS(Data_Tech!$AM$3:$AM$67,Data_Tech!$E$3:$E$67,"1",Data_Tech!$G$3:$G$67,"3/12",Data_Tech!$F$3:$F$67,B792)</f>
        <v>0</v>
      </c>
      <c r="P787" s="260">
        <f>ROUND(M787*N787*O787,2)</f>
        <v>0</v>
      </c>
      <c r="Q787" s="68">
        <f>IF(D787&lt;=3,база!$L$4,
IF(D787=4,база!$L$5,
IF(D787=5,база!$L$6)))</f>
        <v>231.45480000000001</v>
      </c>
      <c r="R787" s="249">
        <v>1</v>
      </c>
      <c r="S787" s="90">
        <f>SUMIFS(Таблица1[сумма],Таблица1[коэф],"1",Таблица1[р/р],"3/16",Таблица1[Ф. И. О.],B792)</f>
        <v>0</v>
      </c>
      <c r="T787" s="96">
        <f t="shared" ref="T787:T791" si="488">ROUND(Q787*R787*S787,2)</f>
        <v>0</v>
      </c>
      <c r="U787" s="326">
        <f>IF(D787&lt;=3,база!$M$4,
IF(D787=4,база!$M$5,
IF(D787=5,база!$M$6)))</f>
        <v>247.41720000000001</v>
      </c>
      <c r="V787" s="249">
        <v>1</v>
      </c>
      <c r="W787" s="314">
        <f>SUMIFS(Таблица1[сумма],Таблица1[коэф],"1",Таблица1[р/р],"3/24",Таблица1[Ф. И. О.],B792)</f>
        <v>0</v>
      </c>
      <c r="X787" s="328">
        <f>ROUND(U787*V787*W787,2)</f>
        <v>0</v>
      </c>
      <c r="Y787" s="792">
        <f t="shared" ref="Y787" si="489">SUM(G787:G797,K787:K797,O787:O797,S787:S797,W787:W797)</f>
        <v>0</v>
      </c>
      <c r="Z787" s="794">
        <f t="shared" ref="Z787" si="490">IFERROR(SUM(H787:H797,L787:L797,T787:T797,X787:X797),"")</f>
        <v>0</v>
      </c>
      <c r="AA787" s="797"/>
    </row>
    <row r="788" spans="1:29">
      <c r="A788" s="740"/>
      <c r="B788" s="201"/>
      <c r="C788" s="799"/>
      <c r="D788" s="801"/>
      <c r="E788" s="72">
        <f>IF(D787&lt;=3,база!$I$4,
IF(D787=4,база!$I$5,
IF(D787=5,база!$I$6)))</f>
        <v>207.5112</v>
      </c>
      <c r="F788" s="250">
        <v>1</v>
      </c>
      <c r="G788" s="92">
        <f>SUMIFS(Таблица1[сумма],Таблица1[коэф],"1",Таблица1[р/р],"3/4",Таблица1[Ф. И. О.],B792)</f>
        <v>0</v>
      </c>
      <c r="H788" s="88">
        <f>ROUND(E788*F788*G788,2)</f>
        <v>0</v>
      </c>
      <c r="I788" s="311">
        <f>IF(D787&lt;=3,база!$J$4,
IF(D787=4,база!$J$5,
IF(D787=5,база!$J$6)))</f>
        <v>215.4924</v>
      </c>
      <c r="J788" s="257">
        <v>1</v>
      </c>
      <c r="K788" s="202"/>
      <c r="L788" s="202">
        <f>ROUND(I788*J788*K788,2)</f>
        <v>0</v>
      </c>
      <c r="M788" s="202"/>
      <c r="N788" s="202">
        <v>1</v>
      </c>
      <c r="O788" s="202">
        <f>SUMIFS(Data_Tech!$AM$3:$AM$67,Data_Tech!$E$3:$E$67,"1",Data_Tech!$G$3:$G$67,"4/12",Data_Tech!$F$3:$F$67,B792)</f>
        <v>0</v>
      </c>
      <c r="P788" s="28">
        <f>ROUND(M788*O788,2)</f>
        <v>0</v>
      </c>
      <c r="Q788" s="72">
        <f>база!$L$5</f>
        <v>231.45480000000001</v>
      </c>
      <c r="R788" s="250">
        <v>1</v>
      </c>
      <c r="S788" s="92">
        <f>SUMIFS(Таблица1[сумма],Таблица1[коэф],"1",Таблица1[р/р],"4/16",Таблица1[Ф. И. О.],B792)</f>
        <v>0</v>
      </c>
      <c r="T788" s="88">
        <f t="shared" si="488"/>
        <v>0</v>
      </c>
      <c r="U788" s="292">
        <f>база!$M$5</f>
        <v>247.41720000000001</v>
      </c>
      <c r="V788" s="250">
        <v>1</v>
      </c>
      <c r="W788" s="285">
        <f>SUMIFS(Таблица1[сумма],Таблица1[коэф],"1",Таблица1[р/р],"4/24",Таблица1[Ф. И. О.],B792)</f>
        <v>0</v>
      </c>
      <c r="X788" s="291">
        <f t="shared" ref="X788" si="491">ROUND(U788*V788*W788,2)</f>
        <v>0</v>
      </c>
      <c r="Y788" s="792"/>
      <c r="Z788" s="794"/>
      <c r="AA788" s="797"/>
    </row>
    <row r="789" spans="1:29">
      <c r="A789" s="740"/>
      <c r="B789" s="201"/>
      <c r="C789" s="799"/>
      <c r="D789" s="801"/>
      <c r="E789" s="72"/>
      <c r="F789" s="250"/>
      <c r="G789" s="92"/>
      <c r="H789" s="88"/>
      <c r="I789" s="311"/>
      <c r="J789" s="257"/>
      <c r="K789" s="202"/>
      <c r="L789" s="202"/>
      <c r="M789" s="202"/>
      <c r="N789" s="202"/>
      <c r="O789" s="202"/>
      <c r="P789" s="28"/>
      <c r="Q789" s="72">
        <f>база!$L$6</f>
        <v>261.04640000000001</v>
      </c>
      <c r="R789" s="250">
        <v>1</v>
      </c>
      <c r="S789" s="92">
        <f>SUMIFS(Таблица1[сумма],Таблица1[коэф],"1",Таблица1[р/р],"5/16",Таблица1[Ф. И. О.],B792)</f>
        <v>0</v>
      </c>
      <c r="T789" s="88">
        <f t="shared" si="488"/>
        <v>0</v>
      </c>
      <c r="U789" s="292">
        <f>база!$M$6</f>
        <v>279.0496</v>
      </c>
      <c r="V789" s="250">
        <v>1</v>
      </c>
      <c r="W789" s="285">
        <f>SUMIFS(Таблица1[сумма],Таблица1[коэф],"1",Таблица1[р/р],"5/24",Таблица1[Ф. И. О.],B792)</f>
        <v>0</v>
      </c>
      <c r="X789" s="291">
        <f>ROUND(U789*V789*W789,2)</f>
        <v>0</v>
      </c>
      <c r="Y789" s="792"/>
      <c r="Z789" s="794"/>
      <c r="AA789" s="797"/>
    </row>
    <row r="790" spans="1:29">
      <c r="A790" s="740"/>
      <c r="B790" s="201"/>
      <c r="C790" s="799"/>
      <c r="D790" s="801"/>
      <c r="E790" s="72"/>
      <c r="F790" s="250"/>
      <c r="G790" s="92"/>
      <c r="H790" s="88"/>
      <c r="I790" s="311">
        <f>база!$J$5</f>
        <v>215.4924</v>
      </c>
      <c r="J790" s="257">
        <v>1.5</v>
      </c>
      <c r="K790" s="202">
        <f>SUMIFS(Таблица1[сумма],Таблица1[коэф],"1,5",Таблица1[р/р],"4/8",Таблица1[Ф. И. О.],B792)</f>
        <v>0</v>
      </c>
      <c r="L790" s="202">
        <f>ROUND(I790*J790*K790,2)</f>
        <v>0</v>
      </c>
      <c r="M790" s="202"/>
      <c r="N790" s="202"/>
      <c r="O790" s="202"/>
      <c r="P790" s="28"/>
      <c r="Q790" s="72">
        <f>IF(D787&lt;=3,база!$L$4,
IF(D787=4,база!$L$5,
IF(D787=5,база!$L$6)))</f>
        <v>231.45480000000001</v>
      </c>
      <c r="R790" s="250">
        <v>1.2</v>
      </c>
      <c r="S790" s="92">
        <f>SUMIFS(Таблица1[сумма],Таблица1[коэф],"1,2",Таблица1[р/р],"3/16",Таблица1[Ф. И. О.],B792)</f>
        <v>0</v>
      </c>
      <c r="T790" s="88">
        <f t="shared" si="488"/>
        <v>0</v>
      </c>
      <c r="U790" s="292">
        <f>IF(D787&lt;=3,база!$M$4,
IF(D787=4,база!$M$5,
IF(D787=5,база!$M$6)))</f>
        <v>247.41720000000001</v>
      </c>
      <c r="V790" s="250">
        <v>1.2</v>
      </c>
      <c r="W790" s="285">
        <f>SUMIFS(Таблица1[сумма],Таблица1[коэф],"1,2",Таблица1[р/р],"3/24",Таблица1[Ф. И. О.],B792)</f>
        <v>0</v>
      </c>
      <c r="X790" s="291">
        <f t="shared" ref="X790:X791" si="492">ROUND(U790*V790*W790,2)</f>
        <v>0</v>
      </c>
      <c r="Y790" s="792"/>
      <c r="Z790" s="794"/>
      <c r="AA790" s="797"/>
    </row>
    <row r="791" spans="1:29">
      <c r="A791" s="740"/>
      <c r="B791" s="201"/>
      <c r="C791" s="799"/>
      <c r="D791" s="801"/>
      <c r="E791" s="72"/>
      <c r="F791" s="250"/>
      <c r="G791" s="92"/>
      <c r="H791" s="88"/>
      <c r="I791" s="311">
        <f>база!$J$6</f>
        <v>243.04319999999998</v>
      </c>
      <c r="J791" s="257">
        <v>1.5</v>
      </c>
      <c r="K791" s="202">
        <f>SUMIFS(Таблица1[сумма],Таблица1[коэф],"1,5",Таблица1[р/р],"5/8",Таблица1[Ф. И. О.],B792)</f>
        <v>0</v>
      </c>
      <c r="L791" s="202">
        <f>ROUND(I791*J791*K791,2)</f>
        <v>0</v>
      </c>
      <c r="M791" s="202"/>
      <c r="N791" s="202"/>
      <c r="O791" s="202"/>
      <c r="P791" s="28"/>
      <c r="Q791" s="72">
        <f>база!$L$5</f>
        <v>231.45480000000001</v>
      </c>
      <c r="R791" s="250">
        <v>1.2</v>
      </c>
      <c r="S791" s="92">
        <f>SUMIFS(Таблица1[сумма],Таблица1[коэф],"1,2",Таблица1[р/р],"4/16",Таблица1[Ф. И. О.],B792)</f>
        <v>0</v>
      </c>
      <c r="T791" s="88">
        <f t="shared" si="488"/>
        <v>0</v>
      </c>
      <c r="U791" s="292">
        <f>база!$M$5</f>
        <v>247.41720000000001</v>
      </c>
      <c r="V791" s="250">
        <v>1.2</v>
      </c>
      <c r="W791" s="285">
        <f>SUMIFS(Таблица1[сумма],Таблица1[коэф],"1,2",Таблица1[р/р],"4/24",Таблица1[Ф. И. О.],B792)</f>
        <v>0</v>
      </c>
      <c r="X791" s="291">
        <f t="shared" si="492"/>
        <v>0</v>
      </c>
      <c r="Y791" s="792"/>
      <c r="Z791" s="794"/>
      <c r="AA791" s="797"/>
      <c r="AC791" s="688" t="str">
        <f>IF(SUMIFS(Таблица1[Столбец2],Таблица1[Ф. И. О.],B792)-Z787=0,"",SUMIFS(Таблица1[Столбец2],Таблица1[Ф. И. О.],B792)-Z787)</f>
        <v/>
      </c>
    </row>
    <row r="792" spans="1:29">
      <c r="A792" s="740"/>
      <c r="B792" s="201" t="str">
        <f>база!B73</f>
        <v>Томилова Антонина Викторовна</v>
      </c>
      <c r="C792" s="799"/>
      <c r="D792" s="801"/>
      <c r="E792" s="72"/>
      <c r="F792" s="250"/>
      <c r="G792" s="92"/>
      <c r="H792" s="88"/>
      <c r="I792" s="311"/>
      <c r="J792" s="257"/>
      <c r="K792" s="202"/>
      <c r="L792" s="202"/>
      <c r="M792" s="202"/>
      <c r="N792" s="202"/>
      <c r="O792" s="202"/>
      <c r="P792" s="28"/>
      <c r="Q792" s="72">
        <f>база!$L$6</f>
        <v>261.04640000000001</v>
      </c>
      <c r="R792" s="250">
        <v>1.2</v>
      </c>
      <c r="S792" s="92">
        <f>SUMIFS(Таблица1[сумма],Таблица1[коэф],"1,2",Таблица1[р/р],"5/16",Таблица1[Ф. И. О.],B792)</f>
        <v>0</v>
      </c>
      <c r="T792" s="88">
        <f>ROUND(Q792*R792*S792,2)</f>
        <v>0</v>
      </c>
      <c r="U792" s="292">
        <f>база!$M$6</f>
        <v>279.0496</v>
      </c>
      <c r="V792" s="250">
        <v>1.2</v>
      </c>
      <c r="W792" s="285">
        <f>SUMIFS(Таблица1[сумма],Таблица1[коэф],"1,2",Таблица1[р/р],"5/24",Таблица1[Ф. И. О.],B792)</f>
        <v>0</v>
      </c>
      <c r="X792" s="291">
        <f>ROUND(U792*V792*W792,2)</f>
        <v>0</v>
      </c>
      <c r="Y792" s="792"/>
      <c r="Z792" s="794"/>
      <c r="AA792" s="797"/>
      <c r="AC792" s="688" t="str">
        <f>IF(SUMIFS(Таблица1[сумма],Таблица1[Ф. И. О.],B792)=Y787,"",B787&amp;"  часы не верны")</f>
        <v/>
      </c>
    </row>
    <row r="793" spans="1:29">
      <c r="A793" s="740"/>
      <c r="B793" s="201"/>
      <c r="C793" s="799"/>
      <c r="D793" s="801"/>
      <c r="E793" s="72"/>
      <c r="F793" s="250"/>
      <c r="G793" s="92"/>
      <c r="H793" s="88"/>
      <c r="I793" s="311"/>
      <c r="J793" s="257"/>
      <c r="K793" s="202"/>
      <c r="L793" s="202"/>
      <c r="M793" s="202"/>
      <c r="N793" s="202"/>
      <c r="O793" s="202"/>
      <c r="P793" s="28"/>
      <c r="Q793" s="72">
        <f>IF($D$6&lt;=3,база!$L$4,
IF($D$6=4,база!$L$5,
IF($D$6=5,база!$L$6)))</f>
        <v>231.45480000000001</v>
      </c>
      <c r="R793" s="250">
        <v>1.3</v>
      </c>
      <c r="S793" s="92">
        <f>SUMIFS(Таблица1[сумма],Таблица1[коэф],"1,3",Таблица1[р/р],"3/16",Таблица1[Ф. И. О.],B792)</f>
        <v>0</v>
      </c>
      <c r="T793" s="88">
        <f t="shared" ref="T793:T794" si="493">ROUND(Q793*R793*S793,2)</f>
        <v>0</v>
      </c>
      <c r="U793" s="292">
        <f>IF(D787&lt;=3,база!$M$4,
IF(D787=4,база!$M$5,
IF(D787=5,база!$M$6)))</f>
        <v>247.41720000000001</v>
      </c>
      <c r="V793" s="250">
        <v>1.3</v>
      </c>
      <c r="W793" s="285">
        <f>SUMIFS(Таблица1[сумма],Таблица1[коэф],"1,3",Таблица1[р/р],"3/24",Таблица1[Ф. И. О.],B792)</f>
        <v>0</v>
      </c>
      <c r="X793" s="291">
        <f t="shared" ref="X793:X794" si="494">ROUND(U793*V793*W793,2)</f>
        <v>0</v>
      </c>
      <c r="Y793" s="792"/>
      <c r="Z793" s="794"/>
      <c r="AA793" s="797"/>
    </row>
    <row r="794" spans="1:29">
      <c r="A794" s="740"/>
      <c r="B794" s="201"/>
      <c r="C794" s="799"/>
      <c r="D794" s="801"/>
      <c r="E794" s="72"/>
      <c r="F794" s="250"/>
      <c r="G794" s="92"/>
      <c r="H794" s="88"/>
      <c r="I794" s="311"/>
      <c r="J794" s="257"/>
      <c r="K794" s="202"/>
      <c r="L794" s="202"/>
      <c r="M794" s="202"/>
      <c r="N794" s="202"/>
      <c r="O794" s="202"/>
      <c r="P794" s="28"/>
      <c r="Q794" s="72">
        <f>база!$L$5</f>
        <v>231.45480000000001</v>
      </c>
      <c r="R794" s="250">
        <v>1.3</v>
      </c>
      <c r="S794" s="92">
        <f>SUMIFS(Таблица1[сумма],Таблица1[коэф],"1,3",Таблица1[р/р],"4/16",Таблица1[Ф. И. О.],B792)</f>
        <v>0</v>
      </c>
      <c r="T794" s="88">
        <f t="shared" si="493"/>
        <v>0</v>
      </c>
      <c r="U794" s="292">
        <f>база!$M$5</f>
        <v>247.41720000000001</v>
      </c>
      <c r="V794" s="250">
        <v>1.3</v>
      </c>
      <c r="W794" s="285">
        <f>SUMIFS(Таблица1[сумма],Таблица1[коэф],"1,3",Таблица1[р/р],"4/24",Таблица1[Ф. И. О.],B792)</f>
        <v>0</v>
      </c>
      <c r="X794" s="291">
        <f t="shared" si="494"/>
        <v>0</v>
      </c>
      <c r="Y794" s="792"/>
      <c r="Z794" s="794"/>
      <c r="AA794" s="797"/>
    </row>
    <row r="795" spans="1:29">
      <c r="A795" s="740"/>
      <c r="B795" s="201"/>
      <c r="C795" s="799"/>
      <c r="D795" s="801"/>
      <c r="E795" s="72"/>
      <c r="F795" s="250"/>
      <c r="G795" s="92"/>
      <c r="H795" s="88"/>
      <c r="I795" s="311"/>
      <c r="J795" s="257"/>
      <c r="K795" s="202"/>
      <c r="L795" s="202"/>
      <c r="M795" s="202"/>
      <c r="N795" s="202"/>
      <c r="O795" s="202"/>
      <c r="P795" s="28"/>
      <c r="Q795" s="72">
        <f>IF(D787&lt;=3,база!$L$4,
IF(D787=4,база!$L$5,
IF(D787=5,база!$L$6)))</f>
        <v>231.45480000000001</v>
      </c>
      <c r="R795" s="250">
        <v>1.4</v>
      </c>
      <c r="S795" s="92">
        <f>SUMIFS(Таблица1[сумма],Таблица1[коэф],"1,4",Таблица1[р/р],"3/16",Таблица1[Ф. И. О.],B792)</f>
        <v>0</v>
      </c>
      <c r="T795" s="88">
        <f>ROUND(Q795*R795*S795,2)</f>
        <v>0</v>
      </c>
      <c r="U795" s="292">
        <f>IF(D787&lt;=3,база!$M$4,
IF(D787=4,база!$M$5,
IF(D787=5,база!$M$6)))</f>
        <v>247.41720000000001</v>
      </c>
      <c r="V795" s="250">
        <v>1.4</v>
      </c>
      <c r="W795" s="285">
        <f>SUMIFS(Таблица1[сумма],Таблица1[коэф],"1,4",Таблица1[р/р],"3/24",Таблица1[Ф. И. О.],B792)</f>
        <v>0</v>
      </c>
      <c r="X795" s="291">
        <f>ROUND(U795*V795*W795,2)</f>
        <v>0</v>
      </c>
      <c r="Y795" s="792"/>
      <c r="Z795" s="794"/>
      <c r="AA795" s="797"/>
    </row>
    <row r="796" spans="1:29">
      <c r="A796" s="740"/>
      <c r="B796" s="201"/>
      <c r="C796" s="799"/>
      <c r="D796" s="801"/>
      <c r="E796" s="72"/>
      <c r="F796" s="250"/>
      <c r="G796" s="92"/>
      <c r="H796" s="88"/>
      <c r="I796" s="311"/>
      <c r="J796" s="257"/>
      <c r="K796" s="202"/>
      <c r="L796" s="202"/>
      <c r="M796" s="202"/>
      <c r="N796" s="202"/>
      <c r="O796" s="202"/>
      <c r="P796" s="28"/>
      <c r="Q796" s="72">
        <f>база!$L$5</f>
        <v>231.45480000000001</v>
      </c>
      <c r="R796" s="250">
        <v>1.4</v>
      </c>
      <c r="S796" s="92">
        <f>SUMIFS(Таблица1[сумма],Таблица1[коэф],"1,4",Таблица1[р/р],"4/16",Таблица1[Ф. И. О.],B792)</f>
        <v>0</v>
      </c>
      <c r="T796" s="88">
        <f>ROUND(Q796*R796*S796,2)</f>
        <v>0</v>
      </c>
      <c r="U796" s="292">
        <f>база!$M$5</f>
        <v>247.41720000000001</v>
      </c>
      <c r="V796" s="250">
        <v>1.4</v>
      </c>
      <c r="W796" s="285">
        <f>SUMIFS(Таблица1[сумма],Таблица1[коэф],"1,4",Таблица1[р/р],"4/24",Таблица1[Ф. И. О.],B792)</f>
        <v>0</v>
      </c>
      <c r="X796" s="291">
        <f>ROUND(U796*V796*W796,2)</f>
        <v>0</v>
      </c>
      <c r="Y796" s="792"/>
      <c r="Z796" s="794"/>
      <c r="AA796" s="797"/>
    </row>
    <row r="797" spans="1:29" ht="24" thickBot="1">
      <c r="A797" s="741"/>
      <c r="B797" s="329"/>
      <c r="C797" s="800"/>
      <c r="D797" s="802"/>
      <c r="E797" s="70"/>
      <c r="F797" s="254"/>
      <c r="G797" s="593"/>
      <c r="H797" s="87"/>
      <c r="I797" s="594"/>
      <c r="J797" s="567"/>
      <c r="K797" s="595"/>
      <c r="L797" s="305"/>
      <c r="M797" s="594"/>
      <c r="N797" s="595"/>
      <c r="O797" s="595"/>
      <c r="P797" s="268"/>
      <c r="Q797" s="657">
        <f>база!$L$6</f>
        <v>261.04640000000001</v>
      </c>
      <c r="R797" s="254">
        <v>1.4</v>
      </c>
      <c r="S797" s="93">
        <f>SUMIFS(Таблица1[сумма],Таблица1[коэф],"1,4",Таблица1[р/р],"5/16",Таблица1[Ф. И. О.],B792)</f>
        <v>0</v>
      </c>
      <c r="T797" s="87">
        <f>ROUND(Q797*R797*S797,2)</f>
        <v>0</v>
      </c>
      <c r="U797" s="77">
        <f>база!$M$6</f>
        <v>279.0496</v>
      </c>
      <c r="V797" s="252">
        <v>1.4</v>
      </c>
      <c r="W797" s="93">
        <f>SUMIFS(Таблица1[сумма],Таблица1[коэф],"1,4",Таблица1[р/р],"5/24",Таблица1[Ф. И. О.],B792)</f>
        <v>0</v>
      </c>
      <c r="X797" s="87">
        <f>ROUND(U797*V797*W797,2)</f>
        <v>0</v>
      </c>
      <c r="Y797" s="793"/>
      <c r="Z797" s="795"/>
      <c r="AA797" s="798"/>
    </row>
    <row r="798" spans="1:29">
      <c r="A798" s="740">
        <v>73</v>
      </c>
      <c r="B798" s="201"/>
      <c r="C798" s="799">
        <f>INDEX(база!$E$2:$E$181, MATCH(B803,база!$B$2:$B$160,0))</f>
        <v>15889</v>
      </c>
      <c r="D798" s="801">
        <f>INDEX(база!$D$2:$D$189, MATCH(B803,база!$B$2:$B$160,0))</f>
        <v>3</v>
      </c>
      <c r="E798" s="68">
        <f>IF(D798&lt;=3,база!$I$4,
IF(D798=4,база!$I$5,
IF(D798=5,база!$I$6)))</f>
        <v>188.7912</v>
      </c>
      <c r="F798" s="249">
        <v>1</v>
      </c>
      <c r="G798" s="90">
        <f>SUMIFS(Таблица1[сумма],Таблица1[коэф],"1",Таблица1[р/р],"2/4",Таблица1[Ф. И. О.],B803)</f>
        <v>0</v>
      </c>
      <c r="H798" s="96">
        <f>ROUND(E798*F798*G798,2)</f>
        <v>0</v>
      </c>
      <c r="I798" s="321">
        <f>IF(D798&lt;=3,база!$J$4,
IF(D798=4,база!$J$5,
IF(D798=5,база!$J$6)))</f>
        <v>196.05240000000001</v>
      </c>
      <c r="J798" s="256">
        <v>1</v>
      </c>
      <c r="K798" s="287">
        <f>SUMIFS(Таблица1[сумма],Таблица1[коэф],"1",Таблица1[р/р],"2/8",Таблица1[Ф. И. О.],B803)</f>
        <v>0</v>
      </c>
      <c r="L798" s="287">
        <f>ROUND(I798*J798*K798,2)</f>
        <v>0</v>
      </c>
      <c r="M798" s="287"/>
      <c r="N798" s="287">
        <v>1</v>
      </c>
      <c r="O798" s="287">
        <f>SUMIFS(Data_Tech!$AM$3:$AM$67,Data_Tech!$E$3:$E$67,"1",Data_Tech!$G$3:$G$67,"3/12",Data_Tech!$F$3:$F$67,B803)</f>
        <v>0</v>
      </c>
      <c r="P798" s="260">
        <f>ROUND(M798*N798*O798,2)</f>
        <v>0</v>
      </c>
      <c r="Q798" s="68">
        <f>IF(D798&lt;=3,база!$L$4,
IF(D798=4,база!$L$5,
IF(D798=5,база!$L$6)))</f>
        <v>210.57480000000001</v>
      </c>
      <c r="R798" s="249">
        <v>1</v>
      </c>
      <c r="S798" s="90">
        <f>SUMIFS(Таблица1[сумма],Таблица1[коэф],"1",Таблица1[р/р],"3/16",Таблица1[Ф. И. О.],B803)</f>
        <v>0</v>
      </c>
      <c r="T798" s="96">
        <f t="shared" ref="T798:T802" si="495">ROUND(Q798*R798*S798,2)</f>
        <v>0</v>
      </c>
      <c r="U798" s="326">
        <f>IF(D798&lt;=3,база!$M$4,
IF(D798=4,база!$M$5,
IF(D798=5,база!$M$6)))</f>
        <v>225.09719999999999</v>
      </c>
      <c r="V798" s="249">
        <v>1</v>
      </c>
      <c r="W798" s="314">
        <f>SUMIFS(Таблица1[сумма],Таблица1[коэф],"1",Таблица1[р/р],"3/24",Таблица1[Ф. И. О.],B803)</f>
        <v>0</v>
      </c>
      <c r="X798" s="328">
        <f>ROUND(U798*V798*W798,2)</f>
        <v>0</v>
      </c>
      <c r="Y798" s="792">
        <f t="shared" ref="Y798" si="496">SUM(G798:G808,K798:K808,O798:O808,S798:S808,W798:W808)</f>
        <v>0</v>
      </c>
      <c r="Z798" s="794">
        <f t="shared" ref="Z798" si="497">IFERROR(SUM(H798:H808,L798:L808,T798:T808,X798:X808),"")</f>
        <v>0</v>
      </c>
      <c r="AA798" s="797"/>
    </row>
    <row r="799" spans="1:29">
      <c r="A799" s="740"/>
      <c r="B799" s="201"/>
      <c r="C799" s="799"/>
      <c r="D799" s="801"/>
      <c r="E799" s="72">
        <f>IF(D798&lt;=3,база!$I$4,
IF(D798=4,база!$I$5,
IF(D798=5,база!$I$6)))</f>
        <v>188.7912</v>
      </c>
      <c r="F799" s="250">
        <v>1</v>
      </c>
      <c r="G799" s="92">
        <f>SUMIFS(Таблица1[сумма],Таблица1[коэф],"1",Таблица1[р/р],"3/4",Таблица1[Ф. И. О.],B803)</f>
        <v>0</v>
      </c>
      <c r="H799" s="88">
        <f>ROUND(E799*F799*G799,2)</f>
        <v>0</v>
      </c>
      <c r="I799" s="311">
        <f>IF(D798&lt;=3,база!$J$4,
IF(D798=4,база!$J$5,
IF(D798=5,база!$J$6)))</f>
        <v>196.05240000000001</v>
      </c>
      <c r="J799" s="257">
        <v>1</v>
      </c>
      <c r="K799" s="202"/>
      <c r="L799" s="202">
        <f>ROUND(I799*J799*K799,2)</f>
        <v>0</v>
      </c>
      <c r="M799" s="202"/>
      <c r="N799" s="202">
        <v>1</v>
      </c>
      <c r="O799" s="202">
        <f>SUMIFS(Data_Tech!$AM$3:$AM$67,Data_Tech!$E$3:$E$67,"1",Data_Tech!$G$3:$G$67,"4/12",Data_Tech!$F$3:$F$67,B803)</f>
        <v>0</v>
      </c>
      <c r="P799" s="28">
        <f>ROUND(M799*O799,2)</f>
        <v>0</v>
      </c>
      <c r="Q799" s="72">
        <f>база!$L$5</f>
        <v>231.45480000000001</v>
      </c>
      <c r="R799" s="250">
        <v>1</v>
      </c>
      <c r="S799" s="92">
        <f>SUMIFS(Таблица1[сумма],Таблица1[коэф],"1",Таблица1[р/р],"4/16",Таблица1[Ф. И. О.],B803)</f>
        <v>0</v>
      </c>
      <c r="T799" s="88">
        <f t="shared" si="495"/>
        <v>0</v>
      </c>
      <c r="U799" s="292">
        <f>база!$M$5</f>
        <v>247.41720000000001</v>
      </c>
      <c r="V799" s="250">
        <v>1</v>
      </c>
      <c r="W799" s="285">
        <f>SUMIFS(Таблица1[сумма],Таблица1[коэф],"1",Таблица1[р/р],"4/24",Таблица1[Ф. И. О.],B803)</f>
        <v>0</v>
      </c>
      <c r="X799" s="291">
        <f t="shared" ref="X799" si="498">ROUND(U799*V799*W799,2)</f>
        <v>0</v>
      </c>
      <c r="Y799" s="792"/>
      <c r="Z799" s="794"/>
      <c r="AA799" s="797"/>
    </row>
    <row r="800" spans="1:29">
      <c r="A800" s="740"/>
      <c r="B800" s="201"/>
      <c r="C800" s="799"/>
      <c r="D800" s="801"/>
      <c r="E800" s="72"/>
      <c r="F800" s="250"/>
      <c r="G800" s="92"/>
      <c r="H800" s="88"/>
      <c r="I800" s="311"/>
      <c r="J800" s="257"/>
      <c r="K800" s="202"/>
      <c r="L800" s="202"/>
      <c r="M800" s="202"/>
      <c r="N800" s="202"/>
      <c r="O800" s="202"/>
      <c r="P800" s="28"/>
      <c r="Q800" s="72">
        <f>база!$L$6</f>
        <v>261.04640000000001</v>
      </c>
      <c r="R800" s="250">
        <v>1</v>
      </c>
      <c r="S800" s="92">
        <f>SUMIFS(Таблица1[сумма],Таблица1[коэф],"1",Таблица1[р/р],"5/16",Таблица1[Ф. И. О.],B803)</f>
        <v>0</v>
      </c>
      <c r="T800" s="88">
        <f t="shared" si="495"/>
        <v>0</v>
      </c>
      <c r="U800" s="292">
        <f>база!$M$6</f>
        <v>279.0496</v>
      </c>
      <c r="V800" s="250">
        <v>1</v>
      </c>
      <c r="W800" s="285">
        <f>SUMIFS(Таблица1[сумма],Таблица1[коэф],"1",Таблица1[р/р],"5/24",Таблица1[Ф. И. О.],B803)</f>
        <v>0</v>
      </c>
      <c r="X800" s="291">
        <f>ROUND(U800*V800*W800,2)</f>
        <v>0</v>
      </c>
      <c r="Y800" s="792"/>
      <c r="Z800" s="794"/>
      <c r="AA800" s="797"/>
    </row>
    <row r="801" spans="1:29">
      <c r="A801" s="740"/>
      <c r="B801" s="201"/>
      <c r="C801" s="799"/>
      <c r="D801" s="801"/>
      <c r="E801" s="72"/>
      <c r="F801" s="250"/>
      <c r="G801" s="92"/>
      <c r="H801" s="88"/>
      <c r="I801" s="311">
        <f>база!$J$5</f>
        <v>215.4924</v>
      </c>
      <c r="J801" s="257">
        <v>1.5</v>
      </c>
      <c r="K801" s="202">
        <f>SUMIFS(Таблица1[сумма],Таблица1[коэф],"1,5",Таблица1[р/р],"4/8",Таблица1[Ф. И. О.],B803)</f>
        <v>0</v>
      </c>
      <c r="L801" s="202">
        <f>ROUND(I801*J801*K801,2)</f>
        <v>0</v>
      </c>
      <c r="M801" s="202"/>
      <c r="N801" s="202"/>
      <c r="O801" s="202"/>
      <c r="P801" s="28"/>
      <c r="Q801" s="72">
        <f>IF(D798&lt;=3,база!$L$4,
IF(D798=4,база!$L$5,
IF(D798=5,база!$L$6)))</f>
        <v>210.57480000000001</v>
      </c>
      <c r="R801" s="250">
        <v>1.2</v>
      </c>
      <c r="S801" s="92">
        <f>SUMIFS(Таблица1[сумма],Таблица1[коэф],"1,2",Таблица1[р/р],"3/16",Таблица1[Ф. И. О.],B803)</f>
        <v>0</v>
      </c>
      <c r="T801" s="88">
        <f t="shared" si="495"/>
        <v>0</v>
      </c>
      <c r="U801" s="292">
        <f>IF(D798&lt;=3,база!$M$4,
IF(D798=4,база!$M$5,
IF(D798=5,база!$M$6)))</f>
        <v>225.09719999999999</v>
      </c>
      <c r="V801" s="250">
        <v>1.2</v>
      </c>
      <c r="W801" s="285">
        <f>SUMIFS(Таблица1[сумма],Таблица1[коэф],"1,2",Таблица1[р/р],"3/24",Таблица1[Ф. И. О.],B803)</f>
        <v>0</v>
      </c>
      <c r="X801" s="291">
        <f t="shared" ref="X801:X802" si="499">ROUND(U801*V801*W801,2)</f>
        <v>0</v>
      </c>
      <c r="Y801" s="792"/>
      <c r="Z801" s="794"/>
      <c r="AA801" s="797"/>
    </row>
    <row r="802" spans="1:29">
      <c r="A802" s="740"/>
      <c r="B802" s="201"/>
      <c r="C802" s="799"/>
      <c r="D802" s="801"/>
      <c r="E802" s="72"/>
      <c r="F802" s="250"/>
      <c r="G802" s="92"/>
      <c r="H802" s="88"/>
      <c r="I802" s="311">
        <f>база!$J$6</f>
        <v>243.04319999999998</v>
      </c>
      <c r="J802" s="257">
        <v>1.5</v>
      </c>
      <c r="K802" s="202">
        <f>SUMIFS(Таблица1[сумма],Таблица1[коэф],"1,5",Таблица1[р/р],"5/8",Таблица1[Ф. И. О.],B803)</f>
        <v>0</v>
      </c>
      <c r="L802" s="202">
        <f>ROUND(I802*J802*K802,2)</f>
        <v>0</v>
      </c>
      <c r="M802" s="202"/>
      <c r="N802" s="202"/>
      <c r="O802" s="202"/>
      <c r="P802" s="28"/>
      <c r="Q802" s="72">
        <f>база!$L$5</f>
        <v>231.45480000000001</v>
      </c>
      <c r="R802" s="250">
        <v>1.2</v>
      </c>
      <c r="S802" s="92">
        <f>SUMIFS(Таблица1[сумма],Таблица1[коэф],"1,2",Таблица1[р/р],"4/16",Таблица1[Ф. И. О.],B803)</f>
        <v>0</v>
      </c>
      <c r="T802" s="88">
        <f t="shared" si="495"/>
        <v>0</v>
      </c>
      <c r="U802" s="292">
        <f>база!$M$5</f>
        <v>247.41720000000001</v>
      </c>
      <c r="V802" s="250">
        <v>1.2</v>
      </c>
      <c r="W802" s="285">
        <f>SUMIFS(Таблица1[сумма],Таблица1[коэф],"1,2",Таблица1[р/р],"4/24",Таблица1[Ф. И. О.],B803)</f>
        <v>0</v>
      </c>
      <c r="X802" s="291">
        <f t="shared" si="499"/>
        <v>0</v>
      </c>
      <c r="Y802" s="792"/>
      <c r="Z802" s="794"/>
      <c r="AA802" s="797"/>
      <c r="AC802" s="688" t="str">
        <f>IF(SUMIFS(Таблица1[Столбец2],Таблица1[Ф. И. О.],B803)-Z798=0,"",SUMIFS(Таблица1[Столбец2],Таблица1[Ф. И. О.],B803)-Z798)</f>
        <v/>
      </c>
    </row>
    <row r="803" spans="1:29">
      <c r="A803" s="740"/>
      <c r="B803" s="201" t="str">
        <f>база!B74</f>
        <v>Худякова Ольга Николаевна</v>
      </c>
      <c r="C803" s="799"/>
      <c r="D803" s="801"/>
      <c r="E803" s="72"/>
      <c r="F803" s="250"/>
      <c r="G803" s="92"/>
      <c r="H803" s="88"/>
      <c r="I803" s="311"/>
      <c r="J803" s="257"/>
      <c r="K803" s="202"/>
      <c r="L803" s="202"/>
      <c r="M803" s="202"/>
      <c r="N803" s="202"/>
      <c r="O803" s="202"/>
      <c r="P803" s="28"/>
      <c r="Q803" s="72">
        <f>база!$L$6</f>
        <v>261.04640000000001</v>
      </c>
      <c r="R803" s="250">
        <v>1.2</v>
      </c>
      <c r="S803" s="92">
        <f>SUMIFS(Таблица1[сумма],Таблица1[коэф],"1,2",Таблица1[р/р],"5/16",Таблица1[Ф. И. О.],B803)</f>
        <v>0</v>
      </c>
      <c r="T803" s="88">
        <f>ROUND(Q803*R803*S803,2)</f>
        <v>0</v>
      </c>
      <c r="U803" s="292">
        <f>база!$M$6</f>
        <v>279.0496</v>
      </c>
      <c r="V803" s="250">
        <v>1.2</v>
      </c>
      <c r="W803" s="285">
        <f>SUMIFS(Таблица1[сумма],Таблица1[коэф],"1,2",Таблица1[р/р],"5/24",Таблица1[Ф. И. О.],B803)</f>
        <v>0</v>
      </c>
      <c r="X803" s="291">
        <f>ROUND(U803*V803*W803,2)</f>
        <v>0</v>
      </c>
      <c r="Y803" s="792"/>
      <c r="Z803" s="794"/>
      <c r="AA803" s="797"/>
      <c r="AC803" s="688" t="str">
        <f>IF(SUMIFS(Таблица1[сумма],Таблица1[Ф. И. О.],B803)=Y798,"",B798&amp;"  часы не верны")</f>
        <v/>
      </c>
    </row>
    <row r="804" spans="1:29">
      <c r="A804" s="740"/>
      <c r="B804" s="201"/>
      <c r="C804" s="799"/>
      <c r="D804" s="801"/>
      <c r="E804" s="72"/>
      <c r="F804" s="250"/>
      <c r="G804" s="92"/>
      <c r="H804" s="88"/>
      <c r="I804" s="311"/>
      <c r="J804" s="257"/>
      <c r="K804" s="202"/>
      <c r="L804" s="202"/>
      <c r="M804" s="202"/>
      <c r="N804" s="202"/>
      <c r="O804" s="202"/>
      <c r="P804" s="28"/>
      <c r="Q804" s="72">
        <f>IF($D$6&lt;=3,база!$L$4,
IF($D$6=4,база!$L$5,
IF($D$6=5,база!$L$6)))</f>
        <v>231.45480000000001</v>
      </c>
      <c r="R804" s="250">
        <v>1.3</v>
      </c>
      <c r="S804" s="92">
        <f>SUMIFS(Таблица1[сумма],Таблица1[коэф],"1,3",Таблица1[р/р],"3/16",Таблица1[Ф. И. О.],B803)</f>
        <v>0</v>
      </c>
      <c r="T804" s="88">
        <f t="shared" ref="T804:T805" si="500">ROUND(Q804*R804*S804,2)</f>
        <v>0</v>
      </c>
      <c r="U804" s="292">
        <f>IF(D798&lt;=3,база!$M$4,
IF(D798=4,база!$M$5,
IF(D798=5,база!$M$6)))</f>
        <v>225.09719999999999</v>
      </c>
      <c r="V804" s="250">
        <v>1.3</v>
      </c>
      <c r="W804" s="285">
        <f>SUMIFS(Таблица1[сумма],Таблица1[коэф],"1,3",Таблица1[р/р],"3/24",Таблица1[Ф. И. О.],B803)</f>
        <v>0</v>
      </c>
      <c r="X804" s="291">
        <f t="shared" ref="X804:X805" si="501">ROUND(U804*V804*W804,2)</f>
        <v>0</v>
      </c>
      <c r="Y804" s="792"/>
      <c r="Z804" s="794"/>
      <c r="AA804" s="797"/>
    </row>
    <row r="805" spans="1:29">
      <c r="A805" s="740"/>
      <c r="B805" s="201"/>
      <c r="C805" s="799"/>
      <c r="D805" s="801"/>
      <c r="E805" s="72"/>
      <c r="F805" s="250"/>
      <c r="G805" s="92"/>
      <c r="H805" s="88"/>
      <c r="I805" s="311"/>
      <c r="J805" s="257"/>
      <c r="K805" s="202"/>
      <c r="L805" s="202"/>
      <c r="M805" s="202"/>
      <c r="N805" s="202"/>
      <c r="O805" s="202"/>
      <c r="P805" s="28"/>
      <c r="Q805" s="72">
        <f>база!$L$5</f>
        <v>231.45480000000001</v>
      </c>
      <c r="R805" s="250">
        <v>1.3</v>
      </c>
      <c r="S805" s="92">
        <f>SUMIFS(Таблица1[сумма],Таблица1[коэф],"1,3",Таблица1[р/р],"4/16",Таблица1[Ф. И. О.],B803)</f>
        <v>0</v>
      </c>
      <c r="T805" s="88">
        <f t="shared" si="500"/>
        <v>0</v>
      </c>
      <c r="U805" s="292">
        <f>база!$M$5</f>
        <v>247.41720000000001</v>
      </c>
      <c r="V805" s="250">
        <v>1.3</v>
      </c>
      <c r="W805" s="285">
        <f>SUMIFS(Таблица1[сумма],Таблица1[коэф],"1,3",Таблица1[р/р],"4/24",Таблица1[Ф. И. О.],B803)</f>
        <v>0</v>
      </c>
      <c r="X805" s="291">
        <f t="shared" si="501"/>
        <v>0</v>
      </c>
      <c r="Y805" s="792"/>
      <c r="Z805" s="794"/>
      <c r="AA805" s="797"/>
    </row>
    <row r="806" spans="1:29">
      <c r="A806" s="740"/>
      <c r="B806" s="201"/>
      <c r="C806" s="799"/>
      <c r="D806" s="801"/>
      <c r="E806" s="72"/>
      <c r="F806" s="250"/>
      <c r="G806" s="92"/>
      <c r="H806" s="88"/>
      <c r="I806" s="311"/>
      <c r="J806" s="257"/>
      <c r="K806" s="202"/>
      <c r="L806" s="202"/>
      <c r="M806" s="202"/>
      <c r="N806" s="202"/>
      <c r="O806" s="202"/>
      <c r="P806" s="28"/>
      <c r="Q806" s="72">
        <f>IF(D798&lt;=3,база!$L$4,
IF(D798=4,база!$L$5,
IF(D798=5,база!$L$6)))</f>
        <v>210.57480000000001</v>
      </c>
      <c r="R806" s="250">
        <v>1.4</v>
      </c>
      <c r="S806" s="92">
        <f>SUMIFS(Таблица1[сумма],Таблица1[коэф],"1,4",Таблица1[р/р],"3/16",Таблица1[Ф. И. О.],B803)</f>
        <v>0</v>
      </c>
      <c r="T806" s="88">
        <f>ROUND(Q806*R806*S806,2)</f>
        <v>0</v>
      </c>
      <c r="U806" s="292">
        <f>IF(D798&lt;=3,база!$M$4,
IF(D798=4,база!$M$5,
IF(D798=5,база!$M$6)))</f>
        <v>225.09719999999999</v>
      </c>
      <c r="V806" s="250">
        <v>1.4</v>
      </c>
      <c r="W806" s="285">
        <f>SUMIFS(Таблица1[сумма],Таблица1[коэф],"1,4",Таблица1[р/р],"3/24",Таблица1[Ф. И. О.],B803)</f>
        <v>0</v>
      </c>
      <c r="X806" s="291">
        <f>ROUND(U806*V806*W806,2)</f>
        <v>0</v>
      </c>
      <c r="Y806" s="792"/>
      <c r="Z806" s="794"/>
      <c r="AA806" s="797"/>
    </row>
    <row r="807" spans="1:29">
      <c r="A807" s="740"/>
      <c r="B807" s="201"/>
      <c r="C807" s="799"/>
      <c r="D807" s="801"/>
      <c r="E807" s="72"/>
      <c r="F807" s="250"/>
      <c r="G807" s="92"/>
      <c r="H807" s="88"/>
      <c r="I807" s="311"/>
      <c r="J807" s="257"/>
      <c r="K807" s="202"/>
      <c r="L807" s="202"/>
      <c r="M807" s="202"/>
      <c r="N807" s="202"/>
      <c r="O807" s="202"/>
      <c r="P807" s="28"/>
      <c r="Q807" s="72">
        <f>база!$L$5</f>
        <v>231.45480000000001</v>
      </c>
      <c r="R807" s="250">
        <v>1.4</v>
      </c>
      <c r="S807" s="92">
        <f>SUMIFS(Таблица1[сумма],Таблица1[коэф],"1,4",Таблица1[р/р],"4/16",Таблица1[Ф. И. О.],B803)</f>
        <v>0</v>
      </c>
      <c r="T807" s="88">
        <f>ROUND(Q807*R807*S807,2)</f>
        <v>0</v>
      </c>
      <c r="U807" s="292">
        <f>база!$M$5</f>
        <v>247.41720000000001</v>
      </c>
      <c r="V807" s="250">
        <v>1.4</v>
      </c>
      <c r="W807" s="285">
        <f>SUMIFS(Таблица1[сумма],Таблица1[коэф],"1,4",Таблица1[р/р],"4/24",Таблица1[Ф. И. О.],B803)</f>
        <v>0</v>
      </c>
      <c r="X807" s="291">
        <f>ROUND(U807*V807*W807,2)</f>
        <v>0</v>
      </c>
      <c r="Y807" s="792"/>
      <c r="Z807" s="794"/>
      <c r="AA807" s="797"/>
    </row>
    <row r="808" spans="1:29" ht="24" thickBot="1">
      <c r="A808" s="741"/>
      <c r="B808" s="329"/>
      <c r="C808" s="800"/>
      <c r="D808" s="802"/>
      <c r="E808" s="70"/>
      <c r="F808" s="254"/>
      <c r="G808" s="593"/>
      <c r="H808" s="87"/>
      <c r="I808" s="594"/>
      <c r="J808" s="567"/>
      <c r="K808" s="595"/>
      <c r="L808" s="305"/>
      <c r="M808" s="594"/>
      <c r="N808" s="595"/>
      <c r="O808" s="595"/>
      <c r="P808" s="268"/>
      <c r="Q808" s="657">
        <f>база!$L$6</f>
        <v>261.04640000000001</v>
      </c>
      <c r="R808" s="254">
        <v>1.4</v>
      </c>
      <c r="S808" s="93">
        <f>SUMIFS(Таблица1[сумма],Таблица1[коэф],"1,4",Таблица1[р/р],"5/16",Таблица1[Ф. И. О.],B803)</f>
        <v>0</v>
      </c>
      <c r="T808" s="87">
        <f>ROUND(Q808*R808*S808,2)</f>
        <v>0</v>
      </c>
      <c r="U808" s="77">
        <f>база!$M$6</f>
        <v>279.0496</v>
      </c>
      <c r="V808" s="252">
        <v>1.4</v>
      </c>
      <c r="W808" s="93">
        <f>SUMIFS(Таблица1[сумма],Таблица1[коэф],"1,4",Таблица1[р/р],"5/24",Таблица1[Ф. И. О.],B803)</f>
        <v>0</v>
      </c>
      <c r="X808" s="87">
        <f>ROUND(U808*V808*W808,2)</f>
        <v>0</v>
      </c>
      <c r="Y808" s="793"/>
      <c r="Z808" s="795"/>
      <c r="AA808" s="798"/>
    </row>
    <row r="809" spans="1:29">
      <c r="A809" s="740">
        <v>74</v>
      </c>
      <c r="B809" s="201"/>
      <c r="C809" s="799">
        <f>INDEX(база!$E$2:$E$181, MATCH(B814,база!$B$2:$B$160,0))</f>
        <v>17302</v>
      </c>
      <c r="D809" s="801">
        <f>INDEX(база!$D$2:$D$189, MATCH(B814,база!$B$2:$B$160,0))</f>
        <v>3</v>
      </c>
      <c r="E809" s="68">
        <f>IF(D809&lt;=3,база!$I$4,
IF(D809=4,база!$I$5,
IF(D809=5,база!$I$6)))</f>
        <v>188.7912</v>
      </c>
      <c r="F809" s="249">
        <v>1</v>
      </c>
      <c r="G809" s="90">
        <f>SUMIFS(Таблица1[сумма],Таблица1[коэф],"1",Таблица1[р/р],"2/4",Таблица1[Ф. И. О.],B814)</f>
        <v>0</v>
      </c>
      <c r="H809" s="96">
        <f>ROUND(E809*F809*G809,2)</f>
        <v>0</v>
      </c>
      <c r="I809" s="321">
        <f>IF(D809&lt;=3,база!$J$4,
IF(D809=4,база!$J$5,
IF(D809=5,база!$J$6)))</f>
        <v>196.05240000000001</v>
      </c>
      <c r="J809" s="256">
        <v>1</v>
      </c>
      <c r="K809" s="287">
        <f>SUMIFS(Таблица1[сумма],Таблица1[коэф],"1",Таблица1[р/р],"2/8",Таблица1[Ф. И. О.],B814)</f>
        <v>0</v>
      </c>
      <c r="L809" s="287">
        <f>ROUND(I809*J809*K809,2)</f>
        <v>0</v>
      </c>
      <c r="M809" s="287"/>
      <c r="N809" s="287">
        <v>1</v>
      </c>
      <c r="O809" s="287">
        <f>SUMIFS(Data_Tech!$AM$3:$AM$67,Data_Tech!$E$3:$E$67,"1",Data_Tech!$G$3:$G$67,"3/12",Data_Tech!$F$3:$F$67,B814)</f>
        <v>0</v>
      </c>
      <c r="P809" s="260">
        <f>ROUND(M809*N809*O809,2)</f>
        <v>0</v>
      </c>
      <c r="Q809" s="68">
        <f>IF(D809&lt;=3,база!$L$4,
IF(D809=4,база!$L$5,
IF(D809=5,база!$L$6)))</f>
        <v>210.57480000000001</v>
      </c>
      <c r="R809" s="249">
        <v>1</v>
      </c>
      <c r="S809" s="90">
        <f>SUMIFS(Таблица1[сумма],Таблица1[коэф],"1",Таблица1[р/р],"3/16",Таблица1[Ф. И. О.],B814)</f>
        <v>0</v>
      </c>
      <c r="T809" s="96">
        <f t="shared" ref="T809:T813" si="502">ROUND(Q809*R809*S809,2)</f>
        <v>0</v>
      </c>
      <c r="U809" s="326">
        <f>IF(D809&lt;=3,база!$M$4,
IF(D809=4,база!$M$5,
IF(D809=5,база!$M$6)))</f>
        <v>225.09719999999999</v>
      </c>
      <c r="V809" s="249">
        <v>1</v>
      </c>
      <c r="W809" s="314">
        <f>SUMIFS(Таблица1[сумма],Таблица1[коэф],"1",Таблица1[р/р],"3/24",Таблица1[Ф. И. О.],B814)</f>
        <v>0</v>
      </c>
      <c r="X809" s="328">
        <f>ROUND(U809*V809*W809,2)</f>
        <v>0</v>
      </c>
      <c r="Y809" s="792">
        <f t="shared" ref="Y809" si="503">SUM(G809:G819,K809:K819,O809:O819,S809:S819,W809:W819)</f>
        <v>0</v>
      </c>
      <c r="Z809" s="794">
        <f t="shared" ref="Z809" si="504">IFERROR(SUM(H809:H819,L809:L819,T809:T819,X809:X819),"")</f>
        <v>0</v>
      </c>
      <c r="AA809" s="797"/>
    </row>
    <row r="810" spans="1:29">
      <c r="A810" s="740"/>
      <c r="B810" s="201"/>
      <c r="C810" s="799"/>
      <c r="D810" s="801"/>
      <c r="E810" s="72">
        <f>IF(D809&lt;=3,база!$I$4,
IF(D809=4,база!$I$5,
IF(D809=5,база!$I$6)))</f>
        <v>188.7912</v>
      </c>
      <c r="F810" s="250">
        <v>1</v>
      </c>
      <c r="G810" s="92">
        <f>SUMIFS(Таблица1[сумма],Таблица1[коэф],"1",Таблица1[р/р],"3/4",Таблица1[Ф. И. О.],B814)</f>
        <v>0</v>
      </c>
      <c r="H810" s="88">
        <f>ROUND(E810*F810*G810,2)</f>
        <v>0</v>
      </c>
      <c r="I810" s="311">
        <f>IF(D809&lt;=3,база!$J$4,
IF(D809=4,база!$J$5,
IF(D809=5,база!$J$6)))</f>
        <v>196.05240000000001</v>
      </c>
      <c r="J810" s="257">
        <v>1</v>
      </c>
      <c r="K810" s="202"/>
      <c r="L810" s="202">
        <f>ROUND(I810*J810*K810,2)</f>
        <v>0</v>
      </c>
      <c r="M810" s="202"/>
      <c r="N810" s="202">
        <v>1</v>
      </c>
      <c r="O810" s="202">
        <f>SUMIFS(Data_Tech!$AM$3:$AM$67,Data_Tech!$E$3:$E$67,"1",Data_Tech!$G$3:$G$67,"4/12",Data_Tech!$F$3:$F$67,B814)</f>
        <v>0</v>
      </c>
      <c r="P810" s="28">
        <f>ROUND(M810*O810,2)</f>
        <v>0</v>
      </c>
      <c r="Q810" s="72">
        <f>база!$L$5</f>
        <v>231.45480000000001</v>
      </c>
      <c r="R810" s="250">
        <v>1</v>
      </c>
      <c r="S810" s="92">
        <f>SUMIFS(Таблица1[сумма],Таблица1[коэф],"1",Таблица1[р/р],"4/16",Таблица1[Ф. И. О.],B814)</f>
        <v>0</v>
      </c>
      <c r="T810" s="88">
        <f t="shared" si="502"/>
        <v>0</v>
      </c>
      <c r="U810" s="292">
        <f>база!$M$5</f>
        <v>247.41720000000001</v>
      </c>
      <c r="V810" s="250">
        <v>1</v>
      </c>
      <c r="W810" s="285">
        <f>SUMIFS(Таблица1[сумма],Таблица1[коэф],"1",Таблица1[р/р],"4/24",Таблица1[Ф. И. О.],B814)</f>
        <v>0</v>
      </c>
      <c r="X810" s="291">
        <f t="shared" ref="X810" si="505">ROUND(U810*V810*W810,2)</f>
        <v>0</v>
      </c>
      <c r="Y810" s="792"/>
      <c r="Z810" s="794"/>
      <c r="AA810" s="797"/>
    </row>
    <row r="811" spans="1:29">
      <c r="A811" s="740"/>
      <c r="B811" s="201"/>
      <c r="C811" s="799"/>
      <c r="D811" s="801"/>
      <c r="E811" s="72"/>
      <c r="F811" s="250"/>
      <c r="G811" s="92"/>
      <c r="H811" s="88"/>
      <c r="I811" s="311"/>
      <c r="J811" s="257"/>
      <c r="K811" s="202"/>
      <c r="L811" s="202"/>
      <c r="M811" s="202"/>
      <c r="N811" s="202"/>
      <c r="O811" s="202"/>
      <c r="P811" s="28"/>
      <c r="Q811" s="72">
        <f>база!$L$6</f>
        <v>261.04640000000001</v>
      </c>
      <c r="R811" s="250">
        <v>1</v>
      </c>
      <c r="S811" s="92">
        <f>SUMIFS(Таблица1[сумма],Таблица1[коэф],"1",Таблица1[р/р],"5/16",Таблица1[Ф. И. О.],B814)</f>
        <v>0</v>
      </c>
      <c r="T811" s="88">
        <f t="shared" si="502"/>
        <v>0</v>
      </c>
      <c r="U811" s="292">
        <f>база!$M$6</f>
        <v>279.0496</v>
      </c>
      <c r="V811" s="250">
        <v>1</v>
      </c>
      <c r="W811" s="285">
        <f>SUMIFS(Таблица1[сумма],Таблица1[коэф],"1",Таблица1[р/р],"5/24",Таблица1[Ф. И. О.],B814)</f>
        <v>0</v>
      </c>
      <c r="X811" s="291">
        <f>ROUND(U811*V811*W811,2)</f>
        <v>0</v>
      </c>
      <c r="Y811" s="792"/>
      <c r="Z811" s="794"/>
      <c r="AA811" s="797"/>
    </row>
    <row r="812" spans="1:29">
      <c r="A812" s="740"/>
      <c r="B812" s="201"/>
      <c r="C812" s="799"/>
      <c r="D812" s="801"/>
      <c r="E812" s="72"/>
      <c r="F812" s="250"/>
      <c r="G812" s="92"/>
      <c r="H812" s="88"/>
      <c r="I812" s="311">
        <f>база!$J$5</f>
        <v>215.4924</v>
      </c>
      <c r="J812" s="257">
        <v>1.5</v>
      </c>
      <c r="K812" s="202">
        <f>SUMIFS(Таблица1[сумма],Таблица1[коэф],"1,5",Таблица1[р/р],"4/8",Таблица1[Ф. И. О.],B814)</f>
        <v>0</v>
      </c>
      <c r="L812" s="202">
        <f>ROUND(I812*J812*K812,2)</f>
        <v>0</v>
      </c>
      <c r="M812" s="202"/>
      <c r="N812" s="202"/>
      <c r="O812" s="202"/>
      <c r="P812" s="28"/>
      <c r="Q812" s="72">
        <f>IF(D809&lt;=3,база!$L$4,
IF(D809=4,база!$L$5,
IF(D809=5,база!$L$6)))</f>
        <v>210.57480000000001</v>
      </c>
      <c r="R812" s="250">
        <v>1.2</v>
      </c>
      <c r="S812" s="92">
        <f>SUMIFS(Таблица1[сумма],Таблица1[коэф],"1,2",Таблица1[р/р],"3/16",Таблица1[Ф. И. О.],B814)</f>
        <v>0</v>
      </c>
      <c r="T812" s="88">
        <f t="shared" si="502"/>
        <v>0</v>
      </c>
      <c r="U812" s="292">
        <f>IF(D809&lt;=3,база!$M$4,
IF(D809=4,база!$M$5,
IF(D809=5,база!$M$6)))</f>
        <v>225.09719999999999</v>
      </c>
      <c r="V812" s="250">
        <v>1.2</v>
      </c>
      <c r="W812" s="285">
        <f>SUMIFS(Таблица1[сумма],Таблица1[коэф],"1,2",Таблица1[р/р],"3/24",Таблица1[Ф. И. О.],B814)</f>
        <v>0</v>
      </c>
      <c r="X812" s="291">
        <f t="shared" ref="X812:X813" si="506">ROUND(U812*V812*W812,2)</f>
        <v>0</v>
      </c>
      <c r="Y812" s="792"/>
      <c r="Z812" s="794"/>
      <c r="AA812" s="797"/>
    </row>
    <row r="813" spans="1:29">
      <c r="A813" s="740"/>
      <c r="B813" s="201"/>
      <c r="C813" s="799"/>
      <c r="D813" s="801"/>
      <c r="E813" s="72"/>
      <c r="F813" s="250"/>
      <c r="G813" s="92"/>
      <c r="H813" s="88"/>
      <c r="I813" s="311">
        <f>база!$J$6</f>
        <v>243.04319999999998</v>
      </c>
      <c r="J813" s="257">
        <v>1.5</v>
      </c>
      <c r="K813" s="202">
        <f>SUMIFS(Таблица1[сумма],Таблица1[коэф],"1,5",Таблица1[р/р],"5/8",Таблица1[Ф. И. О.],B814)</f>
        <v>0</v>
      </c>
      <c r="L813" s="202">
        <f>ROUND(I813*J813*K813,2)</f>
        <v>0</v>
      </c>
      <c r="M813" s="202"/>
      <c r="N813" s="202"/>
      <c r="O813" s="202"/>
      <c r="P813" s="28"/>
      <c r="Q813" s="72">
        <f>база!$L$5</f>
        <v>231.45480000000001</v>
      </c>
      <c r="R813" s="250">
        <v>1.2</v>
      </c>
      <c r="S813" s="92">
        <f>SUMIFS(Таблица1[сумма],Таблица1[коэф],"1,2",Таблица1[р/р],"4/16",Таблица1[Ф. И. О.],B814)</f>
        <v>0</v>
      </c>
      <c r="T813" s="88">
        <f t="shared" si="502"/>
        <v>0</v>
      </c>
      <c r="U813" s="292">
        <f>база!$M$5</f>
        <v>247.41720000000001</v>
      </c>
      <c r="V813" s="250">
        <v>1.2</v>
      </c>
      <c r="W813" s="285">
        <f>SUMIFS(Таблица1[сумма],Таблица1[коэф],"1,2",Таблица1[р/р],"4/24",Таблица1[Ф. И. О.],B814)</f>
        <v>0</v>
      </c>
      <c r="X813" s="291">
        <f t="shared" si="506"/>
        <v>0</v>
      </c>
      <c r="Y813" s="792"/>
      <c r="Z813" s="794"/>
      <c r="AA813" s="797"/>
      <c r="AC813" s="688" t="str">
        <f>IF(SUMIFS(Таблица1[Столбец2],Таблица1[Ф. И. О.],B814)-Z809=0,"",SUMIFS(Таблица1[Столбец2],Таблица1[Ф. И. О.],B814)-Z809)</f>
        <v/>
      </c>
    </row>
    <row r="814" spans="1:29">
      <c r="A814" s="740"/>
      <c r="B814" s="201" t="str">
        <f>база!B75</f>
        <v>Черкасова Дарья Викторовна</v>
      </c>
      <c r="C814" s="799"/>
      <c r="D814" s="801"/>
      <c r="E814" s="72"/>
      <c r="F814" s="250"/>
      <c r="G814" s="92"/>
      <c r="H814" s="88"/>
      <c r="I814" s="311"/>
      <c r="J814" s="257"/>
      <c r="K814" s="202"/>
      <c r="L814" s="202"/>
      <c r="M814" s="202"/>
      <c r="N814" s="202"/>
      <c r="O814" s="202"/>
      <c r="P814" s="28"/>
      <c r="Q814" s="72">
        <f>база!$L$6</f>
        <v>261.04640000000001</v>
      </c>
      <c r="R814" s="250">
        <v>1.2</v>
      </c>
      <c r="S814" s="92">
        <f>SUMIFS(Таблица1[сумма],Таблица1[коэф],"1,2",Таблица1[р/р],"5/16",Таблица1[Ф. И. О.],B814)</f>
        <v>0</v>
      </c>
      <c r="T814" s="88">
        <f>ROUND(Q814*R814*S814,2)</f>
        <v>0</v>
      </c>
      <c r="U814" s="292">
        <f>база!$M$6</f>
        <v>279.0496</v>
      </c>
      <c r="V814" s="250">
        <v>1.2</v>
      </c>
      <c r="W814" s="285">
        <f>SUMIFS(Таблица1[сумма],Таблица1[коэф],"1,2",Таблица1[р/р],"5/24",Таблица1[Ф. И. О.],B814)</f>
        <v>0</v>
      </c>
      <c r="X814" s="291">
        <f>ROUND(U814*V814*W814,2)</f>
        <v>0</v>
      </c>
      <c r="Y814" s="792"/>
      <c r="Z814" s="794"/>
      <c r="AA814" s="797"/>
      <c r="AC814" s="688" t="str">
        <f>IF(SUMIFS(Таблица1[сумма],Таблица1[Ф. И. О.],B814)=Y809,"",B809&amp;"  часы не верны")</f>
        <v/>
      </c>
    </row>
    <row r="815" spans="1:29">
      <c r="A815" s="740"/>
      <c r="B815" s="201"/>
      <c r="C815" s="799"/>
      <c r="D815" s="801"/>
      <c r="E815" s="72"/>
      <c r="F815" s="250"/>
      <c r="G815" s="92"/>
      <c r="H815" s="88"/>
      <c r="I815" s="311"/>
      <c r="J815" s="257"/>
      <c r="K815" s="202"/>
      <c r="L815" s="202"/>
      <c r="M815" s="202"/>
      <c r="N815" s="202"/>
      <c r="O815" s="202"/>
      <c r="P815" s="28"/>
      <c r="Q815" s="72">
        <f>IF($D$6&lt;=3,база!$L$4,
IF($D$6=4,база!$L$5,
IF($D$6=5,база!$L$6)))</f>
        <v>231.45480000000001</v>
      </c>
      <c r="R815" s="250">
        <v>1.3</v>
      </c>
      <c r="S815" s="92">
        <f>SUMIFS(Таблица1[сумма],Таблица1[коэф],"1,3",Таблица1[р/р],"3/16",Таблица1[Ф. И. О.],B814)</f>
        <v>0</v>
      </c>
      <c r="T815" s="88">
        <f t="shared" ref="T815:T816" si="507">ROUND(Q815*R815*S815,2)</f>
        <v>0</v>
      </c>
      <c r="U815" s="292">
        <f>IF(D809&lt;=3,база!$M$4,
IF(D809=4,база!$M$5,
IF(D809=5,база!$M$6)))</f>
        <v>225.09719999999999</v>
      </c>
      <c r="V815" s="250">
        <v>1.3</v>
      </c>
      <c r="W815" s="285">
        <f>SUMIFS(Таблица1[сумма],Таблица1[коэф],"1,3",Таблица1[р/р],"3/24",Таблица1[Ф. И. О.],B814)</f>
        <v>0</v>
      </c>
      <c r="X815" s="291">
        <f t="shared" ref="X815:X816" si="508">ROUND(U815*V815*W815,2)</f>
        <v>0</v>
      </c>
      <c r="Y815" s="792"/>
      <c r="Z815" s="794"/>
      <c r="AA815" s="797"/>
    </row>
    <row r="816" spans="1:29">
      <c r="A816" s="740"/>
      <c r="B816" s="201"/>
      <c r="C816" s="799"/>
      <c r="D816" s="801"/>
      <c r="E816" s="72"/>
      <c r="F816" s="250"/>
      <c r="G816" s="92"/>
      <c r="H816" s="88"/>
      <c r="I816" s="311"/>
      <c r="J816" s="257"/>
      <c r="K816" s="202"/>
      <c r="L816" s="202"/>
      <c r="M816" s="202"/>
      <c r="N816" s="202"/>
      <c r="O816" s="202"/>
      <c r="P816" s="28"/>
      <c r="Q816" s="72">
        <f>база!$L$5</f>
        <v>231.45480000000001</v>
      </c>
      <c r="R816" s="250">
        <v>1.3</v>
      </c>
      <c r="S816" s="92">
        <f>SUMIFS(Таблица1[сумма],Таблица1[коэф],"1,3",Таблица1[р/р],"4/16",Таблица1[Ф. И. О.],B814)</f>
        <v>0</v>
      </c>
      <c r="T816" s="88">
        <f t="shared" si="507"/>
        <v>0</v>
      </c>
      <c r="U816" s="292">
        <f>база!$M$5</f>
        <v>247.41720000000001</v>
      </c>
      <c r="V816" s="250">
        <v>1.3</v>
      </c>
      <c r="W816" s="285">
        <f>SUMIFS(Таблица1[сумма],Таблица1[коэф],"1,3",Таблица1[р/р],"4/24",Таблица1[Ф. И. О.],B814)</f>
        <v>0</v>
      </c>
      <c r="X816" s="291">
        <f t="shared" si="508"/>
        <v>0</v>
      </c>
      <c r="Y816" s="792"/>
      <c r="Z816" s="794"/>
      <c r="AA816" s="797"/>
    </row>
    <row r="817" spans="1:29">
      <c r="A817" s="740"/>
      <c r="B817" s="201"/>
      <c r="C817" s="799"/>
      <c r="D817" s="801"/>
      <c r="E817" s="72"/>
      <c r="F817" s="250"/>
      <c r="G817" s="92"/>
      <c r="H817" s="88"/>
      <c r="I817" s="311"/>
      <c r="J817" s="257"/>
      <c r="K817" s="202"/>
      <c r="L817" s="202"/>
      <c r="M817" s="202"/>
      <c r="N817" s="202"/>
      <c r="O817" s="202"/>
      <c r="P817" s="28"/>
      <c r="Q817" s="72">
        <f>IF(D809&lt;=3,база!$L$4,
IF(D809=4,база!$L$5,
IF(D809=5,база!$L$6)))</f>
        <v>210.57480000000001</v>
      </c>
      <c r="R817" s="250">
        <v>1.4</v>
      </c>
      <c r="S817" s="92">
        <f>SUMIFS(Таблица1[сумма],Таблица1[коэф],"1,4",Таблица1[р/р],"3/16",Таблица1[Ф. И. О.],B814)</f>
        <v>0</v>
      </c>
      <c r="T817" s="88">
        <f>ROUND(Q817*R817*S817,2)</f>
        <v>0</v>
      </c>
      <c r="U817" s="292">
        <f>IF(D809&lt;=3,база!$M$4,
IF(D809=4,база!$M$5,
IF(D809=5,база!$M$6)))</f>
        <v>225.09719999999999</v>
      </c>
      <c r="V817" s="250">
        <v>1.4</v>
      </c>
      <c r="W817" s="285">
        <f>SUMIFS(Таблица1[сумма],Таблица1[коэф],"1,4",Таблица1[р/р],"3/24",Таблица1[Ф. И. О.],B814)</f>
        <v>0</v>
      </c>
      <c r="X817" s="291">
        <f>ROUND(U817*V817*W817,2)</f>
        <v>0</v>
      </c>
      <c r="Y817" s="792"/>
      <c r="Z817" s="794"/>
      <c r="AA817" s="797"/>
    </row>
    <row r="818" spans="1:29">
      <c r="A818" s="740"/>
      <c r="B818" s="201"/>
      <c r="C818" s="799"/>
      <c r="D818" s="801"/>
      <c r="E818" s="72"/>
      <c r="F818" s="250"/>
      <c r="G818" s="92"/>
      <c r="H818" s="88"/>
      <c r="I818" s="311"/>
      <c r="J818" s="257"/>
      <c r="K818" s="202"/>
      <c r="L818" s="202"/>
      <c r="M818" s="202"/>
      <c r="N818" s="202"/>
      <c r="O818" s="202"/>
      <c r="P818" s="28"/>
      <c r="Q818" s="72">
        <f>база!$L$5</f>
        <v>231.45480000000001</v>
      </c>
      <c r="R818" s="250">
        <v>1.4</v>
      </c>
      <c r="S818" s="92">
        <f>SUMIFS(Таблица1[сумма],Таблица1[коэф],"1,4",Таблица1[р/р],"4/16",Таблица1[Ф. И. О.],B814)</f>
        <v>0</v>
      </c>
      <c r="T818" s="88">
        <f>ROUND(Q818*R818*S818,2)</f>
        <v>0</v>
      </c>
      <c r="U818" s="292">
        <f>база!$M$5</f>
        <v>247.41720000000001</v>
      </c>
      <c r="V818" s="250">
        <v>1.4</v>
      </c>
      <c r="W818" s="285">
        <f>SUMIFS(Таблица1[сумма],Таблица1[коэф],"1,4",Таблица1[р/р],"4/24",Таблица1[Ф. И. О.],B814)</f>
        <v>0</v>
      </c>
      <c r="X818" s="291">
        <f>ROUND(U818*V818*W818,2)</f>
        <v>0</v>
      </c>
      <c r="Y818" s="792"/>
      <c r="Z818" s="794"/>
      <c r="AA818" s="797"/>
    </row>
    <row r="819" spans="1:29" ht="24" thickBot="1">
      <c r="A819" s="741"/>
      <c r="B819" s="329"/>
      <c r="C819" s="800"/>
      <c r="D819" s="802"/>
      <c r="E819" s="70"/>
      <c r="F819" s="254"/>
      <c r="G819" s="593"/>
      <c r="H819" s="87"/>
      <c r="I819" s="594"/>
      <c r="J819" s="567"/>
      <c r="K819" s="595"/>
      <c r="L819" s="305"/>
      <c r="M819" s="594"/>
      <c r="N819" s="595"/>
      <c r="O819" s="595"/>
      <c r="P819" s="268"/>
      <c r="Q819" s="657">
        <f>база!$L$6</f>
        <v>261.04640000000001</v>
      </c>
      <c r="R819" s="254">
        <v>1.4</v>
      </c>
      <c r="S819" s="93">
        <f>SUMIFS(Таблица1[сумма],Таблица1[коэф],"1,4",Таблица1[р/р],"5/16",Таблица1[Ф. И. О.],B814)</f>
        <v>0</v>
      </c>
      <c r="T819" s="87">
        <f>ROUND(Q819*R819*S819,2)</f>
        <v>0</v>
      </c>
      <c r="U819" s="77">
        <f>база!$M$6</f>
        <v>279.0496</v>
      </c>
      <c r="V819" s="252">
        <v>1.4</v>
      </c>
      <c r="W819" s="93">
        <f>SUMIFS(Таблица1[сумма],Таблица1[коэф],"1,4",Таблица1[р/р],"5/24",Таблица1[Ф. И. О.],B814)</f>
        <v>0</v>
      </c>
      <c r="X819" s="87">
        <f>ROUND(U819*V819*W819,2)</f>
        <v>0</v>
      </c>
      <c r="Y819" s="793"/>
      <c r="Z819" s="795"/>
      <c r="AA819" s="798"/>
    </row>
    <row r="820" spans="1:29" ht="18.75" customHeight="1">
      <c r="A820" s="739">
        <v>75</v>
      </c>
      <c r="B820" s="201"/>
      <c r="C820" s="570">
        <f>INDEX(база!$E$2:$E$181, MATCH(B825,база!$B$2:$B$160,0))</f>
        <v>15260</v>
      </c>
      <c r="D820" s="573">
        <f>INDEX(база!$D$2:$D$189, MATCH(B825,база!$B$2:$B$160,0))</f>
        <v>4</v>
      </c>
      <c r="E820" s="68">
        <f>IF(D820&lt;=3,база!$I$4,
IF(D820=4,база!$I$5,
IF(D820=5,база!$I$6)))</f>
        <v>207.5112</v>
      </c>
      <c r="F820" s="249">
        <v>1</v>
      </c>
      <c r="G820" s="90">
        <f>SUMIFS(Таблица1[сумма],Таблица1[коэф],"1",Таблица1[р/р],"2/4",Таблица1[Ф. И. О.],B825)</f>
        <v>0</v>
      </c>
      <c r="H820" s="96">
        <f>ROUND(E820*F820*G820,2)</f>
        <v>0</v>
      </c>
      <c r="I820" s="321">
        <f>IF(D820&lt;=3,база!$J$4,
IF(D820=4,база!$J$5,
IF(D820=5,база!$J$6)))</f>
        <v>215.4924</v>
      </c>
      <c r="J820" s="256">
        <v>1</v>
      </c>
      <c r="K820" s="287">
        <f>SUMIFS(Таблица1[сумма],Таблица1[коэф],"1",Таблица1[р/р],"2/8",Таблица1[Ф. И. О.],B825)</f>
        <v>0</v>
      </c>
      <c r="L820" s="287">
        <f>ROUND(I820*J820*K820,2)</f>
        <v>0</v>
      </c>
      <c r="M820" s="287"/>
      <c r="N820" s="287">
        <v>1</v>
      </c>
      <c r="O820" s="287">
        <f>SUMIFS(Data_Tech!$AM$3:$AM$67,Data_Tech!$E$3:$E$67,"1",Data_Tech!$G$3:$G$67,"3/12",Data_Tech!$F$3:$F$67,B825)</f>
        <v>0</v>
      </c>
      <c r="P820" s="260">
        <f>ROUND(M820*N820*O820,2)</f>
        <v>0</v>
      </c>
      <c r="Q820" s="68">
        <f>IF(D820&lt;=3,база!$L$4,
IF(D820=4,база!$L$5,
IF(D820=5,база!$L$6)))</f>
        <v>231.45480000000001</v>
      </c>
      <c r="R820" s="249">
        <v>1</v>
      </c>
      <c r="S820" s="90">
        <f>SUMIFS(Таблица1[сумма],Таблица1[коэф],"1",Таблица1[р/р],"3/16",Таблица1[Ф. И. О.],B825)</f>
        <v>0</v>
      </c>
      <c r="T820" s="96">
        <f t="shared" ref="T820:T824" si="509">ROUND(Q820*R820*S820,2)</f>
        <v>0</v>
      </c>
      <c r="U820" s="326">
        <f>IF(D820&lt;=3,база!$M$4,
IF(D820=4,база!$M$5,
IF(D820=5,база!$M$6)))</f>
        <v>247.41720000000001</v>
      </c>
      <c r="V820" s="249">
        <v>1</v>
      </c>
      <c r="W820" s="314">
        <f>SUMIFS(Таблица1[сумма],Таблица1[коэф],"1",Таблица1[р/р],"3/24",Таблица1[Ф. И. О.],B825)</f>
        <v>0</v>
      </c>
      <c r="X820" s="328">
        <f>ROUND(U820*V820*W820,2)</f>
        <v>0</v>
      </c>
      <c r="Y820" s="791">
        <f t="shared" ref="Y820" si="510">SUM(G820:G830,K820:K830,O820:O830,S820:S830,W820:W830)</f>
        <v>0</v>
      </c>
      <c r="Z820" s="794">
        <f t="shared" ref="Z820" si="511">IFERROR(SUM(H820:H830,L820:L830,T820:T830,X820:X830),"")</f>
        <v>0</v>
      </c>
      <c r="AA820" s="796"/>
    </row>
    <row r="821" spans="1:29" ht="18.75" customHeight="1">
      <c r="A821" s="740"/>
      <c r="B821" s="201"/>
      <c r="C821" s="570"/>
      <c r="D821" s="573"/>
      <c r="E821" s="72">
        <f>IF(D820&lt;=3,база!$I$4,
IF(D820=4,база!$I$5,
IF(D820=5,база!$I$6)))</f>
        <v>207.5112</v>
      </c>
      <c r="F821" s="250">
        <v>1</v>
      </c>
      <c r="G821" s="92">
        <f>SUMIFS(Таблица1[сумма],Таблица1[коэф],"1",Таблица1[р/р],"3/4",Таблица1[Ф. И. О.],B825)</f>
        <v>0</v>
      </c>
      <c r="H821" s="88">
        <f>ROUND(E821*F821*G821,2)</f>
        <v>0</v>
      </c>
      <c r="I821" s="311">
        <f>IF(D820&lt;=3,база!$J$4,
IF(D820=4,база!$J$5,
IF(D820=5,база!$J$6)))</f>
        <v>215.4924</v>
      </c>
      <c r="J821" s="257">
        <v>1</v>
      </c>
      <c r="K821" s="202"/>
      <c r="L821" s="202">
        <f>ROUND(I821*J821*K821,2)</f>
        <v>0</v>
      </c>
      <c r="M821" s="202"/>
      <c r="N821" s="202">
        <v>1</v>
      </c>
      <c r="O821" s="202">
        <f>SUMIFS(Data_Tech!$AM$3:$AM$67,Data_Tech!$E$3:$E$67,"1",Data_Tech!$G$3:$G$67,"4/12",Data_Tech!$F$3:$F$67,B825)</f>
        <v>0</v>
      </c>
      <c r="P821" s="28">
        <f>ROUND(M821*O821,2)</f>
        <v>0</v>
      </c>
      <c r="Q821" s="72">
        <f>база!$L$5</f>
        <v>231.45480000000001</v>
      </c>
      <c r="R821" s="250">
        <v>1</v>
      </c>
      <c r="S821" s="92">
        <f>SUMIFS(Таблица1[сумма],Таблица1[коэф],"1",Таблица1[р/р],"4/16",Таблица1[Ф. И. О.],B825)</f>
        <v>0</v>
      </c>
      <c r="T821" s="88">
        <f t="shared" si="509"/>
        <v>0</v>
      </c>
      <c r="U821" s="292">
        <f>база!$M$5</f>
        <v>247.41720000000001</v>
      </c>
      <c r="V821" s="250">
        <v>1</v>
      </c>
      <c r="W821" s="285">
        <f>SUMIFS(Таблица1[сумма],Таблица1[коэф],"1",Таблица1[р/р],"4/24",Таблица1[Ф. И. О.],B825)</f>
        <v>0</v>
      </c>
      <c r="X821" s="291">
        <f t="shared" ref="X821" si="512">ROUND(U821*V821*W821,2)</f>
        <v>0</v>
      </c>
      <c r="Y821" s="792"/>
      <c r="Z821" s="794"/>
      <c r="AA821" s="797"/>
    </row>
    <row r="822" spans="1:29" ht="18.75" customHeight="1">
      <c r="A822" s="740"/>
      <c r="B822" s="201"/>
      <c r="C822" s="570"/>
      <c r="D822" s="573"/>
      <c r="E822" s="72"/>
      <c r="F822" s="250"/>
      <c r="G822" s="92"/>
      <c r="H822" s="88"/>
      <c r="I822" s="311"/>
      <c r="J822" s="257"/>
      <c r="K822" s="202"/>
      <c r="L822" s="202"/>
      <c r="M822" s="202"/>
      <c r="N822" s="202"/>
      <c r="O822" s="202"/>
      <c r="P822" s="28"/>
      <c r="Q822" s="72">
        <f>база!$L$6</f>
        <v>261.04640000000001</v>
      </c>
      <c r="R822" s="250">
        <v>1</v>
      </c>
      <c r="S822" s="92">
        <f>SUMIFS(Таблица1[сумма],Таблица1[коэф],"1",Таблица1[р/р],"5/16",Таблица1[Ф. И. О.],B825)</f>
        <v>0</v>
      </c>
      <c r="T822" s="88">
        <f t="shared" si="509"/>
        <v>0</v>
      </c>
      <c r="U822" s="292">
        <f>база!$M$6</f>
        <v>279.0496</v>
      </c>
      <c r="V822" s="250">
        <v>1</v>
      </c>
      <c r="W822" s="285">
        <f>SUMIFS(Таблица1[сумма],Таблица1[коэф],"1",Таблица1[р/р],"5/24",Таблица1[Ф. И. О.],B825)</f>
        <v>0</v>
      </c>
      <c r="X822" s="291">
        <f>ROUND(U822*V822*W822,2)</f>
        <v>0</v>
      </c>
      <c r="Y822" s="792"/>
      <c r="Z822" s="794"/>
      <c r="AA822" s="797"/>
    </row>
    <row r="823" spans="1:29" ht="18.75" customHeight="1">
      <c r="A823" s="740"/>
      <c r="B823" s="201"/>
      <c r="C823" s="570"/>
      <c r="D823" s="573"/>
      <c r="E823" s="72"/>
      <c r="F823" s="250"/>
      <c r="G823" s="92"/>
      <c r="H823" s="88"/>
      <c r="I823" s="311">
        <f>база!$J$5</f>
        <v>215.4924</v>
      </c>
      <c r="J823" s="257">
        <v>1.5</v>
      </c>
      <c r="K823" s="202">
        <f>SUMIFS(Таблица1[сумма],Таблица1[коэф],"1,5",Таблица1[р/р],"4/8",Таблица1[Ф. И. О.],B825)</f>
        <v>0</v>
      </c>
      <c r="L823" s="202">
        <f>ROUND(I823*J823*K823,2)</f>
        <v>0</v>
      </c>
      <c r="M823" s="202"/>
      <c r="N823" s="202"/>
      <c r="O823" s="202"/>
      <c r="P823" s="28"/>
      <c r="Q823" s="72">
        <f>IF(D820&lt;=3,база!$L$4,
IF(D820=4,база!$L$5,
IF(D820=5,база!$L$6)))</f>
        <v>231.45480000000001</v>
      </c>
      <c r="R823" s="250">
        <v>1.2</v>
      </c>
      <c r="S823" s="92">
        <f>SUMIFS(Таблица1[сумма],Таблица1[коэф],"1,2",Таблица1[р/р],"3/16",Таблица1[Ф. И. О.],B825)</f>
        <v>0</v>
      </c>
      <c r="T823" s="88">
        <f t="shared" si="509"/>
        <v>0</v>
      </c>
      <c r="U823" s="292">
        <f>IF(D820&lt;=3,база!$M$4,
IF(D820=4,база!$M$5,
IF(D820=5,база!$M$6)))</f>
        <v>247.41720000000001</v>
      </c>
      <c r="V823" s="250">
        <v>1.2</v>
      </c>
      <c r="W823" s="285">
        <f>SUMIFS(Таблица1[сумма],Таблица1[коэф],"1,2",Таблица1[р/р],"3/24",Таблица1[Ф. И. О.],B825)</f>
        <v>0</v>
      </c>
      <c r="X823" s="291">
        <f t="shared" ref="X823:X824" si="513">ROUND(U823*V823*W823,2)</f>
        <v>0</v>
      </c>
      <c r="Y823" s="792"/>
      <c r="Z823" s="794"/>
      <c r="AA823" s="797"/>
    </row>
    <row r="824" spans="1:29" ht="18.75" customHeight="1">
      <c r="A824" s="740"/>
      <c r="B824" s="201"/>
      <c r="C824" s="570"/>
      <c r="D824" s="573"/>
      <c r="E824" s="72"/>
      <c r="F824" s="250"/>
      <c r="G824" s="92"/>
      <c r="H824" s="88"/>
      <c r="I824" s="311">
        <f>база!$J$6</f>
        <v>243.04319999999998</v>
      </c>
      <c r="J824" s="257">
        <v>1.5</v>
      </c>
      <c r="K824" s="202">
        <f>SUMIFS(Таблица1[сумма],Таблица1[коэф],"1,5",Таблица1[р/р],"5/8",Таблица1[Ф. И. О.],B825)</f>
        <v>0</v>
      </c>
      <c r="L824" s="202">
        <f>ROUND(I824*J824*K824,2)</f>
        <v>0</v>
      </c>
      <c r="M824" s="202"/>
      <c r="N824" s="202"/>
      <c r="O824" s="202"/>
      <c r="P824" s="28"/>
      <c r="Q824" s="72">
        <f>база!$L$5</f>
        <v>231.45480000000001</v>
      </c>
      <c r="R824" s="250">
        <v>1.2</v>
      </c>
      <c r="S824" s="92">
        <f>SUMIFS(Таблица1[сумма],Таблица1[коэф],"1,2",Таблица1[р/р],"4/16",Таблица1[Ф. И. О.],B825)</f>
        <v>0</v>
      </c>
      <c r="T824" s="88">
        <f t="shared" si="509"/>
        <v>0</v>
      </c>
      <c r="U824" s="292">
        <f>база!$M$5</f>
        <v>247.41720000000001</v>
      </c>
      <c r="V824" s="250">
        <v>1.2</v>
      </c>
      <c r="W824" s="285">
        <f>SUMIFS(Таблица1[сумма],Таблица1[коэф],"1,2",Таблица1[р/р],"4/24",Таблица1[Ф. И. О.],B825)</f>
        <v>0</v>
      </c>
      <c r="X824" s="291">
        <f t="shared" si="513"/>
        <v>0</v>
      </c>
      <c r="Y824" s="792"/>
      <c r="Z824" s="794"/>
      <c r="AA824" s="797"/>
      <c r="AC824" s="688" t="str">
        <f>IF(SUMIFS(Таблица1[Столбец2],Таблица1[Ф. И. О.],B825)-Z820=0,"",SUMIFS(Таблица1[Столбец2],Таблица1[Ф. И. О.],B825)-Z820)</f>
        <v/>
      </c>
    </row>
    <row r="825" spans="1:29" ht="18.75" customHeight="1">
      <c r="A825" s="740"/>
      <c r="B825" s="201" t="str">
        <f>база!B76</f>
        <v>Шамарина Светлана Владимировна</v>
      </c>
      <c r="C825" s="570"/>
      <c r="D825" s="573"/>
      <c r="E825" s="72"/>
      <c r="F825" s="250"/>
      <c r="G825" s="92"/>
      <c r="H825" s="88"/>
      <c r="I825" s="311"/>
      <c r="J825" s="257"/>
      <c r="K825" s="202"/>
      <c r="L825" s="202"/>
      <c r="M825" s="202"/>
      <c r="N825" s="202"/>
      <c r="O825" s="202"/>
      <c r="P825" s="28"/>
      <c r="Q825" s="72">
        <f>база!$L$6</f>
        <v>261.04640000000001</v>
      </c>
      <c r="R825" s="250">
        <v>1.2</v>
      </c>
      <c r="S825" s="92">
        <f>SUMIFS(Таблица1[сумма],Таблица1[коэф],"1,2",Таблица1[р/р],"5/16",Таблица1[Ф. И. О.],B825)</f>
        <v>0</v>
      </c>
      <c r="T825" s="88">
        <f>ROUND(Q825*R825*S825,2)</f>
        <v>0</v>
      </c>
      <c r="U825" s="292">
        <f>база!$M$6</f>
        <v>279.0496</v>
      </c>
      <c r="V825" s="250">
        <v>1.2</v>
      </c>
      <c r="W825" s="285">
        <f>SUMIFS(Таблица1[сумма],Таблица1[коэф],"1,2",Таблица1[р/р],"5/24",Таблица1[Ф. И. О.],B825)</f>
        <v>0</v>
      </c>
      <c r="X825" s="291">
        <f>ROUND(U825*V825*W825,2)</f>
        <v>0</v>
      </c>
      <c r="Y825" s="792"/>
      <c r="Z825" s="794"/>
      <c r="AA825" s="797"/>
      <c r="AC825" s="688" t="str">
        <f>IF(SUMIFS(Таблица1[сумма],Таблица1[Ф. И. О.],B825)=Y820,"",B820&amp;"  часы не верны")</f>
        <v/>
      </c>
    </row>
    <row r="826" spans="1:29" ht="18.75" customHeight="1">
      <c r="A826" s="740"/>
      <c r="B826" s="201"/>
      <c r="C826" s="570"/>
      <c r="D826" s="573"/>
      <c r="E826" s="72"/>
      <c r="F826" s="250"/>
      <c r="G826" s="92"/>
      <c r="H826" s="88"/>
      <c r="I826" s="311"/>
      <c r="J826" s="257"/>
      <c r="K826" s="202"/>
      <c r="L826" s="202"/>
      <c r="M826" s="202"/>
      <c r="N826" s="202"/>
      <c r="O826" s="202"/>
      <c r="P826" s="28"/>
      <c r="Q826" s="72">
        <f>IF($D$6&lt;=3,база!$L$4,
IF($D$6=4,база!$L$5,
IF($D$6=5,база!$L$6)))</f>
        <v>231.45480000000001</v>
      </c>
      <c r="R826" s="250">
        <v>1.3</v>
      </c>
      <c r="S826" s="92">
        <f>SUMIFS(Таблица1[сумма],Таблица1[коэф],"1,3",Таблица1[р/р],"3/16",Таблица1[Ф. И. О.],B825)</f>
        <v>0</v>
      </c>
      <c r="T826" s="88">
        <f t="shared" ref="T826:T827" si="514">ROUND(Q826*R826*S826,2)</f>
        <v>0</v>
      </c>
      <c r="U826" s="292">
        <f>IF(D820&lt;=3,база!$M$4,
IF(D820=4,база!$M$5,
IF(D820=5,база!$M$6)))</f>
        <v>247.41720000000001</v>
      </c>
      <c r="V826" s="250">
        <v>1.3</v>
      </c>
      <c r="W826" s="285">
        <f>SUMIFS(Таблица1[сумма],Таблица1[коэф],"1,3",Таблица1[р/р],"3/24",Таблица1[Ф. И. О.],B825)</f>
        <v>0</v>
      </c>
      <c r="X826" s="291">
        <f t="shared" ref="X826:X827" si="515">ROUND(U826*V826*W826,2)</f>
        <v>0</v>
      </c>
      <c r="Y826" s="792"/>
      <c r="Z826" s="794"/>
      <c r="AA826" s="797"/>
    </row>
    <row r="827" spans="1:29" ht="18.75" customHeight="1">
      <c r="A827" s="740"/>
      <c r="B827" s="201"/>
      <c r="C827" s="570"/>
      <c r="D827" s="573"/>
      <c r="E827" s="72"/>
      <c r="F827" s="250"/>
      <c r="G827" s="92"/>
      <c r="H827" s="88"/>
      <c r="I827" s="311"/>
      <c r="J827" s="257"/>
      <c r="K827" s="202"/>
      <c r="L827" s="202"/>
      <c r="M827" s="202"/>
      <c r="N827" s="202"/>
      <c r="O827" s="202"/>
      <c r="P827" s="28"/>
      <c r="Q827" s="72">
        <f>база!$L$5</f>
        <v>231.45480000000001</v>
      </c>
      <c r="R827" s="250">
        <v>1.3</v>
      </c>
      <c r="S827" s="92">
        <f>SUMIFS(Таблица1[сумма],Таблица1[коэф],"1,3",Таблица1[р/р],"4/16",Таблица1[Ф. И. О.],B825)</f>
        <v>0</v>
      </c>
      <c r="T827" s="88">
        <f t="shared" si="514"/>
        <v>0</v>
      </c>
      <c r="U827" s="292">
        <f>база!$M$5</f>
        <v>247.41720000000001</v>
      </c>
      <c r="V827" s="250">
        <v>1.3</v>
      </c>
      <c r="W827" s="285">
        <f>SUMIFS(Таблица1[сумма],Таблица1[коэф],"1,3",Таблица1[р/р],"4/24",Таблица1[Ф. И. О.],B825)</f>
        <v>0</v>
      </c>
      <c r="X827" s="291">
        <f t="shared" si="515"/>
        <v>0</v>
      </c>
      <c r="Y827" s="792"/>
      <c r="Z827" s="794"/>
      <c r="AA827" s="797"/>
    </row>
    <row r="828" spans="1:29" ht="18.75" customHeight="1">
      <c r="A828" s="740"/>
      <c r="B828" s="201"/>
      <c r="C828" s="570"/>
      <c r="D828" s="573"/>
      <c r="E828" s="72"/>
      <c r="F828" s="250"/>
      <c r="G828" s="92"/>
      <c r="H828" s="88"/>
      <c r="I828" s="311"/>
      <c r="J828" s="257"/>
      <c r="K828" s="202"/>
      <c r="L828" s="202"/>
      <c r="M828" s="202"/>
      <c r="N828" s="202"/>
      <c r="O828" s="202"/>
      <c r="P828" s="28"/>
      <c r="Q828" s="72">
        <f>IF(D820&lt;=3,база!$L$4,
IF(D820=4,база!$L$5,
IF(D820=5,база!$L$6)))</f>
        <v>231.45480000000001</v>
      </c>
      <c r="R828" s="250">
        <v>1.4</v>
      </c>
      <c r="S828" s="92">
        <f>SUMIFS(Таблица1[сумма],Таблица1[коэф],"1,4",Таблица1[р/р],"3/16",Таблица1[Ф. И. О.],B825)</f>
        <v>0</v>
      </c>
      <c r="T828" s="88">
        <f>ROUND(Q828*R828*S828,2)</f>
        <v>0</v>
      </c>
      <c r="U828" s="292">
        <f>IF(D820&lt;=3,база!$M$4,
IF(D820=4,база!$M$5,
IF(D820=5,база!$M$6)))</f>
        <v>247.41720000000001</v>
      </c>
      <c r="V828" s="250">
        <v>1.4</v>
      </c>
      <c r="W828" s="285">
        <f>SUMIFS(Таблица1[сумма],Таблица1[коэф],"1,4",Таблица1[р/р],"3/24",Таблица1[Ф. И. О.],B825)</f>
        <v>0</v>
      </c>
      <c r="X828" s="291">
        <f>ROUND(U828*V828*W828,2)</f>
        <v>0</v>
      </c>
      <c r="Y828" s="792"/>
      <c r="Z828" s="794"/>
      <c r="AA828" s="797"/>
    </row>
    <row r="829" spans="1:29" ht="18.75" customHeight="1">
      <c r="A829" s="740"/>
      <c r="B829" s="201"/>
      <c r="C829" s="570"/>
      <c r="D829" s="573"/>
      <c r="E829" s="72"/>
      <c r="F829" s="250"/>
      <c r="G829" s="92"/>
      <c r="H829" s="88"/>
      <c r="I829" s="311"/>
      <c r="J829" s="257"/>
      <c r="K829" s="202"/>
      <c r="L829" s="202"/>
      <c r="M829" s="202"/>
      <c r="N829" s="202"/>
      <c r="O829" s="202"/>
      <c r="P829" s="28"/>
      <c r="Q829" s="72">
        <f>база!$L$5</f>
        <v>231.45480000000001</v>
      </c>
      <c r="R829" s="250">
        <v>1.4</v>
      </c>
      <c r="S829" s="92">
        <f>SUMIFS(Таблица1[сумма],Таблица1[коэф],"1,4",Таблица1[р/р],"4/16",Таблица1[Ф. И. О.],B825)</f>
        <v>0</v>
      </c>
      <c r="T829" s="88">
        <f>ROUND(Q829*R829*S829,2)</f>
        <v>0</v>
      </c>
      <c r="U829" s="292">
        <f>база!$M$5</f>
        <v>247.41720000000001</v>
      </c>
      <c r="V829" s="250">
        <v>1.4</v>
      </c>
      <c r="W829" s="285">
        <f>SUMIFS(Таблица1[сумма],Таблица1[коэф],"1,4",Таблица1[р/р],"4/24",Таблица1[Ф. И. О.],B825)</f>
        <v>0</v>
      </c>
      <c r="X829" s="291">
        <f>ROUND(U829*V829*W829,2)</f>
        <v>0</v>
      </c>
      <c r="Y829" s="792"/>
      <c r="Z829" s="794"/>
      <c r="AA829" s="797"/>
    </row>
    <row r="830" spans="1:29" ht="19.5" customHeight="1" thickBot="1">
      <c r="A830" s="741"/>
      <c r="B830" s="329"/>
      <c r="C830" s="571"/>
      <c r="D830" s="574"/>
      <c r="E830" s="95"/>
      <c r="F830" s="252"/>
      <c r="G830" s="597"/>
      <c r="H830" s="84"/>
      <c r="I830" s="598"/>
      <c r="J830" s="258"/>
      <c r="K830" s="599"/>
      <c r="L830" s="267"/>
      <c r="M830" s="598"/>
      <c r="N830" s="599"/>
      <c r="O830" s="599"/>
      <c r="P830" s="293"/>
      <c r="Q830" s="600">
        <f>база!$L$6</f>
        <v>261.04640000000001</v>
      </c>
      <c r="R830" s="252">
        <v>1.4</v>
      </c>
      <c r="S830" s="91">
        <f>SUMIFS(Таблица1[сумма],Таблица1[коэф],"1,4",Таблица1[р/р],"5/16",Таблица1[Ф. И. О.],B825)</f>
        <v>0</v>
      </c>
      <c r="T830" s="84">
        <f>ROUND(Q830*R830*S830,2)</f>
        <v>0</v>
      </c>
      <c r="U830" s="206">
        <f>база!$M$6</f>
        <v>279.0496</v>
      </c>
      <c r="V830" s="252">
        <v>1.4</v>
      </c>
      <c r="W830" s="91">
        <f>SUMIFS(Таблица1[сумма],Таблица1[коэф],"1,4",Таблица1[р/р],"5/24",Таблица1[Ф. И. О.],B825)</f>
        <v>0</v>
      </c>
      <c r="X830" s="84">
        <f>ROUND(U830*V830*W830,2)</f>
        <v>0</v>
      </c>
      <c r="Y830" s="793"/>
      <c r="Z830" s="795"/>
      <c r="AA830" s="798"/>
    </row>
    <row r="831" spans="1:29" ht="18.75" customHeight="1">
      <c r="A831" s="739">
        <v>76</v>
      </c>
      <c r="B831" s="201"/>
      <c r="C831" s="570">
        <f>INDEX(база!$E$2:$E$181, MATCH(B836,база!$B$2:$B$160,0))</f>
        <v>17079</v>
      </c>
      <c r="D831" s="573">
        <f>INDEX(база!$D$2:$D$189, MATCH(B836,база!$B$2:$B$160,0))</f>
        <v>3</v>
      </c>
      <c r="E831" s="68">
        <f>IF(D831&lt;=3,база!$I$4,
IF(D831=4,база!$I$5,
IF(D831=5,база!$I$6)))</f>
        <v>188.7912</v>
      </c>
      <c r="F831" s="249">
        <v>1</v>
      </c>
      <c r="G831" s="90">
        <f>SUMIFS(Таблица1[сумма],Таблица1[коэф],"1",Таблица1[р/р],"2/4",Таблица1[Ф. И. О.],B836)</f>
        <v>0</v>
      </c>
      <c r="H831" s="96">
        <f>ROUND(E831*F831*G831,2)</f>
        <v>0</v>
      </c>
      <c r="I831" s="321">
        <f>IF(D831&lt;=3,база!$J$4,
IF(D831=4,база!$J$5,
IF(D831=5,база!$J$6)))</f>
        <v>196.05240000000001</v>
      </c>
      <c r="J831" s="256">
        <v>1</v>
      </c>
      <c r="K831" s="287">
        <f>SUMIFS(Таблица1[сумма],Таблица1[коэф],"1",Таблица1[р/р],"2/8",Таблица1[Ф. И. О.],B836)</f>
        <v>0</v>
      </c>
      <c r="L831" s="287">
        <f>ROUND(I831*J831*K831,2)</f>
        <v>0</v>
      </c>
      <c r="M831" s="287"/>
      <c r="N831" s="287">
        <v>1</v>
      </c>
      <c r="O831" s="287">
        <f>SUMIFS(Data_Tech!$AM$3:$AM$67,Data_Tech!$E$3:$E$67,"1",Data_Tech!$G$3:$G$67,"3/12",Data_Tech!$F$3:$F$67,B836)</f>
        <v>0</v>
      </c>
      <c r="P831" s="260">
        <f>ROUND(M831*N831*O831,2)</f>
        <v>0</v>
      </c>
      <c r="Q831" s="68">
        <f>IF(D831&lt;=3,база!$L$4,
IF(D831=4,база!$L$5,
IF(D831=5,база!$L$6)))</f>
        <v>210.57480000000001</v>
      </c>
      <c r="R831" s="249">
        <v>1</v>
      </c>
      <c r="S831" s="90">
        <f>SUMIFS(Таблица1[сумма],Таблица1[коэф],"1",Таблица1[р/р],"3/16",Таблица1[Ф. И. О.],B836)</f>
        <v>0</v>
      </c>
      <c r="T831" s="96">
        <f t="shared" ref="T831:T835" si="516">ROUND(Q831*R831*S831,2)</f>
        <v>0</v>
      </c>
      <c r="U831" s="326">
        <f>IF(D831&lt;=3,база!$M$4,
IF(D831=4,база!$M$5,
IF(D831=5,база!$M$6)))</f>
        <v>225.09719999999999</v>
      </c>
      <c r="V831" s="249">
        <v>1</v>
      </c>
      <c r="W831" s="314">
        <f>SUMIFS(Таблица1[сумма],Таблица1[коэф],"1",Таблица1[р/р],"3/24",Таблица1[Ф. И. О.],B836)</f>
        <v>0</v>
      </c>
      <c r="X831" s="328">
        <f>ROUND(U831*V831*W831,2)</f>
        <v>0</v>
      </c>
      <c r="Y831" s="791">
        <f t="shared" ref="Y831" si="517">SUM(G831:G841,K831:K841,O831:O841,S831:S841,W831:W841)</f>
        <v>0</v>
      </c>
      <c r="Z831" s="794">
        <f t="shared" ref="Z831" si="518">IFERROR(SUM(H831:H841,L831:L841,T831:T841,X831:X841),"")</f>
        <v>0</v>
      </c>
      <c r="AA831" s="796"/>
    </row>
    <row r="832" spans="1:29" ht="18.75" customHeight="1">
      <c r="A832" s="740"/>
      <c r="B832" s="201"/>
      <c r="C832" s="570"/>
      <c r="D832" s="573"/>
      <c r="E832" s="72">
        <f>IF(D831&lt;=3,база!$I$4,
IF(D831=4,база!$I$5,
IF(D831=5,база!$I$6)))</f>
        <v>188.7912</v>
      </c>
      <c r="F832" s="250">
        <v>1</v>
      </c>
      <c r="G832" s="92">
        <f>SUMIFS(Таблица1[сумма],Таблица1[коэф],"1",Таблица1[р/р],"3/4",Таблица1[Ф. И. О.],B836)</f>
        <v>0</v>
      </c>
      <c r="H832" s="88">
        <f>ROUND(E832*F832*G832,2)</f>
        <v>0</v>
      </c>
      <c r="I832" s="311">
        <f>IF(D831&lt;=3,база!$J$4,
IF(D831=4,база!$J$5,
IF(D831=5,база!$J$6)))</f>
        <v>196.05240000000001</v>
      </c>
      <c r="J832" s="257">
        <v>1</v>
      </c>
      <c r="K832" s="202"/>
      <c r="L832" s="202">
        <f>ROUND(I832*J832*K832,2)</f>
        <v>0</v>
      </c>
      <c r="M832" s="202"/>
      <c r="N832" s="202">
        <v>1</v>
      </c>
      <c r="O832" s="202">
        <f>SUMIFS(Data_Tech!$AM$3:$AM$67,Data_Tech!$E$3:$E$67,"1",Data_Tech!$G$3:$G$67,"4/12",Data_Tech!$F$3:$F$67,B836)</f>
        <v>0</v>
      </c>
      <c r="P832" s="28">
        <f>ROUND(M832*O832,2)</f>
        <v>0</v>
      </c>
      <c r="Q832" s="72">
        <f>база!$L$5</f>
        <v>231.45480000000001</v>
      </c>
      <c r="R832" s="250">
        <v>1</v>
      </c>
      <c r="S832" s="92">
        <f>SUMIFS(Таблица1[сумма],Таблица1[коэф],"1",Таблица1[р/р],"4/16",Таблица1[Ф. И. О.],B836)</f>
        <v>0</v>
      </c>
      <c r="T832" s="88">
        <f t="shared" si="516"/>
        <v>0</v>
      </c>
      <c r="U832" s="292">
        <f>база!$M$5</f>
        <v>247.41720000000001</v>
      </c>
      <c r="V832" s="250">
        <v>1</v>
      </c>
      <c r="W832" s="285">
        <f>SUMIFS(Таблица1[сумма],Таблица1[коэф],"1",Таблица1[р/р],"4/24",Таблица1[Ф. И. О.],B836)</f>
        <v>0</v>
      </c>
      <c r="X832" s="291">
        <f t="shared" ref="X832" si="519">ROUND(U832*V832*W832,2)</f>
        <v>0</v>
      </c>
      <c r="Y832" s="792"/>
      <c r="Z832" s="794"/>
      <c r="AA832" s="797"/>
    </row>
    <row r="833" spans="1:29" ht="18.75" customHeight="1">
      <c r="A833" s="740"/>
      <c r="B833" s="201"/>
      <c r="C833" s="570"/>
      <c r="D833" s="573"/>
      <c r="E833" s="72"/>
      <c r="F833" s="250"/>
      <c r="G833" s="92"/>
      <c r="H833" s="88"/>
      <c r="I833" s="311"/>
      <c r="J833" s="257"/>
      <c r="K833" s="202"/>
      <c r="L833" s="202"/>
      <c r="M833" s="202"/>
      <c r="N833" s="202"/>
      <c r="O833" s="202"/>
      <c r="P833" s="28"/>
      <c r="Q833" s="72">
        <f>база!$L$6</f>
        <v>261.04640000000001</v>
      </c>
      <c r="R833" s="250">
        <v>1</v>
      </c>
      <c r="S833" s="92">
        <f>SUMIFS(Таблица1[сумма],Таблица1[коэф],"1",Таблица1[р/р],"5/16",Таблица1[Ф. И. О.],B836)</f>
        <v>0</v>
      </c>
      <c r="T833" s="88">
        <f t="shared" si="516"/>
        <v>0</v>
      </c>
      <c r="U833" s="292">
        <f>база!$M$6</f>
        <v>279.0496</v>
      </c>
      <c r="V833" s="250">
        <v>1</v>
      </c>
      <c r="W833" s="285">
        <f>SUMIFS(Таблица1[сумма],Таблица1[коэф],"1",Таблица1[р/р],"5/24",Таблица1[Ф. И. О.],B836)</f>
        <v>0</v>
      </c>
      <c r="X833" s="291">
        <f>ROUND(U833*V833*W833,2)</f>
        <v>0</v>
      </c>
      <c r="Y833" s="792"/>
      <c r="Z833" s="794"/>
      <c r="AA833" s="797"/>
    </row>
    <row r="834" spans="1:29" ht="18.75" customHeight="1">
      <c r="A834" s="740"/>
      <c r="B834" s="201"/>
      <c r="C834" s="570"/>
      <c r="D834" s="573"/>
      <c r="E834" s="72"/>
      <c r="F834" s="250"/>
      <c r="G834" s="92"/>
      <c r="H834" s="88"/>
      <c r="I834" s="311">
        <f>база!$J$5</f>
        <v>215.4924</v>
      </c>
      <c r="J834" s="257">
        <v>1.5</v>
      </c>
      <c r="K834" s="202">
        <f>SUMIFS(Таблица1[сумма],Таблица1[коэф],"1,5",Таблица1[р/р],"4/8",Таблица1[Ф. И. О.],B836)</f>
        <v>0</v>
      </c>
      <c r="L834" s="202">
        <f>ROUND(I834*J834*K834,2)</f>
        <v>0</v>
      </c>
      <c r="M834" s="202"/>
      <c r="N834" s="202"/>
      <c r="O834" s="202"/>
      <c r="P834" s="28"/>
      <c r="Q834" s="72">
        <f>IF(D831&lt;=3,база!$L$4,
IF(D831=4,база!$L$5,
IF(D831=5,база!$L$6)))</f>
        <v>210.57480000000001</v>
      </c>
      <c r="R834" s="250">
        <v>1.2</v>
      </c>
      <c r="S834" s="92">
        <f>SUMIFS(Таблица1[сумма],Таблица1[коэф],"1,2",Таблица1[р/р],"3/16",Таблица1[Ф. И. О.],B836)</f>
        <v>0</v>
      </c>
      <c r="T834" s="88">
        <f t="shared" si="516"/>
        <v>0</v>
      </c>
      <c r="U834" s="292">
        <f>IF(D831&lt;=3,база!$M$4,
IF(D831=4,база!$M$5,
IF(D831=5,база!$M$6)))</f>
        <v>225.09719999999999</v>
      </c>
      <c r="V834" s="250">
        <v>1.2</v>
      </c>
      <c r="W834" s="285">
        <f>SUMIFS(Таблица1[сумма],Таблица1[коэф],"1,2",Таблица1[р/р],"3/24",Таблица1[Ф. И. О.],B836)</f>
        <v>0</v>
      </c>
      <c r="X834" s="291">
        <f t="shared" ref="X834:X835" si="520">ROUND(U834*V834*W834,2)</f>
        <v>0</v>
      </c>
      <c r="Y834" s="792"/>
      <c r="Z834" s="794"/>
      <c r="AA834" s="797"/>
    </row>
    <row r="835" spans="1:29" ht="18.75" customHeight="1">
      <c r="A835" s="740"/>
      <c r="B835" s="201"/>
      <c r="C835" s="570"/>
      <c r="D835" s="573"/>
      <c r="E835" s="72"/>
      <c r="F835" s="250"/>
      <c r="G835" s="92"/>
      <c r="H835" s="88"/>
      <c r="I835" s="311">
        <f>база!$J$6</f>
        <v>243.04319999999998</v>
      </c>
      <c r="J835" s="257">
        <v>1.5</v>
      </c>
      <c r="K835" s="202">
        <f>SUMIFS(Таблица1[сумма],Таблица1[коэф],"1,5",Таблица1[р/р],"5/8",Таблица1[Ф. И. О.],B836)</f>
        <v>0</v>
      </c>
      <c r="L835" s="202">
        <f>ROUND(I835*J835*K835,2)</f>
        <v>0</v>
      </c>
      <c r="M835" s="202"/>
      <c r="N835" s="202"/>
      <c r="O835" s="202"/>
      <c r="P835" s="28"/>
      <c r="Q835" s="72">
        <f>база!$L$5</f>
        <v>231.45480000000001</v>
      </c>
      <c r="R835" s="250">
        <v>1.2</v>
      </c>
      <c r="S835" s="92">
        <f>SUMIFS(Таблица1[сумма],Таблица1[коэф],"1,2",Таблица1[р/р],"4/16",Таблица1[Ф. И. О.],B836)</f>
        <v>0</v>
      </c>
      <c r="T835" s="88">
        <f t="shared" si="516"/>
        <v>0</v>
      </c>
      <c r="U835" s="292">
        <f>база!$M$5</f>
        <v>247.41720000000001</v>
      </c>
      <c r="V835" s="250">
        <v>1.2</v>
      </c>
      <c r="W835" s="285">
        <f>SUMIFS(Таблица1[сумма],Таблица1[коэф],"1,2",Таблица1[р/р],"4/24",Таблица1[Ф. И. О.],B836)</f>
        <v>0</v>
      </c>
      <c r="X835" s="291">
        <f t="shared" si="520"/>
        <v>0</v>
      </c>
      <c r="Y835" s="792"/>
      <c r="Z835" s="794"/>
      <c r="AA835" s="797"/>
      <c r="AC835" s="688" t="str">
        <f>IF(SUMIFS(Таблица1[Столбец2],Таблица1[Ф. И. О.],B836)-Z831=0,"",SUMIFS(Таблица1[Столбец2],Таблица1[Ф. И. О.],B836)-Z831)</f>
        <v/>
      </c>
    </row>
    <row r="836" spans="1:29" ht="18.75" customHeight="1">
      <c r="A836" s="740"/>
      <c r="B836" s="201" t="str">
        <f>база!B77</f>
        <v>Шишина Наталья Александровна</v>
      </c>
      <c r="C836" s="570"/>
      <c r="D836" s="573"/>
      <c r="E836" s="72"/>
      <c r="F836" s="250"/>
      <c r="G836" s="92"/>
      <c r="H836" s="88"/>
      <c r="I836" s="311"/>
      <c r="J836" s="257"/>
      <c r="K836" s="202"/>
      <c r="L836" s="202"/>
      <c r="M836" s="202"/>
      <c r="N836" s="202"/>
      <c r="O836" s="202"/>
      <c r="P836" s="28"/>
      <c r="Q836" s="72">
        <f>база!$L$6</f>
        <v>261.04640000000001</v>
      </c>
      <c r="R836" s="250">
        <v>1.2</v>
      </c>
      <c r="S836" s="92">
        <f>SUMIFS(Таблица1[сумма],Таблица1[коэф],"1,2",Таблица1[р/р],"5/16",Таблица1[Ф. И. О.],B836)</f>
        <v>0</v>
      </c>
      <c r="T836" s="88">
        <f>ROUND(Q836*R836*S836,2)</f>
        <v>0</v>
      </c>
      <c r="U836" s="292">
        <f>база!$M$6</f>
        <v>279.0496</v>
      </c>
      <c r="V836" s="250">
        <v>1.2</v>
      </c>
      <c r="W836" s="285">
        <f>SUMIFS(Таблица1[сумма],Таблица1[коэф],"1,2",Таблица1[р/р],"5/24",Таблица1[Ф. И. О.],B836)</f>
        <v>0</v>
      </c>
      <c r="X836" s="291">
        <f>ROUND(U836*V836*W836,2)</f>
        <v>0</v>
      </c>
      <c r="Y836" s="792"/>
      <c r="Z836" s="794"/>
      <c r="AA836" s="797"/>
      <c r="AC836" s="688" t="str">
        <f>IF(SUMIFS(Таблица1[сумма],Таблица1[Ф. И. О.],B836)=Y831,"",B831&amp;"  часы не верны")</f>
        <v/>
      </c>
    </row>
    <row r="837" spans="1:29" ht="18.75" customHeight="1">
      <c r="A837" s="740"/>
      <c r="B837" s="201"/>
      <c r="C837" s="570"/>
      <c r="D837" s="573"/>
      <c r="E837" s="72"/>
      <c r="F837" s="250"/>
      <c r="G837" s="92"/>
      <c r="H837" s="88"/>
      <c r="I837" s="311"/>
      <c r="J837" s="257"/>
      <c r="K837" s="202"/>
      <c r="L837" s="202"/>
      <c r="M837" s="202"/>
      <c r="N837" s="202"/>
      <c r="O837" s="202"/>
      <c r="P837" s="28"/>
      <c r="Q837" s="72">
        <f>IF($D$6&lt;=3,база!$L$4,
IF($D$6=4,база!$L$5,
IF($D$6=5,база!$L$6)))</f>
        <v>231.45480000000001</v>
      </c>
      <c r="R837" s="250">
        <v>1.3</v>
      </c>
      <c r="S837" s="92">
        <f>SUMIFS(Таблица1[сумма],Таблица1[коэф],"1,3",Таблица1[р/р],"3/16",Таблица1[Ф. И. О.],B836)</f>
        <v>0</v>
      </c>
      <c r="T837" s="88">
        <f t="shared" ref="T837:T838" si="521">ROUND(Q837*R837*S837,2)</f>
        <v>0</v>
      </c>
      <c r="U837" s="292">
        <f>IF(D831&lt;=3,база!$M$4,
IF(D831=4,база!$M$5,
IF(D831=5,база!$M$6)))</f>
        <v>225.09719999999999</v>
      </c>
      <c r="V837" s="250">
        <v>1.3</v>
      </c>
      <c r="W837" s="285">
        <f>SUMIFS(Таблица1[сумма],Таблица1[коэф],"1,3",Таблица1[р/р],"3/24",Таблица1[Ф. И. О.],B836)</f>
        <v>0</v>
      </c>
      <c r="X837" s="291">
        <f t="shared" ref="X837:X838" si="522">ROUND(U837*V837*W837,2)</f>
        <v>0</v>
      </c>
      <c r="Y837" s="792"/>
      <c r="Z837" s="794"/>
      <c r="AA837" s="797"/>
    </row>
    <row r="838" spans="1:29" ht="18.75" customHeight="1">
      <c r="A838" s="740"/>
      <c r="B838" s="201"/>
      <c r="C838" s="570"/>
      <c r="D838" s="573"/>
      <c r="E838" s="72"/>
      <c r="F838" s="250"/>
      <c r="G838" s="92"/>
      <c r="H838" s="88"/>
      <c r="I838" s="311"/>
      <c r="J838" s="257"/>
      <c r="K838" s="202"/>
      <c r="L838" s="202"/>
      <c r="M838" s="202"/>
      <c r="N838" s="202"/>
      <c r="O838" s="202"/>
      <c r="P838" s="28"/>
      <c r="Q838" s="72">
        <f>база!$L$5</f>
        <v>231.45480000000001</v>
      </c>
      <c r="R838" s="250">
        <v>1.3</v>
      </c>
      <c r="S838" s="92">
        <f>SUMIFS(Таблица1[сумма],Таблица1[коэф],"1,3",Таблица1[р/р],"4/16",Таблица1[Ф. И. О.],B836)</f>
        <v>0</v>
      </c>
      <c r="T838" s="88">
        <f t="shared" si="521"/>
        <v>0</v>
      </c>
      <c r="U838" s="292">
        <f>база!$M$5</f>
        <v>247.41720000000001</v>
      </c>
      <c r="V838" s="250">
        <v>1.3</v>
      </c>
      <c r="W838" s="285">
        <f>SUMIFS(Таблица1[сумма],Таблица1[коэф],"1,3",Таблица1[р/р],"4/24",Таблица1[Ф. И. О.],B836)</f>
        <v>0</v>
      </c>
      <c r="X838" s="291">
        <f t="shared" si="522"/>
        <v>0</v>
      </c>
      <c r="Y838" s="792"/>
      <c r="Z838" s="794"/>
      <c r="AA838" s="797"/>
    </row>
    <row r="839" spans="1:29" ht="18.75" customHeight="1">
      <c r="A839" s="740"/>
      <c r="B839" s="201"/>
      <c r="C839" s="570"/>
      <c r="D839" s="573"/>
      <c r="E839" s="72"/>
      <c r="F839" s="250"/>
      <c r="G839" s="92"/>
      <c r="H839" s="88"/>
      <c r="I839" s="311"/>
      <c r="J839" s="257"/>
      <c r="K839" s="202"/>
      <c r="L839" s="202"/>
      <c r="M839" s="202"/>
      <c r="N839" s="202"/>
      <c r="O839" s="202"/>
      <c r="P839" s="28"/>
      <c r="Q839" s="72">
        <f>IF(D831&lt;=3,база!$L$4,
IF(D831=4,база!$L$5,
IF(D831=5,база!$L$6)))</f>
        <v>210.57480000000001</v>
      </c>
      <c r="R839" s="250">
        <v>1.4</v>
      </c>
      <c r="S839" s="92">
        <f>SUMIFS(Таблица1[сумма],Таблица1[коэф],"1,4",Таблица1[р/р],"3/16",Таблица1[Ф. И. О.],B836)</f>
        <v>0</v>
      </c>
      <c r="T839" s="88">
        <f>ROUND(Q839*R839*S839,2)</f>
        <v>0</v>
      </c>
      <c r="U839" s="292">
        <f>IF(D831&lt;=3,база!$M$4,
IF(D831=4,база!$M$5,
IF(D831=5,база!$M$6)))</f>
        <v>225.09719999999999</v>
      </c>
      <c r="V839" s="250">
        <v>1.4</v>
      </c>
      <c r="W839" s="285">
        <f>SUMIFS(Таблица1[сумма],Таблица1[коэф],"1,4",Таблица1[р/р],"3/24",Таблица1[Ф. И. О.],B836)</f>
        <v>0</v>
      </c>
      <c r="X839" s="291">
        <f>ROUND(U839*V839*W839,2)</f>
        <v>0</v>
      </c>
      <c r="Y839" s="792"/>
      <c r="Z839" s="794"/>
      <c r="AA839" s="797"/>
    </row>
    <row r="840" spans="1:29" ht="18.75" customHeight="1">
      <c r="A840" s="740"/>
      <c r="B840" s="201"/>
      <c r="C840" s="570"/>
      <c r="D840" s="573"/>
      <c r="E840" s="72"/>
      <c r="F840" s="250"/>
      <c r="G840" s="92"/>
      <c r="H840" s="88"/>
      <c r="I840" s="311"/>
      <c r="J840" s="257"/>
      <c r="K840" s="202"/>
      <c r="L840" s="202"/>
      <c r="M840" s="202"/>
      <c r="N840" s="202"/>
      <c r="O840" s="202"/>
      <c r="P840" s="28"/>
      <c r="Q840" s="72">
        <f>база!$L$5</f>
        <v>231.45480000000001</v>
      </c>
      <c r="R840" s="250">
        <v>1.4</v>
      </c>
      <c r="S840" s="92">
        <f>SUMIFS(Таблица1[сумма],Таблица1[коэф],"1,4",Таблица1[р/р],"4/16",Таблица1[Ф. И. О.],B836)</f>
        <v>0</v>
      </c>
      <c r="T840" s="88">
        <f>ROUND(Q840*R840*S840,2)</f>
        <v>0</v>
      </c>
      <c r="U840" s="292">
        <f>база!$M$5</f>
        <v>247.41720000000001</v>
      </c>
      <c r="V840" s="250">
        <v>1.4</v>
      </c>
      <c r="W840" s="285">
        <f>SUMIFS(Таблица1[сумма],Таблица1[коэф],"1,4",Таблица1[р/р],"4/24",Таблица1[Ф. И. О.],B836)</f>
        <v>0</v>
      </c>
      <c r="X840" s="291">
        <f>ROUND(U840*V840*W840,2)</f>
        <v>0</v>
      </c>
      <c r="Y840" s="792"/>
      <c r="Z840" s="794"/>
      <c r="AA840" s="797"/>
    </row>
    <row r="841" spans="1:29" ht="19.5" customHeight="1" thickBot="1">
      <c r="A841" s="741"/>
      <c r="B841" s="329"/>
      <c r="C841" s="571"/>
      <c r="D841" s="574"/>
      <c r="E841" s="95"/>
      <c r="F841" s="252"/>
      <c r="G841" s="597"/>
      <c r="H841" s="84"/>
      <c r="I841" s="598"/>
      <c r="J841" s="258"/>
      <c r="K841" s="599"/>
      <c r="L841" s="267"/>
      <c r="M841" s="598"/>
      <c r="N841" s="599"/>
      <c r="O841" s="599"/>
      <c r="P841" s="293"/>
      <c r="Q841" s="600">
        <f>база!$L$6</f>
        <v>261.04640000000001</v>
      </c>
      <c r="R841" s="252">
        <v>1.4</v>
      </c>
      <c r="S841" s="91">
        <f>SUMIFS(Таблица1[сумма],Таблица1[коэф],"1,4",Таблица1[р/р],"5/16",Таблица1[Ф. И. О.],B836)</f>
        <v>0</v>
      </c>
      <c r="T841" s="84">
        <f>ROUND(Q841*R841*S841,2)</f>
        <v>0</v>
      </c>
      <c r="U841" s="206">
        <f>база!$M$6</f>
        <v>279.0496</v>
      </c>
      <c r="V841" s="252">
        <v>1.4</v>
      </c>
      <c r="W841" s="91">
        <f>SUMIFS(Таблица1[сумма],Таблица1[коэф],"1,4",Таблица1[р/р],"5/24",Таблица1[Ф. И. О.],B836)</f>
        <v>0</v>
      </c>
      <c r="X841" s="84">
        <f>ROUND(U841*V841*W841,2)</f>
        <v>0</v>
      </c>
      <c r="Y841" s="793"/>
      <c r="Z841" s="795"/>
      <c r="AA841" s="798"/>
    </row>
    <row r="842" spans="1:29" ht="18.75" customHeight="1">
      <c r="A842" s="739">
        <v>77</v>
      </c>
      <c r="B842" s="201"/>
      <c r="C842" s="570">
        <f>INDEX(база!$E$2:$E$181, MATCH(B847,база!$B$2:$B$160,0))</f>
        <v>16303</v>
      </c>
      <c r="D842" s="573">
        <f>INDEX(база!$D$2:$D$189, MATCH(B847,база!$B$2:$B$160,0))</f>
        <v>3</v>
      </c>
      <c r="E842" s="68">
        <f>IF(D842&lt;=3,база!$I$4,
IF(D842=4,база!$I$5,
IF(D842=5,база!$I$6)))</f>
        <v>188.7912</v>
      </c>
      <c r="F842" s="249">
        <v>1</v>
      </c>
      <c r="G842" s="90">
        <f>SUMIFS(Таблица1[сумма],Таблица1[коэф],"1",Таблица1[р/р],"2/4",Таблица1[Ф. И. О.],B847)</f>
        <v>0</v>
      </c>
      <c r="H842" s="96">
        <f>ROUND(E842*F842*G842,2)</f>
        <v>0</v>
      </c>
      <c r="I842" s="321">
        <f>IF(D842&lt;=3,база!$J$4,
IF(D842=4,база!$J$5,
IF(D842=5,база!$J$6)))</f>
        <v>196.05240000000001</v>
      </c>
      <c r="J842" s="256">
        <v>1</v>
      </c>
      <c r="K842" s="287">
        <f>SUMIFS(Таблица1[сумма],Таблица1[коэф],"1",Таблица1[р/р],"2/8",Таблица1[Ф. И. О.],B847)</f>
        <v>0</v>
      </c>
      <c r="L842" s="287">
        <f>ROUND(I842*J842*K842,2)</f>
        <v>0</v>
      </c>
      <c r="M842" s="287"/>
      <c r="N842" s="287">
        <v>1</v>
      </c>
      <c r="O842" s="287">
        <f>SUMIFS(Data_Tech!$AM$3:$AM$67,Data_Tech!$E$3:$E$67,"1",Data_Tech!$G$3:$G$67,"3/12",Data_Tech!$F$3:$F$67,B847)</f>
        <v>0</v>
      </c>
      <c r="P842" s="260">
        <f>ROUND(M842*N842*O842,2)</f>
        <v>0</v>
      </c>
      <c r="Q842" s="68">
        <f>IF(D842&lt;=3,база!$L$4,
IF(D842=4,база!$L$5,
IF(D842=5,база!$L$6)))</f>
        <v>210.57480000000001</v>
      </c>
      <c r="R842" s="249">
        <v>1</v>
      </c>
      <c r="S842" s="90">
        <f>SUMIFS(Таблица1[сумма],Таблица1[коэф],"1",Таблица1[р/р],"3/16",Таблица1[Ф. И. О.],B847)</f>
        <v>0</v>
      </c>
      <c r="T842" s="96">
        <f t="shared" ref="T842:T846" si="523">ROUND(Q842*R842*S842,2)</f>
        <v>0</v>
      </c>
      <c r="U842" s="326">
        <f>IF(D842&lt;=3,база!$M$4,
IF(D842=4,база!$M$5,
IF(D842=5,база!$M$6)))</f>
        <v>225.09719999999999</v>
      </c>
      <c r="V842" s="249">
        <v>1</v>
      </c>
      <c r="W842" s="314">
        <f>SUMIFS(Таблица1[сумма],Таблица1[коэф],"1",Таблица1[р/р],"3/24",Таблица1[Ф. И. О.],B847)</f>
        <v>0</v>
      </c>
      <c r="X842" s="328">
        <f>ROUND(U842*V842*W842,2)</f>
        <v>0</v>
      </c>
      <c r="Y842" s="791">
        <f t="shared" ref="Y842" si="524">SUM(G842:G852,K842:K852,O842:O852,S842:S852,W842:W852)</f>
        <v>0</v>
      </c>
      <c r="Z842" s="794">
        <f t="shared" ref="Z842" si="525">IFERROR(SUM(H842:H852,L842:L852,T842:T852,X842:X852),"")</f>
        <v>0</v>
      </c>
      <c r="AA842" s="796"/>
    </row>
    <row r="843" spans="1:29" ht="18.75" customHeight="1">
      <c r="A843" s="740"/>
      <c r="B843" s="201"/>
      <c r="C843" s="570"/>
      <c r="D843" s="573"/>
      <c r="E843" s="72">
        <f>IF(D842&lt;=3,база!$I$4,
IF(D842=4,база!$I$5,
IF(D842=5,база!$I$6)))</f>
        <v>188.7912</v>
      </c>
      <c r="F843" s="250">
        <v>1</v>
      </c>
      <c r="G843" s="92">
        <f>SUMIFS(Таблица1[сумма],Таблица1[коэф],"1",Таблица1[р/р],"3/4",Таблица1[Ф. И. О.],B847)</f>
        <v>0</v>
      </c>
      <c r="H843" s="88">
        <f>ROUND(E843*F843*G843,2)</f>
        <v>0</v>
      </c>
      <c r="I843" s="311">
        <f>IF(D842&lt;=3,база!$J$4,
IF(D842=4,база!$J$5,
IF(D842=5,база!$J$6)))</f>
        <v>196.05240000000001</v>
      </c>
      <c r="J843" s="257">
        <v>1</v>
      </c>
      <c r="K843" s="202"/>
      <c r="L843" s="202">
        <f>ROUND(I843*J843*K843,2)</f>
        <v>0</v>
      </c>
      <c r="M843" s="202"/>
      <c r="N843" s="202">
        <v>1</v>
      </c>
      <c r="O843" s="202">
        <f>SUMIFS(Data_Tech!$AM$3:$AM$67,Data_Tech!$E$3:$E$67,"1",Data_Tech!$G$3:$G$67,"4/12",Data_Tech!$F$3:$F$67,B847)</f>
        <v>0</v>
      </c>
      <c r="P843" s="28">
        <f>ROUND(M843*O843,2)</f>
        <v>0</v>
      </c>
      <c r="Q843" s="72">
        <f>база!$L$5</f>
        <v>231.45480000000001</v>
      </c>
      <c r="R843" s="250">
        <v>1</v>
      </c>
      <c r="S843" s="92">
        <f>SUMIFS(Таблица1[сумма],Таблица1[коэф],"1",Таблица1[р/р],"4/16",Таблица1[Ф. И. О.],B847)</f>
        <v>0</v>
      </c>
      <c r="T843" s="88">
        <f t="shared" si="523"/>
        <v>0</v>
      </c>
      <c r="U843" s="292">
        <f>база!$M$5</f>
        <v>247.41720000000001</v>
      </c>
      <c r="V843" s="250">
        <v>1</v>
      </c>
      <c r="W843" s="285">
        <f>SUMIFS(Таблица1[сумма],Таблица1[коэф],"1",Таблица1[р/р],"4/24",Таблица1[Ф. И. О.],B847)</f>
        <v>0</v>
      </c>
      <c r="X843" s="291">
        <f t="shared" ref="X843" si="526">ROUND(U843*V843*W843,2)</f>
        <v>0</v>
      </c>
      <c r="Y843" s="792"/>
      <c r="Z843" s="794"/>
      <c r="AA843" s="797"/>
    </row>
    <row r="844" spans="1:29" ht="18.75" customHeight="1">
      <c r="A844" s="740"/>
      <c r="B844" s="201"/>
      <c r="C844" s="570"/>
      <c r="D844" s="573"/>
      <c r="E844" s="72"/>
      <c r="F844" s="250"/>
      <c r="G844" s="92"/>
      <c r="H844" s="88"/>
      <c r="I844" s="311"/>
      <c r="J844" s="257"/>
      <c r="K844" s="202"/>
      <c r="L844" s="202"/>
      <c r="M844" s="202"/>
      <c r="N844" s="202"/>
      <c r="O844" s="202"/>
      <c r="P844" s="28"/>
      <c r="Q844" s="72">
        <f>база!$L$6</f>
        <v>261.04640000000001</v>
      </c>
      <c r="R844" s="250">
        <v>1</v>
      </c>
      <c r="S844" s="92">
        <f>SUMIFS(Таблица1[сумма],Таблица1[коэф],"1",Таблица1[р/р],"5/16",Таблица1[Ф. И. О.],B847)</f>
        <v>0</v>
      </c>
      <c r="T844" s="88">
        <f t="shared" si="523"/>
        <v>0</v>
      </c>
      <c r="U844" s="292">
        <f>база!$M$6</f>
        <v>279.0496</v>
      </c>
      <c r="V844" s="250">
        <v>1</v>
      </c>
      <c r="W844" s="285">
        <f>SUMIFS(Таблица1[сумма],Таблица1[коэф],"1",Таблица1[р/р],"5/24",Таблица1[Ф. И. О.],B847)</f>
        <v>0</v>
      </c>
      <c r="X844" s="291">
        <f>ROUND(U844*V844*W844,2)</f>
        <v>0</v>
      </c>
      <c r="Y844" s="792"/>
      <c r="Z844" s="794"/>
      <c r="AA844" s="797"/>
    </row>
    <row r="845" spans="1:29" ht="18.75" customHeight="1">
      <c r="A845" s="740"/>
      <c r="B845" s="201"/>
      <c r="C845" s="570"/>
      <c r="D845" s="573"/>
      <c r="E845" s="72"/>
      <c r="F845" s="250"/>
      <c r="G845" s="92"/>
      <c r="H845" s="88"/>
      <c r="I845" s="311">
        <f>база!$J$5</f>
        <v>215.4924</v>
      </c>
      <c r="J845" s="257">
        <v>1.5</v>
      </c>
      <c r="K845" s="202">
        <f>SUMIFS(Таблица1[сумма],Таблица1[коэф],"1,5",Таблица1[р/р],"4/8",Таблица1[Ф. И. О.],B847)</f>
        <v>0</v>
      </c>
      <c r="L845" s="202">
        <f>ROUND(I845*J845*K845,2)</f>
        <v>0</v>
      </c>
      <c r="M845" s="202"/>
      <c r="N845" s="202"/>
      <c r="O845" s="202"/>
      <c r="P845" s="28"/>
      <c r="Q845" s="72">
        <f>IF(D842&lt;=3,база!$L$4,
IF(D842=4,база!$L$5,
IF(D842=5,база!$L$6)))</f>
        <v>210.57480000000001</v>
      </c>
      <c r="R845" s="250">
        <v>1.2</v>
      </c>
      <c r="S845" s="92">
        <f>SUMIFS(Таблица1[сумма],Таблица1[коэф],"1,2",Таблица1[р/р],"3/16",Таблица1[Ф. И. О.],B847)</f>
        <v>0</v>
      </c>
      <c r="T845" s="88">
        <f t="shared" si="523"/>
        <v>0</v>
      </c>
      <c r="U845" s="292">
        <f>IF(D842&lt;=3,база!$M$4,
IF(D842=4,база!$M$5,
IF(D842=5,база!$M$6)))</f>
        <v>225.09719999999999</v>
      </c>
      <c r="V845" s="250">
        <v>1.2</v>
      </c>
      <c r="W845" s="285">
        <f>SUMIFS(Таблица1[сумма],Таблица1[коэф],"1,2",Таблица1[р/р],"3/24",Таблица1[Ф. И. О.],B847)</f>
        <v>0</v>
      </c>
      <c r="X845" s="291">
        <f t="shared" ref="X845:X846" si="527">ROUND(U845*V845*W845,2)</f>
        <v>0</v>
      </c>
      <c r="Y845" s="792"/>
      <c r="Z845" s="794"/>
      <c r="AA845" s="797"/>
    </row>
    <row r="846" spans="1:29" ht="18.75" customHeight="1">
      <c r="A846" s="740"/>
      <c r="B846" s="201"/>
      <c r="C846" s="570"/>
      <c r="D846" s="573"/>
      <c r="E846" s="72"/>
      <c r="F846" s="250"/>
      <c r="G846" s="92"/>
      <c r="H846" s="88"/>
      <c r="I846" s="311">
        <f>база!$J$6</f>
        <v>243.04319999999998</v>
      </c>
      <c r="J846" s="257">
        <v>1.5</v>
      </c>
      <c r="K846" s="202">
        <f>SUMIFS(Таблица1[сумма],Таблица1[коэф],"1,5",Таблица1[р/р],"5/8",Таблица1[Ф. И. О.],B847)</f>
        <v>0</v>
      </c>
      <c r="L846" s="202">
        <f>ROUND(I846*J846*K846,2)</f>
        <v>0</v>
      </c>
      <c r="M846" s="202"/>
      <c r="N846" s="202"/>
      <c r="O846" s="202"/>
      <c r="P846" s="28"/>
      <c r="Q846" s="72">
        <f>база!$L$5</f>
        <v>231.45480000000001</v>
      </c>
      <c r="R846" s="250">
        <v>1.2</v>
      </c>
      <c r="S846" s="92">
        <f>SUMIFS(Таблица1[сумма],Таблица1[коэф],"1,2",Таблица1[р/р],"4/16",Таблица1[Ф. И. О.],B847)</f>
        <v>0</v>
      </c>
      <c r="T846" s="88">
        <f t="shared" si="523"/>
        <v>0</v>
      </c>
      <c r="U846" s="292">
        <f>база!$M$5</f>
        <v>247.41720000000001</v>
      </c>
      <c r="V846" s="250">
        <v>1.2</v>
      </c>
      <c r="W846" s="285">
        <f>SUMIFS(Таблица1[сумма],Таблица1[коэф],"1,2",Таблица1[р/р],"4/24",Таблица1[Ф. И. О.],B847)</f>
        <v>0</v>
      </c>
      <c r="X846" s="291">
        <f t="shared" si="527"/>
        <v>0</v>
      </c>
      <c r="Y846" s="792"/>
      <c r="Z846" s="794"/>
      <c r="AA846" s="797"/>
      <c r="AC846" s="688" t="str">
        <f>IF(SUMIFS(Таблица1[Столбец2],Таблица1[Ф. И. О.],B847)-Z842=0,"",SUMIFS(Таблица1[Столбец2],Таблица1[Ф. И. О.],B847)-Z842)</f>
        <v/>
      </c>
    </row>
    <row r="847" spans="1:29" ht="18.75" customHeight="1">
      <c r="A847" s="740"/>
      <c r="B847" s="201" t="str">
        <f>база!B78</f>
        <v>Нагловская Наталья Анатольевна</v>
      </c>
      <c r="C847" s="570"/>
      <c r="D847" s="573"/>
      <c r="E847" s="72"/>
      <c r="F847" s="250"/>
      <c r="G847" s="92"/>
      <c r="H847" s="88"/>
      <c r="I847" s="311"/>
      <c r="J847" s="257"/>
      <c r="K847" s="202"/>
      <c r="L847" s="202"/>
      <c r="M847" s="202"/>
      <c r="N847" s="202"/>
      <c r="O847" s="202"/>
      <c r="P847" s="28"/>
      <c r="Q847" s="72">
        <f>база!$L$6</f>
        <v>261.04640000000001</v>
      </c>
      <c r="R847" s="250">
        <v>1.2</v>
      </c>
      <c r="S847" s="92">
        <f>SUMIFS(Таблица1[сумма],Таблица1[коэф],"1,2",Таблица1[р/р],"5/16",Таблица1[Ф. И. О.],B847)</f>
        <v>0</v>
      </c>
      <c r="T847" s="88">
        <f>ROUND(Q847*R847*S847,2)</f>
        <v>0</v>
      </c>
      <c r="U847" s="292">
        <f>база!$M$6</f>
        <v>279.0496</v>
      </c>
      <c r="V847" s="250">
        <v>1.2</v>
      </c>
      <c r="W847" s="285">
        <f>SUMIFS(Таблица1[сумма],Таблица1[коэф],"1,2",Таблица1[р/р],"5/24",Таблица1[Ф. И. О.],B847)</f>
        <v>0</v>
      </c>
      <c r="X847" s="291">
        <f>ROUND(U847*V847*W847,2)</f>
        <v>0</v>
      </c>
      <c r="Y847" s="792"/>
      <c r="Z847" s="794"/>
      <c r="AA847" s="797"/>
      <c r="AC847" s="688" t="str">
        <f>IF(SUMIFS(Таблица1[сумма],Таблица1[Ф. И. О.],B847)=Y842,"",B842&amp;"  часы не верны")</f>
        <v/>
      </c>
    </row>
    <row r="848" spans="1:29" ht="18.75" customHeight="1">
      <c r="A848" s="740"/>
      <c r="B848" s="201"/>
      <c r="C848" s="570"/>
      <c r="D848" s="573"/>
      <c r="E848" s="72"/>
      <c r="F848" s="250"/>
      <c r="G848" s="92"/>
      <c r="H848" s="88"/>
      <c r="I848" s="311"/>
      <c r="J848" s="257"/>
      <c r="K848" s="202"/>
      <c r="L848" s="202"/>
      <c r="M848" s="202"/>
      <c r="N848" s="202"/>
      <c r="O848" s="202"/>
      <c r="P848" s="28"/>
      <c r="Q848" s="72">
        <f>IF($D$6&lt;=3,база!$L$4,
IF($D$6=4,база!$L$5,
IF($D$6=5,база!$L$6)))</f>
        <v>231.45480000000001</v>
      </c>
      <c r="R848" s="250">
        <v>1.3</v>
      </c>
      <c r="S848" s="92">
        <f>SUMIFS(Таблица1[сумма],Таблица1[коэф],"1,3",Таблица1[р/р],"3/16",Таблица1[Ф. И. О.],B847)</f>
        <v>0</v>
      </c>
      <c r="T848" s="88">
        <f t="shared" ref="T848:T849" si="528">ROUND(Q848*R848*S848,2)</f>
        <v>0</v>
      </c>
      <c r="U848" s="292">
        <f>IF(D842&lt;=3,база!$M$4,
IF(D842=4,база!$M$5,
IF(D842=5,база!$M$6)))</f>
        <v>225.09719999999999</v>
      </c>
      <c r="V848" s="250">
        <v>1.3</v>
      </c>
      <c r="W848" s="285">
        <f>SUMIFS(Таблица1[сумма],Таблица1[коэф],"1,3",Таблица1[р/р],"3/24",Таблица1[Ф. И. О.],B847)</f>
        <v>0</v>
      </c>
      <c r="X848" s="291">
        <f t="shared" ref="X848:X849" si="529">ROUND(U848*V848*W848,2)</f>
        <v>0</v>
      </c>
      <c r="Y848" s="792"/>
      <c r="Z848" s="794"/>
      <c r="AA848" s="797"/>
    </row>
    <row r="849" spans="1:29" ht="18.75" customHeight="1">
      <c r="A849" s="740"/>
      <c r="B849" s="201"/>
      <c r="C849" s="570"/>
      <c r="D849" s="573"/>
      <c r="E849" s="72"/>
      <c r="F849" s="250"/>
      <c r="G849" s="92"/>
      <c r="H849" s="88"/>
      <c r="I849" s="311"/>
      <c r="J849" s="257"/>
      <c r="K849" s="202"/>
      <c r="L849" s="202"/>
      <c r="M849" s="202"/>
      <c r="N849" s="202"/>
      <c r="O849" s="202"/>
      <c r="P849" s="28"/>
      <c r="Q849" s="72">
        <f>база!$L$5</f>
        <v>231.45480000000001</v>
      </c>
      <c r="R849" s="250">
        <v>1.3</v>
      </c>
      <c r="S849" s="92">
        <f>SUMIFS(Таблица1[сумма],Таблица1[коэф],"1,3",Таблица1[р/р],"4/16",Таблица1[Ф. И. О.],B847)</f>
        <v>0</v>
      </c>
      <c r="T849" s="88">
        <f t="shared" si="528"/>
        <v>0</v>
      </c>
      <c r="U849" s="292">
        <f>база!$M$5</f>
        <v>247.41720000000001</v>
      </c>
      <c r="V849" s="250">
        <v>1.3</v>
      </c>
      <c r="W849" s="285">
        <f>SUMIFS(Таблица1[сумма],Таблица1[коэф],"1,3",Таблица1[р/р],"4/24",Таблица1[Ф. И. О.],B847)</f>
        <v>0</v>
      </c>
      <c r="X849" s="291">
        <f t="shared" si="529"/>
        <v>0</v>
      </c>
      <c r="Y849" s="792"/>
      <c r="Z849" s="794"/>
      <c r="AA849" s="797"/>
    </row>
    <row r="850" spans="1:29" ht="18.75" customHeight="1">
      <c r="A850" s="740"/>
      <c r="B850" s="201"/>
      <c r="C850" s="570"/>
      <c r="D850" s="573"/>
      <c r="E850" s="72"/>
      <c r="F850" s="250"/>
      <c r="G850" s="92"/>
      <c r="H850" s="88"/>
      <c r="I850" s="311"/>
      <c r="J850" s="257"/>
      <c r="K850" s="202"/>
      <c r="L850" s="202"/>
      <c r="M850" s="202"/>
      <c r="N850" s="202"/>
      <c r="O850" s="202"/>
      <c r="P850" s="28"/>
      <c r="Q850" s="72">
        <f>IF(D842&lt;=3,база!$L$4,
IF(D842=4,база!$L$5,
IF(D842=5,база!$L$6)))</f>
        <v>210.57480000000001</v>
      </c>
      <c r="R850" s="250">
        <v>1.4</v>
      </c>
      <c r="S850" s="92">
        <f>SUMIFS(Таблица1[сумма],Таблица1[коэф],"1,4",Таблица1[р/р],"3/16",Таблица1[Ф. И. О.],B847)</f>
        <v>0</v>
      </c>
      <c r="T850" s="88">
        <f>ROUND(Q850*R850*S850,2)</f>
        <v>0</v>
      </c>
      <c r="U850" s="292">
        <f>IF(D842&lt;=3,база!$M$4,
IF(D842=4,база!$M$5,
IF(D842=5,база!$M$6)))</f>
        <v>225.09719999999999</v>
      </c>
      <c r="V850" s="250">
        <v>1.4</v>
      </c>
      <c r="W850" s="285">
        <f>SUMIFS(Таблица1[сумма],Таблица1[коэф],"1,4",Таблица1[р/р],"3/24",Таблица1[Ф. И. О.],B847)</f>
        <v>0</v>
      </c>
      <c r="X850" s="291">
        <f>ROUND(U850*V850*W850,2)</f>
        <v>0</v>
      </c>
      <c r="Y850" s="792"/>
      <c r="Z850" s="794"/>
      <c r="AA850" s="797"/>
    </row>
    <row r="851" spans="1:29" ht="18.75" customHeight="1">
      <c r="A851" s="740"/>
      <c r="B851" s="201"/>
      <c r="C851" s="570"/>
      <c r="D851" s="573"/>
      <c r="E851" s="72"/>
      <c r="F851" s="250"/>
      <c r="G851" s="92"/>
      <c r="H851" s="88"/>
      <c r="I851" s="311"/>
      <c r="J851" s="257"/>
      <c r="K851" s="202"/>
      <c r="L851" s="202"/>
      <c r="M851" s="202"/>
      <c r="N851" s="202"/>
      <c r="O851" s="202"/>
      <c r="P851" s="28"/>
      <c r="Q851" s="72">
        <f>база!$L$5</f>
        <v>231.45480000000001</v>
      </c>
      <c r="R851" s="250">
        <v>1.4</v>
      </c>
      <c r="S851" s="92">
        <f>SUMIFS(Таблица1[сумма],Таблица1[коэф],"1,4",Таблица1[р/р],"4/16",Таблица1[Ф. И. О.],B847)</f>
        <v>0</v>
      </c>
      <c r="T851" s="88">
        <f>ROUND(Q851*R851*S851,2)</f>
        <v>0</v>
      </c>
      <c r="U851" s="292">
        <f>база!$M$5</f>
        <v>247.41720000000001</v>
      </c>
      <c r="V851" s="250">
        <v>1.4</v>
      </c>
      <c r="W851" s="285">
        <f>SUMIFS(Таблица1[сумма],Таблица1[коэф],"1,4",Таблица1[р/р],"4/24",Таблица1[Ф. И. О.],B847)</f>
        <v>0</v>
      </c>
      <c r="X851" s="291">
        <f>ROUND(U851*V851*W851,2)</f>
        <v>0</v>
      </c>
      <c r="Y851" s="792"/>
      <c r="Z851" s="794"/>
      <c r="AA851" s="797"/>
    </row>
    <row r="852" spans="1:29" ht="19.5" customHeight="1" thickBot="1">
      <c r="A852" s="741"/>
      <c r="B852" s="329"/>
      <c r="C852" s="571"/>
      <c r="D852" s="574"/>
      <c r="E852" s="95"/>
      <c r="F852" s="252"/>
      <c r="G852" s="597"/>
      <c r="H852" s="84"/>
      <c r="I852" s="598"/>
      <c r="J852" s="258"/>
      <c r="K852" s="599"/>
      <c r="L852" s="267"/>
      <c r="M852" s="598"/>
      <c r="N852" s="599"/>
      <c r="O852" s="599"/>
      <c r="P852" s="293"/>
      <c r="Q852" s="600">
        <f>база!$L$6</f>
        <v>261.04640000000001</v>
      </c>
      <c r="R852" s="252">
        <v>1.4</v>
      </c>
      <c r="S852" s="91">
        <f>SUMIFS(Таблица1[сумма],Таблица1[коэф],"1,4",Таблица1[р/р],"5/16",Таблица1[Ф. И. О.],B847)</f>
        <v>0</v>
      </c>
      <c r="T852" s="84">
        <f>ROUND(Q852*R852*S852,2)</f>
        <v>0</v>
      </c>
      <c r="U852" s="206">
        <f>база!$M$6</f>
        <v>279.0496</v>
      </c>
      <c r="V852" s="252">
        <v>1.4</v>
      </c>
      <c r="W852" s="91">
        <f>SUMIFS(Таблица1[сумма],Таблица1[коэф],"1,4",Таблица1[р/р],"5/24",Таблица1[Ф. И. О.],B847)</f>
        <v>0</v>
      </c>
      <c r="X852" s="84">
        <f>ROUND(U852*V852*W852,2)</f>
        <v>0</v>
      </c>
      <c r="Y852" s="793"/>
      <c r="Z852" s="795"/>
      <c r="AA852" s="798"/>
    </row>
    <row r="853" spans="1:29" ht="18.75" customHeight="1">
      <c r="A853" s="739">
        <v>78</v>
      </c>
      <c r="B853" s="201"/>
      <c r="C853" s="570">
        <f>INDEX(база!$E$2:$E$181, MATCH(B858,база!$B$2:$B$160,0))</f>
        <v>0</v>
      </c>
      <c r="D853" s="573">
        <f>INDEX(база!$D$2:$D$189, MATCH(B858,база!$B$2:$B$160,0))</f>
        <v>0</v>
      </c>
      <c r="E853" s="68">
        <f>IF(D853&lt;=3,база!$I$4,
IF(D853=4,база!$I$5,
IF(D853=5,база!$I$6)))</f>
        <v>188.7912</v>
      </c>
      <c r="F853" s="249">
        <v>1</v>
      </c>
      <c r="G853" s="90">
        <f>SUMIFS(Таблица1[сумма],Таблица1[коэф],"1",Таблица1[р/р],"2/4",Таблица1[Ф. И. О.],B858)</f>
        <v>0</v>
      </c>
      <c r="H853" s="96">
        <f>ROUND(E853*F853*G853,2)</f>
        <v>0</v>
      </c>
      <c r="I853" s="321">
        <f>IF(D853&lt;=3,база!$J$4,
IF(D853=4,база!$J$5,
IF(D853=5,база!$J$6)))</f>
        <v>196.05240000000001</v>
      </c>
      <c r="J853" s="256">
        <v>1</v>
      </c>
      <c r="K853" s="287">
        <f>SUMIFS(Таблица1[сумма],Таблица1[коэф],"1",Таблица1[р/р],"2/8",Таблица1[Ф. И. О.],B858)</f>
        <v>0</v>
      </c>
      <c r="L853" s="287">
        <f>ROUND(I853*J853*K853,2)</f>
        <v>0</v>
      </c>
      <c r="M853" s="287"/>
      <c r="N853" s="287">
        <v>1</v>
      </c>
      <c r="O853" s="287">
        <f>SUMIFS(Data_Tech!$AM$3:$AM$67,Data_Tech!$E$3:$E$67,"1",Data_Tech!$G$3:$G$67,"3/12",Data_Tech!$F$3:$F$67,B858)</f>
        <v>0</v>
      </c>
      <c r="P853" s="260">
        <f>ROUND(M853*N853*O853,2)</f>
        <v>0</v>
      </c>
      <c r="Q853" s="68">
        <f>IF(D853&lt;=3,база!$L$4,
IF(D853=4,база!$L$5,
IF(D853=5,база!$L$6)))</f>
        <v>210.57480000000001</v>
      </c>
      <c r="R853" s="249">
        <v>1</v>
      </c>
      <c r="S853" s="90">
        <f>SUMIFS(Таблица1[сумма],Таблица1[коэф],"1",Таблица1[р/р],"3/16",Таблица1[Ф. И. О.],B858)</f>
        <v>0</v>
      </c>
      <c r="T853" s="96">
        <f t="shared" ref="T853:T857" si="530">ROUND(Q853*R853*S853,2)</f>
        <v>0</v>
      </c>
      <c r="U853" s="326">
        <f>IF(D853&lt;=3,база!$M$4,
IF(D853=4,база!$M$5,
IF(D853=5,база!$M$6)))</f>
        <v>225.09719999999999</v>
      </c>
      <c r="V853" s="249">
        <v>1</v>
      </c>
      <c r="W853" s="314">
        <f>SUMIFS(Таблица1[сумма],Таблица1[коэф],"1",Таблица1[р/р],"3/24",Таблица1[Ф. И. О.],B858)</f>
        <v>0</v>
      </c>
      <c r="X853" s="328">
        <f>ROUND(U853*V853*W853,2)</f>
        <v>0</v>
      </c>
      <c r="Y853" s="791">
        <f t="shared" ref="Y853" si="531">SUM(G853:G863,K853:K863,O853:O863,S853:S863,W853:W863)</f>
        <v>0</v>
      </c>
      <c r="Z853" s="794">
        <f t="shared" ref="Z853" si="532">IFERROR(SUM(H853:H863,L853:L863,T853:T863,X853:X863),"")</f>
        <v>0</v>
      </c>
      <c r="AA853" s="796"/>
    </row>
    <row r="854" spans="1:29" ht="18.75" customHeight="1">
      <c r="A854" s="740"/>
      <c r="B854" s="201"/>
      <c r="C854" s="570"/>
      <c r="D854" s="573"/>
      <c r="E854" s="72">
        <f>IF(D853&lt;=3,база!$I$4,
IF(D853=4,база!$I$5,
IF(D853=5,база!$I$6)))</f>
        <v>188.7912</v>
      </c>
      <c r="F854" s="250">
        <v>1</v>
      </c>
      <c r="G854" s="92">
        <f>SUMIFS(Таблица1[сумма],Таблица1[коэф],"1",Таблица1[р/р],"3/4",Таблица1[Ф. И. О.],B858)</f>
        <v>0</v>
      </c>
      <c r="H854" s="88">
        <f>ROUND(E854*F854*G854,2)</f>
        <v>0</v>
      </c>
      <c r="I854" s="311">
        <f>IF(D853&lt;=3,база!$J$4,
IF(D853=4,база!$J$5,
IF(D853=5,база!$J$6)))</f>
        <v>196.05240000000001</v>
      </c>
      <c r="J854" s="257">
        <v>1</v>
      </c>
      <c r="K854" s="202"/>
      <c r="L854" s="202">
        <f>ROUND(I854*J854*K854,2)</f>
        <v>0</v>
      </c>
      <c r="M854" s="202"/>
      <c r="N854" s="202">
        <v>1</v>
      </c>
      <c r="O854" s="202">
        <f>SUMIFS(Data_Tech!$AM$3:$AM$67,Data_Tech!$E$3:$E$67,"1",Data_Tech!$G$3:$G$67,"4/12",Data_Tech!$F$3:$F$67,B858)</f>
        <v>0</v>
      </c>
      <c r="P854" s="28">
        <f>ROUND(M854*O854,2)</f>
        <v>0</v>
      </c>
      <c r="Q854" s="72">
        <f>база!$L$5</f>
        <v>231.45480000000001</v>
      </c>
      <c r="R854" s="250">
        <v>1</v>
      </c>
      <c r="S854" s="92">
        <f>SUMIFS(Таблица1[сумма],Таблица1[коэф],"1",Таблица1[р/р],"4/16",Таблица1[Ф. И. О.],B858)</f>
        <v>0</v>
      </c>
      <c r="T854" s="88">
        <f t="shared" si="530"/>
        <v>0</v>
      </c>
      <c r="U854" s="292">
        <f>база!$M$5</f>
        <v>247.41720000000001</v>
      </c>
      <c r="V854" s="250">
        <v>1</v>
      </c>
      <c r="W854" s="285">
        <f>SUMIFS(Таблица1[сумма],Таблица1[коэф],"1",Таблица1[р/р],"4/24",Таблица1[Ф. И. О.],B858)</f>
        <v>0</v>
      </c>
      <c r="X854" s="291">
        <f t="shared" ref="X854" si="533">ROUND(U854*V854*W854,2)</f>
        <v>0</v>
      </c>
      <c r="Y854" s="792"/>
      <c r="Z854" s="794"/>
      <c r="AA854" s="797"/>
    </row>
    <row r="855" spans="1:29" ht="18.75" customHeight="1">
      <c r="A855" s="740"/>
      <c r="B855" s="201"/>
      <c r="C855" s="570"/>
      <c r="D855" s="573"/>
      <c r="E855" s="72"/>
      <c r="F855" s="250"/>
      <c r="G855" s="92"/>
      <c r="H855" s="88"/>
      <c r="I855" s="311"/>
      <c r="J855" s="257"/>
      <c r="K855" s="202"/>
      <c r="L855" s="202"/>
      <c r="M855" s="202"/>
      <c r="N855" s="202"/>
      <c r="O855" s="202"/>
      <c r="P855" s="28"/>
      <c r="Q855" s="72">
        <f>база!$L$6</f>
        <v>261.04640000000001</v>
      </c>
      <c r="R855" s="250">
        <v>1</v>
      </c>
      <c r="S855" s="92">
        <f>SUMIFS(Таблица1[сумма],Таблица1[коэф],"1",Таблица1[р/р],"5/16",Таблица1[Ф. И. О.],B858)</f>
        <v>0</v>
      </c>
      <c r="T855" s="88">
        <f t="shared" si="530"/>
        <v>0</v>
      </c>
      <c r="U855" s="292">
        <f>база!$M$6</f>
        <v>279.0496</v>
      </c>
      <c r="V855" s="250">
        <v>1</v>
      </c>
      <c r="W855" s="285">
        <f>SUMIFS(Таблица1[сумма],Таблица1[коэф],"1",Таблица1[р/р],"5/24",Таблица1[Ф. И. О.],B858)</f>
        <v>0</v>
      </c>
      <c r="X855" s="291">
        <f>ROUND(U855*V855*W855,2)</f>
        <v>0</v>
      </c>
      <c r="Y855" s="792"/>
      <c r="Z855" s="794"/>
      <c r="AA855" s="797"/>
    </row>
    <row r="856" spans="1:29" ht="18.75" customHeight="1">
      <c r="A856" s="740"/>
      <c r="B856" s="201"/>
      <c r="C856" s="570"/>
      <c r="D856" s="573"/>
      <c r="E856" s="72"/>
      <c r="F856" s="250"/>
      <c r="G856" s="92"/>
      <c r="H856" s="88"/>
      <c r="I856" s="311">
        <f>база!$J$5</f>
        <v>215.4924</v>
      </c>
      <c r="J856" s="257">
        <v>1.5</v>
      </c>
      <c r="K856" s="202">
        <f>SUMIFS(Таблица1[сумма],Таблица1[коэф],"1,5",Таблица1[р/р],"4/8",Таблица1[Ф. И. О.],B858)</f>
        <v>0</v>
      </c>
      <c r="L856" s="202">
        <f>ROUND(I856*J856*K856,2)</f>
        <v>0</v>
      </c>
      <c r="M856" s="202"/>
      <c r="N856" s="202"/>
      <c r="O856" s="202"/>
      <c r="P856" s="28"/>
      <c r="Q856" s="72">
        <f>IF(D853&lt;=3,база!$L$4,
IF(D853=4,база!$L$5,
IF(D853=5,база!$L$6)))</f>
        <v>210.57480000000001</v>
      </c>
      <c r="R856" s="250">
        <v>1.2</v>
      </c>
      <c r="S856" s="92">
        <f>SUMIFS(Таблица1[сумма],Таблица1[коэф],"1,2",Таблица1[р/р],"3/16",Таблица1[Ф. И. О.],B858)</f>
        <v>0</v>
      </c>
      <c r="T856" s="88">
        <f t="shared" si="530"/>
        <v>0</v>
      </c>
      <c r="U856" s="292">
        <f>IF(D853&lt;=3,база!$M$4,
IF(D853=4,база!$M$5,
IF(D853=5,база!$M$6)))</f>
        <v>225.09719999999999</v>
      </c>
      <c r="V856" s="250">
        <v>1.2</v>
      </c>
      <c r="W856" s="285">
        <f>SUMIFS(Таблица1[сумма],Таблица1[коэф],"1,2",Таблица1[р/р],"3/24",Таблица1[Ф. И. О.],B858)</f>
        <v>0</v>
      </c>
      <c r="X856" s="291">
        <f t="shared" ref="X856:X857" si="534">ROUND(U856*V856*W856,2)</f>
        <v>0</v>
      </c>
      <c r="Y856" s="792"/>
      <c r="Z856" s="794"/>
      <c r="AA856" s="797"/>
    </row>
    <row r="857" spans="1:29" ht="18.75" customHeight="1">
      <c r="A857" s="740"/>
      <c r="B857" s="201"/>
      <c r="C857" s="570"/>
      <c r="D857" s="573"/>
      <c r="E857" s="72"/>
      <c r="F857" s="250"/>
      <c r="G857" s="92"/>
      <c r="H857" s="88"/>
      <c r="I857" s="311">
        <f>база!$J$6</f>
        <v>243.04319999999998</v>
      </c>
      <c r="J857" s="257">
        <v>1.5</v>
      </c>
      <c r="K857" s="202">
        <f>SUMIFS(Таблица1[сумма],Таблица1[коэф],"1,5",Таблица1[р/р],"5/8",Таблица1[Ф. И. О.],B858)</f>
        <v>0</v>
      </c>
      <c r="L857" s="202">
        <f>ROUND(I857*J857*K857,2)</f>
        <v>0</v>
      </c>
      <c r="M857" s="202"/>
      <c r="N857" s="202"/>
      <c r="O857" s="202"/>
      <c r="P857" s="28"/>
      <c r="Q857" s="72">
        <f>база!$L$5</f>
        <v>231.45480000000001</v>
      </c>
      <c r="R857" s="250">
        <v>1.2</v>
      </c>
      <c r="S857" s="92">
        <f>SUMIFS(Таблица1[сумма],Таблица1[коэф],"1,2",Таблица1[р/р],"4/16",Таблица1[Ф. И. О.],B858)</f>
        <v>0</v>
      </c>
      <c r="T857" s="88">
        <f t="shared" si="530"/>
        <v>0</v>
      </c>
      <c r="U857" s="292">
        <f>база!$M$5</f>
        <v>247.41720000000001</v>
      </c>
      <c r="V857" s="250">
        <v>1.2</v>
      </c>
      <c r="W857" s="285">
        <f>SUMIFS(Таблица1[сумма],Таблица1[коэф],"1,2",Таблица1[р/р],"4/24",Таблица1[Ф. И. О.],B858)</f>
        <v>0</v>
      </c>
      <c r="X857" s="291">
        <f t="shared" si="534"/>
        <v>0</v>
      </c>
      <c r="Y857" s="792"/>
      <c r="Z857" s="794"/>
      <c r="AA857" s="797"/>
      <c r="AC857" s="688" t="str">
        <f>IF(SUMIFS(Таблица1[Столбец2],Таблица1[Ф. И. О.],B858)-Z853=0,"",SUMIFS(Таблица1[Столбец2],Таблица1[Ф. И. О.],B858)-Z853)</f>
        <v/>
      </c>
    </row>
    <row r="858" spans="1:29" ht="18.75" customHeight="1">
      <c r="A858" s="740"/>
      <c r="B858" s="201">
        <f>база!B79</f>
        <v>0</v>
      </c>
      <c r="C858" s="570"/>
      <c r="D858" s="573"/>
      <c r="E858" s="72"/>
      <c r="F858" s="250"/>
      <c r="G858" s="92"/>
      <c r="H858" s="88"/>
      <c r="I858" s="311"/>
      <c r="J858" s="257"/>
      <c r="K858" s="202"/>
      <c r="L858" s="202"/>
      <c r="M858" s="202"/>
      <c r="N858" s="202"/>
      <c r="O858" s="202"/>
      <c r="P858" s="28"/>
      <c r="Q858" s="72">
        <f>база!$L$6</f>
        <v>261.04640000000001</v>
      </c>
      <c r="R858" s="250">
        <v>1.2</v>
      </c>
      <c r="S858" s="92">
        <f>SUMIFS(Таблица1[сумма],Таблица1[коэф],"1,2",Таблица1[р/р],"5/16",Таблица1[Ф. И. О.],B858)</f>
        <v>0</v>
      </c>
      <c r="T858" s="88">
        <f>ROUND(Q858*R858*S858,2)</f>
        <v>0</v>
      </c>
      <c r="U858" s="292">
        <f>база!$M$6</f>
        <v>279.0496</v>
      </c>
      <c r="V858" s="250">
        <v>1.2</v>
      </c>
      <c r="W858" s="285">
        <f>SUMIFS(Таблица1[сумма],Таблица1[коэф],"1,2",Таблица1[р/р],"5/24",Таблица1[Ф. И. О.],B858)</f>
        <v>0</v>
      </c>
      <c r="X858" s="291">
        <f>ROUND(U858*V858*W858,2)</f>
        <v>0</v>
      </c>
      <c r="Y858" s="792"/>
      <c r="Z858" s="794"/>
      <c r="AA858" s="797"/>
      <c r="AC858" s="688" t="str">
        <f>IF(SUMIFS(Таблица1[сумма],Таблица1[Ф. И. О.],B858)=Y853,"",B853&amp;"  часы не верны")</f>
        <v/>
      </c>
    </row>
    <row r="859" spans="1:29" ht="18.75" customHeight="1">
      <c r="A859" s="740"/>
      <c r="B859" s="201"/>
      <c r="C859" s="570"/>
      <c r="D859" s="573"/>
      <c r="E859" s="72"/>
      <c r="F859" s="250"/>
      <c r="G859" s="92"/>
      <c r="H859" s="88"/>
      <c r="I859" s="311"/>
      <c r="J859" s="257"/>
      <c r="K859" s="202"/>
      <c r="L859" s="202"/>
      <c r="M859" s="202"/>
      <c r="N859" s="202"/>
      <c r="O859" s="202"/>
      <c r="P859" s="28"/>
      <c r="Q859" s="72">
        <f>IF($D$6&lt;=3,база!$L$4,
IF($D$6=4,база!$L$5,
IF($D$6=5,база!$L$6)))</f>
        <v>231.45480000000001</v>
      </c>
      <c r="R859" s="250">
        <v>1.3</v>
      </c>
      <c r="S859" s="92">
        <f>SUMIFS(Таблица1[сумма],Таблица1[коэф],"1,3",Таблица1[р/р],"3/16",Таблица1[Ф. И. О.],B858)</f>
        <v>0</v>
      </c>
      <c r="T859" s="88">
        <f t="shared" ref="T859:T860" si="535">ROUND(Q859*R859*S859,2)</f>
        <v>0</v>
      </c>
      <c r="U859" s="292">
        <f>IF(D853&lt;=3,база!$M$4,
IF(D853=4,база!$M$5,
IF(D853=5,база!$M$6)))</f>
        <v>225.09719999999999</v>
      </c>
      <c r="V859" s="250">
        <v>1.3</v>
      </c>
      <c r="W859" s="285">
        <f>SUMIFS(Таблица1[сумма],Таблица1[коэф],"1,3",Таблица1[р/р],"3/24",Таблица1[Ф. И. О.],B858)</f>
        <v>0</v>
      </c>
      <c r="X859" s="291">
        <f t="shared" ref="X859:X860" si="536">ROUND(U859*V859*W859,2)</f>
        <v>0</v>
      </c>
      <c r="Y859" s="792"/>
      <c r="Z859" s="794"/>
      <c r="AA859" s="797"/>
    </row>
    <row r="860" spans="1:29" ht="18.75" customHeight="1">
      <c r="A860" s="740"/>
      <c r="B860" s="201"/>
      <c r="C860" s="570"/>
      <c r="D860" s="573"/>
      <c r="E860" s="72"/>
      <c r="F860" s="250"/>
      <c r="G860" s="92"/>
      <c r="H860" s="88"/>
      <c r="I860" s="311"/>
      <c r="J860" s="257"/>
      <c r="K860" s="202"/>
      <c r="L860" s="202"/>
      <c r="M860" s="202"/>
      <c r="N860" s="202"/>
      <c r="O860" s="202"/>
      <c r="P860" s="28"/>
      <c r="Q860" s="72">
        <f>база!$L$5</f>
        <v>231.45480000000001</v>
      </c>
      <c r="R860" s="250">
        <v>1.3</v>
      </c>
      <c r="S860" s="92">
        <f>SUMIFS(Таблица1[сумма],Таблица1[коэф],"1,3",Таблица1[р/р],"4/16",Таблица1[Ф. И. О.],B858)</f>
        <v>0</v>
      </c>
      <c r="T860" s="88">
        <f t="shared" si="535"/>
        <v>0</v>
      </c>
      <c r="U860" s="292">
        <f>база!$M$5</f>
        <v>247.41720000000001</v>
      </c>
      <c r="V860" s="250">
        <v>1.3</v>
      </c>
      <c r="W860" s="285">
        <f>SUMIFS(Таблица1[сумма],Таблица1[коэф],"1,3",Таблица1[р/р],"4/24",Таблица1[Ф. И. О.],B858)</f>
        <v>0</v>
      </c>
      <c r="X860" s="291">
        <f t="shared" si="536"/>
        <v>0</v>
      </c>
      <c r="Y860" s="792"/>
      <c r="Z860" s="794"/>
      <c r="AA860" s="797"/>
    </row>
    <row r="861" spans="1:29" ht="18.75" customHeight="1">
      <c r="A861" s="740"/>
      <c r="B861" s="201"/>
      <c r="C861" s="570"/>
      <c r="D861" s="573"/>
      <c r="E861" s="72"/>
      <c r="F861" s="250"/>
      <c r="G861" s="92"/>
      <c r="H861" s="88"/>
      <c r="I861" s="311"/>
      <c r="J861" s="257"/>
      <c r="K861" s="202"/>
      <c r="L861" s="202"/>
      <c r="M861" s="202"/>
      <c r="N861" s="202"/>
      <c r="O861" s="202"/>
      <c r="P861" s="28"/>
      <c r="Q861" s="72">
        <f>IF(D853&lt;=3,база!$L$4,
IF(D853=4,база!$L$5,
IF(D853=5,база!$L$6)))</f>
        <v>210.57480000000001</v>
      </c>
      <c r="R861" s="250">
        <v>1.4</v>
      </c>
      <c r="S861" s="92">
        <f>SUMIFS(Таблица1[сумма],Таблица1[коэф],"1,4",Таблица1[р/р],"3/16",Таблица1[Ф. И. О.],B858)</f>
        <v>0</v>
      </c>
      <c r="T861" s="88">
        <f>ROUND(Q861*R861*S861,2)</f>
        <v>0</v>
      </c>
      <c r="U861" s="292">
        <f>IF(D853&lt;=3,база!$M$4,
IF(D853=4,база!$M$5,
IF(D853=5,база!$M$6)))</f>
        <v>225.09719999999999</v>
      </c>
      <c r="V861" s="250">
        <v>1.4</v>
      </c>
      <c r="W861" s="285">
        <f>SUMIFS(Таблица1[сумма],Таблица1[коэф],"1,4",Таблица1[р/р],"3/24",Таблица1[Ф. И. О.],B858)</f>
        <v>0</v>
      </c>
      <c r="X861" s="291">
        <f>ROUND(U861*V861*W861,2)</f>
        <v>0</v>
      </c>
      <c r="Y861" s="792"/>
      <c r="Z861" s="794"/>
      <c r="AA861" s="797"/>
    </row>
    <row r="862" spans="1:29" ht="18.75" customHeight="1">
      <c r="A862" s="740"/>
      <c r="B862" s="201"/>
      <c r="C862" s="570"/>
      <c r="D862" s="573"/>
      <c r="E862" s="72"/>
      <c r="F862" s="250"/>
      <c r="G862" s="92"/>
      <c r="H862" s="88"/>
      <c r="I862" s="311"/>
      <c r="J862" s="257"/>
      <c r="K862" s="202"/>
      <c r="L862" s="202"/>
      <c r="M862" s="202"/>
      <c r="N862" s="202"/>
      <c r="O862" s="202"/>
      <c r="P862" s="28"/>
      <c r="Q862" s="72">
        <f>база!$L$5</f>
        <v>231.45480000000001</v>
      </c>
      <c r="R862" s="250">
        <v>1.4</v>
      </c>
      <c r="S862" s="92">
        <f>SUMIFS(Таблица1[сумма],Таблица1[коэф],"1,4",Таблица1[р/р],"4/16",Таблица1[Ф. И. О.],B858)</f>
        <v>0</v>
      </c>
      <c r="T862" s="88">
        <f>ROUND(Q862*R862*S862,2)</f>
        <v>0</v>
      </c>
      <c r="U862" s="292">
        <f>база!$M$5</f>
        <v>247.41720000000001</v>
      </c>
      <c r="V862" s="250">
        <v>1.4</v>
      </c>
      <c r="W862" s="285">
        <f>SUMIFS(Таблица1[сумма],Таблица1[коэф],"1,4",Таблица1[р/р],"4/24",Таблица1[Ф. И. О.],B858)</f>
        <v>0</v>
      </c>
      <c r="X862" s="291">
        <f>ROUND(U862*V862*W862,2)</f>
        <v>0</v>
      </c>
      <c r="Y862" s="792"/>
      <c r="Z862" s="794"/>
      <c r="AA862" s="797"/>
    </row>
    <row r="863" spans="1:29" ht="19.5" customHeight="1" thickBot="1">
      <c r="A863" s="741"/>
      <c r="B863" s="329"/>
      <c r="C863" s="571"/>
      <c r="D863" s="574"/>
      <c r="E863" s="95"/>
      <c r="F863" s="252"/>
      <c r="G863" s="597"/>
      <c r="H863" s="84"/>
      <c r="I863" s="598"/>
      <c r="J863" s="258"/>
      <c r="K863" s="599"/>
      <c r="L863" s="267"/>
      <c r="M863" s="598"/>
      <c r="N863" s="599"/>
      <c r="O863" s="599"/>
      <c r="P863" s="293"/>
      <c r="Q863" s="600">
        <f>база!$L$6</f>
        <v>261.04640000000001</v>
      </c>
      <c r="R863" s="252">
        <v>1.4</v>
      </c>
      <c r="S863" s="91">
        <f>SUMIFS(Таблица1[сумма],Таблица1[коэф],"1,4",Таблица1[р/р],"5/16",Таблица1[Ф. И. О.],B858)</f>
        <v>0</v>
      </c>
      <c r="T863" s="84">
        <f>ROUND(Q863*R863*S863,2)</f>
        <v>0</v>
      </c>
      <c r="U863" s="206">
        <f>база!$M$6</f>
        <v>279.0496</v>
      </c>
      <c r="V863" s="252">
        <v>1.4</v>
      </c>
      <c r="W863" s="91">
        <f>SUMIFS(Таблица1[сумма],Таблица1[коэф],"1,4",Таблица1[р/р],"5/24",Таблица1[Ф. И. О.],B858)</f>
        <v>0</v>
      </c>
      <c r="X863" s="84">
        <f>ROUND(U863*V863*W863,2)</f>
        <v>0</v>
      </c>
      <c r="Y863" s="793"/>
      <c r="Z863" s="795"/>
      <c r="AA863" s="798"/>
    </row>
    <row r="864" spans="1:29" ht="18.75" customHeight="1">
      <c r="A864" s="739">
        <v>79</v>
      </c>
      <c r="B864" s="201"/>
      <c r="C864" s="570">
        <f>INDEX(база!$E$2:$E$181, MATCH(B869,база!$B$2:$B$160,0))</f>
        <v>0</v>
      </c>
      <c r="D864" s="573">
        <f>INDEX(база!$D$2:$D$189, MATCH(B869,база!$B$2:$B$160,0))</f>
        <v>0</v>
      </c>
      <c r="E864" s="68">
        <f>IF(D864&lt;=3,база!$I$4,
IF(D864=4,база!$I$5,
IF(D864=5,база!$I$6)))</f>
        <v>188.7912</v>
      </c>
      <c r="F864" s="249">
        <v>1</v>
      </c>
      <c r="G864" s="90">
        <f>SUMIFS(Таблица1[сумма],Таблица1[коэф],"1",Таблица1[р/р],"2/4",Таблица1[Ф. И. О.],B869)</f>
        <v>0</v>
      </c>
      <c r="H864" s="96">
        <f>ROUND(E864*F864*G864,2)</f>
        <v>0</v>
      </c>
      <c r="I864" s="321">
        <f>IF(D864&lt;=3,база!$J$4,
IF(D864=4,база!$J$5,
IF(D864=5,база!$J$6)))</f>
        <v>196.05240000000001</v>
      </c>
      <c r="J864" s="256">
        <v>1</v>
      </c>
      <c r="K864" s="287">
        <f>SUMIFS(Таблица1[сумма],Таблица1[коэф],"1",Таблица1[р/р],"2/8",Таблица1[Ф. И. О.],B869)</f>
        <v>0</v>
      </c>
      <c r="L864" s="287">
        <f>ROUND(I864*J864*K864,2)</f>
        <v>0</v>
      </c>
      <c r="M864" s="287"/>
      <c r="N864" s="287">
        <v>1</v>
      </c>
      <c r="O864" s="287">
        <f>SUMIFS(Data_Tech!$AM$3:$AM$67,Data_Tech!$E$3:$E$67,"1",Data_Tech!$G$3:$G$67,"3/12",Data_Tech!$F$3:$F$67,B869)</f>
        <v>0</v>
      </c>
      <c r="P864" s="260">
        <f>ROUND(M864*N864*O864,2)</f>
        <v>0</v>
      </c>
      <c r="Q864" s="68">
        <f>IF(D864&lt;=3,база!$L$4,
IF(D864=4,база!$L$5,
IF(D864=5,база!$L$6)))</f>
        <v>210.57480000000001</v>
      </c>
      <c r="R864" s="249">
        <v>1</v>
      </c>
      <c r="S864" s="90">
        <f>SUMIFS(Таблица1[сумма],Таблица1[коэф],"1",Таблица1[р/р],"3/16",Таблица1[Ф. И. О.],B869)</f>
        <v>0</v>
      </c>
      <c r="T864" s="96">
        <f t="shared" ref="T864:T868" si="537">ROUND(Q864*R864*S864,2)</f>
        <v>0</v>
      </c>
      <c r="U864" s="326">
        <f>IF(D864&lt;=3,база!$M$4,
IF(D864=4,база!$M$5,
IF(D864=5,база!$M$6)))</f>
        <v>225.09719999999999</v>
      </c>
      <c r="V864" s="249">
        <v>1</v>
      </c>
      <c r="W864" s="314">
        <f>SUMIFS(Таблица1[сумма],Таблица1[коэф],"1",Таблица1[р/р],"3/24",Таблица1[Ф. И. О.],B869)</f>
        <v>0</v>
      </c>
      <c r="X864" s="328">
        <f>ROUND(U864*V864*W864,2)</f>
        <v>0</v>
      </c>
      <c r="Y864" s="791">
        <f t="shared" ref="Y864" si="538">SUM(G864:G874,K864:K874,O864:O874,S864:S874,W864:W874)</f>
        <v>0</v>
      </c>
      <c r="Z864" s="794">
        <f t="shared" ref="Z864" si="539">IFERROR(SUM(H864:H874,L864:L874,T864:T874,X864:X874),"")</f>
        <v>0</v>
      </c>
      <c r="AA864" s="796"/>
    </row>
    <row r="865" spans="1:29" ht="18.75" customHeight="1">
      <c r="A865" s="740"/>
      <c r="B865" s="201"/>
      <c r="C865" s="570"/>
      <c r="D865" s="573"/>
      <c r="E865" s="72">
        <f>IF(D864&lt;=3,база!$I$4,
IF(D864=4,база!$I$5,
IF(D864=5,база!$I$6)))</f>
        <v>188.7912</v>
      </c>
      <c r="F865" s="250">
        <v>1</v>
      </c>
      <c r="G865" s="92">
        <f>SUMIFS(Таблица1[сумма],Таблица1[коэф],"1",Таблица1[р/р],"3/4",Таблица1[Ф. И. О.],B869)</f>
        <v>0</v>
      </c>
      <c r="H865" s="88">
        <f>ROUND(E865*F865*G865,2)</f>
        <v>0</v>
      </c>
      <c r="I865" s="311">
        <f>IF(D864&lt;=3,база!$J$4,
IF(D864=4,база!$J$5,
IF(D864=5,база!$J$6)))</f>
        <v>196.05240000000001</v>
      </c>
      <c r="J865" s="257">
        <v>1</v>
      </c>
      <c r="K865" s="202"/>
      <c r="L865" s="202">
        <f>ROUND(I865*J865*K865,2)</f>
        <v>0</v>
      </c>
      <c r="M865" s="202"/>
      <c r="N865" s="202">
        <v>1</v>
      </c>
      <c r="O865" s="202">
        <f>SUMIFS(Data_Tech!$AM$3:$AM$67,Data_Tech!$E$3:$E$67,"1",Data_Tech!$G$3:$G$67,"4/12",Data_Tech!$F$3:$F$67,B869)</f>
        <v>0</v>
      </c>
      <c r="P865" s="28">
        <f>ROUND(M865*O865,2)</f>
        <v>0</v>
      </c>
      <c r="Q865" s="72">
        <f>база!$L$5</f>
        <v>231.45480000000001</v>
      </c>
      <c r="R865" s="250">
        <v>1</v>
      </c>
      <c r="S865" s="92">
        <f>SUMIFS(Таблица1[сумма],Таблица1[коэф],"1",Таблица1[р/р],"4/16",Таблица1[Ф. И. О.],B869)</f>
        <v>0</v>
      </c>
      <c r="T865" s="88">
        <f t="shared" si="537"/>
        <v>0</v>
      </c>
      <c r="U865" s="292">
        <f>база!$M$5</f>
        <v>247.41720000000001</v>
      </c>
      <c r="V865" s="250">
        <v>1</v>
      </c>
      <c r="W865" s="285">
        <f>SUMIFS(Таблица1[сумма],Таблица1[коэф],"1",Таблица1[р/р],"4/24",Таблица1[Ф. И. О.],B869)</f>
        <v>0</v>
      </c>
      <c r="X865" s="291">
        <f t="shared" ref="X865" si="540">ROUND(U865*V865*W865,2)</f>
        <v>0</v>
      </c>
      <c r="Y865" s="792"/>
      <c r="Z865" s="794"/>
      <c r="AA865" s="797"/>
    </row>
    <row r="866" spans="1:29" ht="18.75" customHeight="1">
      <c r="A866" s="740"/>
      <c r="B866" s="201"/>
      <c r="C866" s="570"/>
      <c r="D866" s="573"/>
      <c r="E866" s="72"/>
      <c r="F866" s="250"/>
      <c r="G866" s="92"/>
      <c r="H866" s="88"/>
      <c r="I866" s="311"/>
      <c r="J866" s="257"/>
      <c r="K866" s="202"/>
      <c r="L866" s="202"/>
      <c r="M866" s="202"/>
      <c r="N866" s="202"/>
      <c r="O866" s="202"/>
      <c r="P866" s="28"/>
      <c r="Q866" s="72">
        <f>база!$L$6</f>
        <v>261.04640000000001</v>
      </c>
      <c r="R866" s="250">
        <v>1</v>
      </c>
      <c r="S866" s="92">
        <f>SUMIFS(Таблица1[сумма],Таблица1[коэф],"1",Таблица1[р/р],"5/16",Таблица1[Ф. И. О.],B869)</f>
        <v>0</v>
      </c>
      <c r="T866" s="88">
        <f t="shared" si="537"/>
        <v>0</v>
      </c>
      <c r="U866" s="292">
        <f>база!$M$6</f>
        <v>279.0496</v>
      </c>
      <c r="V866" s="250">
        <v>1</v>
      </c>
      <c r="W866" s="285">
        <f>SUMIFS(Таблица1[сумма],Таблица1[коэф],"1",Таблица1[р/р],"5/24",Таблица1[Ф. И. О.],B869)</f>
        <v>0</v>
      </c>
      <c r="X866" s="291">
        <f>ROUND(U866*V866*W866,2)</f>
        <v>0</v>
      </c>
      <c r="Y866" s="792"/>
      <c r="Z866" s="794"/>
      <c r="AA866" s="797"/>
    </row>
    <row r="867" spans="1:29" ht="18.75" customHeight="1">
      <c r="A867" s="740"/>
      <c r="B867" s="201"/>
      <c r="C867" s="570"/>
      <c r="D867" s="573"/>
      <c r="E867" s="72"/>
      <c r="F867" s="250"/>
      <c r="G867" s="92"/>
      <c r="H867" s="88"/>
      <c r="I867" s="311">
        <f>база!$J$5</f>
        <v>215.4924</v>
      </c>
      <c r="J867" s="257">
        <v>1.5</v>
      </c>
      <c r="K867" s="202">
        <f>SUMIFS(Таблица1[сумма],Таблица1[коэф],"1,5",Таблица1[р/р],"4/8",Таблица1[Ф. И. О.],B869)</f>
        <v>0</v>
      </c>
      <c r="L867" s="202">
        <f>ROUND(I867*J867*K867,2)</f>
        <v>0</v>
      </c>
      <c r="M867" s="202"/>
      <c r="N867" s="202"/>
      <c r="O867" s="202"/>
      <c r="P867" s="28"/>
      <c r="Q867" s="72">
        <f>IF(D864&lt;=3,база!$L$4,
IF(D864=4,база!$L$5,
IF(D864=5,база!$L$6)))</f>
        <v>210.57480000000001</v>
      </c>
      <c r="R867" s="250">
        <v>1.2</v>
      </c>
      <c r="S867" s="92">
        <f>SUMIFS(Таблица1[сумма],Таблица1[коэф],"1,2",Таблица1[р/р],"3/16",Таблица1[Ф. И. О.],B869)</f>
        <v>0</v>
      </c>
      <c r="T867" s="88">
        <f t="shared" si="537"/>
        <v>0</v>
      </c>
      <c r="U867" s="292">
        <f>IF(D864&lt;=3,база!$M$4,
IF(D864=4,база!$M$5,
IF(D864=5,база!$M$6)))</f>
        <v>225.09719999999999</v>
      </c>
      <c r="V867" s="250">
        <v>1.2</v>
      </c>
      <c r="W867" s="285">
        <f>SUMIFS(Таблица1[сумма],Таблица1[коэф],"1,2",Таблица1[р/р],"3/24",Таблица1[Ф. И. О.],B869)</f>
        <v>0</v>
      </c>
      <c r="X867" s="291">
        <f t="shared" ref="X867:X868" si="541">ROUND(U867*V867*W867,2)</f>
        <v>0</v>
      </c>
      <c r="Y867" s="792"/>
      <c r="Z867" s="794"/>
      <c r="AA867" s="797"/>
    </row>
    <row r="868" spans="1:29" ht="18.75" customHeight="1">
      <c r="A868" s="740"/>
      <c r="B868" s="201"/>
      <c r="C868" s="570"/>
      <c r="D868" s="573"/>
      <c r="E868" s="72"/>
      <c r="F868" s="250"/>
      <c r="G868" s="92"/>
      <c r="H868" s="88"/>
      <c r="I868" s="311">
        <f>база!$J$6</f>
        <v>243.04319999999998</v>
      </c>
      <c r="J868" s="257">
        <v>1.5</v>
      </c>
      <c r="K868" s="202">
        <f>SUMIFS(Таблица1[сумма],Таблица1[коэф],"1,5",Таблица1[р/р],"5/8",Таблица1[Ф. И. О.],B869)</f>
        <v>0</v>
      </c>
      <c r="L868" s="202">
        <f>ROUND(I868*J868*K868,2)</f>
        <v>0</v>
      </c>
      <c r="M868" s="202"/>
      <c r="N868" s="202"/>
      <c r="O868" s="202"/>
      <c r="P868" s="28"/>
      <c r="Q868" s="72">
        <f>база!$L$5</f>
        <v>231.45480000000001</v>
      </c>
      <c r="R868" s="250">
        <v>1.2</v>
      </c>
      <c r="S868" s="92">
        <f>SUMIFS(Таблица1[сумма],Таблица1[коэф],"1,2",Таблица1[р/р],"4/16",Таблица1[Ф. И. О.],B869)</f>
        <v>0</v>
      </c>
      <c r="T868" s="88">
        <f t="shared" si="537"/>
        <v>0</v>
      </c>
      <c r="U868" s="292">
        <f>база!$M$5</f>
        <v>247.41720000000001</v>
      </c>
      <c r="V868" s="250">
        <v>1.2</v>
      </c>
      <c r="W868" s="285">
        <f>SUMIFS(Таблица1[сумма],Таблица1[коэф],"1,2",Таблица1[р/р],"4/24",Таблица1[Ф. И. О.],B869)</f>
        <v>0</v>
      </c>
      <c r="X868" s="291">
        <f t="shared" si="541"/>
        <v>0</v>
      </c>
      <c r="Y868" s="792"/>
      <c r="Z868" s="794"/>
      <c r="AA868" s="797"/>
      <c r="AC868" s="688" t="str">
        <f>IF(SUMIFS(Таблица1[Столбец2],Таблица1[Ф. И. О.],B869)-Z864=0,"",SUMIFS(Таблица1[Столбец2],Таблица1[Ф. И. О.],B869)-Z864)</f>
        <v/>
      </c>
    </row>
    <row r="869" spans="1:29" ht="18.75" customHeight="1">
      <c r="A869" s="740"/>
      <c r="B869" s="201">
        <f>база!B80</f>
        <v>0</v>
      </c>
      <c r="C869" s="570"/>
      <c r="D869" s="573"/>
      <c r="E869" s="72"/>
      <c r="F869" s="250"/>
      <c r="G869" s="92"/>
      <c r="H869" s="88"/>
      <c r="I869" s="311"/>
      <c r="J869" s="257"/>
      <c r="K869" s="202"/>
      <c r="L869" s="202"/>
      <c r="M869" s="202"/>
      <c r="N869" s="202"/>
      <c r="O869" s="202"/>
      <c r="P869" s="28"/>
      <c r="Q869" s="72">
        <f>база!$L$6</f>
        <v>261.04640000000001</v>
      </c>
      <c r="R869" s="250">
        <v>1.2</v>
      </c>
      <c r="S869" s="92">
        <f>SUMIFS(Таблица1[сумма],Таблица1[коэф],"1,2",Таблица1[р/р],"5/16",Таблица1[Ф. И. О.],B869)</f>
        <v>0</v>
      </c>
      <c r="T869" s="88">
        <f>ROUND(Q869*R869*S869,2)</f>
        <v>0</v>
      </c>
      <c r="U869" s="292">
        <f>база!$M$6</f>
        <v>279.0496</v>
      </c>
      <c r="V869" s="250">
        <v>1.2</v>
      </c>
      <c r="W869" s="285">
        <f>SUMIFS(Таблица1[сумма],Таблица1[коэф],"1,2",Таблица1[р/р],"5/24",Таблица1[Ф. И. О.],B869)</f>
        <v>0</v>
      </c>
      <c r="X869" s="291">
        <f>ROUND(U869*V869*W869,2)</f>
        <v>0</v>
      </c>
      <c r="Y869" s="792"/>
      <c r="Z869" s="794"/>
      <c r="AA869" s="797"/>
      <c r="AC869" s="688" t="str">
        <f>IF(SUMIFS(Таблица1[сумма],Таблица1[Ф. И. О.],B869)=Y864,"",B864&amp;"  часы не верны")</f>
        <v/>
      </c>
    </row>
    <row r="870" spans="1:29" ht="18.75" customHeight="1">
      <c r="A870" s="740"/>
      <c r="B870" s="201"/>
      <c r="C870" s="570"/>
      <c r="D870" s="573"/>
      <c r="E870" s="72"/>
      <c r="F870" s="250"/>
      <c r="G870" s="92"/>
      <c r="H870" s="88"/>
      <c r="I870" s="311"/>
      <c r="J870" s="257"/>
      <c r="K870" s="202"/>
      <c r="L870" s="202"/>
      <c r="M870" s="202"/>
      <c r="N870" s="202"/>
      <c r="O870" s="202"/>
      <c r="P870" s="28"/>
      <c r="Q870" s="72">
        <f>IF($D$6&lt;=3,база!$L$4,
IF($D$6=4,база!$L$5,
IF($D$6=5,база!$L$6)))</f>
        <v>231.45480000000001</v>
      </c>
      <c r="R870" s="250">
        <v>1.3</v>
      </c>
      <c r="S870" s="92">
        <f>SUMIFS(Таблица1[сумма],Таблица1[коэф],"1,3",Таблица1[р/р],"3/16",Таблица1[Ф. И. О.],B869)</f>
        <v>0</v>
      </c>
      <c r="T870" s="88">
        <f t="shared" ref="T870:T871" si="542">ROUND(Q870*R870*S870,2)</f>
        <v>0</v>
      </c>
      <c r="U870" s="292">
        <f>IF(D864&lt;=3,база!$M$4,
IF(D864=4,база!$M$5,
IF(D864=5,база!$M$6)))</f>
        <v>225.09719999999999</v>
      </c>
      <c r="V870" s="250">
        <v>1.3</v>
      </c>
      <c r="W870" s="285">
        <f>SUMIFS(Таблица1[сумма],Таблица1[коэф],"1,3",Таблица1[р/р],"3/24",Таблица1[Ф. И. О.],B869)</f>
        <v>0</v>
      </c>
      <c r="X870" s="291">
        <f t="shared" ref="X870:X871" si="543">ROUND(U870*V870*W870,2)</f>
        <v>0</v>
      </c>
      <c r="Y870" s="792"/>
      <c r="Z870" s="794"/>
      <c r="AA870" s="797"/>
    </row>
    <row r="871" spans="1:29" ht="18.75" customHeight="1">
      <c r="A871" s="740"/>
      <c r="B871" s="201"/>
      <c r="C871" s="570"/>
      <c r="D871" s="573"/>
      <c r="E871" s="72"/>
      <c r="F871" s="250"/>
      <c r="G871" s="92"/>
      <c r="H871" s="88"/>
      <c r="I871" s="311"/>
      <c r="J871" s="257"/>
      <c r="K871" s="202"/>
      <c r="L871" s="202"/>
      <c r="M871" s="202"/>
      <c r="N871" s="202"/>
      <c r="O871" s="202"/>
      <c r="P871" s="28"/>
      <c r="Q871" s="72">
        <f>база!$L$5</f>
        <v>231.45480000000001</v>
      </c>
      <c r="R871" s="250">
        <v>1.3</v>
      </c>
      <c r="S871" s="92">
        <f>SUMIFS(Таблица1[сумма],Таблица1[коэф],"1,3",Таблица1[р/р],"4/16",Таблица1[Ф. И. О.],B869)</f>
        <v>0</v>
      </c>
      <c r="T871" s="88">
        <f t="shared" si="542"/>
        <v>0</v>
      </c>
      <c r="U871" s="292">
        <f>база!$M$5</f>
        <v>247.41720000000001</v>
      </c>
      <c r="V871" s="250">
        <v>1.3</v>
      </c>
      <c r="W871" s="285">
        <f>SUMIFS(Таблица1[сумма],Таблица1[коэф],"1,3",Таблица1[р/р],"4/24",Таблица1[Ф. И. О.],B869)</f>
        <v>0</v>
      </c>
      <c r="X871" s="291">
        <f t="shared" si="543"/>
        <v>0</v>
      </c>
      <c r="Y871" s="792"/>
      <c r="Z871" s="794"/>
      <c r="AA871" s="797"/>
    </row>
    <row r="872" spans="1:29" ht="18.75" customHeight="1">
      <c r="A872" s="740"/>
      <c r="B872" s="201"/>
      <c r="C872" s="570"/>
      <c r="D872" s="573"/>
      <c r="E872" s="72"/>
      <c r="F872" s="250"/>
      <c r="G872" s="92"/>
      <c r="H872" s="88"/>
      <c r="I872" s="311"/>
      <c r="J872" s="257"/>
      <c r="K872" s="202"/>
      <c r="L872" s="202"/>
      <c r="M872" s="202"/>
      <c r="N872" s="202"/>
      <c r="O872" s="202"/>
      <c r="P872" s="28"/>
      <c r="Q872" s="72">
        <f>IF(D864&lt;=3,база!$L$4,
IF(D864=4,база!$L$5,
IF(D864=5,база!$L$6)))</f>
        <v>210.57480000000001</v>
      </c>
      <c r="R872" s="250">
        <v>1.4</v>
      </c>
      <c r="S872" s="92">
        <f>SUMIFS(Таблица1[сумма],Таблица1[коэф],"1,4",Таблица1[р/р],"3/16",Таблица1[Ф. И. О.],B869)</f>
        <v>0</v>
      </c>
      <c r="T872" s="88">
        <f>ROUND(Q872*R872*S872,2)</f>
        <v>0</v>
      </c>
      <c r="U872" s="292">
        <f>IF(D864&lt;=3,база!$M$4,
IF(D864=4,база!$M$5,
IF(D864=5,база!$M$6)))</f>
        <v>225.09719999999999</v>
      </c>
      <c r="V872" s="250">
        <v>1.4</v>
      </c>
      <c r="W872" s="285">
        <f>SUMIFS(Таблица1[сумма],Таблица1[коэф],"1,4",Таблица1[р/р],"3/24",Таблица1[Ф. И. О.],B869)</f>
        <v>0</v>
      </c>
      <c r="X872" s="291">
        <f>ROUND(U872*V872*W872,2)</f>
        <v>0</v>
      </c>
      <c r="Y872" s="792"/>
      <c r="Z872" s="794"/>
      <c r="AA872" s="797"/>
    </row>
    <row r="873" spans="1:29" ht="18.75" customHeight="1">
      <c r="A873" s="740"/>
      <c r="B873" s="201"/>
      <c r="C873" s="570"/>
      <c r="D873" s="573"/>
      <c r="E873" s="72"/>
      <c r="F873" s="250"/>
      <c r="G873" s="92"/>
      <c r="H873" s="88"/>
      <c r="I873" s="311"/>
      <c r="J873" s="257"/>
      <c r="K873" s="202"/>
      <c r="L873" s="202"/>
      <c r="M873" s="202"/>
      <c r="N873" s="202"/>
      <c r="O873" s="202"/>
      <c r="P873" s="28"/>
      <c r="Q873" s="72">
        <f>база!$L$5</f>
        <v>231.45480000000001</v>
      </c>
      <c r="R873" s="250">
        <v>1.4</v>
      </c>
      <c r="S873" s="92">
        <f>SUMIFS(Таблица1[сумма],Таблица1[коэф],"1,4",Таблица1[р/р],"4/16",Таблица1[Ф. И. О.],B869)</f>
        <v>0</v>
      </c>
      <c r="T873" s="88">
        <f>ROUND(Q873*R873*S873,2)</f>
        <v>0</v>
      </c>
      <c r="U873" s="292">
        <f>база!$M$5</f>
        <v>247.41720000000001</v>
      </c>
      <c r="V873" s="250">
        <v>1.4</v>
      </c>
      <c r="W873" s="285">
        <f>SUMIFS(Таблица1[сумма],Таблица1[коэф],"1,4",Таблица1[р/р],"4/24",Таблица1[Ф. И. О.],B869)</f>
        <v>0</v>
      </c>
      <c r="X873" s="291">
        <f>ROUND(U873*V873*W873,2)</f>
        <v>0</v>
      </c>
      <c r="Y873" s="792"/>
      <c r="Z873" s="794"/>
      <c r="AA873" s="797"/>
    </row>
    <row r="874" spans="1:29" ht="19.5" customHeight="1" thickBot="1">
      <c r="A874" s="741"/>
      <c r="B874" s="329"/>
      <c r="C874" s="571"/>
      <c r="D874" s="574"/>
      <c r="E874" s="95"/>
      <c r="F874" s="252"/>
      <c r="G874" s="597"/>
      <c r="H874" s="84"/>
      <c r="I874" s="598"/>
      <c r="J874" s="258"/>
      <c r="K874" s="599"/>
      <c r="L874" s="267"/>
      <c r="M874" s="598"/>
      <c r="N874" s="599"/>
      <c r="O874" s="599"/>
      <c r="P874" s="293"/>
      <c r="Q874" s="600">
        <f>база!$L$6</f>
        <v>261.04640000000001</v>
      </c>
      <c r="R874" s="252">
        <v>1.4</v>
      </c>
      <c r="S874" s="91">
        <f>SUMIFS(Таблица1[сумма],Таблица1[коэф],"1,4",Таблица1[р/р],"5/16",Таблица1[Ф. И. О.],B869)</f>
        <v>0</v>
      </c>
      <c r="T874" s="84">
        <f>ROUND(Q874*R874*S874,2)</f>
        <v>0</v>
      </c>
      <c r="U874" s="206">
        <f>база!$M$6</f>
        <v>279.0496</v>
      </c>
      <c r="V874" s="252">
        <v>1.4</v>
      </c>
      <c r="W874" s="91">
        <f>SUMIFS(Таблица1[сумма],Таблица1[коэф],"1,4",Таблица1[р/р],"5/24",Таблица1[Ф. И. О.],B869)</f>
        <v>0</v>
      </c>
      <c r="X874" s="84">
        <f>ROUND(U874*V874*W874,2)</f>
        <v>0</v>
      </c>
      <c r="Y874" s="793"/>
      <c r="Z874" s="795"/>
      <c r="AA874" s="798"/>
    </row>
    <row r="875" spans="1:29" ht="18.75" customHeight="1">
      <c r="A875" s="739">
        <v>80</v>
      </c>
      <c r="B875" s="201"/>
      <c r="C875" s="570">
        <f>INDEX(база!$E$2:$E$181, MATCH(B880,база!$B$2:$B$160,0))</f>
        <v>0</v>
      </c>
      <c r="D875" s="573">
        <f>INDEX(база!$D$2:$D$189, MATCH(B880,база!$B$2:$B$160,0))</f>
        <v>0</v>
      </c>
      <c r="E875" s="68">
        <f>IF(D875&lt;=3,база!$I$4,
IF(D875=4,база!$I$5,
IF(D875=5,база!$I$6)))</f>
        <v>188.7912</v>
      </c>
      <c r="F875" s="249">
        <v>1</v>
      </c>
      <c r="G875" s="90">
        <f>SUMIFS(Таблица1[сумма],Таблица1[коэф],"1",Таблица1[р/р],"2/4",Таблица1[Ф. И. О.],B880)</f>
        <v>0</v>
      </c>
      <c r="H875" s="96">
        <f>ROUND(E875*F875*G875,2)</f>
        <v>0</v>
      </c>
      <c r="I875" s="321">
        <f>IF(D875&lt;=3,база!$J$4,
IF(D875=4,база!$J$5,
IF(D875=5,база!$J$6)))</f>
        <v>196.05240000000001</v>
      </c>
      <c r="J875" s="256">
        <v>1</v>
      </c>
      <c r="K875" s="287">
        <f>SUMIFS(Таблица1[сумма],Таблица1[коэф],"1",Таблица1[р/р],"2/8",Таблица1[Ф. И. О.],B880)</f>
        <v>0</v>
      </c>
      <c r="L875" s="287">
        <f>ROUND(I875*J875*K875,2)</f>
        <v>0</v>
      </c>
      <c r="M875" s="287"/>
      <c r="N875" s="287">
        <v>1</v>
      </c>
      <c r="O875" s="287">
        <f>SUMIFS(Data_Tech!$AM$3:$AM$67,Data_Tech!$E$3:$E$67,"1",Data_Tech!$G$3:$G$67,"3/12",Data_Tech!$F$3:$F$67,B880)</f>
        <v>0</v>
      </c>
      <c r="P875" s="260">
        <f>ROUND(M875*N875*O875,2)</f>
        <v>0</v>
      </c>
      <c r="Q875" s="68">
        <f>IF(D875&lt;=3,база!$L$4,
IF(D875=4,база!$L$5,
IF(D875=5,база!$L$6)))</f>
        <v>210.57480000000001</v>
      </c>
      <c r="R875" s="249">
        <v>1</v>
      </c>
      <c r="S875" s="90">
        <f>SUMIFS(Таблица1[сумма],Таблица1[коэф],"1",Таблица1[р/р],"3/16",Таблица1[Ф. И. О.],B880)</f>
        <v>0</v>
      </c>
      <c r="T875" s="96">
        <f t="shared" ref="T875:T879" si="544">ROUND(Q875*R875*S875,2)</f>
        <v>0</v>
      </c>
      <c r="U875" s="326">
        <f>IF(D875&lt;=3,база!$M$4,
IF(D875=4,база!$M$5,
IF(D875=5,база!$M$6)))</f>
        <v>225.09719999999999</v>
      </c>
      <c r="V875" s="249">
        <v>1</v>
      </c>
      <c r="W875" s="314">
        <f>SUMIFS(Таблица1[сумма],Таблица1[коэф],"1",Таблица1[р/р],"3/24",Таблица1[Ф. И. О.],B880)</f>
        <v>0</v>
      </c>
      <c r="X875" s="328">
        <f>ROUND(U875*V875*W875,2)</f>
        <v>0</v>
      </c>
      <c r="Y875" s="791">
        <f t="shared" ref="Y875" si="545">SUM(G875:G885,K875:K885,O875:O885,S875:S885,W875:W885)</f>
        <v>0</v>
      </c>
      <c r="Z875" s="794">
        <f t="shared" ref="Z875" si="546">IFERROR(SUM(H875:H885,L875:L885,T875:T885,X875:X885),"")</f>
        <v>0</v>
      </c>
      <c r="AA875" s="796"/>
    </row>
    <row r="876" spans="1:29" ht="18.75" customHeight="1">
      <c r="A876" s="740"/>
      <c r="B876" s="201"/>
      <c r="C876" s="570"/>
      <c r="D876" s="573"/>
      <c r="E876" s="72">
        <f>IF(D875&lt;=3,база!$I$4,
IF(D875=4,база!$I$5,
IF(D875=5,база!$I$6)))</f>
        <v>188.7912</v>
      </c>
      <c r="F876" s="250">
        <v>1</v>
      </c>
      <c r="G876" s="92">
        <f>SUMIFS(Таблица1[сумма],Таблица1[коэф],"1",Таблица1[р/р],"3/4",Таблица1[Ф. И. О.],B880)</f>
        <v>0</v>
      </c>
      <c r="H876" s="88">
        <f>ROUND(E876*F876*G876,2)</f>
        <v>0</v>
      </c>
      <c r="I876" s="311">
        <f>IF(D875&lt;=3,база!$J$4,
IF(D875=4,база!$J$5,
IF(D875=5,база!$J$6)))</f>
        <v>196.05240000000001</v>
      </c>
      <c r="J876" s="257">
        <v>1</v>
      </c>
      <c r="K876" s="202"/>
      <c r="L876" s="202">
        <f>ROUND(I876*J876*K876,2)</f>
        <v>0</v>
      </c>
      <c r="M876" s="202"/>
      <c r="N876" s="202">
        <v>1</v>
      </c>
      <c r="O876" s="202">
        <f>SUMIFS(Data_Tech!$AM$3:$AM$67,Data_Tech!$E$3:$E$67,"1",Data_Tech!$G$3:$G$67,"4/12",Data_Tech!$F$3:$F$67,B880)</f>
        <v>0</v>
      </c>
      <c r="P876" s="28">
        <f>ROUND(M876*O876,2)</f>
        <v>0</v>
      </c>
      <c r="Q876" s="72">
        <f>база!$L$5</f>
        <v>231.45480000000001</v>
      </c>
      <c r="R876" s="250">
        <v>1</v>
      </c>
      <c r="S876" s="92">
        <f>SUMIFS(Таблица1[сумма],Таблица1[коэф],"1",Таблица1[р/р],"4/16",Таблица1[Ф. И. О.],B880)</f>
        <v>0</v>
      </c>
      <c r="T876" s="88">
        <f t="shared" si="544"/>
        <v>0</v>
      </c>
      <c r="U876" s="292">
        <f>база!$M$5</f>
        <v>247.41720000000001</v>
      </c>
      <c r="V876" s="250">
        <v>1</v>
      </c>
      <c r="W876" s="285">
        <f>SUMIFS(Таблица1[сумма],Таблица1[коэф],"1",Таблица1[р/р],"4/24",Таблица1[Ф. И. О.],B880)</f>
        <v>0</v>
      </c>
      <c r="X876" s="291">
        <f t="shared" ref="X876" si="547">ROUND(U876*V876*W876,2)</f>
        <v>0</v>
      </c>
      <c r="Y876" s="792"/>
      <c r="Z876" s="794"/>
      <c r="AA876" s="797"/>
    </row>
    <row r="877" spans="1:29" ht="18.75" customHeight="1">
      <c r="A877" s="740"/>
      <c r="B877" s="201"/>
      <c r="C877" s="570"/>
      <c r="D877" s="573"/>
      <c r="E877" s="72"/>
      <c r="F877" s="250"/>
      <c r="G877" s="92"/>
      <c r="H877" s="88"/>
      <c r="I877" s="311"/>
      <c r="J877" s="257"/>
      <c r="K877" s="202"/>
      <c r="L877" s="202"/>
      <c r="M877" s="202"/>
      <c r="N877" s="202"/>
      <c r="O877" s="202"/>
      <c r="P877" s="28"/>
      <c r="Q877" s="72">
        <f>база!$L$6</f>
        <v>261.04640000000001</v>
      </c>
      <c r="R877" s="250">
        <v>1</v>
      </c>
      <c r="S877" s="92">
        <f>SUMIFS(Таблица1[сумма],Таблица1[коэф],"1",Таблица1[р/р],"5/16",Таблица1[Ф. И. О.],B880)</f>
        <v>0</v>
      </c>
      <c r="T877" s="88">
        <f t="shared" si="544"/>
        <v>0</v>
      </c>
      <c r="U877" s="292">
        <f>база!$M$6</f>
        <v>279.0496</v>
      </c>
      <c r="V877" s="250">
        <v>1</v>
      </c>
      <c r="W877" s="285">
        <f>SUMIFS(Таблица1[сумма],Таблица1[коэф],"1",Таблица1[р/р],"5/24",Таблица1[Ф. И. О.],B880)</f>
        <v>0</v>
      </c>
      <c r="X877" s="291">
        <f>ROUND(U877*V877*W877,2)</f>
        <v>0</v>
      </c>
      <c r="Y877" s="792"/>
      <c r="Z877" s="794"/>
      <c r="AA877" s="797"/>
    </row>
    <row r="878" spans="1:29" ht="18.75" customHeight="1">
      <c r="A878" s="740"/>
      <c r="B878" s="201"/>
      <c r="C878" s="570"/>
      <c r="D878" s="573"/>
      <c r="E878" s="72"/>
      <c r="F878" s="250"/>
      <c r="G878" s="92"/>
      <c r="H878" s="88"/>
      <c r="I878" s="311">
        <f>база!$J$5</f>
        <v>215.4924</v>
      </c>
      <c r="J878" s="257">
        <v>1.5</v>
      </c>
      <c r="K878" s="202">
        <f>SUMIFS(Таблица1[сумма],Таблица1[коэф],"1,5",Таблица1[р/р],"4/8",Таблица1[Ф. И. О.],B880)</f>
        <v>0</v>
      </c>
      <c r="L878" s="202">
        <f>ROUND(I878*J878*K878,2)</f>
        <v>0</v>
      </c>
      <c r="M878" s="202"/>
      <c r="N878" s="202"/>
      <c r="O878" s="202"/>
      <c r="P878" s="28"/>
      <c r="Q878" s="72">
        <f>IF(D875&lt;=3,база!$L$4,
IF(D875=4,база!$L$5,
IF(D875=5,база!$L$6)))</f>
        <v>210.57480000000001</v>
      </c>
      <c r="R878" s="250">
        <v>1.2</v>
      </c>
      <c r="S878" s="92">
        <f>SUMIFS(Таблица1[сумма],Таблица1[коэф],"1,2",Таблица1[р/р],"3/16",Таблица1[Ф. И. О.],B880)</f>
        <v>0</v>
      </c>
      <c r="T878" s="88">
        <f t="shared" si="544"/>
        <v>0</v>
      </c>
      <c r="U878" s="292">
        <f>IF(D875&lt;=3,база!$M$4,
IF(D875=4,база!$M$5,
IF(D875=5,база!$M$6)))</f>
        <v>225.09719999999999</v>
      </c>
      <c r="V878" s="250">
        <v>1.2</v>
      </c>
      <c r="W878" s="285">
        <f>SUMIFS(Таблица1[сумма],Таблица1[коэф],"1,2",Таблица1[р/р],"3/24",Таблица1[Ф. И. О.],B880)</f>
        <v>0</v>
      </c>
      <c r="X878" s="291">
        <f t="shared" ref="X878:X879" si="548">ROUND(U878*V878*W878,2)</f>
        <v>0</v>
      </c>
      <c r="Y878" s="792"/>
      <c r="Z878" s="794"/>
      <c r="AA878" s="797"/>
    </row>
    <row r="879" spans="1:29" ht="18.75" customHeight="1">
      <c r="A879" s="740"/>
      <c r="B879" s="201"/>
      <c r="C879" s="570"/>
      <c r="D879" s="573"/>
      <c r="E879" s="72"/>
      <c r="F879" s="250"/>
      <c r="G879" s="92"/>
      <c r="H879" s="88"/>
      <c r="I879" s="311">
        <f>база!$J$6</f>
        <v>243.04319999999998</v>
      </c>
      <c r="J879" s="257">
        <v>1.5</v>
      </c>
      <c r="K879" s="202">
        <f>SUMIFS(Таблица1[сумма],Таблица1[коэф],"1,5",Таблица1[р/р],"5/8",Таблица1[Ф. И. О.],B880)</f>
        <v>0</v>
      </c>
      <c r="L879" s="202">
        <f>ROUND(I879*J879*K879,2)</f>
        <v>0</v>
      </c>
      <c r="M879" s="202"/>
      <c r="N879" s="202"/>
      <c r="O879" s="202"/>
      <c r="P879" s="28"/>
      <c r="Q879" s="72">
        <f>база!$L$5</f>
        <v>231.45480000000001</v>
      </c>
      <c r="R879" s="250">
        <v>1.2</v>
      </c>
      <c r="S879" s="92">
        <f>SUMIFS(Таблица1[сумма],Таблица1[коэф],"1,2",Таблица1[р/р],"4/16",Таблица1[Ф. И. О.],B880)</f>
        <v>0</v>
      </c>
      <c r="T879" s="88">
        <f t="shared" si="544"/>
        <v>0</v>
      </c>
      <c r="U879" s="292">
        <f>база!$M$5</f>
        <v>247.41720000000001</v>
      </c>
      <c r="V879" s="250">
        <v>1.2</v>
      </c>
      <c r="W879" s="285">
        <f>SUMIFS(Таблица1[сумма],Таблица1[коэф],"1,2",Таблица1[р/р],"4/24",Таблица1[Ф. И. О.],B880)</f>
        <v>0</v>
      </c>
      <c r="X879" s="291">
        <f t="shared" si="548"/>
        <v>0</v>
      </c>
      <c r="Y879" s="792"/>
      <c r="Z879" s="794"/>
      <c r="AA879" s="797"/>
      <c r="AC879" s="688" t="str">
        <f>IF(SUMIFS(Таблица1[Столбец2],Таблица1[Ф. И. О.],B880)-Z875=0,"",SUMIFS(Таблица1[Столбец2],Таблица1[Ф. И. О.],B880)-Z875)</f>
        <v/>
      </c>
    </row>
    <row r="880" spans="1:29" ht="18.75" customHeight="1">
      <c r="A880" s="740"/>
      <c r="B880" s="201">
        <f>база!B81</f>
        <v>0</v>
      </c>
      <c r="C880" s="570"/>
      <c r="D880" s="573"/>
      <c r="E880" s="72"/>
      <c r="F880" s="250"/>
      <c r="G880" s="92"/>
      <c r="H880" s="88"/>
      <c r="I880" s="311"/>
      <c r="J880" s="257"/>
      <c r="K880" s="202"/>
      <c r="L880" s="202"/>
      <c r="M880" s="202"/>
      <c r="N880" s="202"/>
      <c r="O880" s="202"/>
      <c r="P880" s="28"/>
      <c r="Q880" s="72">
        <f>база!$L$6</f>
        <v>261.04640000000001</v>
      </c>
      <c r="R880" s="250">
        <v>1.2</v>
      </c>
      <c r="S880" s="92">
        <f>SUMIFS(Таблица1[сумма],Таблица1[коэф],"1,2",Таблица1[р/р],"5/16",Таблица1[Ф. И. О.],B880)</f>
        <v>0</v>
      </c>
      <c r="T880" s="88">
        <f>ROUND(Q880*R880*S880,2)</f>
        <v>0</v>
      </c>
      <c r="U880" s="292">
        <f>база!$M$6</f>
        <v>279.0496</v>
      </c>
      <c r="V880" s="250">
        <v>1.2</v>
      </c>
      <c r="W880" s="285">
        <f>SUMIFS(Таблица1[сумма],Таблица1[коэф],"1,2",Таблица1[р/р],"5/24",Таблица1[Ф. И. О.],B880)</f>
        <v>0</v>
      </c>
      <c r="X880" s="291">
        <f>ROUND(U880*V880*W880,2)</f>
        <v>0</v>
      </c>
      <c r="Y880" s="792"/>
      <c r="Z880" s="794"/>
      <c r="AA880" s="797"/>
      <c r="AC880" s="688" t="str">
        <f>IF(SUMIFS(Таблица1[сумма],Таблица1[Ф. И. О.],B880)=Y875,"",B875&amp;"  часы не верны")</f>
        <v/>
      </c>
    </row>
    <row r="881" spans="1:29" ht="18.75" customHeight="1">
      <c r="A881" s="740"/>
      <c r="B881" s="201"/>
      <c r="C881" s="570"/>
      <c r="D881" s="573"/>
      <c r="E881" s="72"/>
      <c r="F881" s="250"/>
      <c r="G881" s="92"/>
      <c r="H881" s="88"/>
      <c r="I881" s="311"/>
      <c r="J881" s="257"/>
      <c r="K881" s="202"/>
      <c r="L881" s="202"/>
      <c r="M881" s="202"/>
      <c r="N881" s="202"/>
      <c r="O881" s="202"/>
      <c r="P881" s="28"/>
      <c r="Q881" s="72">
        <f>IF($D$6&lt;=3,база!$L$4,
IF($D$6=4,база!$L$5,
IF($D$6=5,база!$L$6)))</f>
        <v>231.45480000000001</v>
      </c>
      <c r="R881" s="250">
        <v>1.3</v>
      </c>
      <c r="S881" s="92">
        <f>SUMIFS(Таблица1[сумма],Таблица1[коэф],"1,3",Таблица1[р/р],"3/16",Таблица1[Ф. И. О.],B880)</f>
        <v>0</v>
      </c>
      <c r="T881" s="88">
        <f t="shared" ref="T881:T882" si="549">ROUND(Q881*R881*S881,2)</f>
        <v>0</v>
      </c>
      <c r="U881" s="292">
        <f>IF(D875&lt;=3,база!$M$4,
IF(D875=4,база!$M$5,
IF(D875=5,база!$M$6)))</f>
        <v>225.09719999999999</v>
      </c>
      <c r="V881" s="250">
        <v>1.3</v>
      </c>
      <c r="W881" s="285">
        <f>SUMIFS(Таблица1[сумма],Таблица1[коэф],"1,3",Таблица1[р/р],"3/24",Таблица1[Ф. И. О.],B880)</f>
        <v>0</v>
      </c>
      <c r="X881" s="291">
        <f t="shared" ref="X881:X882" si="550">ROUND(U881*V881*W881,2)</f>
        <v>0</v>
      </c>
      <c r="Y881" s="792"/>
      <c r="Z881" s="794"/>
      <c r="AA881" s="797"/>
    </row>
    <row r="882" spans="1:29" ht="18.75" customHeight="1">
      <c r="A882" s="740"/>
      <c r="B882" s="201"/>
      <c r="C882" s="570"/>
      <c r="D882" s="573"/>
      <c r="E882" s="72"/>
      <c r="F882" s="250"/>
      <c r="G882" s="92"/>
      <c r="H882" s="88"/>
      <c r="I882" s="311"/>
      <c r="J882" s="257"/>
      <c r="K882" s="202"/>
      <c r="L882" s="202"/>
      <c r="M882" s="202"/>
      <c r="N882" s="202"/>
      <c r="O882" s="202"/>
      <c r="P882" s="28"/>
      <c r="Q882" s="72">
        <f>база!$L$5</f>
        <v>231.45480000000001</v>
      </c>
      <c r="R882" s="250">
        <v>1.3</v>
      </c>
      <c r="S882" s="92">
        <f>SUMIFS(Таблица1[сумма],Таблица1[коэф],"1,3",Таблица1[р/р],"4/16",Таблица1[Ф. И. О.],B880)</f>
        <v>0</v>
      </c>
      <c r="T882" s="88">
        <f t="shared" si="549"/>
        <v>0</v>
      </c>
      <c r="U882" s="292">
        <f>база!$M$5</f>
        <v>247.41720000000001</v>
      </c>
      <c r="V882" s="250">
        <v>1.3</v>
      </c>
      <c r="W882" s="285">
        <f>SUMIFS(Таблица1[сумма],Таблица1[коэф],"1,3",Таблица1[р/р],"4/24",Таблица1[Ф. И. О.],B880)</f>
        <v>0</v>
      </c>
      <c r="X882" s="291">
        <f t="shared" si="550"/>
        <v>0</v>
      </c>
      <c r="Y882" s="792"/>
      <c r="Z882" s="794"/>
      <c r="AA882" s="797"/>
    </row>
    <row r="883" spans="1:29" ht="18.75" customHeight="1">
      <c r="A883" s="740"/>
      <c r="B883" s="201"/>
      <c r="C883" s="570"/>
      <c r="D883" s="573"/>
      <c r="E883" s="72"/>
      <c r="F883" s="250"/>
      <c r="G883" s="92"/>
      <c r="H883" s="88"/>
      <c r="I883" s="311"/>
      <c r="J883" s="257"/>
      <c r="K883" s="202"/>
      <c r="L883" s="202"/>
      <c r="M883" s="202"/>
      <c r="N883" s="202"/>
      <c r="O883" s="202"/>
      <c r="P883" s="28"/>
      <c r="Q883" s="72">
        <f>IF(D875&lt;=3,база!$L$4,
IF(D875=4,база!$L$5,
IF(D875=5,база!$L$6)))</f>
        <v>210.57480000000001</v>
      </c>
      <c r="R883" s="250">
        <v>1.4</v>
      </c>
      <c r="S883" s="92">
        <f>SUMIFS(Таблица1[сумма],Таблица1[коэф],"1,4",Таблица1[р/р],"3/16",Таблица1[Ф. И. О.],B880)</f>
        <v>0</v>
      </c>
      <c r="T883" s="88">
        <f>ROUND(Q883*R883*S883,2)</f>
        <v>0</v>
      </c>
      <c r="U883" s="292">
        <f>IF(D875&lt;=3,база!$M$4,
IF(D875=4,база!$M$5,
IF(D875=5,база!$M$6)))</f>
        <v>225.09719999999999</v>
      </c>
      <c r="V883" s="250">
        <v>1.4</v>
      </c>
      <c r="W883" s="285">
        <f>SUMIFS(Таблица1[сумма],Таблица1[коэф],"1,4",Таблица1[р/р],"3/24",Таблица1[Ф. И. О.],B880)</f>
        <v>0</v>
      </c>
      <c r="X883" s="291">
        <f>ROUND(U883*V883*W883,2)</f>
        <v>0</v>
      </c>
      <c r="Y883" s="792"/>
      <c r="Z883" s="794"/>
      <c r="AA883" s="797"/>
    </row>
    <row r="884" spans="1:29" ht="18.75" customHeight="1">
      <c r="A884" s="740"/>
      <c r="B884" s="201"/>
      <c r="C884" s="570"/>
      <c r="D884" s="573"/>
      <c r="E884" s="72"/>
      <c r="F884" s="250"/>
      <c r="G884" s="92"/>
      <c r="H884" s="88"/>
      <c r="I884" s="311"/>
      <c r="J884" s="257"/>
      <c r="K884" s="202"/>
      <c r="L884" s="202"/>
      <c r="M884" s="202"/>
      <c r="N884" s="202"/>
      <c r="O884" s="202"/>
      <c r="P884" s="28"/>
      <c r="Q884" s="72">
        <f>база!$L$5</f>
        <v>231.45480000000001</v>
      </c>
      <c r="R884" s="250">
        <v>1.4</v>
      </c>
      <c r="S884" s="92">
        <f>SUMIFS(Таблица1[сумма],Таблица1[коэф],"1,4",Таблица1[р/р],"4/16",Таблица1[Ф. И. О.],B880)</f>
        <v>0</v>
      </c>
      <c r="T884" s="88">
        <f>ROUND(Q884*R884*S884,2)</f>
        <v>0</v>
      </c>
      <c r="U884" s="292">
        <f>база!$M$5</f>
        <v>247.41720000000001</v>
      </c>
      <c r="V884" s="250">
        <v>1.4</v>
      </c>
      <c r="W884" s="285">
        <f>SUMIFS(Таблица1[сумма],Таблица1[коэф],"1,4",Таблица1[р/р],"4/24",Таблица1[Ф. И. О.],B880)</f>
        <v>0</v>
      </c>
      <c r="X884" s="291">
        <f>ROUND(U884*V884*W884,2)</f>
        <v>0</v>
      </c>
      <c r="Y884" s="792"/>
      <c r="Z884" s="794"/>
      <c r="AA884" s="797"/>
    </row>
    <row r="885" spans="1:29" ht="19.5" customHeight="1" thickBot="1">
      <c r="A885" s="741"/>
      <c r="B885" s="329"/>
      <c r="C885" s="571"/>
      <c r="D885" s="574"/>
      <c r="E885" s="95"/>
      <c r="F885" s="252"/>
      <c r="G885" s="597"/>
      <c r="H885" s="84"/>
      <c r="I885" s="598"/>
      <c r="J885" s="258"/>
      <c r="K885" s="599"/>
      <c r="L885" s="267"/>
      <c r="M885" s="598"/>
      <c r="N885" s="599"/>
      <c r="O885" s="599"/>
      <c r="P885" s="293"/>
      <c r="Q885" s="600">
        <f>база!$L$6</f>
        <v>261.04640000000001</v>
      </c>
      <c r="R885" s="252">
        <v>1.4</v>
      </c>
      <c r="S885" s="91">
        <f>SUMIFS(Таблица1[сумма],Таблица1[коэф],"1,4",Таблица1[р/р],"5/16",Таблица1[Ф. И. О.],B880)</f>
        <v>0</v>
      </c>
      <c r="T885" s="84">
        <f>ROUND(Q885*R885*S885,2)</f>
        <v>0</v>
      </c>
      <c r="U885" s="206">
        <f>база!$M$6</f>
        <v>279.0496</v>
      </c>
      <c r="V885" s="252">
        <v>1.4</v>
      </c>
      <c r="W885" s="91">
        <f>SUMIFS(Таблица1[сумма],Таблица1[коэф],"1,4",Таблица1[р/р],"5/24",Таблица1[Ф. И. О.],B880)</f>
        <v>0</v>
      </c>
      <c r="X885" s="84">
        <f>ROUND(U885*V885*W885,2)</f>
        <v>0</v>
      </c>
      <c r="Y885" s="793"/>
      <c r="Z885" s="795"/>
      <c r="AA885" s="798"/>
    </row>
    <row r="886" spans="1:29" ht="18.75" customHeight="1">
      <c r="A886" s="739">
        <v>81</v>
      </c>
      <c r="B886" s="201"/>
      <c r="C886" s="570">
        <f>INDEX(база!$E$2:$E$181, MATCH(B891,база!$B$2:$B$160,0))</f>
        <v>0</v>
      </c>
      <c r="D886" s="573">
        <f>INDEX(база!$D$2:$D$189, MATCH(B891,база!$B$2:$B$160,0))</f>
        <v>0</v>
      </c>
      <c r="E886" s="68">
        <f>IF(D886&lt;=3,база!$I$4,
IF(D886=4,база!$I$5,
IF(D886=5,база!$I$6)))</f>
        <v>188.7912</v>
      </c>
      <c r="F886" s="249">
        <v>1</v>
      </c>
      <c r="G886" s="90">
        <f>SUMIFS(Таблица1[сумма],Таблица1[коэф],"1",Таблица1[р/р],"2/4",Таблица1[Ф. И. О.],B891)</f>
        <v>0</v>
      </c>
      <c r="H886" s="96">
        <f>ROUND(E886*F886*G886,2)</f>
        <v>0</v>
      </c>
      <c r="I886" s="321">
        <f>IF(D886&lt;=3,база!$J$4,
IF(D886=4,база!$J$5,
IF(D886=5,база!$J$6)))</f>
        <v>196.05240000000001</v>
      </c>
      <c r="J886" s="256">
        <v>1</v>
      </c>
      <c r="K886" s="287">
        <f>SUMIFS(Таблица1[сумма],Таблица1[коэф],"1",Таблица1[р/р],"2/8",Таблица1[Ф. И. О.],B891)</f>
        <v>0</v>
      </c>
      <c r="L886" s="287">
        <f>ROUND(I886*J886*K886,2)</f>
        <v>0</v>
      </c>
      <c r="M886" s="287"/>
      <c r="N886" s="287">
        <v>1</v>
      </c>
      <c r="O886" s="287">
        <f>SUMIFS(Data_Tech!$AM$3:$AM$67,Data_Tech!$E$3:$E$67,"1",Data_Tech!$G$3:$G$67,"3/12",Data_Tech!$F$3:$F$67,B891)</f>
        <v>0</v>
      </c>
      <c r="P886" s="260">
        <f>ROUND(M886*N886*O886,2)</f>
        <v>0</v>
      </c>
      <c r="Q886" s="68">
        <f>IF(D886&lt;=3,база!$L$4,
IF(D886=4,база!$L$5,
IF(D886=5,база!$L$6)))</f>
        <v>210.57480000000001</v>
      </c>
      <c r="R886" s="249">
        <v>1</v>
      </c>
      <c r="S886" s="90">
        <f>SUMIFS(Таблица1[сумма],Таблица1[коэф],"1",Таблица1[р/р],"3/16",Таблица1[Ф. И. О.],B891)</f>
        <v>0</v>
      </c>
      <c r="T886" s="96">
        <f t="shared" si="175"/>
        <v>0</v>
      </c>
      <c r="U886" s="326">
        <f>IF(D886&lt;=3,база!$M$4,
IF(D886=4,база!$M$5,
IF(D886=5,база!$M$6)))</f>
        <v>225.09719999999999</v>
      </c>
      <c r="V886" s="249">
        <v>1</v>
      </c>
      <c r="W886" s="314">
        <f>SUMIFS(Таблица1[сумма],Таблица1[коэф],"1",Таблица1[р/р],"3/24",Таблица1[Ф. И. О.],B891)</f>
        <v>0</v>
      </c>
      <c r="X886" s="328">
        <f>ROUND(U886*V886*W886,2)</f>
        <v>0</v>
      </c>
      <c r="Y886" s="791">
        <f t="shared" ref="Y886" si="551">SUM(G886:G896,K886:K896,O886:O896,S886:S896,W886:W896)</f>
        <v>0</v>
      </c>
      <c r="Z886" s="794">
        <f t="shared" ref="Z886" si="552">IFERROR(SUM(H886:H896,L886:L896,T886:T896,X886:X896),"")</f>
        <v>0</v>
      </c>
      <c r="AA886" s="796"/>
    </row>
    <row r="887" spans="1:29" ht="18.75" customHeight="1">
      <c r="A887" s="740"/>
      <c r="B887" s="201"/>
      <c r="C887" s="570"/>
      <c r="D887" s="573"/>
      <c r="E887" s="72">
        <f>IF(D886&lt;=3,база!$I$4,
IF(D886=4,база!$I$5,
IF(D886=5,база!$I$6)))</f>
        <v>188.7912</v>
      </c>
      <c r="F887" s="250">
        <v>1</v>
      </c>
      <c r="G887" s="92">
        <f>SUMIFS(Таблица1[сумма],Таблица1[коэф],"1",Таблица1[р/р],"3/4",Таблица1[Ф. И. О.],B891)</f>
        <v>0</v>
      </c>
      <c r="H887" s="88">
        <f>ROUND(E887*F887*G887,2)</f>
        <v>0</v>
      </c>
      <c r="I887" s="311">
        <f>IF(D886&lt;=3,база!$J$4,
IF(D886=4,база!$J$5,
IF(D886=5,база!$J$6)))</f>
        <v>196.05240000000001</v>
      </c>
      <c r="J887" s="257">
        <v>1</v>
      </c>
      <c r="K887" s="202"/>
      <c r="L887" s="202">
        <f>ROUND(I887*J887*K887,2)</f>
        <v>0</v>
      </c>
      <c r="M887" s="202"/>
      <c r="N887" s="202">
        <v>1</v>
      </c>
      <c r="O887" s="202">
        <f>SUMIFS(Data_Tech!$AM$3:$AM$67,Data_Tech!$E$3:$E$67,"1",Data_Tech!$G$3:$G$67,"4/12",Data_Tech!$F$3:$F$67,B891)</f>
        <v>0</v>
      </c>
      <c r="P887" s="28">
        <f>ROUND(M887*O887,2)</f>
        <v>0</v>
      </c>
      <c r="Q887" s="72">
        <f>база!$L$5</f>
        <v>231.45480000000001</v>
      </c>
      <c r="R887" s="250">
        <v>1</v>
      </c>
      <c r="S887" s="92">
        <f>SUMIFS(Таблица1[сумма],Таблица1[коэф],"1",Таблица1[р/р],"4/16",Таблица1[Ф. И. О.],B891)</f>
        <v>0</v>
      </c>
      <c r="T887" s="88">
        <f t="shared" si="175"/>
        <v>0</v>
      </c>
      <c r="U887" s="292">
        <f>база!$M$5</f>
        <v>247.41720000000001</v>
      </c>
      <c r="V887" s="250">
        <v>1</v>
      </c>
      <c r="W887" s="285">
        <f>SUMIFS(Таблица1[сумма],Таблица1[коэф],"1",Таблица1[р/р],"4/24",Таблица1[Ф. И. О.],B891)</f>
        <v>0</v>
      </c>
      <c r="X887" s="291">
        <f t="shared" ref="X887" si="553">ROUND(U887*V887*W887,2)</f>
        <v>0</v>
      </c>
      <c r="Y887" s="792"/>
      <c r="Z887" s="794"/>
      <c r="AA887" s="797"/>
    </row>
    <row r="888" spans="1:29" ht="18.75" customHeight="1">
      <c r="A888" s="740"/>
      <c r="B888" s="201"/>
      <c r="C888" s="570"/>
      <c r="D888" s="573"/>
      <c r="E888" s="72"/>
      <c r="F888" s="250"/>
      <c r="G888" s="92"/>
      <c r="H888" s="88"/>
      <c r="I888" s="311"/>
      <c r="J888" s="257"/>
      <c r="K888" s="202"/>
      <c r="L888" s="202"/>
      <c r="M888" s="202"/>
      <c r="N888" s="202"/>
      <c r="O888" s="202"/>
      <c r="P888" s="28"/>
      <c r="Q888" s="72">
        <f>база!$L$6</f>
        <v>261.04640000000001</v>
      </c>
      <c r="R888" s="250">
        <v>1</v>
      </c>
      <c r="S888" s="92">
        <f>SUMIFS(Таблица1[сумма],Таблица1[коэф],"1",Таблица1[р/р],"5/16",Таблица1[Ф. И. О.],B891)</f>
        <v>0</v>
      </c>
      <c r="T888" s="88">
        <f t="shared" si="175"/>
        <v>0</v>
      </c>
      <c r="U888" s="292">
        <f>база!$M$6</f>
        <v>279.0496</v>
      </c>
      <c r="V888" s="250">
        <v>1</v>
      </c>
      <c r="W888" s="285">
        <f>SUMIFS(Таблица1[сумма],Таблица1[коэф],"1",Таблица1[р/р],"5/24",Таблица1[Ф. И. О.],B891)</f>
        <v>0</v>
      </c>
      <c r="X888" s="291">
        <f>ROUND(U888*V888*W888,2)</f>
        <v>0</v>
      </c>
      <c r="Y888" s="792"/>
      <c r="Z888" s="794"/>
      <c r="AA888" s="797"/>
    </row>
    <row r="889" spans="1:29" ht="18.75" customHeight="1">
      <c r="A889" s="740"/>
      <c r="B889" s="201"/>
      <c r="C889" s="570"/>
      <c r="D889" s="573"/>
      <c r="E889" s="72"/>
      <c r="F889" s="250"/>
      <c r="G889" s="92"/>
      <c r="H889" s="88"/>
      <c r="I889" s="311">
        <f>база!$J$5</f>
        <v>215.4924</v>
      </c>
      <c r="J889" s="257">
        <v>1.5</v>
      </c>
      <c r="K889" s="202">
        <f>SUMIFS(Таблица1[сумма],Таблица1[коэф],"1,5",Таблица1[р/р],"4/8",Таблица1[Ф. И. О.],B891)</f>
        <v>0</v>
      </c>
      <c r="L889" s="202">
        <f>ROUND(I889*J889*K889,2)</f>
        <v>0</v>
      </c>
      <c r="M889" s="202"/>
      <c r="N889" s="202"/>
      <c r="O889" s="202"/>
      <c r="P889" s="28"/>
      <c r="Q889" s="72">
        <f>IF(D886&lt;=3,база!$L$4,
IF(D886=4,база!$L$5,
IF(D886=5,база!$L$6)))</f>
        <v>210.57480000000001</v>
      </c>
      <c r="R889" s="250">
        <v>1.2</v>
      </c>
      <c r="S889" s="92">
        <f>SUMIFS(Таблица1[сумма],Таблица1[коэф],"1,2",Таблица1[р/р],"3/16",Таблица1[Ф. И. О.],B891)</f>
        <v>0</v>
      </c>
      <c r="T889" s="88">
        <f t="shared" ref="T889:T890" si="554">ROUND(Q889*R889*S889,2)</f>
        <v>0</v>
      </c>
      <c r="U889" s="292">
        <f>IF(D886&lt;=3,база!$M$4,
IF(D886=4,база!$M$5,
IF(D886=5,база!$M$6)))</f>
        <v>225.09719999999999</v>
      </c>
      <c r="V889" s="250">
        <v>1.2</v>
      </c>
      <c r="W889" s="285">
        <f>SUMIFS(Таблица1[сумма],Таблица1[коэф],"1,2",Таблица1[р/р],"3/24",Таблица1[Ф. И. О.],B891)</f>
        <v>0</v>
      </c>
      <c r="X889" s="291">
        <f t="shared" ref="X889:X890" si="555">ROUND(U889*V889*W889,2)</f>
        <v>0</v>
      </c>
      <c r="Y889" s="792"/>
      <c r="Z889" s="794"/>
      <c r="AA889" s="797"/>
    </row>
    <row r="890" spans="1:29" ht="18.75" customHeight="1">
      <c r="A890" s="740"/>
      <c r="B890" s="201"/>
      <c r="C890" s="570"/>
      <c r="D890" s="573"/>
      <c r="E890" s="72"/>
      <c r="F890" s="250"/>
      <c r="G890" s="92"/>
      <c r="H890" s="88"/>
      <c r="I890" s="311">
        <f>база!$J$6</f>
        <v>243.04319999999998</v>
      </c>
      <c r="J890" s="257">
        <v>1.5</v>
      </c>
      <c r="K890" s="202">
        <f>SUMIFS(Таблица1[сумма],Таблица1[коэф],"1,5",Таблица1[р/р],"5/8",Таблица1[Ф. И. О.],B891)</f>
        <v>0</v>
      </c>
      <c r="L890" s="202">
        <f>ROUND(I890*J890*K890,2)</f>
        <v>0</v>
      </c>
      <c r="M890" s="202"/>
      <c r="N890" s="202"/>
      <c r="O890" s="202"/>
      <c r="P890" s="28"/>
      <c r="Q890" s="72">
        <f>база!$L$5</f>
        <v>231.45480000000001</v>
      </c>
      <c r="R890" s="250">
        <v>1.2</v>
      </c>
      <c r="S890" s="92">
        <f>SUMIFS(Таблица1[сумма],Таблица1[коэф],"1,2",Таблица1[р/р],"4/16",Таблица1[Ф. И. О.],B891)</f>
        <v>0</v>
      </c>
      <c r="T890" s="88">
        <f t="shared" si="554"/>
        <v>0</v>
      </c>
      <c r="U890" s="292">
        <f>база!$M$5</f>
        <v>247.41720000000001</v>
      </c>
      <c r="V890" s="250">
        <v>1.2</v>
      </c>
      <c r="W890" s="285">
        <f>SUMIFS(Таблица1[сумма],Таблица1[коэф],"1,2",Таблица1[р/р],"4/24",Таблица1[Ф. И. О.],B891)</f>
        <v>0</v>
      </c>
      <c r="X890" s="291">
        <f t="shared" si="555"/>
        <v>0</v>
      </c>
      <c r="Y890" s="792"/>
      <c r="Z890" s="794"/>
      <c r="AA890" s="797"/>
      <c r="AC890" s="688" t="str">
        <f>IF(SUMIFS(Таблица1[Столбец2],Таблица1[Ф. И. О.],B891)-Z886=0,"",SUMIFS(Таблица1[Столбец2],Таблица1[Ф. И. О.],B891)-Z886)</f>
        <v/>
      </c>
    </row>
    <row r="891" spans="1:29" ht="18.75" customHeight="1">
      <c r="A891" s="740"/>
      <c r="B891" s="201">
        <f>база!B82</f>
        <v>0</v>
      </c>
      <c r="C891" s="570"/>
      <c r="D891" s="573"/>
      <c r="E891" s="72"/>
      <c r="F891" s="250"/>
      <c r="G891" s="92"/>
      <c r="H891" s="88"/>
      <c r="I891" s="311"/>
      <c r="J891" s="257"/>
      <c r="K891" s="202"/>
      <c r="L891" s="202"/>
      <c r="M891" s="202"/>
      <c r="N891" s="202"/>
      <c r="O891" s="202"/>
      <c r="P891" s="28"/>
      <c r="Q891" s="72">
        <f>база!$L$6</f>
        <v>261.04640000000001</v>
      </c>
      <c r="R891" s="250">
        <v>1.2</v>
      </c>
      <c r="S891" s="92">
        <f>SUMIFS(Таблица1[сумма],Таблица1[коэф],"1,2",Таблица1[р/р],"5/16",Таблица1[Ф. И. О.],B891)</f>
        <v>0</v>
      </c>
      <c r="T891" s="88">
        <f>ROUND(Q891*R891*S891,2)</f>
        <v>0</v>
      </c>
      <c r="U891" s="292">
        <f>база!$M$6</f>
        <v>279.0496</v>
      </c>
      <c r="V891" s="250">
        <v>1.2</v>
      </c>
      <c r="W891" s="285">
        <f>SUMIFS(Таблица1[сумма],Таблица1[коэф],"1,2",Таблица1[р/р],"5/24",Таблица1[Ф. И. О.],B891)</f>
        <v>0</v>
      </c>
      <c r="X891" s="291">
        <f>ROUND(U891*V891*W891,2)</f>
        <v>0</v>
      </c>
      <c r="Y891" s="792"/>
      <c r="Z891" s="794"/>
      <c r="AA891" s="797"/>
      <c r="AC891" s="688" t="str">
        <f>IF(SUMIFS(Таблица1[сумма],Таблица1[Ф. И. О.],B891)=Y886,"",B886&amp;"  часы не верны")</f>
        <v/>
      </c>
    </row>
    <row r="892" spans="1:29" ht="18.75" customHeight="1">
      <c r="A892" s="740"/>
      <c r="B892" s="201"/>
      <c r="C892" s="570"/>
      <c r="D892" s="573"/>
      <c r="E892" s="72"/>
      <c r="F892" s="250"/>
      <c r="G892" s="92"/>
      <c r="H892" s="88"/>
      <c r="I892" s="311"/>
      <c r="J892" s="257"/>
      <c r="K892" s="202"/>
      <c r="L892" s="202"/>
      <c r="M892" s="202"/>
      <c r="N892" s="202"/>
      <c r="O892" s="202"/>
      <c r="P892" s="28"/>
      <c r="Q892" s="72">
        <f>IF($D$6&lt;=3,база!$L$4,
IF($D$6=4,база!$L$5,
IF($D$6=5,база!$L$6)))</f>
        <v>231.45480000000001</v>
      </c>
      <c r="R892" s="250">
        <v>1.3</v>
      </c>
      <c r="S892" s="92">
        <f>SUMIFS(Таблица1[сумма],Таблица1[коэф],"1,3",Таблица1[р/р],"3/16",Таблица1[Ф. И. О.],B891)</f>
        <v>0</v>
      </c>
      <c r="T892" s="88">
        <f t="shared" ref="T892:T893" si="556">ROUND(Q892*R892*S892,2)</f>
        <v>0</v>
      </c>
      <c r="U892" s="292">
        <f>IF(D886&lt;=3,база!$M$4,
IF(D886=4,база!$M$5,
IF(D886=5,база!$M$6)))</f>
        <v>225.09719999999999</v>
      </c>
      <c r="V892" s="250">
        <v>1.3</v>
      </c>
      <c r="W892" s="285">
        <f>SUMIFS(Таблица1[сумма],Таблица1[коэф],"1,3",Таблица1[р/р],"3/24",Таблица1[Ф. И. О.],B891)</f>
        <v>0</v>
      </c>
      <c r="X892" s="291">
        <f t="shared" ref="X892:X893" si="557">ROUND(U892*V892*W892,2)</f>
        <v>0</v>
      </c>
      <c r="Y892" s="792"/>
      <c r="Z892" s="794"/>
      <c r="AA892" s="797"/>
    </row>
    <row r="893" spans="1:29" ht="18.75" customHeight="1">
      <c r="A893" s="740"/>
      <c r="B893" s="201"/>
      <c r="C893" s="570"/>
      <c r="D893" s="573"/>
      <c r="E893" s="72"/>
      <c r="F893" s="250"/>
      <c r="G893" s="92"/>
      <c r="H893" s="88"/>
      <c r="I893" s="311"/>
      <c r="J893" s="257"/>
      <c r="K893" s="202"/>
      <c r="L893" s="202"/>
      <c r="M893" s="202"/>
      <c r="N893" s="202"/>
      <c r="O893" s="202"/>
      <c r="P893" s="28"/>
      <c r="Q893" s="72">
        <f>база!$L$5</f>
        <v>231.45480000000001</v>
      </c>
      <c r="R893" s="250">
        <v>1.3</v>
      </c>
      <c r="S893" s="92">
        <f>SUMIFS(Таблица1[сумма],Таблица1[коэф],"1,3",Таблица1[р/р],"4/16",Таблица1[Ф. И. О.],B891)</f>
        <v>0</v>
      </c>
      <c r="T893" s="88">
        <f t="shared" si="556"/>
        <v>0</v>
      </c>
      <c r="U893" s="292">
        <f>база!$M$5</f>
        <v>247.41720000000001</v>
      </c>
      <c r="V893" s="250">
        <v>1.3</v>
      </c>
      <c r="W893" s="285">
        <f>SUMIFS(Таблица1[сумма],Таблица1[коэф],"1,3",Таблица1[р/р],"4/24",Таблица1[Ф. И. О.],B891)</f>
        <v>0</v>
      </c>
      <c r="X893" s="291">
        <f t="shared" si="557"/>
        <v>0</v>
      </c>
      <c r="Y893" s="792"/>
      <c r="Z893" s="794"/>
      <c r="AA893" s="797"/>
    </row>
    <row r="894" spans="1:29" ht="18.75" customHeight="1">
      <c r="A894" s="740"/>
      <c r="B894" s="201"/>
      <c r="C894" s="570"/>
      <c r="D894" s="573"/>
      <c r="E894" s="72"/>
      <c r="F894" s="250"/>
      <c r="G894" s="92"/>
      <c r="H894" s="88"/>
      <c r="I894" s="311"/>
      <c r="J894" s="257"/>
      <c r="K894" s="202"/>
      <c r="L894" s="202"/>
      <c r="M894" s="202"/>
      <c r="N894" s="202"/>
      <c r="O894" s="202"/>
      <c r="P894" s="28"/>
      <c r="Q894" s="72">
        <f>IF(D886&lt;=3,база!$L$4,
IF(D886=4,база!$L$5,
IF(D886=5,база!$L$6)))</f>
        <v>210.57480000000001</v>
      </c>
      <c r="R894" s="250">
        <v>1.4</v>
      </c>
      <c r="S894" s="92">
        <f>SUMIFS(Таблица1[сумма],Таблица1[коэф],"1,4",Таблица1[р/р],"3/16",Таблица1[Ф. И. О.],B891)</f>
        <v>0</v>
      </c>
      <c r="T894" s="88">
        <f>ROUND(Q894*R894*S894,2)</f>
        <v>0</v>
      </c>
      <c r="U894" s="292">
        <f>IF(D886&lt;=3,база!$M$4,
IF(D886=4,база!$M$5,
IF(D886=5,база!$M$6)))</f>
        <v>225.09719999999999</v>
      </c>
      <c r="V894" s="250">
        <v>1.4</v>
      </c>
      <c r="W894" s="285">
        <f>SUMIFS(Таблица1[сумма],Таблица1[коэф],"1,4",Таблица1[р/р],"3/24",Таблица1[Ф. И. О.],B891)</f>
        <v>0</v>
      </c>
      <c r="X894" s="291">
        <f>ROUND(U894*V894*W894,2)</f>
        <v>0</v>
      </c>
      <c r="Y894" s="792"/>
      <c r="Z894" s="794"/>
      <c r="AA894" s="797"/>
    </row>
    <row r="895" spans="1:29" ht="18.75" customHeight="1">
      <c r="A895" s="740"/>
      <c r="B895" s="201"/>
      <c r="C895" s="570"/>
      <c r="D895" s="573"/>
      <c r="E895" s="72"/>
      <c r="F895" s="250"/>
      <c r="G895" s="92"/>
      <c r="H895" s="88"/>
      <c r="I895" s="311"/>
      <c r="J895" s="257"/>
      <c r="K895" s="202"/>
      <c r="L895" s="202"/>
      <c r="M895" s="202"/>
      <c r="N895" s="202"/>
      <c r="O895" s="202"/>
      <c r="P895" s="28"/>
      <c r="Q895" s="72">
        <f>база!$L$5</f>
        <v>231.45480000000001</v>
      </c>
      <c r="R895" s="250">
        <v>1.4</v>
      </c>
      <c r="S895" s="92">
        <f>SUMIFS(Таблица1[сумма],Таблица1[коэф],"1,4",Таблица1[р/р],"4/16",Таблица1[Ф. И. О.],B891)</f>
        <v>0</v>
      </c>
      <c r="T895" s="88">
        <f>ROUND(Q895*R895*S895,2)</f>
        <v>0</v>
      </c>
      <c r="U895" s="292">
        <f>база!$M$5</f>
        <v>247.41720000000001</v>
      </c>
      <c r="V895" s="250">
        <v>1.4</v>
      </c>
      <c r="W895" s="285">
        <f>SUMIFS(Таблица1[сумма],Таблица1[коэф],"1,4",Таблица1[р/р],"4/24",Таблица1[Ф. И. О.],B891)</f>
        <v>0</v>
      </c>
      <c r="X895" s="291">
        <f>ROUND(U895*V895*W895,2)</f>
        <v>0</v>
      </c>
      <c r="Y895" s="792"/>
      <c r="Z895" s="794"/>
      <c r="AA895" s="797"/>
    </row>
    <row r="896" spans="1:29" ht="19.5" customHeight="1" thickBot="1">
      <c r="A896" s="741"/>
      <c r="B896" s="329"/>
      <c r="C896" s="571"/>
      <c r="D896" s="574"/>
      <c r="E896" s="68"/>
      <c r="F896" s="249"/>
      <c r="G896" s="82"/>
      <c r="H896" s="96"/>
      <c r="I896" s="22"/>
      <c r="J896" s="256"/>
      <c r="K896" s="20"/>
      <c r="L896" s="287"/>
      <c r="M896" s="22"/>
      <c r="N896" s="20"/>
      <c r="O896" s="20"/>
      <c r="P896" s="260"/>
      <c r="Q896" s="65">
        <f>база!$L$6</f>
        <v>261.04640000000001</v>
      </c>
      <c r="R896" s="249">
        <v>1.4</v>
      </c>
      <c r="S896" s="90">
        <f>SUMIFS(Таблица1[сумма],Таблица1[коэф],"1,4",Таблица1[р/р],"5/16",Таблица1[Ф. И. О.],B891)</f>
        <v>0</v>
      </c>
      <c r="T896" s="96">
        <f>ROUND(Q896*R896*S896,2)</f>
        <v>0</v>
      </c>
      <c r="U896" s="75">
        <f>база!$M$6</f>
        <v>279.0496</v>
      </c>
      <c r="V896" s="250">
        <v>1.4</v>
      </c>
      <c r="W896" s="90">
        <f>SUMIFS(Таблица1[сумма],Таблица1[коэф],"1,4",Таблица1[р/р],"5/24",Таблица1[Ф. И. О.],B891)</f>
        <v>0</v>
      </c>
      <c r="X896" s="96">
        <f>ROUND(U896*V896*W896,2)</f>
        <v>0</v>
      </c>
      <c r="Y896" s="793"/>
      <c r="Z896" s="795"/>
      <c r="AA896" s="798"/>
    </row>
    <row r="897" spans="1:29" s="52" customFormat="1">
      <c r="A897" s="811" t="s">
        <v>69</v>
      </c>
      <c r="B897" s="812"/>
      <c r="C897" s="812"/>
      <c r="D897" s="812"/>
      <c r="E897" s="812"/>
      <c r="F897" s="812"/>
      <c r="G897" s="812"/>
      <c r="H897" s="812"/>
      <c r="I897" s="812"/>
      <c r="J897" s="812"/>
      <c r="K897" s="812"/>
      <c r="L897" s="812"/>
      <c r="M897" s="812"/>
      <c r="N897" s="812"/>
      <c r="O897" s="812"/>
      <c r="P897" s="812"/>
      <c r="Q897" s="812"/>
      <c r="R897" s="812"/>
      <c r="S897" s="812"/>
      <c r="T897" s="812"/>
      <c r="U897" s="812"/>
      <c r="V897" s="812"/>
      <c r="W897" s="812"/>
      <c r="X897" s="813"/>
      <c r="Y897" s="820">
        <f>SUM(Y6:Y896)</f>
        <v>14.4</v>
      </c>
      <c r="Z897" s="821">
        <f>SUM(Z6:Z896)</f>
        <v>2988.16</v>
      </c>
      <c r="AA897" s="796"/>
      <c r="AC897" s="688"/>
    </row>
    <row r="898" spans="1:29" s="52" customFormat="1">
      <c r="A898" s="814"/>
      <c r="B898" s="815"/>
      <c r="C898" s="815"/>
      <c r="D898" s="815"/>
      <c r="E898" s="815"/>
      <c r="F898" s="815"/>
      <c r="G898" s="815"/>
      <c r="H898" s="815"/>
      <c r="I898" s="815"/>
      <c r="J898" s="815"/>
      <c r="K898" s="815"/>
      <c r="L898" s="815"/>
      <c r="M898" s="815"/>
      <c r="N898" s="815"/>
      <c r="O898" s="815"/>
      <c r="P898" s="815"/>
      <c r="Q898" s="815"/>
      <c r="R898" s="815"/>
      <c r="S898" s="815"/>
      <c r="T898" s="815"/>
      <c r="U898" s="815"/>
      <c r="V898" s="815"/>
      <c r="W898" s="815"/>
      <c r="X898" s="816"/>
      <c r="Y898" s="797"/>
      <c r="Z898" s="822"/>
      <c r="AA898" s="797"/>
      <c r="AC898" s="688"/>
    </row>
    <row r="899" spans="1:29" s="52" customFormat="1" ht="24" thickBot="1">
      <c r="A899" s="817"/>
      <c r="B899" s="818"/>
      <c r="C899" s="818"/>
      <c r="D899" s="818"/>
      <c r="E899" s="818"/>
      <c r="F899" s="818"/>
      <c r="G899" s="818"/>
      <c r="H899" s="818"/>
      <c r="I899" s="818"/>
      <c r="J899" s="818"/>
      <c r="K899" s="818"/>
      <c r="L899" s="818"/>
      <c r="M899" s="818"/>
      <c r="N899" s="818"/>
      <c r="O899" s="818"/>
      <c r="P899" s="818"/>
      <c r="Q899" s="818"/>
      <c r="R899" s="818"/>
      <c r="S899" s="818"/>
      <c r="T899" s="818"/>
      <c r="U899" s="818"/>
      <c r="V899" s="818"/>
      <c r="W899" s="818"/>
      <c r="X899" s="819"/>
      <c r="Y899" s="798"/>
      <c r="Z899" s="823"/>
      <c r="AA899" s="798"/>
      <c r="AC899" s="688"/>
    </row>
    <row r="900" spans="1:29">
      <c r="A900" s="168"/>
      <c r="B900" s="168"/>
      <c r="C900" s="169"/>
      <c r="D900" s="170"/>
      <c r="E900" s="171"/>
      <c r="F900" s="172"/>
      <c r="G900" s="172"/>
      <c r="H900" s="171"/>
      <c r="I900" s="171"/>
      <c r="J900" s="168"/>
      <c r="K900" s="172"/>
      <c r="L900" s="171"/>
      <c r="M900" s="171"/>
      <c r="N900" s="172"/>
      <c r="O900" s="172"/>
      <c r="P900" s="171"/>
      <c r="Q900" s="171"/>
      <c r="R900" s="172"/>
      <c r="S900" s="172"/>
      <c r="T900" s="171"/>
      <c r="U900" s="171"/>
      <c r="V900" s="172"/>
      <c r="W900" s="172"/>
      <c r="X900" s="173"/>
      <c r="Y900" s="168"/>
      <c r="Z900" s="171"/>
      <c r="AA900" s="174"/>
    </row>
    <row r="901" spans="1:29">
      <c r="A901" s="168"/>
      <c r="B901" s="168"/>
      <c r="C901" s="169"/>
      <c r="D901" s="170"/>
      <c r="E901" s="175" t="s">
        <v>250</v>
      </c>
      <c r="F901" s="175"/>
      <c r="G901" s="168"/>
      <c r="H901" s="172"/>
      <c r="I901" s="171"/>
      <c r="J901" s="171"/>
      <c r="K901" s="172"/>
      <c r="L901" s="172"/>
      <c r="M901" s="171"/>
      <c r="N901" s="171"/>
      <c r="O901" s="172"/>
      <c r="P901" s="172"/>
      <c r="Q901" s="171"/>
      <c r="R901" s="171"/>
      <c r="S901" s="172"/>
      <c r="T901" s="171"/>
      <c r="U901" s="171"/>
      <c r="V901" s="172"/>
      <c r="W901" s="172"/>
      <c r="X901" s="173"/>
      <c r="Y901" s="168"/>
      <c r="Z901" s="171"/>
      <c r="AA901" s="174"/>
    </row>
    <row r="902" spans="1:29">
      <c r="A902" s="168"/>
      <c r="B902" s="168"/>
      <c r="C902" s="169"/>
      <c r="D902" s="170"/>
      <c r="E902" s="176"/>
      <c r="F902" s="177"/>
      <c r="G902" s="172"/>
      <c r="H902" s="171"/>
      <c r="I902" s="168"/>
      <c r="J902" s="168"/>
      <c r="K902" s="175"/>
      <c r="L902" s="178"/>
      <c r="M902" s="179"/>
      <c r="N902" s="180"/>
      <c r="O902" s="180"/>
      <c r="P902" s="181"/>
      <c r="Q902" s="181"/>
      <c r="R902" s="171"/>
      <c r="S902" s="172"/>
      <c r="T902" s="171"/>
      <c r="U902" s="171"/>
      <c r="V902" s="172"/>
      <c r="W902" s="172"/>
      <c r="X902" s="173"/>
      <c r="Y902" s="168"/>
      <c r="Z902" s="171"/>
      <c r="AA902" s="174"/>
    </row>
    <row r="903" spans="1:29">
      <c r="A903" s="168"/>
      <c r="B903" s="168"/>
      <c r="C903" s="169"/>
      <c r="D903" s="170"/>
      <c r="E903" s="175" t="s">
        <v>72</v>
      </c>
      <c r="F903" s="175"/>
      <c r="G903" s="172"/>
      <c r="H903" s="171"/>
      <c r="I903" s="168"/>
      <c r="J903" s="168"/>
      <c r="K903" s="182"/>
      <c r="L903" s="183"/>
      <c r="M903" s="183"/>
      <c r="N903" s="184"/>
      <c r="O903" s="184"/>
      <c r="P903" s="183"/>
      <c r="Q903" s="183"/>
      <c r="R903" s="171"/>
      <c r="S903" s="172"/>
      <c r="T903" s="171"/>
      <c r="U903" s="171"/>
      <c r="V903" s="172"/>
      <c r="W903" s="172"/>
      <c r="X903" s="173"/>
      <c r="Y903" s="168"/>
      <c r="Z903" s="171"/>
      <c r="AA903" s="174"/>
    </row>
    <row r="904" spans="1:29">
      <c r="A904" s="168"/>
      <c r="B904" s="168"/>
      <c r="C904" s="169"/>
      <c r="D904" s="170"/>
      <c r="E904" s="175"/>
      <c r="F904" s="175"/>
      <c r="G904" s="172"/>
      <c r="H904" s="171"/>
      <c r="I904" s="168"/>
      <c r="J904" s="168"/>
      <c r="K904" s="175"/>
      <c r="L904" s="178"/>
      <c r="M904" s="185"/>
      <c r="N904" s="186"/>
      <c r="O904" s="186"/>
      <c r="P904" s="187"/>
      <c r="Q904" s="187"/>
      <c r="R904" s="171"/>
      <c r="S904" s="172"/>
      <c r="T904" s="171"/>
      <c r="U904" s="171"/>
      <c r="V904" s="172"/>
      <c r="W904" s="172"/>
      <c r="X904" s="173"/>
      <c r="Y904" s="168"/>
      <c r="Z904" s="171"/>
      <c r="AA904" s="174"/>
    </row>
    <row r="905" spans="1:29">
      <c r="A905" s="168"/>
      <c r="B905" s="168"/>
      <c r="C905" s="169"/>
      <c r="D905" s="170"/>
      <c r="E905" s="175" t="s">
        <v>73</v>
      </c>
      <c r="F905" s="175"/>
      <c r="G905" s="172"/>
      <c r="H905" s="171"/>
      <c r="I905" s="168"/>
      <c r="J905" s="168"/>
      <c r="K905" s="175"/>
      <c r="L905" s="178"/>
      <c r="M905" s="179"/>
      <c r="N905" s="180"/>
      <c r="O905" s="180"/>
      <c r="P905" s="181"/>
      <c r="Q905" s="181"/>
      <c r="R905" s="171"/>
      <c r="S905" s="172"/>
      <c r="T905" s="171"/>
      <c r="U905" s="171"/>
      <c r="V905" s="172"/>
      <c r="W905" s="172"/>
      <c r="X905" s="173"/>
      <c r="Y905" s="168"/>
      <c r="Z905" s="171"/>
      <c r="AA905" s="174"/>
    </row>
    <row r="912" spans="1:29">
      <c r="AC912" s="688" t="e">
        <f>IF(SUMIFS([1]!Таблица1[Столбец2],[1]!Таблица1[Ф. И. О.],B913)-Z908=0,"",SUMIFS([1]!Таблица1[Столбец2],[1]!Таблица1[Ф. И. О.],B913)-Z908)</f>
        <v>#REF!</v>
      </c>
    </row>
    <row r="913" spans="29:29">
      <c r="AC913" s="688" t="e">
        <f>IF(SUMIFS([1]!Таблица1[[                                                     ]],[1]!Таблица1[Ф. И. О.],B913)=Y908,"",B913&amp;"  часы не верны")</f>
        <v>#REF!</v>
      </c>
    </row>
    <row r="919" spans="29:29">
      <c r="AC919" s="689"/>
    </row>
    <row r="920" spans="29:29">
      <c r="AC920" s="689"/>
    </row>
    <row r="921" spans="29:29">
      <c r="AC921" s="689"/>
    </row>
  </sheetData>
  <sheetProtection selectLockedCells="1" selectUnlockedCells="1"/>
  <mergeCells count="489">
    <mergeCell ref="B6:B16"/>
    <mergeCell ref="B17:B27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23:A533"/>
    <mergeCell ref="Y523:Y533"/>
    <mergeCell ref="Z523:Z533"/>
    <mergeCell ref="AA523:AA533"/>
    <mergeCell ref="A545:A555"/>
    <mergeCell ref="C545:C555"/>
    <mergeCell ref="D545:D555"/>
    <mergeCell ref="D534:D544"/>
    <mergeCell ref="Y534:Y544"/>
    <mergeCell ref="C534:C544"/>
    <mergeCell ref="A534:A544"/>
    <mergeCell ref="Z534:Z544"/>
    <mergeCell ref="AA534:AA544"/>
    <mergeCell ref="Y545:Y555"/>
    <mergeCell ref="Z545:Z555"/>
    <mergeCell ref="AA545:AA555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A424:AA434"/>
    <mergeCell ref="A248:A258"/>
    <mergeCell ref="C248:C258"/>
    <mergeCell ref="D248:D258"/>
    <mergeCell ref="Y248:Y258"/>
    <mergeCell ref="Z248:Z258"/>
    <mergeCell ref="AA248:AA258"/>
    <mergeCell ref="Y259:Y269"/>
    <mergeCell ref="Z259:Z269"/>
    <mergeCell ref="C259:C269"/>
    <mergeCell ref="D259:D269"/>
    <mergeCell ref="Y270:Y280"/>
    <mergeCell ref="Z270:Z280"/>
    <mergeCell ref="AA270:AA280"/>
    <mergeCell ref="Y281:Y291"/>
    <mergeCell ref="Z281:Z291"/>
    <mergeCell ref="AA281:AA291"/>
    <mergeCell ref="Y292:Y302"/>
    <mergeCell ref="Z292:Z302"/>
    <mergeCell ref="A281:A291"/>
    <mergeCell ref="C281:C291"/>
    <mergeCell ref="D281:D291"/>
    <mergeCell ref="A292:A302"/>
    <mergeCell ref="C292:C302"/>
    <mergeCell ref="Y28:Y38"/>
    <mergeCell ref="Z28:Z38"/>
    <mergeCell ref="AA28:AA38"/>
    <mergeCell ref="C28:C38"/>
    <mergeCell ref="D28:D38"/>
    <mergeCell ref="A61:A71"/>
    <mergeCell ref="Y61:Y71"/>
    <mergeCell ref="Z61:Z71"/>
    <mergeCell ref="AA61:AA71"/>
    <mergeCell ref="Z50:Z60"/>
    <mergeCell ref="A50:A60"/>
    <mergeCell ref="C50:C60"/>
    <mergeCell ref="D50:D60"/>
    <mergeCell ref="Y50:Y60"/>
    <mergeCell ref="AA50:AA60"/>
    <mergeCell ref="C61:C71"/>
    <mergeCell ref="D61:D71"/>
    <mergeCell ref="AA39:AA49"/>
    <mergeCell ref="A39:A49"/>
    <mergeCell ref="D6:D16"/>
    <mergeCell ref="Y6:Y16"/>
    <mergeCell ref="Z6:Z16"/>
    <mergeCell ref="Y4:Y5"/>
    <mergeCell ref="Z4:Z5"/>
    <mergeCell ref="AA4:AA5"/>
    <mergeCell ref="H1:U1"/>
    <mergeCell ref="I4:L4"/>
    <mergeCell ref="M4:P4"/>
    <mergeCell ref="Q4:T4"/>
    <mergeCell ref="U4:X4"/>
    <mergeCell ref="AA6:AA16"/>
    <mergeCell ref="A4:A5"/>
    <mergeCell ref="B4:B5"/>
    <mergeCell ref="C4:C5"/>
    <mergeCell ref="D4:D5"/>
    <mergeCell ref="E4:H4"/>
    <mergeCell ref="AA105:AA115"/>
    <mergeCell ref="AA116:AA126"/>
    <mergeCell ref="AA127:AA137"/>
    <mergeCell ref="AA138:AA148"/>
    <mergeCell ref="Y138:Y148"/>
    <mergeCell ref="Z138:Z148"/>
    <mergeCell ref="Y83:Y93"/>
    <mergeCell ref="Z83:Z93"/>
    <mergeCell ref="Y94:Y104"/>
    <mergeCell ref="Z94:Z104"/>
    <mergeCell ref="Y105:Y115"/>
    <mergeCell ref="Z105:Z115"/>
    <mergeCell ref="Y17:Y27"/>
    <mergeCell ref="Z17:Z27"/>
    <mergeCell ref="AA17:AA27"/>
    <mergeCell ref="Y39:Y49"/>
    <mergeCell ref="Z39:Z49"/>
    <mergeCell ref="A6:A16"/>
    <mergeCell ref="C6:C16"/>
    <mergeCell ref="A897:X899"/>
    <mergeCell ref="Y897:Y899"/>
    <mergeCell ref="Z897:Z899"/>
    <mergeCell ref="AA897:AA899"/>
    <mergeCell ref="AA83:AA93"/>
    <mergeCell ref="AA94:AA104"/>
    <mergeCell ref="AA215:AA225"/>
    <mergeCell ref="AA226:AA236"/>
    <mergeCell ref="AA237:AA247"/>
    <mergeCell ref="AA259:AA269"/>
    <mergeCell ref="AA160:AA170"/>
    <mergeCell ref="AA171:AA181"/>
    <mergeCell ref="AA182:AA192"/>
    <mergeCell ref="AA193:AA203"/>
    <mergeCell ref="AA204:AA214"/>
    <mergeCell ref="Y116:Y126"/>
    <mergeCell ref="Z116:Z126"/>
    <mergeCell ref="Y127:Y137"/>
    <mergeCell ref="Z127:Z137"/>
    <mergeCell ref="A424:A434"/>
    <mergeCell ref="C424:C434"/>
    <mergeCell ref="D424:D434"/>
    <mergeCell ref="Y424:Y434"/>
    <mergeCell ref="Z424:Z434"/>
    <mergeCell ref="Y149:Y159"/>
    <mergeCell ref="Z149:Z159"/>
    <mergeCell ref="Y160:Y170"/>
    <mergeCell ref="Z160:Z170"/>
    <mergeCell ref="Y171:Y181"/>
    <mergeCell ref="Z171:Z181"/>
    <mergeCell ref="AA149:AA159"/>
    <mergeCell ref="Y72:Y82"/>
    <mergeCell ref="Z72:Z82"/>
    <mergeCell ref="AA72:AA82"/>
    <mergeCell ref="A171:A181"/>
    <mergeCell ref="A182:A192"/>
    <mergeCell ref="Y215:Y225"/>
    <mergeCell ref="Z215:Z225"/>
    <mergeCell ref="Y226:Y236"/>
    <mergeCell ref="Z226:Z236"/>
    <mergeCell ref="Y237:Y247"/>
    <mergeCell ref="Z237:Z247"/>
    <mergeCell ref="Y182:Y192"/>
    <mergeCell ref="Z182:Z192"/>
    <mergeCell ref="Y193:Y203"/>
    <mergeCell ref="Z193:Z203"/>
    <mergeCell ref="Y204:Y214"/>
    <mergeCell ref="Z204:Z214"/>
    <mergeCell ref="C204:C214"/>
    <mergeCell ref="D204:D214"/>
    <mergeCell ref="C215:C225"/>
    <mergeCell ref="D215:D225"/>
    <mergeCell ref="C226:C236"/>
    <mergeCell ref="D226:D236"/>
    <mergeCell ref="A17:A27"/>
    <mergeCell ref="A72:A82"/>
    <mergeCell ref="A83:A93"/>
    <mergeCell ref="A94:A104"/>
    <mergeCell ref="A105:A115"/>
    <mergeCell ref="A116:A126"/>
    <mergeCell ref="A127:A137"/>
    <mergeCell ref="A138:A148"/>
    <mergeCell ref="A149:A159"/>
    <mergeCell ref="A28:A38"/>
    <mergeCell ref="C17:C27"/>
    <mergeCell ref="D17:D27"/>
    <mergeCell ref="C72:C82"/>
    <mergeCell ref="D72:D82"/>
    <mergeCell ref="C83:C93"/>
    <mergeCell ref="D83:D93"/>
    <mergeCell ref="C94:C104"/>
    <mergeCell ref="D94:D104"/>
    <mergeCell ref="C105:C115"/>
    <mergeCell ref="D105:D115"/>
    <mergeCell ref="C39:C49"/>
    <mergeCell ref="D39:D49"/>
    <mergeCell ref="C116:C126"/>
    <mergeCell ref="D116:D126"/>
    <mergeCell ref="C127:C137"/>
    <mergeCell ref="D127:D137"/>
    <mergeCell ref="A193:A203"/>
    <mergeCell ref="A204:A214"/>
    <mergeCell ref="A215:A225"/>
    <mergeCell ref="A226:A236"/>
    <mergeCell ref="A237:A247"/>
    <mergeCell ref="C171:C181"/>
    <mergeCell ref="D171:D181"/>
    <mergeCell ref="C182:C192"/>
    <mergeCell ref="D182:D192"/>
    <mergeCell ref="C193:C203"/>
    <mergeCell ref="D193:D203"/>
    <mergeCell ref="C138:C148"/>
    <mergeCell ref="D138:D148"/>
    <mergeCell ref="C149:C159"/>
    <mergeCell ref="D149:D159"/>
    <mergeCell ref="C160:C170"/>
    <mergeCell ref="D160:D170"/>
    <mergeCell ref="C237:C247"/>
    <mergeCell ref="D237:D247"/>
    <mergeCell ref="A160:A170"/>
    <mergeCell ref="A270:A280"/>
    <mergeCell ref="C270:C280"/>
    <mergeCell ref="D270:D280"/>
    <mergeCell ref="A259:A269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D292:D302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25:A335"/>
    <mergeCell ref="C325:C335"/>
    <mergeCell ref="D325:D335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47:A357"/>
    <mergeCell ref="C347:C357"/>
    <mergeCell ref="D347:D357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69:A379"/>
    <mergeCell ref="A413:A423"/>
    <mergeCell ref="C413:C423"/>
    <mergeCell ref="D413:D423"/>
    <mergeCell ref="Y413:Y423"/>
    <mergeCell ref="Z413:Z423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655:A665"/>
    <mergeCell ref="C655:C665"/>
    <mergeCell ref="D655:D665"/>
    <mergeCell ref="Y655:Y665"/>
    <mergeCell ref="Z655:Z665"/>
    <mergeCell ref="AA655:AA665"/>
    <mergeCell ref="A677:A687"/>
    <mergeCell ref="C677:C687"/>
    <mergeCell ref="D677:D687"/>
    <mergeCell ref="Y677:Y687"/>
    <mergeCell ref="Z677:Z687"/>
    <mergeCell ref="AA677:AA687"/>
    <mergeCell ref="A666:A676"/>
    <mergeCell ref="C666:C676"/>
    <mergeCell ref="D666:D676"/>
    <mergeCell ref="Y666:Y676"/>
    <mergeCell ref="Z666:Z676"/>
    <mergeCell ref="AA666:AA676"/>
    <mergeCell ref="A644:A654"/>
    <mergeCell ref="C644:C654"/>
    <mergeCell ref="D644:D654"/>
    <mergeCell ref="Y644:Y654"/>
    <mergeCell ref="Z644:Z654"/>
    <mergeCell ref="AA644:AA654"/>
    <mergeCell ref="A721:A731"/>
    <mergeCell ref="C721:C731"/>
    <mergeCell ref="D721:D731"/>
    <mergeCell ref="Y721:Y731"/>
    <mergeCell ref="Z721:Z731"/>
    <mergeCell ref="AA721:AA731"/>
    <mergeCell ref="A710:A720"/>
    <mergeCell ref="C710:C720"/>
    <mergeCell ref="D710:D720"/>
    <mergeCell ref="Y710:Y720"/>
    <mergeCell ref="Z710:Z720"/>
    <mergeCell ref="AA710:AA720"/>
    <mergeCell ref="A699:A709"/>
    <mergeCell ref="C699:C709"/>
    <mergeCell ref="D699:D709"/>
    <mergeCell ref="Y699:Y709"/>
    <mergeCell ref="Z699:Z709"/>
    <mergeCell ref="AA699:AA709"/>
    <mergeCell ref="A688:A698"/>
    <mergeCell ref="C688:C698"/>
    <mergeCell ref="D688:D698"/>
    <mergeCell ref="Y688:Y698"/>
    <mergeCell ref="Z688:Z698"/>
    <mergeCell ref="AA688:AA698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76:A786"/>
    <mergeCell ref="C776:C786"/>
    <mergeCell ref="D776:D786"/>
    <mergeCell ref="Y776:Y786"/>
    <mergeCell ref="Z776:Z786"/>
    <mergeCell ref="AA776:AA786"/>
    <mergeCell ref="A765:A775"/>
    <mergeCell ref="C765:C775"/>
    <mergeCell ref="D765:D775"/>
    <mergeCell ref="Y765:Y775"/>
    <mergeCell ref="Z765:Z775"/>
    <mergeCell ref="AA765:AA775"/>
    <mergeCell ref="A886:A896"/>
    <mergeCell ref="A809:A819"/>
    <mergeCell ref="C809:C819"/>
    <mergeCell ref="D809:D819"/>
    <mergeCell ref="Y809:Y819"/>
    <mergeCell ref="Z809:Z819"/>
    <mergeCell ref="AA809:AA819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Y886:Y896"/>
    <mergeCell ref="Z886:Z896"/>
    <mergeCell ref="AA886:AA896"/>
    <mergeCell ref="A842:A852"/>
    <mergeCell ref="Y842:Y852"/>
    <mergeCell ref="Z842:Z852"/>
    <mergeCell ref="AA842:AA852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875:A885"/>
    <mergeCell ref="Y875:Y885"/>
    <mergeCell ref="Z875:Z885"/>
    <mergeCell ref="AA875:AA885"/>
    <mergeCell ref="A853:A863"/>
    <mergeCell ref="Y853:Y863"/>
    <mergeCell ref="Z853:Z863"/>
    <mergeCell ref="AA853:AA863"/>
    <mergeCell ref="A864:A874"/>
    <mergeCell ref="Y864:Y874"/>
    <mergeCell ref="Z864:Z874"/>
    <mergeCell ref="AA864:AA874"/>
  </mergeCells>
  <conditionalFormatting sqref="W14:X15 U14:U15 E6:X11 V14:V236 E12:P18 Q12:T16 E886:T895 V512:V555 E522:U555 W522:X555 V886:V896 E19:T236">
    <cfRule type="cellIs" dxfId="185" priority="145" operator="equal">
      <formula>0</formula>
    </cfRule>
  </conditionalFormatting>
  <conditionalFormatting sqref="E896:U896 W896:X896">
    <cfRule type="cellIs" dxfId="184" priority="96" operator="equal">
      <formula>0</formula>
    </cfRule>
  </conditionalFormatting>
  <conditionalFormatting sqref="V237:V247 E237:T247">
    <cfRule type="cellIs" dxfId="183" priority="89" operator="equal">
      <formula>0</formula>
    </cfRule>
  </conditionalFormatting>
  <conditionalFormatting sqref="V259:V269 E259:T269 E270:H280">
    <cfRule type="cellIs" dxfId="182" priority="88" operator="equal">
      <formula>0</formula>
    </cfRule>
  </conditionalFormatting>
  <conditionalFormatting sqref="V248:V258 E248:T258">
    <cfRule type="cellIs" dxfId="181" priority="87" operator="equal">
      <formula>0</formula>
    </cfRule>
  </conditionalFormatting>
  <conditionalFormatting sqref="V270:V280 I270:T280">
    <cfRule type="cellIs" dxfId="180" priority="86" operator="equal">
      <formula>0</formula>
    </cfRule>
  </conditionalFormatting>
  <conditionalFormatting sqref="E281:H291">
    <cfRule type="cellIs" dxfId="179" priority="85" operator="equal">
      <formula>0</formula>
    </cfRule>
  </conditionalFormatting>
  <conditionalFormatting sqref="V281:V291 I281:T291">
    <cfRule type="cellIs" dxfId="178" priority="84" operator="equal">
      <formula>0</formula>
    </cfRule>
  </conditionalFormatting>
  <conditionalFormatting sqref="V413:V434 I413:T434">
    <cfRule type="cellIs" dxfId="177" priority="58" operator="equal">
      <formula>0</formula>
    </cfRule>
  </conditionalFormatting>
  <conditionalFormatting sqref="E413:H434">
    <cfRule type="cellIs" dxfId="176" priority="59" operator="equal">
      <formula>0</formula>
    </cfRule>
  </conditionalFormatting>
  <conditionalFormatting sqref="E292:H302">
    <cfRule type="cellIs" dxfId="175" priority="81" operator="equal">
      <formula>0</formula>
    </cfRule>
  </conditionalFormatting>
  <conditionalFormatting sqref="V292:V302 I292:T302">
    <cfRule type="cellIs" dxfId="174" priority="80" operator="equal">
      <formula>0</formula>
    </cfRule>
  </conditionalFormatting>
  <conditionalFormatting sqref="E303:H313">
    <cfRule type="cellIs" dxfId="173" priority="79" operator="equal">
      <formula>0</formula>
    </cfRule>
  </conditionalFormatting>
  <conditionalFormatting sqref="V303:V313 I303:T313">
    <cfRule type="cellIs" dxfId="172" priority="78" operator="equal">
      <formula>0</formula>
    </cfRule>
  </conditionalFormatting>
  <conditionalFormatting sqref="E314:H324">
    <cfRule type="cellIs" dxfId="171" priority="77" operator="equal">
      <formula>0</formula>
    </cfRule>
  </conditionalFormatting>
  <conditionalFormatting sqref="V314:V324 I314:T324">
    <cfRule type="cellIs" dxfId="170" priority="76" operator="equal">
      <formula>0</formula>
    </cfRule>
  </conditionalFormatting>
  <conditionalFormatting sqref="E325:H335">
    <cfRule type="cellIs" dxfId="169" priority="75" operator="equal">
      <formula>0</formula>
    </cfRule>
  </conditionalFormatting>
  <conditionalFormatting sqref="V325:V335 I325:T335">
    <cfRule type="cellIs" dxfId="168" priority="74" operator="equal">
      <formula>0</formula>
    </cfRule>
  </conditionalFormatting>
  <conditionalFormatting sqref="E336:H346">
    <cfRule type="cellIs" dxfId="167" priority="73" operator="equal">
      <formula>0</formula>
    </cfRule>
  </conditionalFormatting>
  <conditionalFormatting sqref="V336:V346 I336:T346">
    <cfRule type="cellIs" dxfId="166" priority="72" operator="equal">
      <formula>0</formula>
    </cfRule>
  </conditionalFormatting>
  <conditionalFormatting sqref="E347:H357">
    <cfRule type="cellIs" dxfId="165" priority="71" operator="equal">
      <formula>0</formula>
    </cfRule>
  </conditionalFormatting>
  <conditionalFormatting sqref="V347:V357 I347:T357">
    <cfRule type="cellIs" dxfId="164" priority="70" operator="equal">
      <formula>0</formula>
    </cfRule>
  </conditionalFormatting>
  <conditionalFormatting sqref="E358:H368">
    <cfRule type="cellIs" dxfId="163" priority="69" operator="equal">
      <formula>0</formula>
    </cfRule>
  </conditionalFormatting>
  <conditionalFormatting sqref="V358:V368 I358:T368">
    <cfRule type="cellIs" dxfId="162" priority="68" operator="equal">
      <formula>0</formula>
    </cfRule>
  </conditionalFormatting>
  <conditionalFormatting sqref="E369:H379">
    <cfRule type="cellIs" dxfId="161" priority="67" operator="equal">
      <formula>0</formula>
    </cfRule>
  </conditionalFormatting>
  <conditionalFormatting sqref="V369:V379 I369:T379">
    <cfRule type="cellIs" dxfId="160" priority="66" operator="equal">
      <formula>0</formula>
    </cfRule>
  </conditionalFormatting>
  <conditionalFormatting sqref="E380:H390">
    <cfRule type="cellIs" dxfId="159" priority="65" operator="equal">
      <formula>0</formula>
    </cfRule>
  </conditionalFormatting>
  <conditionalFormatting sqref="V380:V390 I380:T390">
    <cfRule type="cellIs" dxfId="158" priority="64" operator="equal">
      <formula>0</formula>
    </cfRule>
  </conditionalFormatting>
  <conditionalFormatting sqref="E391:H401">
    <cfRule type="cellIs" dxfId="157" priority="63" operator="equal">
      <formula>0</formula>
    </cfRule>
  </conditionalFormatting>
  <conditionalFormatting sqref="V391:V401 I391:T401">
    <cfRule type="cellIs" dxfId="156" priority="62" operator="equal">
      <formula>0</formula>
    </cfRule>
  </conditionalFormatting>
  <conditionalFormatting sqref="E402:H412">
    <cfRule type="cellIs" dxfId="155" priority="61" operator="equal">
      <formula>0</formula>
    </cfRule>
  </conditionalFormatting>
  <conditionalFormatting sqref="V402:V412 I402:T412">
    <cfRule type="cellIs" dxfId="154" priority="60" operator="equal">
      <formula>0</formula>
    </cfRule>
  </conditionalFormatting>
  <conditionalFormatting sqref="E435:T444 V435:V445">
    <cfRule type="cellIs" dxfId="153" priority="57" operator="equal">
      <formula>0</formula>
    </cfRule>
  </conditionalFormatting>
  <conditionalFormatting sqref="E445:U445 W445:X445">
    <cfRule type="cellIs" dxfId="152" priority="56" operator="equal">
      <formula>0</formula>
    </cfRule>
  </conditionalFormatting>
  <conditionalFormatting sqref="E446:T455 V446:V456">
    <cfRule type="cellIs" dxfId="151" priority="55" operator="equal">
      <formula>0</formula>
    </cfRule>
  </conditionalFormatting>
  <conditionalFormatting sqref="E456:U456 W456:X456">
    <cfRule type="cellIs" dxfId="150" priority="54" operator="equal">
      <formula>0</formula>
    </cfRule>
  </conditionalFormatting>
  <conditionalFormatting sqref="E457:T466 V457:V467">
    <cfRule type="cellIs" dxfId="149" priority="53" operator="equal">
      <formula>0</formula>
    </cfRule>
  </conditionalFormatting>
  <conditionalFormatting sqref="E467:U467 W467:X467">
    <cfRule type="cellIs" dxfId="148" priority="52" operator="equal">
      <formula>0</formula>
    </cfRule>
  </conditionalFormatting>
  <conditionalFormatting sqref="E468:T477 V468:V478">
    <cfRule type="cellIs" dxfId="147" priority="51" operator="equal">
      <formula>0</formula>
    </cfRule>
  </conditionalFormatting>
  <conditionalFormatting sqref="E478:U478 W478:X478">
    <cfRule type="cellIs" dxfId="146" priority="50" operator="equal">
      <formula>0</formula>
    </cfRule>
  </conditionalFormatting>
  <conditionalFormatting sqref="E479:T488 V479:V489">
    <cfRule type="cellIs" dxfId="145" priority="49" operator="equal">
      <formula>0</formula>
    </cfRule>
  </conditionalFormatting>
  <conditionalFormatting sqref="E489:U489 W489:X489">
    <cfRule type="cellIs" dxfId="144" priority="48" operator="equal">
      <formula>0</formula>
    </cfRule>
  </conditionalFormatting>
  <conditionalFormatting sqref="E490:T499 V490:V500">
    <cfRule type="cellIs" dxfId="143" priority="47" operator="equal">
      <formula>0</formula>
    </cfRule>
  </conditionalFormatting>
  <conditionalFormatting sqref="E500:U500 W500:X500">
    <cfRule type="cellIs" dxfId="142" priority="46" operator="equal">
      <formula>0</formula>
    </cfRule>
  </conditionalFormatting>
  <conditionalFormatting sqref="E501:T510 V501:V511">
    <cfRule type="cellIs" dxfId="141" priority="45" operator="equal">
      <formula>0</formula>
    </cfRule>
  </conditionalFormatting>
  <conditionalFormatting sqref="E511:U511 W511:X511">
    <cfRule type="cellIs" dxfId="140" priority="44" operator="equal">
      <formula>0</formula>
    </cfRule>
  </conditionalFormatting>
  <conditionalFormatting sqref="E512:T521">
    <cfRule type="cellIs" dxfId="139" priority="43" operator="equal">
      <formula>0</formula>
    </cfRule>
  </conditionalFormatting>
  <conditionalFormatting sqref="E556:X566">
    <cfRule type="cellIs" dxfId="138" priority="41" operator="equal">
      <formula>0</formula>
    </cfRule>
  </conditionalFormatting>
  <conditionalFormatting sqref="E567:X577">
    <cfRule type="cellIs" dxfId="137" priority="40" operator="equal">
      <formula>0</formula>
    </cfRule>
  </conditionalFormatting>
  <conditionalFormatting sqref="E578:X588">
    <cfRule type="cellIs" dxfId="136" priority="39" operator="equal">
      <formula>0</formula>
    </cfRule>
  </conditionalFormatting>
  <conditionalFormatting sqref="E589:X599">
    <cfRule type="cellIs" dxfId="135" priority="38" operator="equal">
      <formula>0</formula>
    </cfRule>
  </conditionalFormatting>
  <conditionalFormatting sqref="E600:X610">
    <cfRule type="cellIs" dxfId="134" priority="37" operator="equal">
      <formula>0</formula>
    </cfRule>
  </conditionalFormatting>
  <conditionalFormatting sqref="E611:X621">
    <cfRule type="cellIs" dxfId="133" priority="36" operator="equal">
      <formula>0</formula>
    </cfRule>
  </conditionalFormatting>
  <conditionalFormatting sqref="E622:X632">
    <cfRule type="cellIs" dxfId="132" priority="35" operator="equal">
      <formula>0</formula>
    </cfRule>
  </conditionalFormatting>
  <conditionalFormatting sqref="E633:X643">
    <cfRule type="cellIs" dxfId="131" priority="34" operator="equal">
      <formula>0</formula>
    </cfRule>
  </conditionalFormatting>
  <conditionalFormatting sqref="E655:X665">
    <cfRule type="cellIs" dxfId="130" priority="33" operator="equal">
      <formula>0</formula>
    </cfRule>
  </conditionalFormatting>
  <conditionalFormatting sqref="E677:X687">
    <cfRule type="cellIs" dxfId="129" priority="32" operator="equal">
      <formula>0</formula>
    </cfRule>
  </conditionalFormatting>
  <conditionalFormatting sqref="E666:X676">
    <cfRule type="cellIs" dxfId="128" priority="31" operator="equal">
      <formula>0</formula>
    </cfRule>
  </conditionalFormatting>
  <conditionalFormatting sqref="E644:X654">
    <cfRule type="cellIs" dxfId="127" priority="30" operator="equal">
      <formula>0</formula>
    </cfRule>
  </conditionalFormatting>
  <conditionalFormatting sqref="E721:X731">
    <cfRule type="cellIs" dxfId="126" priority="29" operator="equal">
      <formula>0</formula>
    </cfRule>
  </conditionalFormatting>
  <conditionalFormatting sqref="E710:X720">
    <cfRule type="cellIs" dxfId="125" priority="28" operator="equal">
      <formula>0</formula>
    </cfRule>
  </conditionalFormatting>
  <conditionalFormatting sqref="E699:X709">
    <cfRule type="cellIs" dxfId="124" priority="27" operator="equal">
      <formula>0</formula>
    </cfRule>
  </conditionalFormatting>
  <conditionalFormatting sqref="E688:X698">
    <cfRule type="cellIs" dxfId="123" priority="26" operator="equal">
      <formula>0</formula>
    </cfRule>
  </conditionalFormatting>
  <conditionalFormatting sqref="E732:X742">
    <cfRule type="cellIs" dxfId="122" priority="25" operator="equal">
      <formula>0</formula>
    </cfRule>
  </conditionalFormatting>
  <conditionalFormatting sqref="E743:X753">
    <cfRule type="cellIs" dxfId="121" priority="24" operator="equal">
      <formula>0</formula>
    </cfRule>
  </conditionalFormatting>
  <conditionalFormatting sqref="E754:X764">
    <cfRule type="cellIs" dxfId="120" priority="23" operator="equal">
      <formula>0</formula>
    </cfRule>
  </conditionalFormatting>
  <conditionalFormatting sqref="E776:T785 V776:V786">
    <cfRule type="cellIs" dxfId="119" priority="22" operator="equal">
      <formula>0</formula>
    </cfRule>
  </conditionalFormatting>
  <conditionalFormatting sqref="E786:U786 W786:X786">
    <cfRule type="cellIs" dxfId="118" priority="21" operator="equal">
      <formula>0</formula>
    </cfRule>
  </conditionalFormatting>
  <conditionalFormatting sqref="E765:T774 V765:V775">
    <cfRule type="cellIs" dxfId="117" priority="20" operator="equal">
      <formula>0</formula>
    </cfRule>
  </conditionalFormatting>
  <conditionalFormatting sqref="E775:U775 W775:X775">
    <cfRule type="cellIs" dxfId="116" priority="19" operator="equal">
      <formula>0</formula>
    </cfRule>
  </conditionalFormatting>
  <conditionalFormatting sqref="E809:T818 V809:V819">
    <cfRule type="cellIs" dxfId="115" priority="18" operator="equal">
      <formula>0</formula>
    </cfRule>
  </conditionalFormatting>
  <conditionalFormatting sqref="E819:U819 W819:X819">
    <cfRule type="cellIs" dxfId="114" priority="17" operator="equal">
      <formula>0</formula>
    </cfRule>
  </conditionalFormatting>
  <conditionalFormatting sqref="E787:T796 V787:V797">
    <cfRule type="cellIs" dxfId="113" priority="16" operator="equal">
      <formula>0</formula>
    </cfRule>
  </conditionalFormatting>
  <conditionalFormatting sqref="E797:U797 W797:X797">
    <cfRule type="cellIs" dxfId="112" priority="15" operator="equal">
      <formula>0</formula>
    </cfRule>
  </conditionalFormatting>
  <conditionalFormatting sqref="E798:T807 V798:V808">
    <cfRule type="cellIs" dxfId="111" priority="14" operator="equal">
      <formula>0</formula>
    </cfRule>
  </conditionalFormatting>
  <conditionalFormatting sqref="E808:U808 W808:X808">
    <cfRule type="cellIs" dxfId="110" priority="13" operator="equal">
      <formula>0</formula>
    </cfRule>
  </conditionalFormatting>
  <conditionalFormatting sqref="E842:T851 V842:V852">
    <cfRule type="cellIs" dxfId="109" priority="12" operator="equal">
      <formula>0</formula>
    </cfRule>
  </conditionalFormatting>
  <conditionalFormatting sqref="E852:U852 W852:X852">
    <cfRule type="cellIs" dxfId="108" priority="11" operator="equal">
      <formula>0</formula>
    </cfRule>
  </conditionalFormatting>
  <conditionalFormatting sqref="E831:T840 V831:V841">
    <cfRule type="cellIs" dxfId="107" priority="10" operator="equal">
      <formula>0</formula>
    </cfRule>
  </conditionalFormatting>
  <conditionalFormatting sqref="E841:U841 W841:X841">
    <cfRule type="cellIs" dxfId="106" priority="9" operator="equal">
      <formula>0</formula>
    </cfRule>
  </conditionalFormatting>
  <conditionalFormatting sqref="E820:T829 V820:V830">
    <cfRule type="cellIs" dxfId="105" priority="8" operator="equal">
      <formula>0</formula>
    </cfRule>
  </conditionalFormatting>
  <conditionalFormatting sqref="E830:U830 W830:X830">
    <cfRule type="cellIs" dxfId="104" priority="7" operator="equal">
      <formula>0</formula>
    </cfRule>
  </conditionalFormatting>
  <conditionalFormatting sqref="E875:T884 V875:V885">
    <cfRule type="cellIs" dxfId="103" priority="6" operator="equal">
      <formula>0</formula>
    </cfRule>
  </conditionalFormatting>
  <conditionalFormatting sqref="E885:U885 W885:X885">
    <cfRule type="cellIs" dxfId="102" priority="5" operator="equal">
      <formula>0</formula>
    </cfRule>
  </conditionalFormatting>
  <conditionalFormatting sqref="E864:T873 V864:V874">
    <cfRule type="cellIs" dxfId="101" priority="4" operator="equal">
      <formula>0</formula>
    </cfRule>
  </conditionalFormatting>
  <conditionalFormatting sqref="E874:U874 W874:X874">
    <cfRule type="cellIs" dxfId="100" priority="3" operator="equal">
      <formula>0</formula>
    </cfRule>
  </conditionalFormatting>
  <conditionalFormatting sqref="E853:T862 V853:V863">
    <cfRule type="cellIs" dxfId="99" priority="2" operator="equal">
      <formula>0</formula>
    </cfRule>
  </conditionalFormatting>
  <conditionalFormatting sqref="E863:U863 W863:X863">
    <cfRule type="cellIs" dxfId="98" priority="1" operator="equal">
      <formula>0</formula>
    </cfRule>
  </conditionalFormatting>
  <pageMargins left="0.7" right="0.7" top="0.75" bottom="0.75" header="0.3" footer="0.3"/>
  <pageSetup paperSize="9" scale="32" orientation="portrait" r:id="rId1"/>
  <rowBreaks count="3" manualBreakCount="3">
    <brk id="104" max="16383" man="1"/>
    <brk id="214" max="16383" man="1"/>
    <brk id="335" max="26" man="1"/>
  </rowBreaks>
  <ignoredErrors>
    <ignoredError sqref="S6:S9 W6:W11 W12:W16 S11 S10 S12:S13 S17:S24 W17:W247 S15:S16 S48:S57 S70:S79 S103:S112 S125:S134 S147:S156 S169:S178 S191:S200 S214:S222 S246:S247" twoDigitTextYear="1"/>
    <ignoredError sqref="Q11 U13 Q14:R14 T14:U14 Q25:R47 T25:U31 Q69 Q58:R68 T58:U69 R69 Q80:R102 T80:U102 Q124 Q113:R123 T113:U124 R124 Q135 Q136:R146 T135:U146 R135 Q157:R168 T157:U168 Q179:R190 T179:U190 Q201:R213 T201:U213 Q223:R245 T223:U245 T33:U34 U32 T36:U47 U35" formula="1"/>
    <ignoredError sqref="B33 B44 B55 B66 B77 B88 B99 B110 B121 B132 B143 B154 B165 B176 B187 B198 B209 B220 B231 B242" unlockedFormula="1"/>
    <ignoredError sqref="S14 S25:S34 S58:S69 S80:S102 S113:S124 S135:S146 S157:S168 S179:S190 S201:S213 S223:S245 S36:S47" twoDigitTextYear="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база!$B:$B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Z190"/>
  <sheetViews>
    <sheetView showZeros="0" topLeftCell="A8" zoomScale="90" zoomScaleNormal="90" workbookViewId="0">
      <selection activeCell="L61" sqref="L61"/>
    </sheetView>
  </sheetViews>
  <sheetFormatPr defaultRowHeight="15.75"/>
  <cols>
    <col min="1" max="1" customWidth="true" width="9.85546875"/>
    <col min="2" max="2" customWidth="true" style="247" width="37.28515625"/>
    <col min="3" max="3" customWidth="true" width="6.85546875"/>
    <col min="4" max="4" customWidth="true" width="7.7109375"/>
    <col min="5" max="5" customWidth="true" width="8.5703125"/>
    <col min="6" max="6" customWidth="true" width="6.85546875"/>
    <col min="7" max="7" customWidth="true" width="9.0"/>
    <col min="8" max="13" customWidth="true" width="8.0"/>
    <col min="14" max="14" customWidth="true" width="9.0"/>
    <col min="15" max="15" customWidth="true" width="8.7109375"/>
    <col min="16" max="16" customWidth="true" style="545" width="5.7109375"/>
    <col min="17" max="17" customWidth="true" style="647" width="37.42578125"/>
    <col min="18" max="18" customWidth="true" style="647" width="5.140625"/>
    <col min="19" max="19" customWidth="true" style="647" width="7.140625"/>
    <col min="20" max="20" customWidth="true" width="8.42578125"/>
    <col min="21" max="21" customWidth="true" hidden="true" width="13.42578125"/>
    <col min="22" max="22" customWidth="true" hidden="true" width="6.42578125"/>
    <col min="23" max="23" customWidth="true" hidden="true" width="8.28515625"/>
    <col min="24" max="24" customWidth="true" hidden="true" width="4.42578125"/>
    <col min="25" max="25" customWidth="true" hidden="true" width="16.140625"/>
    <col min="26" max="27" customWidth="true" hidden="true" style="47" width="7.7109375"/>
    <col min="28" max="28" customWidth="true" hidden="true" width="4.28515625"/>
    <col min="29" max="29" customWidth="true" hidden="true" width="16.140625"/>
    <col min="30" max="30" customWidth="true" hidden="true" width="7.28515625"/>
    <col min="31" max="31" customWidth="true" hidden="true" width="6.85546875"/>
    <col min="32" max="32" customWidth="true" hidden="true" width="3.28515625"/>
    <col min="33" max="33" customWidth="true" hidden="true" width="14.0"/>
    <col min="34" max="34" customWidth="true" hidden="true" width="8.7109375"/>
    <col min="35" max="35" customWidth="true" hidden="true" width="9.140625"/>
    <col min="36" max="36" customWidth="true" hidden="true" width="5.7109375"/>
    <col min="37" max="37" customWidth="true" hidden="true" style="545" width="11.0"/>
    <col min="38" max="38" customWidth="true" hidden="true" style="545" width="19.85546875"/>
    <col min="39" max="39" customWidth="true" width="7.7109375"/>
    <col min="40" max="40" customWidth="true" hidden="true" width="9.140625"/>
    <col min="41" max="41" customWidth="true" hidden="true" width="34.28515625"/>
    <col min="42" max="42" customWidth="true" style="550" width="9.28515625"/>
    <col min="43" max="45" customWidth="true" style="553" width="9.28515625"/>
    <col min="46" max="46" customWidth="true" style="550" width="7.85546875"/>
  </cols>
  <sheetData>
    <row r="1" spans="1:52" ht="25.5" customHeight="1">
      <c r="A1" s="7" t="s">
        <v>10</v>
      </c>
      <c r="B1" s="245" t="s">
        <v>0</v>
      </c>
      <c r="C1" s="8" t="s">
        <v>1</v>
      </c>
      <c r="D1" s="49" t="s">
        <v>24</v>
      </c>
      <c r="E1" s="48" t="s">
        <v>23</v>
      </c>
      <c r="G1" s="673" t="s">
        <v>25</v>
      </c>
      <c r="H1" s="673" t="s">
        <v>26</v>
      </c>
      <c r="I1" s="674">
        <v>0.04</v>
      </c>
      <c r="J1" s="674" t="s">
        <v>27</v>
      </c>
      <c r="K1" s="674" t="s">
        <v>28</v>
      </c>
      <c r="L1" s="674" t="s">
        <v>29</v>
      </c>
      <c r="M1" s="674" t="s">
        <v>30</v>
      </c>
      <c r="N1" s="229"/>
      <c r="Q1" s="847" t="s">
        <v>289</v>
      </c>
      <c r="R1" s="847"/>
      <c r="S1" s="847"/>
      <c r="T1" s="700" t="s">
        <v>346</v>
      </c>
      <c r="U1" s="848" t="s">
        <v>88</v>
      </c>
      <c r="V1" s="848"/>
      <c r="W1" s="848"/>
      <c r="X1" s="1"/>
      <c r="Y1" s="849" t="s">
        <v>84</v>
      </c>
      <c r="Z1" s="849"/>
      <c r="AA1" s="849"/>
      <c r="AB1" s="1"/>
      <c r="AC1" s="850" t="s">
        <v>90</v>
      </c>
      <c r="AD1" s="851"/>
      <c r="AE1" s="852"/>
      <c r="AF1" s="1"/>
      <c r="AG1" s="848" t="s">
        <v>91</v>
      </c>
      <c r="AH1" s="848"/>
      <c r="AI1" s="848"/>
      <c r="AN1" t="s" s="0">
        <v>289</v>
      </c>
      <c r="AO1" s="276" t="s">
        <v>89</v>
      </c>
      <c r="AP1" s="552" t="s">
        <v>2</v>
      </c>
      <c r="AQ1" s="552" t="s">
        <v>249</v>
      </c>
      <c r="AR1" s="552" t="s">
        <v>10</v>
      </c>
      <c r="AS1" s="552" t="s">
        <v>248</v>
      </c>
      <c r="AT1" s="551"/>
      <c r="AU1" s="276"/>
      <c r="AV1" s="276"/>
      <c r="AW1" s="276"/>
      <c r="AX1" s="276"/>
      <c r="AY1" s="276"/>
      <c r="AZ1" s="276"/>
    </row>
    <row r="2" spans="1:52" ht="17.25" customHeight="1">
      <c r="A2" s="37" t="s">
        <v>306</v>
      </c>
      <c r="B2" s="246" t="str">
        <f>IFERROR(INDEX($Q$1:$BH$100,ROW(A2),MATCH(Data_Tech!$AU$7,$Q$1:$AN$1,)+COLUMN(A1)-1),"")</f>
        <v>Авдокушина Елена Николаевна</v>
      </c>
      <c r="C2" s="3" t="s">
        <v>4</v>
      </c>
      <c r="D2" s="207">
        <f>INDEX($Q$1:$BH$100,ROW(B2),MATCH(Data_Tech!$AU$7,$Q$1:$AN$1,)+COLUMN(B2)-1)</f>
        <v>4</v>
      </c>
      <c r="E2" s="208">
        <f>INDEX($Q$1:$BH$100,ROW(C2),MATCH(Data_Tech!$AU$7,$Q$1:$AN$1,)+COLUMN(C2)-1)</f>
        <v>15118</v>
      </c>
      <c r="G2" s="675">
        <v>1</v>
      </c>
      <c r="H2" s="676">
        <v>150.02000000000001</v>
      </c>
      <c r="I2" s="677">
        <f>(H2+(H2*$I$1))</f>
        <v>156.02080000000001</v>
      </c>
      <c r="J2" s="677">
        <f t="shared" ref="J2:J7" si="0">(H2+(H2*$J$1))</f>
        <v>162.02160000000001</v>
      </c>
      <c r="K2" s="677">
        <f>(H2+(H2*$K$1))</f>
        <v>168.0224</v>
      </c>
      <c r="L2" s="677">
        <f>(H2+(H2*$L$1))</f>
        <v>174.0232</v>
      </c>
      <c r="M2" s="677">
        <f>(H2+(H2*$M$1))</f>
        <v>186.02480000000003</v>
      </c>
      <c r="N2" s="230"/>
      <c r="O2" s="227" t="s">
        <v>289</v>
      </c>
      <c r="P2" s="667">
        <v>1</v>
      </c>
      <c r="Q2" s="681" t="s">
        <v>271</v>
      </c>
      <c r="R2" s="648">
        <v>4</v>
      </c>
      <c r="S2" s="648">
        <v>15118</v>
      </c>
      <c r="T2" s="680">
        <v>2</v>
      </c>
      <c r="U2" s="681" t="s">
        <v>271</v>
      </c>
      <c r="V2" s="648">
        <v>5039.3333333333403</v>
      </c>
      <c r="W2" s="648">
        <v>5038.3333333333403</v>
      </c>
      <c r="X2" s="680">
        <v>5037.3333333333403</v>
      </c>
      <c r="Y2" s="681" t="s">
        <v>271</v>
      </c>
      <c r="Z2" s="648">
        <v>5036.3333333333403</v>
      </c>
      <c r="AA2" s="648">
        <v>5035.3333333333403</v>
      </c>
      <c r="AB2" s="680">
        <v>5034.3333333333403</v>
      </c>
      <c r="AC2" s="681" t="s">
        <v>271</v>
      </c>
      <c r="AD2" s="648">
        <v>5033.3333333333403</v>
      </c>
      <c r="AE2" s="648">
        <v>5032.3333333333403</v>
      </c>
      <c r="AF2" s="680">
        <v>5031.3333333333403</v>
      </c>
      <c r="AG2" s="681" t="s">
        <v>271</v>
      </c>
      <c r="AH2" s="648">
        <v>5030.3333333333503</v>
      </c>
      <c r="AI2" s="648">
        <v>5029.3333333333503</v>
      </c>
      <c r="AJ2" s="680">
        <v>5028.3333333333503</v>
      </c>
      <c r="AK2" s="681" t="s">
        <v>271</v>
      </c>
      <c r="AL2" s="648">
        <v>5027.3333333333503</v>
      </c>
      <c r="AN2" t="s" s="0">
        <v>294</v>
      </c>
      <c r="AO2" s="276" t="s">
        <v>99</v>
      </c>
      <c r="AP2" s="554">
        <v>56</v>
      </c>
      <c r="AQ2" s="552">
        <v>112</v>
      </c>
      <c r="AR2" s="552">
        <v>4000</v>
      </c>
      <c r="AS2" s="158">
        <f>(AQ2*AR2/1000)</f>
        <v>448</v>
      </c>
      <c r="AT2" s="551"/>
      <c r="AU2" s="276"/>
      <c r="AV2" s="276"/>
      <c r="AW2" s="276"/>
      <c r="AX2" s="276"/>
      <c r="AY2" s="276"/>
      <c r="AZ2" s="276"/>
    </row>
    <row r="3" spans="1:52" ht="17.25" customHeight="1">
      <c r="A3" s="37" t="s">
        <v>311</v>
      </c>
      <c r="B3" s="246" t="str">
        <f>IFERROR(INDEX($Q$1:$BH$100,ROW(A3),MATCH(Data_Tech!$AU$7,$Q$1:$AN$1,)+COLUMN(A2)-1),"")</f>
        <v>Аксенов Александр Юрьевич</v>
      </c>
      <c r="C3" s="3" t="s">
        <v>3</v>
      </c>
      <c r="D3" s="207">
        <f>INDEX($Q$1:$BH$100,ROW(B3),MATCH(Data_Tech!$AU$7,$Q$1:$AN$1,)+COLUMN(B3)-1)</f>
        <v>3</v>
      </c>
      <c r="E3" s="208">
        <f>INDEX($Q$1:$BH$100,ROW(C3),MATCH(Data_Tech!$AU$7,$Q$1:$AN$1,)+COLUMN(C3)-1)</f>
        <v>15799</v>
      </c>
      <c r="G3" s="675">
        <v>2</v>
      </c>
      <c r="H3" s="676">
        <v>163.52000000000001</v>
      </c>
      <c r="I3" s="677">
        <f t="shared" ref="I3:I7" si="1">(H3+(H3*$I$1))</f>
        <v>170.0608</v>
      </c>
      <c r="J3" s="677">
        <f t="shared" si="0"/>
        <v>176.60160000000002</v>
      </c>
      <c r="K3" s="677">
        <f t="shared" ref="K3:K6" si="2">(H3+(H3*$K$1))</f>
        <v>183.14240000000001</v>
      </c>
      <c r="L3" s="677">
        <f t="shared" ref="L3:L7" si="3">(H3+(H3*$L$1))</f>
        <v>189.6832</v>
      </c>
      <c r="M3" s="677">
        <f t="shared" ref="M3:M7" si="4">(H3+(H3*$M$1))</f>
        <v>202.76480000000001</v>
      </c>
      <c r="N3" s="230"/>
      <c r="O3" s="227" t="s">
        <v>294</v>
      </c>
      <c r="P3" s="667">
        <v>2</v>
      </c>
      <c r="Q3" s="681" t="s">
        <v>282</v>
      </c>
      <c r="R3" s="648">
        <v>3</v>
      </c>
      <c r="S3" s="648">
        <v>15799</v>
      </c>
      <c r="T3" s="680"/>
      <c r="U3" s="681" t="s">
        <v>282</v>
      </c>
      <c r="V3" s="648">
        <v>31595</v>
      </c>
      <c r="W3" s="648">
        <v>47391</v>
      </c>
      <c r="X3" s="680"/>
      <c r="Y3" s="681" t="s">
        <v>282</v>
      </c>
      <c r="Z3" s="648">
        <v>63187</v>
      </c>
      <c r="AA3" s="648">
        <v>78983</v>
      </c>
      <c r="AB3" s="680"/>
      <c r="AC3" s="681" t="s">
        <v>282</v>
      </c>
      <c r="AD3" s="648">
        <v>94779</v>
      </c>
      <c r="AE3" s="648">
        <v>110575</v>
      </c>
      <c r="AF3" s="680"/>
      <c r="AG3" s="681" t="s">
        <v>282</v>
      </c>
      <c r="AH3" s="648">
        <v>126371</v>
      </c>
      <c r="AI3" s="648">
        <v>142167</v>
      </c>
      <c r="AJ3" s="680"/>
      <c r="AK3" s="681" t="s">
        <v>282</v>
      </c>
      <c r="AL3" s="648">
        <v>157963</v>
      </c>
      <c r="AN3" t="s" s="0">
        <v>84</v>
      </c>
      <c r="AO3" s="276" t="s">
        <v>100</v>
      </c>
      <c r="AP3" s="555">
        <v>57</v>
      </c>
      <c r="AQ3" s="552">
        <v>112</v>
      </c>
      <c r="AR3" s="552">
        <v>10000</v>
      </c>
      <c r="AS3" s="158">
        <f t="shared" ref="AS3:AS8" si="5">(AQ3*AR3/1000)</f>
        <v>1120</v>
      </c>
      <c r="AT3" s="551"/>
      <c r="AU3" s="276"/>
      <c r="AV3" s="276"/>
      <c r="AW3" s="276"/>
      <c r="AX3" s="276"/>
      <c r="AY3" s="276"/>
      <c r="AZ3" s="276"/>
    </row>
    <row r="4" spans="1:52" ht="17.25" customHeight="1">
      <c r="A4" s="37" t="s">
        <v>312</v>
      </c>
      <c r="B4" s="246" t="str">
        <f>IFERROR(INDEX($Q$1:$BH$100,ROW(A4),MATCH(Data_Tech!$AU$7,$Q$1:$AN$1,)+COLUMN(A3)-1),"")</f>
        <v>Аксенова Диана Владимировна</v>
      </c>
      <c r="C4" s="3" t="s">
        <v>6</v>
      </c>
      <c r="D4" s="207">
        <f>INDEX($Q$1:$BH$100,ROW(B4),MATCH(Data_Tech!$AU$7,$Q$1:$AN$1,)+COLUMN(B4)-1)</f>
        <v>4</v>
      </c>
      <c r="E4" s="208">
        <f>INDEX($Q$1:$BH$100,ROW(C4),MATCH(Data_Tech!$AU$7,$Q$1:$AN$1,)+COLUMN(C4)-1)</f>
        <v>15791</v>
      </c>
      <c r="G4" s="675">
        <v>3</v>
      </c>
      <c r="H4" s="676">
        <v>181.53</v>
      </c>
      <c r="I4" s="677">
        <f t="shared" si="1"/>
        <v>188.7912</v>
      </c>
      <c r="J4" s="677">
        <f t="shared" si="0"/>
        <v>196.05240000000001</v>
      </c>
      <c r="K4" s="677">
        <f t="shared" si="2"/>
        <v>203.31360000000001</v>
      </c>
      <c r="L4" s="677">
        <f t="shared" si="3"/>
        <v>210.57480000000001</v>
      </c>
      <c r="M4" s="677">
        <f t="shared" si="4"/>
        <v>225.09719999999999</v>
      </c>
      <c r="N4" s="230"/>
      <c r="O4" s="228" t="s">
        <v>84</v>
      </c>
      <c r="P4" s="667">
        <v>3</v>
      </c>
      <c r="Q4" s="681" t="s">
        <v>270</v>
      </c>
      <c r="R4" s="648">
        <v>4</v>
      </c>
      <c r="S4" s="648">
        <v>15791</v>
      </c>
      <c r="T4" s="680">
        <v>1</v>
      </c>
      <c r="U4" s="681" t="s">
        <v>270</v>
      </c>
      <c r="V4" s="648">
        <v>5262.3333333333303</v>
      </c>
      <c r="W4" s="648">
        <v>5260.8333333333403</v>
      </c>
      <c r="X4" s="680">
        <v>5259.3333333333403</v>
      </c>
      <c r="Y4" s="681" t="s">
        <v>270</v>
      </c>
      <c r="Z4" s="648">
        <v>5257.8333333333403</v>
      </c>
      <c r="AA4" s="648">
        <v>5256.3333333333403</v>
      </c>
      <c r="AB4" s="680">
        <v>5254.8333333333403</v>
      </c>
      <c r="AC4" s="681" t="s">
        <v>270</v>
      </c>
      <c r="AD4" s="648">
        <v>5253.3333333333403</v>
      </c>
      <c r="AE4" s="648">
        <v>5251.8333333333403</v>
      </c>
      <c r="AF4" s="680">
        <v>5250.3333333333403</v>
      </c>
      <c r="AG4" s="681" t="s">
        <v>270</v>
      </c>
      <c r="AH4" s="648">
        <v>5248.8333333333403</v>
      </c>
      <c r="AI4" s="648">
        <v>5247.3333333333503</v>
      </c>
      <c r="AJ4" s="680">
        <v>5245.8333333333503</v>
      </c>
      <c r="AK4" s="681" t="s">
        <v>270</v>
      </c>
      <c r="AL4" s="648">
        <v>5244.3333333333503</v>
      </c>
      <c r="AN4" t="s" s="0">
        <v>90</v>
      </c>
      <c r="AO4" s="276" t="s">
        <v>101</v>
      </c>
      <c r="AP4" s="555">
        <v>85</v>
      </c>
      <c r="AQ4" s="552">
        <v>115</v>
      </c>
      <c r="AR4" s="552">
        <v>11000</v>
      </c>
      <c r="AS4" s="158">
        <f t="shared" si="5"/>
        <v>1265</v>
      </c>
      <c r="AT4" s="551"/>
      <c r="AU4" s="276"/>
      <c r="AV4" s="276"/>
      <c r="AW4" s="276"/>
      <c r="AX4" s="276"/>
      <c r="AY4" s="276"/>
      <c r="AZ4" s="276"/>
    </row>
    <row r="5" spans="1:52" ht="17.25" customHeight="1">
      <c r="A5" s="37" t="s">
        <v>313</v>
      </c>
      <c r="B5" s="246" t="str">
        <f>IFERROR(INDEX($Q$1:$BH$100,ROW(A5),MATCH(Data_Tech!$AU$7,$Q$1:$AN$1,)+COLUMN(A4)-1),"")</f>
        <v>Александрович Екатерина Сергеевна</v>
      </c>
      <c r="C5" s="195" t="s">
        <v>5</v>
      </c>
      <c r="D5" s="207">
        <f>INDEX($Q$1:$BH$100,ROW(B5),MATCH(Data_Tech!$AU$7,$Q$1:$AN$1,)+COLUMN(B5)-1)</f>
        <v>3</v>
      </c>
      <c r="E5" s="208">
        <f>INDEX($Q$1:$BH$100,ROW(C5),MATCH(Data_Tech!$AU$7,$Q$1:$AN$1,)+COLUMN(C5)-1)</f>
        <v>15816</v>
      </c>
      <c r="G5" s="675">
        <v>4</v>
      </c>
      <c r="H5" s="676">
        <v>199.53</v>
      </c>
      <c r="I5" s="677">
        <f t="shared" si="1"/>
        <v>207.5112</v>
      </c>
      <c r="J5" s="677">
        <f t="shared" si="0"/>
        <v>215.4924</v>
      </c>
      <c r="K5" s="677">
        <f t="shared" si="2"/>
        <v>223.4736</v>
      </c>
      <c r="L5" s="677">
        <f t="shared" si="3"/>
        <v>231.45480000000001</v>
      </c>
      <c r="M5" s="677">
        <f t="shared" si="4"/>
        <v>247.41720000000001</v>
      </c>
      <c r="N5" s="230"/>
      <c r="O5" s="228" t="s">
        <v>90</v>
      </c>
      <c r="P5" s="667">
        <v>4</v>
      </c>
      <c r="Q5" s="681" t="s">
        <v>290</v>
      </c>
      <c r="R5" s="648">
        <v>3</v>
      </c>
      <c r="S5" s="648">
        <v>15816</v>
      </c>
      <c r="T5" s="680"/>
      <c r="U5" s="681" t="s">
        <v>290</v>
      </c>
      <c r="V5" s="648">
        <v>31629</v>
      </c>
      <c r="W5" s="648">
        <v>47442</v>
      </c>
      <c r="X5" s="680"/>
      <c r="Y5" s="681" t="s">
        <v>290</v>
      </c>
      <c r="Z5" s="648">
        <v>63255</v>
      </c>
      <c r="AA5" s="648">
        <v>79068</v>
      </c>
      <c r="AB5" s="680"/>
      <c r="AC5" s="681" t="s">
        <v>290</v>
      </c>
      <c r="AD5" s="648">
        <v>94881</v>
      </c>
      <c r="AE5" s="648">
        <v>110694</v>
      </c>
      <c r="AF5" s="680"/>
      <c r="AG5" s="681" t="s">
        <v>290</v>
      </c>
      <c r="AH5" s="648">
        <v>126507</v>
      </c>
      <c r="AI5" s="648">
        <v>142320</v>
      </c>
      <c r="AJ5" s="680"/>
      <c r="AK5" s="681" t="s">
        <v>290</v>
      </c>
      <c r="AL5" s="648">
        <v>158133</v>
      </c>
      <c r="AN5" t="s" s="0">
        <v>91</v>
      </c>
      <c r="AO5" s="276" t="s">
        <v>102</v>
      </c>
      <c r="AP5" s="554">
        <v>60</v>
      </c>
      <c r="AQ5" s="552">
        <v>74</v>
      </c>
      <c r="AR5" s="552">
        <v>6400</v>
      </c>
      <c r="AS5" s="158">
        <f t="shared" si="5"/>
        <v>473.6</v>
      </c>
      <c r="AT5" s="551"/>
      <c r="AU5" s="276"/>
      <c r="AV5" s="276"/>
      <c r="AW5" s="276"/>
      <c r="AX5" s="276"/>
      <c r="AY5" s="276"/>
      <c r="AZ5" s="276"/>
    </row>
    <row r="6" spans="1:52" ht="17.25" customHeight="1">
      <c r="A6" s="37" t="s">
        <v>314</v>
      </c>
      <c r="B6" s="246" t="str">
        <f>IFERROR(INDEX($Q$1:$BH$100,ROW(A6),MATCH(Data_Tech!$AU$7,$Q$1:$AN$1,)+COLUMN(A5)-1),"")</f>
        <v>Алиева Диана Арифовна</v>
      </c>
      <c r="C6" s="3" t="s">
        <v>31</v>
      </c>
      <c r="D6" s="207">
        <f>INDEX($Q$1:$BH$100,ROW(B6),MATCH(Data_Tech!$AU$7,$Q$1:$AN$1,)+COLUMN(B6)-1)</f>
        <v>3</v>
      </c>
      <c r="E6" s="208">
        <f>INDEX($Q$1:$BH$100,ROW(C6),MATCH(Data_Tech!$AU$7,$Q$1:$AN$1,)+COLUMN(C6)-1)</f>
        <v>16475</v>
      </c>
      <c r="G6" s="675">
        <v>5</v>
      </c>
      <c r="H6" s="676">
        <v>225.04</v>
      </c>
      <c r="I6" s="677">
        <f t="shared" si="1"/>
        <v>234.04159999999999</v>
      </c>
      <c r="J6" s="677">
        <f t="shared" si="0"/>
        <v>243.04319999999998</v>
      </c>
      <c r="K6" s="677">
        <f t="shared" si="2"/>
        <v>252.04479999999998</v>
      </c>
      <c r="L6" s="677">
        <f t="shared" si="3"/>
        <v>261.04640000000001</v>
      </c>
      <c r="M6" s="677">
        <f t="shared" si="4"/>
        <v>279.0496</v>
      </c>
      <c r="N6" s="230"/>
      <c r="O6" s="227" t="s">
        <v>91</v>
      </c>
      <c r="P6" s="667">
        <v>5</v>
      </c>
      <c r="Q6" s="681" t="s">
        <v>283</v>
      </c>
      <c r="R6" s="648">
        <v>3</v>
      </c>
      <c r="S6" s="648">
        <v>16475</v>
      </c>
      <c r="T6" s="680"/>
      <c r="U6" s="681" t="s">
        <v>283</v>
      </c>
      <c r="V6" s="648">
        <v>5491.00000000001</v>
      </c>
      <c r="W6" s="648">
        <v>5490.00000000001</v>
      </c>
      <c r="X6" s="680">
        <v>5489.00000000001</v>
      </c>
      <c r="Y6" s="681" t="s">
        <v>283</v>
      </c>
      <c r="Z6" s="648">
        <v>5488.00000000001</v>
      </c>
      <c r="AA6" s="648">
        <v>5487.00000000002</v>
      </c>
      <c r="AB6" s="680">
        <v>5486.00000000002</v>
      </c>
      <c r="AC6" s="681" t="s">
        <v>283</v>
      </c>
      <c r="AD6" s="648">
        <v>5485.00000000002</v>
      </c>
      <c r="AE6" s="648">
        <v>5484.00000000002</v>
      </c>
      <c r="AF6" s="680">
        <v>5483.00000000002</v>
      </c>
      <c r="AG6" s="681" t="s">
        <v>283</v>
      </c>
      <c r="AH6" s="648">
        <v>5482.00000000003</v>
      </c>
      <c r="AI6" s="648">
        <v>5481.00000000003</v>
      </c>
      <c r="AJ6" s="680">
        <v>5480.00000000003</v>
      </c>
      <c r="AK6" s="681" t="s">
        <v>283</v>
      </c>
      <c r="AL6" s="648">
        <v>5479.00000000003</v>
      </c>
      <c r="AP6" s="554">
        <v>757</v>
      </c>
      <c r="AQ6" s="552">
        <v>74</v>
      </c>
      <c r="AR6" s="552">
        <v>10200</v>
      </c>
      <c r="AS6" s="158">
        <f t="shared" si="5"/>
        <v>754.8</v>
      </c>
    </row>
    <row r="7" spans="1:52" ht="17.25" customHeight="1">
      <c r="A7" s="37" t="s">
        <v>315</v>
      </c>
      <c r="B7" s="246" t="str">
        <f>IFERROR(INDEX($Q$1:$BH$100,ROW(A7),MATCH(Data_Tech!$AU$7,$Q$1:$AN$1,)+COLUMN(A6)-1),"")</f>
        <v>Аполосова Ольга Николаевна</v>
      </c>
      <c r="C7" s="195" t="s">
        <v>32</v>
      </c>
      <c r="D7" s="207">
        <f>INDEX($Q$1:$BH$100,ROW(B7),MATCH(Data_Tech!$AU$7,$Q$1:$AN$1,)+COLUMN(B7)-1)</f>
        <v>3</v>
      </c>
      <c r="E7" s="208">
        <f>INDEX($Q$1:$BH$100,ROW(C7),MATCH(Data_Tech!$AU$7,$Q$1:$AN$1,)+COLUMN(C7)-1)</f>
        <v>17290</v>
      </c>
      <c r="G7" s="675">
        <v>6</v>
      </c>
      <c r="H7" s="676">
        <v>256.52999999999997</v>
      </c>
      <c r="I7" s="677">
        <f t="shared" si="1"/>
        <v>266.79119999999995</v>
      </c>
      <c r="J7" s="677">
        <f t="shared" si="0"/>
        <v>277.05239999999998</v>
      </c>
      <c r="K7" s="677">
        <f>(H7+(H7*$K$1))</f>
        <v>287.31359999999995</v>
      </c>
      <c r="L7" s="677">
        <f t="shared" si="3"/>
        <v>297.57479999999998</v>
      </c>
      <c r="M7" s="677">
        <f t="shared" si="4"/>
        <v>318.09719999999999</v>
      </c>
      <c r="N7" s="230"/>
      <c r="P7" s="667">
        <v>6</v>
      </c>
      <c r="Q7" s="649" t="s">
        <v>347</v>
      </c>
      <c r="R7" s="648">
        <v>3</v>
      </c>
      <c r="S7" s="648">
        <v>17290</v>
      </c>
      <c r="T7" s="680">
        <v>1</v>
      </c>
      <c r="U7" s="649" t="s">
        <v>347</v>
      </c>
      <c r="V7" s="648">
        <v>5762.6666666666697</v>
      </c>
      <c r="W7" s="649">
        <v>5761.6666666666697</v>
      </c>
      <c r="X7" s="680">
        <v>5760.6666666666697</v>
      </c>
      <c r="Y7" s="649" t="s">
        <v>347</v>
      </c>
      <c r="Z7" s="648">
        <v>5759.6666666666697</v>
      </c>
      <c r="AA7" s="649">
        <v>5758.6666666666697</v>
      </c>
      <c r="AB7" s="680">
        <v>5757.6666666666797</v>
      </c>
      <c r="AC7" s="649" t="s">
        <v>347</v>
      </c>
      <c r="AD7" s="648">
        <v>5756.6666666666797</v>
      </c>
      <c r="AE7" s="649">
        <v>5755.6666666666797</v>
      </c>
      <c r="AF7" s="680">
        <v>5754.6666666666797</v>
      </c>
      <c r="AG7" s="649" t="s">
        <v>347</v>
      </c>
      <c r="AH7" s="648">
        <v>5753.6666666666797</v>
      </c>
      <c r="AI7" s="649">
        <v>5752.6666666666797</v>
      </c>
      <c r="AJ7" s="680">
        <v>5751.6666666666797</v>
      </c>
      <c r="AK7" s="649" t="s">
        <v>347</v>
      </c>
      <c r="AL7" s="648">
        <v>5750.6666666666797</v>
      </c>
      <c r="AP7" s="554">
        <v>6001</v>
      </c>
      <c r="AQ7" s="552">
        <v>56</v>
      </c>
      <c r="AR7" s="552">
        <v>6400</v>
      </c>
      <c r="AS7" s="158">
        <f t="shared" si="5"/>
        <v>358.4</v>
      </c>
    </row>
    <row r="8" spans="1:52" ht="17.25" customHeight="1">
      <c r="A8" s="37" t="s">
        <v>316</v>
      </c>
      <c r="B8" s="246" t="str">
        <f>IFERROR(INDEX($Q$1:$BH$100,ROW(A8),MATCH(Data_Tech!$AU$7,$Q$1:$AN$1,)+COLUMN(A7)-1),"")</f>
        <v>Аполосова Юлиана Александровна</v>
      </c>
      <c r="C8" s="3" t="s">
        <v>67</v>
      </c>
      <c r="D8" s="207">
        <f>INDEX($Q$1:$BH$100,ROW(B8),MATCH(Data_Tech!$AU$7,$Q$1:$AN$1,)+COLUMN(B8)-1)</f>
        <v>3</v>
      </c>
      <c r="E8" s="208">
        <f>INDEX($Q$1:$BH$100,ROW(C8),MATCH(Data_Tech!$AU$7,$Q$1:$AN$1,)+COLUMN(C8)-1)</f>
        <v>17296</v>
      </c>
      <c r="P8" s="667">
        <v>7</v>
      </c>
      <c r="Q8" s="649" t="s">
        <v>349</v>
      </c>
      <c r="R8" s="648">
        <v>3</v>
      </c>
      <c r="S8" s="648">
        <v>17296</v>
      </c>
      <c r="T8" s="680">
        <v>1</v>
      </c>
      <c r="U8" s="681" t="s">
        <v>320</v>
      </c>
      <c r="V8" s="648">
        <v>5614.6666666666697</v>
      </c>
      <c r="W8" s="648">
        <v>5614.1666666666697</v>
      </c>
      <c r="X8" s="680">
        <v>5613.6666666666697</v>
      </c>
      <c r="Y8" s="681" t="s">
        <v>320</v>
      </c>
      <c r="Z8" s="648">
        <v>5613.1666666666697</v>
      </c>
      <c r="AA8" s="648">
        <v>5612.6666666666697</v>
      </c>
      <c r="AB8" s="680">
        <v>5612.1666666666697</v>
      </c>
      <c r="AC8" s="681" t="s">
        <v>320</v>
      </c>
      <c r="AD8" s="648">
        <v>5611.6666666666697</v>
      </c>
      <c r="AE8" s="648">
        <v>5611.1666666666697</v>
      </c>
      <c r="AF8" s="680">
        <v>5610.6666666666697</v>
      </c>
      <c r="AG8" s="681" t="s">
        <v>320</v>
      </c>
      <c r="AH8" s="648">
        <v>5610.1666666666697</v>
      </c>
      <c r="AI8" s="648">
        <v>5609.6666666666697</v>
      </c>
      <c r="AJ8" s="680">
        <v>5609.1666666666697</v>
      </c>
      <c r="AK8" s="681" t="s">
        <v>320</v>
      </c>
      <c r="AL8" s="648">
        <v>5608.6666666666697</v>
      </c>
      <c r="AP8" s="555">
        <v>185</v>
      </c>
      <c r="AQ8" s="552">
        <v>112</v>
      </c>
      <c r="AR8" s="552">
        <v>4800</v>
      </c>
      <c r="AS8" s="158">
        <f t="shared" si="5"/>
        <v>537.6</v>
      </c>
    </row>
    <row r="9" spans="1:52" ht="17.25" customHeight="1">
      <c r="A9" s="37" t="s">
        <v>317</v>
      </c>
      <c r="B9" s="246" t="str">
        <f>IFERROR(INDEX($Q$1:$BH$100,ROW(A9),MATCH(Data_Tech!$AU$7,$Q$1:$AN$1,)+COLUMN(A8)-1),"")</f>
        <v>Бадьялова Елена Сергеевна</v>
      </c>
      <c r="C9" s="3" t="s">
        <v>71</v>
      </c>
      <c r="D9" s="207">
        <f>INDEX($Q$1:$BH$100,ROW(B9),MATCH(Data_Tech!$AU$7,$Q$1:$AN$1,)+COLUMN(B9)-1)</f>
        <v>3</v>
      </c>
      <c r="E9" s="208">
        <f>INDEX($Q$1:$BH$100,ROW(C9),MATCH(Data_Tech!$AU$7,$Q$1:$AN$1,)+COLUMN(C9)-1)</f>
        <v>16809</v>
      </c>
      <c r="I9" s="103"/>
      <c r="J9" s="103"/>
      <c r="K9" s="103"/>
      <c r="L9" s="103"/>
      <c r="M9" s="103"/>
      <c r="N9" s="103"/>
      <c r="P9" s="667">
        <v>8</v>
      </c>
      <c r="Q9" s="681" t="s">
        <v>274</v>
      </c>
      <c r="R9" s="648">
        <v>3</v>
      </c>
      <c r="S9" s="648">
        <v>16809</v>
      </c>
      <c r="T9" s="680"/>
      <c r="U9" s="682" t="s">
        <v>321</v>
      </c>
      <c r="V9" s="648">
        <v>5759.6666666666697</v>
      </c>
      <c r="W9" s="648">
        <v>5759.1666666666697</v>
      </c>
      <c r="X9" s="680">
        <v>5758.6666666666697</v>
      </c>
      <c r="Y9" s="682" t="s">
        <v>321</v>
      </c>
      <c r="Z9" s="648">
        <v>5758.1666666666697</v>
      </c>
      <c r="AA9" s="648">
        <v>5757.6666666666697</v>
      </c>
      <c r="AB9" s="680">
        <v>5757.1666666666797</v>
      </c>
      <c r="AC9" s="682" t="s">
        <v>321</v>
      </c>
      <c r="AD9" s="648">
        <v>5756.6666666666797</v>
      </c>
      <c r="AE9" s="648">
        <v>5756.1666666666797</v>
      </c>
      <c r="AF9" s="680">
        <v>5755.6666666666797</v>
      </c>
      <c r="AG9" s="682" t="s">
        <v>321</v>
      </c>
      <c r="AH9" s="648">
        <v>5755.1666666666797</v>
      </c>
      <c r="AI9" s="648">
        <v>5754.6666666666797</v>
      </c>
      <c r="AJ9" s="680">
        <v>5754.1666666666797</v>
      </c>
      <c r="AK9" s="682" t="s">
        <v>321</v>
      </c>
      <c r="AL9" s="648">
        <v>5753.6666666666797</v>
      </c>
    </row>
    <row r="10" spans="1:52" ht="17.25" customHeight="1">
      <c r="A10" s="37" t="s">
        <v>318</v>
      </c>
      <c r="B10" s="246" t="str">
        <f>IFERROR(INDEX($Q$1:$BH$100,ROW(A10),MATCH(Data_Tech!$AU$7,$Q$1:$AN$1,)+COLUMN(A9)-1),"")</f>
        <v>Бекетова Надежда Ильинична</v>
      </c>
      <c r="C10" s="38"/>
      <c r="D10" s="207">
        <f>INDEX($Q$1:$BH$100,ROW(B10),MATCH(Data_Tech!$AU$7,$Q$1:$AN$1,)+COLUMN(B10)-1)</f>
        <v>3</v>
      </c>
      <c r="E10" s="208">
        <f>INDEX($Q$1:$BH$100,ROW(C10),MATCH(Data_Tech!$AU$7,$Q$1:$AN$1,)+COLUMN(C10)-1)</f>
        <v>17169</v>
      </c>
      <c r="I10" s="103"/>
      <c r="J10" s="103"/>
      <c r="K10" s="103"/>
      <c r="L10" s="103"/>
      <c r="M10" s="103"/>
      <c r="N10" s="103"/>
      <c r="P10" s="667">
        <v>9</v>
      </c>
      <c r="Q10" s="681" t="s">
        <v>304</v>
      </c>
      <c r="R10" s="648">
        <v>3</v>
      </c>
      <c r="S10" s="648">
        <v>17169</v>
      </c>
      <c r="T10" s="680">
        <v>2</v>
      </c>
      <c r="U10" s="681" t="s">
        <v>274</v>
      </c>
      <c r="V10" s="648">
        <v>33615</v>
      </c>
      <c r="W10" s="648">
        <v>50421</v>
      </c>
      <c r="X10" s="680"/>
      <c r="Y10" s="681" t="s">
        <v>274</v>
      </c>
      <c r="Z10" s="648">
        <v>67227</v>
      </c>
      <c r="AA10" s="648">
        <v>84033</v>
      </c>
      <c r="AB10" s="680"/>
      <c r="AC10" s="681" t="s">
        <v>274</v>
      </c>
      <c r="AD10" s="648">
        <v>100839</v>
      </c>
      <c r="AE10" s="648">
        <v>117645</v>
      </c>
      <c r="AF10" s="680"/>
      <c r="AG10" s="681" t="s">
        <v>274</v>
      </c>
      <c r="AH10" s="648">
        <v>134451</v>
      </c>
      <c r="AI10" s="648">
        <v>151257</v>
      </c>
      <c r="AJ10" s="680"/>
      <c r="AK10" s="681" t="s">
        <v>274</v>
      </c>
      <c r="AL10" s="648">
        <v>168063</v>
      </c>
    </row>
    <row r="11" spans="1:52" ht="17.25" customHeight="1">
      <c r="A11" s="37" t="s">
        <v>319</v>
      </c>
      <c r="B11" s="246" t="str">
        <f>IFERROR(INDEX($Q$1:$BH$100,ROW(A11),MATCH(Data_Tech!$AU$7,$Q$1:$AN$1,)+COLUMN(A10)-1),"")</f>
        <v>Боровик Елена Владимировна</v>
      </c>
      <c r="C11" s="38"/>
      <c r="D11" s="207">
        <f>INDEX($Q$1:$BH$100,ROW(B11),MATCH(Data_Tech!$AU$7,$Q$1:$AN$1,)+COLUMN(B11)-1)</f>
        <v>3</v>
      </c>
      <c r="E11" s="208">
        <f>INDEX($Q$1:$BH$100,ROW(C11),MATCH(Data_Tech!$AU$7,$Q$1:$AN$1,)+COLUMN(C11)-1)</f>
        <v>17256</v>
      </c>
      <c r="J11" s="104"/>
      <c r="K11" s="105"/>
      <c r="L11" s="564"/>
      <c r="M11" s="103"/>
      <c r="N11" s="103"/>
      <c r="P11" s="667">
        <v>10</v>
      </c>
      <c r="Q11" s="649" t="s">
        <v>352</v>
      </c>
      <c r="R11" s="648">
        <v>3</v>
      </c>
      <c r="S11" s="648">
        <v>17256</v>
      </c>
      <c r="T11" s="680"/>
      <c r="U11" s="681" t="s">
        <v>304</v>
      </c>
      <c r="V11" s="648">
        <v>5723.6666666666597</v>
      </c>
      <c r="W11" s="648">
        <v>5723.1666666666597</v>
      </c>
      <c r="X11" s="680">
        <v>5722.6666666666597</v>
      </c>
      <c r="Y11" s="681" t="s">
        <v>304</v>
      </c>
      <c r="Z11" s="648">
        <v>5722.1666666666597</v>
      </c>
      <c r="AA11" s="648">
        <v>5721.6666666666597</v>
      </c>
      <c r="AB11" s="680">
        <v>5721.1666666666597</v>
      </c>
      <c r="AC11" s="681" t="s">
        <v>304</v>
      </c>
      <c r="AD11" s="648">
        <v>5720.6666666666597</v>
      </c>
      <c r="AE11" s="648">
        <v>5720.1666666666497</v>
      </c>
      <c r="AF11" s="680">
        <v>5719.6666666666497</v>
      </c>
      <c r="AG11" s="681" t="s">
        <v>304</v>
      </c>
      <c r="AH11" s="648">
        <v>5719.1666666666497</v>
      </c>
      <c r="AI11" s="648">
        <v>5718.6666666666497</v>
      </c>
      <c r="AJ11" s="680">
        <v>5718.1666666666497</v>
      </c>
      <c r="AK11" s="681" t="s">
        <v>304</v>
      </c>
      <c r="AL11" s="648">
        <v>5717.6666666666497</v>
      </c>
    </row>
    <row r="12" spans="1:52" ht="17.25" customHeight="1">
      <c r="A12" s="37"/>
      <c r="B12" s="246" t="str">
        <f>IFERROR(INDEX($Q$1:$BH$100,ROW(A12),MATCH(Data_Tech!$AU$7,$Q$1:$AN$1,)+COLUMN(A11)-1),"")</f>
        <v>Бородицкая Ирина Борисовна</v>
      </c>
      <c r="C12" s="209"/>
      <c r="D12" s="207">
        <f>INDEX($Q$1:$BH$100,ROW(B12),MATCH(Data_Tech!$AU$7,$Q$1:$AN$1,)+COLUMN(B12)-1)</f>
        <v>3</v>
      </c>
      <c r="E12" s="208">
        <f>INDEX($Q$1:$BH$100,ROW(C12),MATCH(Data_Tech!$AU$7,$Q$1:$AN$1,)+COLUMN(C12)-1)</f>
        <v>16250</v>
      </c>
      <c r="J12" s="104"/>
      <c r="K12" s="105"/>
      <c r="L12" s="103"/>
      <c r="M12" s="103"/>
      <c r="N12" s="103"/>
      <c r="P12" s="667">
        <v>11</v>
      </c>
      <c r="Q12" s="681" t="s">
        <v>251</v>
      </c>
      <c r="R12" s="648">
        <v>3</v>
      </c>
      <c r="S12" s="648">
        <v>16250</v>
      </c>
      <c r="T12" s="680">
        <v>3</v>
      </c>
      <c r="U12" s="681" t="s">
        <v>251</v>
      </c>
      <c r="V12" s="648">
        <v>5418.6666666666697</v>
      </c>
      <c r="W12" s="648">
        <v>5418.6666666666697</v>
      </c>
      <c r="X12" s="680">
        <v>5418.6666666666697</v>
      </c>
      <c r="Y12" s="681" t="s">
        <v>251</v>
      </c>
      <c r="Z12" s="648">
        <v>5418.6666666666697</v>
      </c>
      <c r="AA12" s="648">
        <v>5418.6666666666697</v>
      </c>
      <c r="AB12" s="680">
        <v>5418.6666666666797</v>
      </c>
      <c r="AC12" s="681" t="s">
        <v>251</v>
      </c>
      <c r="AD12" s="648">
        <v>5418.6666666666797</v>
      </c>
      <c r="AE12" s="648">
        <v>5418.6666666666797</v>
      </c>
      <c r="AF12" s="680">
        <v>5418.6666666666797</v>
      </c>
      <c r="AG12" s="681" t="s">
        <v>251</v>
      </c>
      <c r="AH12" s="648">
        <v>5418.6666666666797</v>
      </c>
      <c r="AI12" s="648">
        <v>5418.6666666666797</v>
      </c>
      <c r="AJ12" s="680">
        <v>5418.6666666666797</v>
      </c>
      <c r="AK12" s="681" t="s">
        <v>251</v>
      </c>
      <c r="AL12" s="648">
        <v>5418.6666666666797</v>
      </c>
      <c r="AP12" s="552" t="s">
        <v>2</v>
      </c>
      <c r="AQ12" s="552" t="s">
        <v>249</v>
      </c>
      <c r="AR12" s="552" t="s">
        <v>10</v>
      </c>
      <c r="AS12" s="552" t="s">
        <v>248</v>
      </c>
    </row>
    <row r="13" spans="1:52" ht="17.25" customHeight="1">
      <c r="A13" s="37"/>
      <c r="B13" s="246" t="str">
        <f>IFERROR(INDEX($Q$1:$BH$100,ROW(A13),MATCH(Data_Tech!$AU$7,$Q$1:$AN$1,)+COLUMN(A12)-1),"")</f>
        <v>Бунчук Виктория Ивановна</v>
      </c>
      <c r="C13" s="209"/>
      <c r="D13" s="207">
        <f>INDEX($Q$1:$BH$100,ROW(B13),MATCH(Data_Tech!$AU$7,$Q$1:$AN$1,)+COLUMN(B13)-1)</f>
        <v>3</v>
      </c>
      <c r="E13" s="208">
        <f>INDEX($Q$1:$BH$100,ROW(C13),MATCH(Data_Tech!$AU$7,$Q$1:$AN$1,)+COLUMN(C13)-1)</f>
        <v>16960</v>
      </c>
      <c r="J13" s="104"/>
      <c r="K13" s="105"/>
      <c r="L13" s="103"/>
      <c r="M13" s="103"/>
      <c r="N13" s="103"/>
      <c r="P13" s="667">
        <v>12</v>
      </c>
      <c r="Q13" s="681" t="s">
        <v>275</v>
      </c>
      <c r="R13" s="648">
        <v>3</v>
      </c>
      <c r="S13" s="648">
        <v>16960</v>
      </c>
      <c r="T13" s="680"/>
      <c r="U13" s="681" t="s">
        <v>275</v>
      </c>
      <c r="V13" s="648">
        <v>33917</v>
      </c>
      <c r="W13" s="648">
        <v>50874</v>
      </c>
      <c r="X13" s="680"/>
      <c r="Y13" s="681" t="s">
        <v>275</v>
      </c>
      <c r="Z13" s="648">
        <v>67831</v>
      </c>
      <c r="AA13" s="648">
        <v>84788</v>
      </c>
      <c r="AB13" s="680"/>
      <c r="AC13" s="681" t="s">
        <v>275</v>
      </c>
      <c r="AD13" s="648">
        <v>101745</v>
      </c>
      <c r="AE13" s="648">
        <v>118702</v>
      </c>
      <c r="AF13" s="680"/>
      <c r="AG13" s="681" t="s">
        <v>275</v>
      </c>
      <c r="AH13" s="648">
        <v>135659</v>
      </c>
      <c r="AI13" s="648">
        <v>152616</v>
      </c>
      <c r="AJ13" s="680"/>
      <c r="AK13" s="681" t="s">
        <v>275</v>
      </c>
      <c r="AL13" s="648">
        <v>169573</v>
      </c>
      <c r="AP13" s="554">
        <v>56</v>
      </c>
      <c r="AQ13" s="552">
        <v>112</v>
      </c>
      <c r="AR13" s="552">
        <v>7000</v>
      </c>
      <c r="AS13" s="158">
        <f>(AQ13*AR13/1000)</f>
        <v>784</v>
      </c>
    </row>
    <row r="14" spans="1:52" ht="17.25" customHeight="1">
      <c r="A14" s="37"/>
      <c r="B14" s="246" t="str">
        <f>IFERROR(INDEX($Q$1:$BH$100,ROW(A14),MATCH(Data_Tech!$AU$7,$Q$1:$AN$1,)+COLUMN(A13)-1),"")</f>
        <v>Волошина Светлана Владимировна</v>
      </c>
      <c r="D14" s="207">
        <f>INDEX($Q$1:$BH$100,ROW(B14),MATCH(Data_Tech!$AU$7,$Q$1:$AN$1,)+COLUMN(B14)-1)</f>
        <v>3</v>
      </c>
      <c r="E14" s="208">
        <f>INDEX($Q$1:$BH$100,ROW(C14),MATCH(Data_Tech!$AU$7,$Q$1:$AN$1,)+COLUMN(C14)-1)</f>
        <v>17198</v>
      </c>
      <c r="J14" s="103"/>
      <c r="K14" s="103"/>
      <c r="L14" s="103"/>
      <c r="M14" s="103"/>
      <c r="N14" s="103"/>
      <c r="P14" s="667">
        <v>13</v>
      </c>
      <c r="Q14" s="681" t="s">
        <v>322</v>
      </c>
      <c r="R14" s="648">
        <v>3</v>
      </c>
      <c r="S14" s="648">
        <v>17198</v>
      </c>
      <c r="T14" s="680">
        <v>2</v>
      </c>
      <c r="U14" s="681" t="s">
        <v>322</v>
      </c>
      <c r="V14" s="648">
        <v>5733.3333333333303</v>
      </c>
      <c r="W14" s="648">
        <v>5732.8333333333403</v>
      </c>
      <c r="X14" s="680">
        <v>5732.3333333333403</v>
      </c>
      <c r="Y14" s="681" t="s">
        <v>322</v>
      </c>
      <c r="Z14" s="648">
        <v>5731.8333333333403</v>
      </c>
      <c r="AA14" s="648">
        <v>5731.3333333333403</v>
      </c>
      <c r="AB14" s="680">
        <v>5730.8333333333403</v>
      </c>
      <c r="AC14" s="681" t="s">
        <v>322</v>
      </c>
      <c r="AD14" s="648">
        <v>5730.3333333333403</v>
      </c>
      <c r="AE14" s="648">
        <v>5729.8333333333403</v>
      </c>
      <c r="AF14" s="680">
        <v>5729.3333333333403</v>
      </c>
      <c r="AG14" s="681" t="s">
        <v>322</v>
      </c>
      <c r="AH14" s="648">
        <v>5728.8333333333503</v>
      </c>
      <c r="AI14" s="648">
        <v>5728.3333333333503</v>
      </c>
      <c r="AJ14" s="680">
        <v>5727.8333333333503</v>
      </c>
      <c r="AK14" s="681" t="s">
        <v>322</v>
      </c>
      <c r="AL14" s="648">
        <v>5727.3333333333503</v>
      </c>
      <c r="AP14" s="555">
        <v>57</v>
      </c>
      <c r="AQ14" s="552">
        <v>112</v>
      </c>
      <c r="AR14" s="552">
        <v>3108</v>
      </c>
      <c r="AS14" s="158">
        <f t="shared" ref="AS14:AS19" si="6">(AQ14*AR14/1000)</f>
        <v>348.096</v>
      </c>
    </row>
    <row r="15" spans="1:52" ht="17.25" customHeight="1">
      <c r="A15" s="37"/>
      <c r="B15" s="246" t="str">
        <f>IFERROR(INDEX($Q$1:$BH$100,ROW(A15),MATCH(Data_Tech!$AU$7,$Q$1:$AN$1,)+COLUMN(A14)-1),"")</f>
        <v>Глинка Екатерина Юрьевна</v>
      </c>
      <c r="D15" s="207">
        <f>INDEX($Q$1:$BH$100,ROW(B15),MATCH(Data_Tech!$AU$7,$Q$1:$AN$1,)+COLUMN(B15)-1)</f>
        <v>3</v>
      </c>
      <c r="E15" s="208">
        <f>INDEX($Q$1:$BH$100,ROW(C15),MATCH(Data_Tech!$AU$7,$Q$1:$AN$1,)+COLUMN(C15)-1)</f>
        <v>17115</v>
      </c>
      <c r="J15" s="103"/>
      <c r="K15" s="103"/>
      <c r="L15" s="103"/>
      <c r="M15" s="103"/>
      <c r="N15" s="103"/>
      <c r="P15" s="667">
        <v>14</v>
      </c>
      <c r="Q15" s="681" t="s">
        <v>295</v>
      </c>
      <c r="R15" s="648">
        <v>3</v>
      </c>
      <c r="S15" s="648">
        <v>17115</v>
      </c>
      <c r="T15" s="680"/>
      <c r="U15" s="681" t="s">
        <v>295</v>
      </c>
      <c r="V15" s="648">
        <v>34227</v>
      </c>
      <c r="W15" s="648">
        <v>51339</v>
      </c>
      <c r="X15" s="680"/>
      <c r="Y15" s="681" t="s">
        <v>295</v>
      </c>
      <c r="Z15" s="648">
        <v>68451</v>
      </c>
      <c r="AA15" s="648">
        <v>85563</v>
      </c>
      <c r="AB15" s="680"/>
      <c r="AC15" s="681" t="s">
        <v>295</v>
      </c>
      <c r="AD15" s="648">
        <v>102675</v>
      </c>
      <c r="AE15" s="648">
        <v>119787</v>
      </c>
      <c r="AF15" s="680"/>
      <c r="AG15" s="681" t="s">
        <v>295</v>
      </c>
      <c r="AH15" s="648">
        <v>136899</v>
      </c>
      <c r="AI15" s="648">
        <v>154011</v>
      </c>
      <c r="AJ15" s="680"/>
      <c r="AK15" s="681" t="s">
        <v>295</v>
      </c>
      <c r="AL15" s="648">
        <v>171123</v>
      </c>
      <c r="AP15" s="555">
        <v>185</v>
      </c>
      <c r="AQ15" s="552">
        <v>115</v>
      </c>
      <c r="AR15" s="552">
        <v>5500</v>
      </c>
      <c r="AS15" s="158">
        <f t="shared" si="6"/>
        <v>632.5</v>
      </c>
    </row>
    <row r="16" spans="1:52" ht="17.25" customHeight="1">
      <c r="A16" s="50"/>
      <c r="B16" s="246" t="str">
        <f>IFERROR(INDEX($Q$1:$BH$100,ROW(A16),MATCH(Data_Tech!$AU$7,$Q$1:$AN$1,)+COLUMN(A15)-1),"")</f>
        <v>Грешнова Ольга Викторовна</v>
      </c>
      <c r="D16" s="207">
        <f>INDEX($Q$1:$BH$100,ROW(B16),MATCH(Data_Tech!$AU$7,$Q$1:$AN$1,)+COLUMN(B16)-1)</f>
        <v>3</v>
      </c>
      <c r="E16" s="208">
        <f>INDEX($Q$1:$BH$100,ROW(C16),MATCH(Data_Tech!$AU$7,$Q$1:$AN$1,)+COLUMN(C16)-1)</f>
        <v>15880</v>
      </c>
      <c r="P16" s="667">
        <v>15</v>
      </c>
      <c r="Q16" s="681" t="s">
        <v>252</v>
      </c>
      <c r="R16" s="648">
        <v>3</v>
      </c>
      <c r="S16" s="648">
        <v>15880</v>
      </c>
      <c r="T16" s="680"/>
      <c r="U16" s="681" t="s">
        <v>252</v>
      </c>
      <c r="V16" s="648">
        <v>31757</v>
      </c>
      <c r="W16" s="648">
        <v>47634</v>
      </c>
      <c r="X16" s="680"/>
      <c r="Y16" s="681" t="s">
        <v>252</v>
      </c>
      <c r="Z16" s="648">
        <v>63511</v>
      </c>
      <c r="AA16" s="648">
        <v>79388</v>
      </c>
      <c r="AB16" s="680"/>
      <c r="AC16" s="681" t="s">
        <v>252</v>
      </c>
      <c r="AD16" s="648">
        <v>95265</v>
      </c>
      <c r="AE16" s="648">
        <v>111142</v>
      </c>
      <c r="AF16" s="680"/>
      <c r="AG16" s="681" t="s">
        <v>252</v>
      </c>
      <c r="AH16" s="648">
        <v>127019</v>
      </c>
      <c r="AI16" s="648">
        <v>142896</v>
      </c>
      <c r="AJ16" s="680"/>
      <c r="AK16" s="681" t="s">
        <v>252</v>
      </c>
      <c r="AL16" s="648">
        <v>158773</v>
      </c>
      <c r="AP16" s="554">
        <v>60</v>
      </c>
      <c r="AQ16" s="552">
        <v>74</v>
      </c>
      <c r="AR16" s="552">
        <v>7300</v>
      </c>
      <c r="AS16" s="158">
        <f t="shared" si="6"/>
        <v>540.20000000000005</v>
      </c>
    </row>
    <row r="17" spans="2:45" ht="17.25" customHeight="1">
      <c r="B17" s="246" t="str">
        <f>IFERROR(INDEX($Q$1:$BH$100,ROW(A17),MATCH(Data_Tech!$AU$7,$Q$1:$AN$1,)+COLUMN(A16)-1),"")</f>
        <v>Груздева Олеся Изидоровна</v>
      </c>
      <c r="D17" s="207">
        <f>INDEX($Q$1:$BH$100,ROW(B17),MATCH(Data_Tech!$AU$7,$Q$1:$AN$1,)+COLUMN(B17)-1)</f>
        <v>3</v>
      </c>
      <c r="E17" s="208">
        <f>INDEX($Q$1:$BH$100,ROW(C17),MATCH(Data_Tech!$AU$7,$Q$1:$AN$1,)+COLUMN(C17)-1)</f>
        <v>15894</v>
      </c>
      <c r="P17" s="667">
        <v>16</v>
      </c>
      <c r="Q17" s="681" t="s">
        <v>253</v>
      </c>
      <c r="R17" s="648">
        <v>3</v>
      </c>
      <c r="S17" s="648">
        <v>15894</v>
      </c>
      <c r="T17" s="680">
        <v>1</v>
      </c>
      <c r="U17" s="681" t="s">
        <v>253</v>
      </c>
      <c r="V17" s="648">
        <v>5297.3333333333403</v>
      </c>
      <c r="W17" s="648">
        <v>5296.3333333333403</v>
      </c>
      <c r="X17" s="680">
        <v>5295.3333333333403</v>
      </c>
      <c r="Y17" s="681" t="s">
        <v>253</v>
      </c>
      <c r="Z17" s="648">
        <v>5294.3333333333403</v>
      </c>
      <c r="AA17" s="648">
        <v>5293.3333333333403</v>
      </c>
      <c r="AB17" s="680">
        <v>5292.3333333333403</v>
      </c>
      <c r="AC17" s="681" t="s">
        <v>253</v>
      </c>
      <c r="AD17" s="648">
        <v>5291.3333333333403</v>
      </c>
      <c r="AE17" s="648">
        <v>5290.3333333333403</v>
      </c>
      <c r="AF17" s="680">
        <v>5289.3333333333403</v>
      </c>
      <c r="AG17" s="681" t="s">
        <v>253</v>
      </c>
      <c r="AH17" s="648">
        <v>5288.3333333333503</v>
      </c>
      <c r="AI17" s="648">
        <v>5287.3333333333503</v>
      </c>
      <c r="AJ17" s="680">
        <v>5286.3333333333503</v>
      </c>
      <c r="AK17" s="681" t="s">
        <v>253</v>
      </c>
      <c r="AL17" s="648">
        <v>5285.3333333333503</v>
      </c>
      <c r="AP17" s="554">
        <v>757</v>
      </c>
      <c r="AQ17" s="552">
        <v>74</v>
      </c>
      <c r="AR17" s="552">
        <v>11300</v>
      </c>
      <c r="AS17" s="158">
        <f t="shared" si="6"/>
        <v>836.2</v>
      </c>
    </row>
    <row r="18" spans="2:45" ht="17.25" customHeight="1">
      <c r="B18" s="246" t="str">
        <f>IFERROR(INDEX($Q$1:$BH$100,ROW(A18),MATCH(Data_Tech!$AU$7,$Q$1:$AN$1,)+COLUMN(A17)-1),"")</f>
        <v>Дорофеева Юлия Николаевна</v>
      </c>
      <c r="D18" s="207">
        <f>INDEX($Q$1:$BH$100,ROW(B18),MATCH(Data_Tech!$AU$7,$Q$1:$AN$1,)+COLUMN(B18)-1)</f>
        <v>3</v>
      </c>
      <c r="E18" s="208">
        <f>INDEX($Q$1:$BH$100,ROW(C18),MATCH(Data_Tech!$AU$7,$Q$1:$AN$1,)+COLUMN(C18)-1)</f>
        <v>17160</v>
      </c>
      <c r="I18" s="545" t="s">
        <v>10</v>
      </c>
      <c r="J18" s="545" t="s">
        <v>333</v>
      </c>
      <c r="K18" s="545" t="s">
        <v>334</v>
      </c>
      <c r="L18" s="545" t="s">
        <v>86</v>
      </c>
      <c r="M18" s="668" t="s">
        <v>335</v>
      </c>
      <c r="N18" s="545" t="s">
        <v>336</v>
      </c>
      <c r="P18" s="667">
        <v>17</v>
      </c>
      <c r="Q18" s="681" t="s">
        <v>302</v>
      </c>
      <c r="R18" s="648">
        <v>3</v>
      </c>
      <c r="S18" s="648">
        <v>17160</v>
      </c>
      <c r="T18" s="680">
        <v>2</v>
      </c>
      <c r="U18" s="681" t="s">
        <v>302</v>
      </c>
      <c r="V18" s="648">
        <v>5720.6666666666697</v>
      </c>
      <c r="W18" s="648">
        <v>5720.1666666666697</v>
      </c>
      <c r="X18" s="680">
        <v>5719.6666666666697</v>
      </c>
      <c r="Y18" s="681" t="s">
        <v>302</v>
      </c>
      <c r="Z18" s="648">
        <v>5719.1666666666697</v>
      </c>
      <c r="AA18" s="648">
        <v>5718.6666666666697</v>
      </c>
      <c r="AB18" s="680">
        <v>5718.1666666666697</v>
      </c>
      <c r="AC18" s="681" t="s">
        <v>302</v>
      </c>
      <c r="AD18" s="648">
        <v>5717.6666666666697</v>
      </c>
      <c r="AE18" s="648">
        <v>5717.1666666666697</v>
      </c>
      <c r="AF18" s="680">
        <v>5716.6666666666697</v>
      </c>
      <c r="AG18" s="681" t="s">
        <v>302</v>
      </c>
      <c r="AH18" s="648">
        <v>5716.1666666666697</v>
      </c>
      <c r="AI18" s="648">
        <v>5715.6666666666697</v>
      </c>
      <c r="AJ18" s="680">
        <v>5715.1666666666697</v>
      </c>
      <c r="AK18" s="681" t="s">
        <v>302</v>
      </c>
      <c r="AL18" s="648">
        <v>5714.6666666666697</v>
      </c>
      <c r="AP18" s="554">
        <v>6001</v>
      </c>
      <c r="AQ18" s="552">
        <v>56</v>
      </c>
      <c r="AR18" s="552">
        <v>6400</v>
      </c>
      <c r="AS18" s="158">
        <f t="shared" si="6"/>
        <v>358.4</v>
      </c>
    </row>
    <row r="19" spans="2:45" ht="17.25" customHeight="1">
      <c r="B19" s="246" t="str">
        <f>IFERROR(INDEX($Q$1:$BH$100,ROW(A19),MATCH(Data_Tech!$AU$7,$Q$1:$AN$1,)+COLUMN(A18)-1),"")</f>
        <v>Егоров Дмитрий Геннадьевич</v>
      </c>
      <c r="D19" s="207">
        <f>INDEX($Q$1:$BH$100,ROW(B19),MATCH(Data_Tech!$AU$7,$Q$1:$AN$1,)+COLUMN(B19)-1)</f>
        <v>3</v>
      </c>
      <c r="E19" s="208">
        <f>INDEX($Q$1:$BH$100,ROW(C19),MATCH(Data_Tech!$AU$7,$Q$1:$AN$1,)+COLUMN(C19)-1)</f>
        <v>16860</v>
      </c>
      <c r="H19" s="726">
        <v>6001</v>
      </c>
      <c r="I19" s="727" t="s">
        <v>378</v>
      </c>
      <c r="J19" s="728">
        <f>SUMIFS(Таблица1[сумма],Таблица1[партия],I19,Таблица1[изд],H19)</f>
        <v>0</v>
      </c>
      <c r="K19" s="728">
        <f>SUMIFS(Таблица14[часы],Таблица14[партия],I19,Таблица14[изд],H19)</f>
        <v>0</v>
      </c>
      <c r="L19" s="728">
        <f>SUMIFS(Таблица1[Столбец1],Таблица1[партия],I19,Таблица1[изд],H19)</f>
        <v>0</v>
      </c>
      <c r="M19" s="729">
        <f>J19+K19+L19</f>
        <v>0</v>
      </c>
      <c r="N19" s="730">
        <f>$AS$18-M19-O19</f>
        <v>358.4</v>
      </c>
      <c r="P19" s="667">
        <v>18</v>
      </c>
      <c r="Q19" s="681" t="s">
        <v>254</v>
      </c>
      <c r="R19" s="648">
        <v>3</v>
      </c>
      <c r="S19" s="648">
        <v>16860</v>
      </c>
      <c r="T19" s="680"/>
      <c r="U19" s="681" t="s">
        <v>254</v>
      </c>
      <c r="V19" s="648">
        <v>33717</v>
      </c>
      <c r="W19" s="648">
        <v>50574</v>
      </c>
      <c r="X19" s="680"/>
      <c r="Y19" s="681" t="s">
        <v>254</v>
      </c>
      <c r="Z19" s="648">
        <v>67431</v>
      </c>
      <c r="AA19" s="648">
        <v>84288</v>
      </c>
      <c r="AB19" s="680"/>
      <c r="AC19" s="681" t="s">
        <v>254</v>
      </c>
      <c r="AD19" s="648">
        <v>101145</v>
      </c>
      <c r="AE19" s="648">
        <v>118002</v>
      </c>
      <c r="AF19" s="680"/>
      <c r="AG19" s="681" t="s">
        <v>254</v>
      </c>
      <c r="AH19" s="648">
        <v>134859</v>
      </c>
      <c r="AI19" s="648">
        <v>151716</v>
      </c>
      <c r="AJ19" s="680"/>
      <c r="AK19" s="681" t="s">
        <v>254</v>
      </c>
      <c r="AL19" s="648">
        <v>168573</v>
      </c>
      <c r="AP19" s="555">
        <v>631</v>
      </c>
      <c r="AQ19" s="552">
        <v>112</v>
      </c>
      <c r="AR19" s="552">
        <v>5400</v>
      </c>
      <c r="AS19" s="158">
        <f t="shared" si="6"/>
        <v>604.79999999999995</v>
      </c>
    </row>
    <row r="20" spans="2:45" ht="17.25" customHeight="1">
      <c r="B20" s="246" t="str">
        <f>IFERROR(INDEX($Q$1:$BH$100,ROW(A20),MATCH(Data_Tech!$AU$7,$Q$1:$AN$1,)+COLUMN(A19)-1),"")</f>
        <v>Егорова Татьяна Владимировна</v>
      </c>
      <c r="D20" s="207">
        <f>INDEX($Q$1:$BH$100,ROW(B20),MATCH(Data_Tech!$AU$7,$Q$1:$AN$1,)+COLUMN(B20)-1)</f>
        <v>3</v>
      </c>
      <c r="E20" s="208">
        <f>INDEX($Q$1:$BH$100,ROW(C20),MATCH(Data_Tech!$AU$7,$Q$1:$AN$1,)+COLUMN(C20)-1)</f>
        <v>15590</v>
      </c>
      <c r="H20" s="726">
        <v>6001</v>
      </c>
      <c r="I20" s="727" t="s">
        <v>379</v>
      </c>
      <c r="J20" s="728">
        <f>SUMIFS(Таблица1[сумма],Таблица1[партия],I20,Таблица1[изд],H20)</f>
        <v>0</v>
      </c>
      <c r="K20" s="728">
        <f>SUMIFS(Таблица14[часы],Таблица14[партия],I20,Таблица14[изд],H20)</f>
        <v>0</v>
      </c>
      <c r="L20" s="728">
        <f>SUMIFS(Таблица1[Столбец1],Таблица1[партия],I20,Таблица1[изд],H20)</f>
        <v>0</v>
      </c>
      <c r="M20" s="729">
        <f t="shared" ref="M20:M21" si="7">J20+K20+L20</f>
        <v>0</v>
      </c>
      <c r="N20" s="730">
        <f t="shared" ref="N20:N29" si="8">$AS$18-M20-O20</f>
        <v>358.4</v>
      </c>
      <c r="P20" s="667">
        <v>19</v>
      </c>
      <c r="Q20" s="681" t="s">
        <v>255</v>
      </c>
      <c r="R20" s="648">
        <v>3</v>
      </c>
      <c r="S20" s="648">
        <v>15590</v>
      </c>
      <c r="T20" s="680"/>
      <c r="U20" s="681" t="s">
        <v>255</v>
      </c>
      <c r="V20" s="648">
        <v>31177</v>
      </c>
      <c r="W20" s="648">
        <v>46764</v>
      </c>
      <c r="X20" s="680"/>
      <c r="Y20" s="681" t="s">
        <v>255</v>
      </c>
      <c r="Z20" s="648">
        <v>62351</v>
      </c>
      <c r="AA20" s="648">
        <v>77938</v>
      </c>
      <c r="AB20" s="680"/>
      <c r="AC20" s="681" t="s">
        <v>255</v>
      </c>
      <c r="AD20" s="648">
        <v>93525</v>
      </c>
      <c r="AE20" s="648">
        <v>109112</v>
      </c>
      <c r="AF20" s="680"/>
      <c r="AG20" s="681" t="s">
        <v>255</v>
      </c>
      <c r="AH20" s="648">
        <v>124699</v>
      </c>
      <c r="AI20" s="648">
        <v>140286</v>
      </c>
      <c r="AJ20" s="680"/>
      <c r="AK20" s="681" t="s">
        <v>255</v>
      </c>
      <c r="AL20" s="648">
        <v>155873</v>
      </c>
      <c r="AP20" s="555">
        <v>85</v>
      </c>
      <c r="AQ20" s="552">
        <v>115</v>
      </c>
      <c r="AR20" s="552">
        <v>6615</v>
      </c>
      <c r="AS20" s="158">
        <f>(AQ20*AR20/1000)</f>
        <v>760.72500000000002</v>
      </c>
    </row>
    <row r="21" spans="2:45" ht="17.25" customHeight="1">
      <c r="B21" s="246" t="str">
        <f>IFERROR(INDEX($Q$1:$BH$100,ROW(A21),MATCH(Data_Tech!$AU$7,$Q$1:$AN$1,)+COLUMN(A20)-1),"")</f>
        <v>Елькина Татьяна Владимировна</v>
      </c>
      <c r="D21" s="207">
        <f>INDEX($Q$1:$BH$100,ROW(B21),MATCH(Data_Tech!$AU$7,$Q$1:$AN$1,)+COLUMN(B21)-1)</f>
        <v>3</v>
      </c>
      <c r="E21" s="208">
        <f>INDEX($Q$1:$BH$100,ROW(C21),MATCH(Data_Tech!$AU$7,$Q$1:$AN$1,)+COLUMN(C21)-1)</f>
        <v>16771</v>
      </c>
      <c r="H21" s="726">
        <v>6001</v>
      </c>
      <c r="I21" s="727" t="s">
        <v>380</v>
      </c>
      <c r="J21" s="728">
        <f>SUMIFS(Таблица1[сумма],Таблица1[партия],I21,Таблица1[изд],H21)</f>
        <v>0</v>
      </c>
      <c r="K21" s="728">
        <f>SUMIFS(Таблица14[часы],Таблица14[партия],I21,Таблица14[изд],H21)</f>
        <v>0</v>
      </c>
      <c r="L21" s="728">
        <f>SUMIFS(Таблица1[Столбец1],Таблица1[партия],I21,Таблица1[изд],H21)</f>
        <v>0</v>
      </c>
      <c r="M21" s="729">
        <f t="shared" si="7"/>
        <v>0</v>
      </c>
      <c r="N21" s="730">
        <f t="shared" si="8"/>
        <v>358.4</v>
      </c>
      <c r="P21" s="667">
        <v>20</v>
      </c>
      <c r="Q21" s="681" t="s">
        <v>276</v>
      </c>
      <c r="R21" s="648">
        <v>3</v>
      </c>
      <c r="S21" s="648">
        <v>16771</v>
      </c>
      <c r="T21" s="680"/>
      <c r="U21" s="681" t="s">
        <v>276</v>
      </c>
      <c r="V21" s="648">
        <v>33539</v>
      </c>
      <c r="W21" s="648">
        <v>50307</v>
      </c>
      <c r="X21" s="680"/>
      <c r="Y21" s="681" t="s">
        <v>276</v>
      </c>
      <c r="Z21" s="648">
        <v>67075</v>
      </c>
      <c r="AA21" s="648">
        <v>83843</v>
      </c>
      <c r="AB21" s="680"/>
      <c r="AC21" s="681" t="s">
        <v>276</v>
      </c>
      <c r="AD21" s="648">
        <v>100611</v>
      </c>
      <c r="AE21" s="648">
        <v>117379</v>
      </c>
      <c r="AF21" s="680"/>
      <c r="AG21" s="681" t="s">
        <v>276</v>
      </c>
      <c r="AH21" s="648">
        <v>134147</v>
      </c>
      <c r="AI21" s="648">
        <v>150915</v>
      </c>
      <c r="AJ21" s="680"/>
      <c r="AK21" s="681" t="s">
        <v>276</v>
      </c>
      <c r="AL21" s="648">
        <v>167683</v>
      </c>
    </row>
    <row r="22" spans="2:45" ht="17.25" customHeight="1">
      <c r="B22" s="246" t="str">
        <f>IFERROR(INDEX($Q$1:$BH$100,ROW(A22),MATCH(Data_Tech!$AU$7,$Q$1:$AN$1,)+COLUMN(A21)-1),"")</f>
        <v>Ерошина Ирина Павловна</v>
      </c>
      <c r="D22" s="207">
        <f>INDEX($Q$1:$BH$100,ROW(B22),MATCH(Data_Tech!$AU$7,$Q$1:$AN$1,)+COLUMN(B22)-1)</f>
        <v>3</v>
      </c>
      <c r="E22" s="208">
        <f>INDEX($Q$1:$BH$100,ROW(C22),MATCH(Data_Tech!$AU$7,$Q$1:$AN$1,)+COLUMN(C22)-1)</f>
        <v>15340</v>
      </c>
      <c r="H22" s="726">
        <v>6001</v>
      </c>
      <c r="I22" s="727" t="s">
        <v>381</v>
      </c>
      <c r="J22" s="728">
        <f>SUMIFS(Таблица1[сумма],Таблица1[партия],I22,Таблица1[изд],H22)</f>
        <v>0</v>
      </c>
      <c r="K22" s="728">
        <f>SUMIFS(Таблица14[часы],Таблица14[партия],I22,Таблица14[изд],H22)</f>
        <v>0</v>
      </c>
      <c r="L22" s="728">
        <f>SUMIFS(Таблица1[Столбец1],Таблица1[партия],I22,Таблица1[изд],H22)</f>
        <v>0</v>
      </c>
      <c r="M22" s="729">
        <f t="shared" ref="M22:M23" si="9">J22+K22+L22</f>
        <v>0</v>
      </c>
      <c r="N22" s="730">
        <f t="shared" si="8"/>
        <v>358.4</v>
      </c>
      <c r="P22" s="667">
        <v>21</v>
      </c>
      <c r="Q22" s="681" t="s">
        <v>256</v>
      </c>
      <c r="R22" s="648">
        <v>3</v>
      </c>
      <c r="S22" s="648">
        <v>15340</v>
      </c>
      <c r="T22" s="680"/>
      <c r="U22" s="681" t="s">
        <v>256</v>
      </c>
      <c r="V22" s="648">
        <v>30677</v>
      </c>
      <c r="W22" s="648">
        <v>46014</v>
      </c>
      <c r="X22" s="680"/>
      <c r="Y22" s="681" t="s">
        <v>256</v>
      </c>
      <c r="Z22" s="648">
        <v>61351</v>
      </c>
      <c r="AA22" s="648">
        <v>76688</v>
      </c>
      <c r="AB22" s="680"/>
      <c r="AC22" s="681" t="s">
        <v>256</v>
      </c>
      <c r="AD22" s="648">
        <v>92025</v>
      </c>
      <c r="AE22" s="648">
        <v>107362</v>
      </c>
      <c r="AF22" s="680"/>
      <c r="AG22" s="681" t="s">
        <v>256</v>
      </c>
      <c r="AH22" s="648">
        <v>122699</v>
      </c>
      <c r="AI22" s="648">
        <v>138036</v>
      </c>
      <c r="AJ22" s="680"/>
      <c r="AK22" s="681" t="s">
        <v>256</v>
      </c>
      <c r="AL22" s="648">
        <v>153373</v>
      </c>
    </row>
    <row r="23" spans="2:45" ht="17.25" customHeight="1">
      <c r="B23" s="246" t="str">
        <f>IFERROR(INDEX($Q$1:$BH$100,ROW(A23),MATCH(Data_Tech!$AU$7,$Q$1:$AN$1,)+COLUMN(A22)-1),"")</f>
        <v>Ескина Ксения Анатольевна</v>
      </c>
      <c r="D23" s="207">
        <f>INDEX($Q$1:$BH$100,ROW(B23),MATCH(Data_Tech!$AU$7,$Q$1:$AN$1,)+COLUMN(B23)-1)</f>
        <v>3</v>
      </c>
      <c r="E23" s="208">
        <f>INDEX($Q$1:$BH$100,ROW(C23),MATCH(Data_Tech!$AU$7,$Q$1:$AN$1,)+COLUMN(C23)-1)</f>
        <v>17309</v>
      </c>
      <c r="H23" s="726">
        <v>6001</v>
      </c>
      <c r="I23" s="727" t="s">
        <v>385</v>
      </c>
      <c r="J23" s="728">
        <f>SUMIFS(Таблица1[сумма],Таблица1[партия],I23,Таблица1[изд],H23)</f>
        <v>0</v>
      </c>
      <c r="K23" s="728">
        <f>SUMIFS(Таблица14[часы],Таблица14[партия],I23,Таблица14[изд],H23)</f>
        <v>0</v>
      </c>
      <c r="L23" s="728">
        <f>SUMIFS(Таблица1[Столбец1],Таблица1[партия],I23,Таблица1[изд],H23)</f>
        <v>0</v>
      </c>
      <c r="M23" s="729">
        <f t="shared" si="9"/>
        <v>0</v>
      </c>
      <c r="N23" s="730">
        <f t="shared" si="8"/>
        <v>358.4</v>
      </c>
      <c r="P23" s="667">
        <v>22</v>
      </c>
      <c r="Q23" s="649" t="s">
        <v>362</v>
      </c>
      <c r="R23" s="648">
        <v>3</v>
      </c>
      <c r="S23" s="649">
        <v>17309</v>
      </c>
      <c r="T23" s="680">
        <v>1</v>
      </c>
      <c r="U23" s="681" t="s">
        <v>323</v>
      </c>
      <c r="V23" s="648">
        <v>5736.6666666666697</v>
      </c>
      <c r="W23" s="648">
        <v>5735.6666666666697</v>
      </c>
      <c r="X23" s="680">
        <v>5734.6666666666697</v>
      </c>
      <c r="Y23" s="681" t="s">
        <v>323</v>
      </c>
      <c r="Z23" s="648">
        <v>5733.6666666666697</v>
      </c>
      <c r="AA23" s="648">
        <v>5732.6666666666697</v>
      </c>
      <c r="AB23" s="680">
        <v>5731.6666666666797</v>
      </c>
      <c r="AC23" s="681" t="s">
        <v>323</v>
      </c>
      <c r="AD23" s="648">
        <v>5730.6666666666797</v>
      </c>
      <c r="AE23" s="648">
        <v>5729.6666666666797</v>
      </c>
      <c r="AF23" s="680">
        <v>5728.6666666666797</v>
      </c>
      <c r="AG23" s="681" t="s">
        <v>323</v>
      </c>
      <c r="AH23" s="648">
        <v>5727.6666666666797</v>
      </c>
      <c r="AI23" s="648">
        <v>5726.6666666666797</v>
      </c>
      <c r="AJ23" s="680">
        <v>5725.6666666666797</v>
      </c>
      <c r="AK23" s="681" t="s">
        <v>323</v>
      </c>
      <c r="AL23" s="648">
        <v>5724.6666666666797</v>
      </c>
      <c r="AR23" s="553" t="s">
        <v>337</v>
      </c>
    </row>
    <row r="24" spans="2:45" ht="17.25" customHeight="1">
      <c r="B24" s="246" t="str">
        <f>IFERROR(INDEX($Q$1:$BH$100,ROW(A24),MATCH(Data_Tech!$AU$7,$Q$1:$AN$1,)+COLUMN(A23)-1),"")</f>
        <v>Журавлева Мария Валентиновна</v>
      </c>
      <c r="D24" s="207">
        <f>INDEX($Q$1:$BH$100,ROW(B24),MATCH(Data_Tech!$AU$7,$Q$1:$AN$1,)+COLUMN(B24)-1)</f>
        <v>3</v>
      </c>
      <c r="E24" s="208">
        <f>INDEX($Q$1:$BH$100,ROW(C24),MATCH(Data_Tech!$AU$7,$Q$1:$AN$1,)+COLUMN(C24)-1)</f>
        <v>15608</v>
      </c>
      <c r="H24" s="733">
        <v>6001</v>
      </c>
      <c r="I24" s="732" t="s">
        <v>386</v>
      </c>
      <c r="J24" s="734">
        <f>SUMIFS(Таблица1[сумма],Таблица1[партия],I24,Таблица1[изд],H24)</f>
        <v>0</v>
      </c>
      <c r="K24" s="734">
        <f>SUMIFS(Таблица14[часы],Таблица14[партия],I24,Таблица14[изд],H24)</f>
        <v>0</v>
      </c>
      <c r="L24" s="734">
        <f>SUMIFS(Таблица1[Столбец1],Таблица1[партия],I24,Таблица1[изд],H24)</f>
        <v>0</v>
      </c>
      <c r="M24" s="538">
        <f t="shared" ref="M24:M29" si="10">J24+K24+L24</f>
        <v>0</v>
      </c>
      <c r="N24" s="735">
        <f t="shared" si="8"/>
        <v>358.4</v>
      </c>
      <c r="P24" s="667">
        <v>23</v>
      </c>
      <c r="Q24" s="681" t="s">
        <v>272</v>
      </c>
      <c r="R24" s="648">
        <v>3</v>
      </c>
      <c r="S24" s="648">
        <v>15608</v>
      </c>
      <c r="T24" s="680"/>
      <c r="U24" s="681" t="s">
        <v>272</v>
      </c>
      <c r="V24" s="648">
        <v>31213</v>
      </c>
      <c r="W24" s="648">
        <v>46818</v>
      </c>
      <c r="X24" s="680"/>
      <c r="Y24" s="681" t="s">
        <v>272</v>
      </c>
      <c r="Z24" s="648">
        <v>62423</v>
      </c>
      <c r="AA24" s="648">
        <v>78028</v>
      </c>
      <c r="AB24" s="680"/>
      <c r="AC24" s="681" t="s">
        <v>272</v>
      </c>
      <c r="AD24" s="648">
        <v>93633</v>
      </c>
      <c r="AE24" s="648">
        <v>109238</v>
      </c>
      <c r="AF24" s="680"/>
      <c r="AG24" s="681" t="s">
        <v>272</v>
      </c>
      <c r="AH24" s="648">
        <v>124843</v>
      </c>
      <c r="AI24" s="648">
        <v>140448</v>
      </c>
      <c r="AJ24" s="680"/>
      <c r="AK24" s="681" t="s">
        <v>272</v>
      </c>
      <c r="AL24" s="648">
        <v>156053</v>
      </c>
    </row>
    <row r="25" spans="2:45" ht="17.25" customHeight="1">
      <c r="B25" s="246" t="str">
        <f>IFERROR(INDEX($Q$1:$BH$100,ROW(A25),MATCH(Data_Tech!$AU$7,$Q$1:$AN$1,)+COLUMN(A24)-1),"")</f>
        <v>Зинина Екатерина Олеговна</v>
      </c>
      <c r="D25" s="207">
        <f>INDEX($Q$1:$BH$100,ROW(B25),MATCH(Data_Tech!$AU$7,$Q$1:$AN$1,)+COLUMN(B25)-1)</f>
        <v>3</v>
      </c>
      <c r="E25" s="208">
        <f>INDEX($Q$1:$BH$100,ROW(C25),MATCH(Data_Tech!$AU$7,$Q$1:$AN$1,)+COLUMN(C25)-1)</f>
        <v>17129</v>
      </c>
      <c r="H25" s="47">
        <v>6001</v>
      </c>
      <c r="I25" s="725"/>
      <c r="J25" s="0">
        <f>SUMIFS(Таблица1[сумма],Таблица1[партия],I25,Таблица1[изд],H25)</f>
        <v>0</v>
      </c>
      <c r="K25" s="0">
        <f>SUMIFS(Таблица14[часы],Таблица14[партия],I25,Таблица14[изд],H25)</f>
        <v>0</v>
      </c>
      <c r="L25" s="0">
        <f>SUMIFS(Таблица1[Столбец1],Таблица1[партия],I25,Таблица1[изд],H25)</f>
        <v>0</v>
      </c>
      <c r="M25" s="669">
        <f t="shared" si="10"/>
        <v>0</v>
      </c>
      <c r="N25" s="670">
        <f t="shared" si="8"/>
        <v>358.4</v>
      </c>
      <c r="P25" s="667">
        <v>24</v>
      </c>
      <c r="Q25" s="681" t="s">
        <v>298</v>
      </c>
      <c r="R25" s="648">
        <v>3</v>
      </c>
      <c r="S25" s="648">
        <v>17129</v>
      </c>
      <c r="T25" s="680">
        <v>3</v>
      </c>
      <c r="U25" s="681" t="s">
        <v>298</v>
      </c>
      <c r="V25" s="648">
        <v>5711.6666666666697</v>
      </c>
      <c r="W25" s="648">
        <v>5711.6666666666697</v>
      </c>
      <c r="X25" s="680">
        <v>5711.6666666666697</v>
      </c>
      <c r="Y25" s="681" t="s">
        <v>298</v>
      </c>
      <c r="Z25" s="648">
        <v>5711.6666666666697</v>
      </c>
      <c r="AA25" s="648">
        <v>5711.6666666666697</v>
      </c>
      <c r="AB25" s="680">
        <v>5711.6666666666797</v>
      </c>
      <c r="AC25" s="681" t="s">
        <v>298</v>
      </c>
      <c r="AD25" s="648">
        <v>5711.6666666666797</v>
      </c>
      <c r="AE25" s="648">
        <v>5711.6666666666797</v>
      </c>
      <c r="AF25" s="680">
        <v>5711.6666666666797</v>
      </c>
      <c r="AG25" s="681" t="s">
        <v>298</v>
      </c>
      <c r="AH25" s="648">
        <v>5711.6666666666797</v>
      </c>
      <c r="AI25" s="648">
        <v>5711.6666666666797</v>
      </c>
      <c r="AJ25" s="680">
        <v>5711.6666666666797</v>
      </c>
      <c r="AK25" s="681" t="s">
        <v>298</v>
      </c>
      <c r="AL25" s="648">
        <v>5711.6666666666797</v>
      </c>
      <c r="AP25" s="550" t="s">
        <v>338</v>
      </c>
      <c r="AS25" s="671">
        <v>0.4375</v>
      </c>
    </row>
    <row r="26" spans="2:45" ht="17.25" customHeight="1">
      <c r="B26" s="246" t="str">
        <f>IFERROR(INDEX($Q$1:$BH$100,ROW(A26),MATCH(Data_Tech!$AU$7,$Q$1:$AN$1,)+COLUMN(A25)-1),"")</f>
        <v>Зоидзе Ирина Сергеевна</v>
      </c>
      <c r="D26" s="207">
        <f>INDEX($Q$1:$BH$100,ROW(B26),MATCH(Data_Tech!$AU$7,$Q$1:$AN$1,)+COLUMN(B26)-1)</f>
        <v>4</v>
      </c>
      <c r="E26" s="208">
        <f>INDEX($Q$1:$BH$100,ROW(C26),MATCH(Data_Tech!$AU$7,$Q$1:$AN$1,)+COLUMN(C26)-1)</f>
        <v>13676</v>
      </c>
      <c r="H26" s="47">
        <v>6001</v>
      </c>
      <c r="I26" s="725"/>
      <c r="J26" s="0">
        <f>SUMIFS(Таблица1[сумма],Таблица1[партия],I26,Таблица1[изд],H26)</f>
        <v>0</v>
      </c>
      <c r="K26" s="0">
        <f>SUMIFS(Таблица14[часы],Таблица14[партия],I26,Таблица14[изд],H26)</f>
        <v>0</v>
      </c>
      <c r="L26" s="0">
        <f>SUMIFS(Таблица1[Столбец1],Таблица1[партия],I26,Таблица1[изд],H26)</f>
        <v>0</v>
      </c>
      <c r="M26" s="669">
        <f t="shared" si="10"/>
        <v>0</v>
      </c>
      <c r="N26" s="670">
        <f t="shared" si="8"/>
        <v>358.4</v>
      </c>
      <c r="P26" s="667">
        <v>25</v>
      </c>
      <c r="Q26" s="681" t="s">
        <v>257</v>
      </c>
      <c r="R26" s="648">
        <v>4</v>
      </c>
      <c r="S26" s="648">
        <v>13676</v>
      </c>
      <c r="T26" s="680">
        <v>3</v>
      </c>
      <c r="U26" s="681" t="s">
        <v>257</v>
      </c>
      <c r="V26" s="648">
        <v>4557.3333333333303</v>
      </c>
      <c r="W26" s="648">
        <v>4555.8333333333403</v>
      </c>
      <c r="X26" s="680">
        <v>4554.3333333333403</v>
      </c>
      <c r="Y26" s="681" t="s">
        <v>257</v>
      </c>
      <c r="Z26" s="648">
        <v>4552.8333333333403</v>
      </c>
      <c r="AA26" s="648">
        <v>4551.3333333333403</v>
      </c>
      <c r="AB26" s="680">
        <v>4549.8333333333403</v>
      </c>
      <c r="AC26" s="681" t="s">
        <v>257</v>
      </c>
      <c r="AD26" s="648">
        <v>4548.3333333333403</v>
      </c>
      <c r="AE26" s="648">
        <v>4546.8333333333403</v>
      </c>
      <c r="AF26" s="680">
        <v>4545.3333333333403</v>
      </c>
      <c r="AG26" s="681" t="s">
        <v>257</v>
      </c>
      <c r="AH26" s="648">
        <v>4543.8333333333403</v>
      </c>
      <c r="AI26" s="648">
        <v>4542.3333333333503</v>
      </c>
      <c r="AJ26" s="680">
        <v>4540.8333333333503</v>
      </c>
      <c r="AK26" s="681" t="s">
        <v>257</v>
      </c>
      <c r="AL26" s="648">
        <v>4539.3333333333503</v>
      </c>
      <c r="AP26" s="550" t="s">
        <v>339</v>
      </c>
      <c r="AS26" s="672">
        <v>0.6333333333333333</v>
      </c>
    </row>
    <row r="27" spans="2:45" ht="17.25" customHeight="1">
      <c r="B27" s="246" t="str">
        <f>IFERROR(INDEX($Q$1:$BH$100,ROW(A27),MATCH(Data_Tech!$AU$7,$Q$1:$AN$1,)+COLUMN(A26)-1),"")</f>
        <v>Иванова Екатерина Борисовна</v>
      </c>
      <c r="D27" s="207">
        <f>INDEX($Q$1:$BH$100,ROW(B27),MATCH(Data_Tech!$AU$7,$Q$1:$AN$1,)+COLUMN(B27)-1)</f>
        <v>3</v>
      </c>
      <c r="E27" s="208">
        <f>INDEX($Q$1:$BH$100,ROW(C27),MATCH(Data_Tech!$AU$7,$Q$1:$AN$1,)+COLUMN(C27)-1)</f>
        <v>17122</v>
      </c>
      <c r="H27" s="47">
        <v>6001</v>
      </c>
      <c r="I27" s="725"/>
      <c r="J27" s="0">
        <f>SUMIFS(Таблица1[сумма],Таблица1[партия],I27,Таблица1[изд],H27)</f>
        <v>0</v>
      </c>
      <c r="K27" s="0">
        <f>SUMIFS(Таблица14[часы],Таблица14[партия],I27,Таблица14[изд],H27)</f>
        <v>0</v>
      </c>
      <c r="L27" s="0">
        <f>SUMIFS(Таблица1[Столбец1],Таблица1[партия],I27,Таблица1[изд],H27)</f>
        <v>0</v>
      </c>
      <c r="M27" s="669">
        <f t="shared" si="10"/>
        <v>0</v>
      </c>
      <c r="N27" s="670">
        <f t="shared" si="8"/>
        <v>358.4</v>
      </c>
      <c r="P27" s="667">
        <v>26</v>
      </c>
      <c r="Q27" s="681" t="s">
        <v>292</v>
      </c>
      <c r="R27" s="648">
        <v>3</v>
      </c>
      <c r="S27" s="648">
        <v>17122</v>
      </c>
      <c r="T27" s="680">
        <v>3</v>
      </c>
      <c r="U27" s="681" t="s">
        <v>292</v>
      </c>
      <c r="V27" s="648">
        <v>5709.3333333333303</v>
      </c>
      <c r="W27" s="648">
        <v>5709.3333333333303</v>
      </c>
      <c r="X27" s="680">
        <v>5709.3333333333303</v>
      </c>
      <c r="Y27" s="681" t="s">
        <v>292</v>
      </c>
      <c r="Z27" s="648">
        <v>5709.3333333333303</v>
      </c>
      <c r="AA27" s="648">
        <v>5709.3333333333303</v>
      </c>
      <c r="AB27" s="680">
        <v>5709.3333333333303</v>
      </c>
      <c r="AC27" s="681" t="s">
        <v>292</v>
      </c>
      <c r="AD27" s="648">
        <v>5709.3333333333303</v>
      </c>
      <c r="AE27" s="648">
        <v>5709.3333333333303</v>
      </c>
      <c r="AF27" s="680">
        <v>5709.3333333333303</v>
      </c>
      <c r="AG27" s="681" t="s">
        <v>292</v>
      </c>
      <c r="AH27" s="648">
        <v>5709.3333333333303</v>
      </c>
      <c r="AI27" s="648">
        <v>5709.3333333333303</v>
      </c>
      <c r="AJ27" s="680">
        <v>5709.3333333333303</v>
      </c>
      <c r="AK27" s="681" t="s">
        <v>292</v>
      </c>
      <c r="AL27" s="648">
        <v>5709.3333333333303</v>
      </c>
      <c r="AP27" s="550" t="s">
        <v>340</v>
      </c>
      <c r="AS27" s="672">
        <v>2.0833333333333301E-2</v>
      </c>
    </row>
    <row r="28" spans="2:45" ht="17.25" customHeight="1">
      <c r="B28" s="246" t="str">
        <f>IFERROR(INDEX($Q$1:$BH$100,ROW(A28),MATCH(Data_Tech!$AU$7,$Q$1:$AN$1,)+COLUMN(A27)-1),"")</f>
        <v>Иванова Оксана Михайловна</v>
      </c>
      <c r="D28" s="207">
        <f>INDEX($Q$1:$BH$100,ROW(B28),MATCH(Data_Tech!$AU$7,$Q$1:$AN$1,)+COLUMN(B28)-1)</f>
        <v>3</v>
      </c>
      <c r="E28" s="208">
        <f>INDEX($Q$1:$BH$100,ROW(C28),MATCH(Data_Tech!$AU$7,$Q$1:$AN$1,)+COLUMN(C28)-1)</f>
        <v>17068</v>
      </c>
      <c r="H28" s="47">
        <v>6001</v>
      </c>
      <c r="I28" s="725"/>
      <c r="J28" s="0">
        <f>SUMIFS(Таблица1[сумма],Таблица1[партия],I28,Таблица1[изд],H28)</f>
        <v>0</v>
      </c>
      <c r="K28" s="0">
        <f>SUMIFS(Таблица14[часы],Таблица14[партия],I28,Таблица14[изд],H28)</f>
        <v>0</v>
      </c>
      <c r="L28" s="0">
        <f>SUMIFS(Таблица1[Столбец1],Таблица1[партия],I28,Таблица1[изд],H28)</f>
        <v>0</v>
      </c>
      <c r="M28" s="669">
        <f t="shared" si="10"/>
        <v>0</v>
      </c>
      <c r="N28" s="670">
        <f t="shared" si="8"/>
        <v>358.4</v>
      </c>
      <c r="P28" s="667">
        <v>27</v>
      </c>
      <c r="Q28" s="681" t="s">
        <v>284</v>
      </c>
      <c r="R28" s="648">
        <v>3</v>
      </c>
      <c r="S28" s="648">
        <v>17068</v>
      </c>
      <c r="T28" s="680"/>
      <c r="U28" s="681" t="s">
        <v>284</v>
      </c>
      <c r="V28" s="648">
        <v>5691.3333333333303</v>
      </c>
      <c r="W28" s="648">
        <v>5691.3333333333403</v>
      </c>
      <c r="X28" s="680">
        <v>5691.3333333333403</v>
      </c>
      <c r="Y28" s="681" t="s">
        <v>284</v>
      </c>
      <c r="Z28" s="648">
        <v>5691.3333333333403</v>
      </c>
      <c r="AA28" s="648">
        <v>5691.3333333333403</v>
      </c>
      <c r="AB28" s="680">
        <v>5691.3333333333403</v>
      </c>
      <c r="AC28" s="681" t="s">
        <v>284</v>
      </c>
      <c r="AD28" s="648">
        <v>5691.3333333333403</v>
      </c>
      <c r="AE28" s="648">
        <v>5691.3333333333403</v>
      </c>
      <c r="AF28" s="680">
        <v>5691.3333333333503</v>
      </c>
      <c r="AG28" s="681" t="s">
        <v>284</v>
      </c>
      <c r="AH28" s="648">
        <v>5691.3333333333503</v>
      </c>
      <c r="AI28" s="648">
        <v>5691.3333333333503</v>
      </c>
      <c r="AJ28" s="680">
        <v>5691.3333333333503</v>
      </c>
      <c r="AK28" s="681" t="s">
        <v>284</v>
      </c>
      <c r="AL28" s="648">
        <v>5691.3333333333503</v>
      </c>
    </row>
    <row r="29" spans="2:45" ht="17.25" customHeight="1">
      <c r="B29" s="246" t="str">
        <f>IFERROR(INDEX($Q$1:$BH$100,ROW(A29),MATCH(Data_Tech!$AU$7,$Q$1:$AN$1,)+COLUMN(A28)-1),"")</f>
        <v>Иванова Ольга Анатольевна</v>
      </c>
      <c r="D29" s="207">
        <f>INDEX($Q$1:$BH$100,ROW(B29),MATCH(Data_Tech!$AU$7,$Q$1:$AN$1,)+COLUMN(B29)-1)</f>
        <v>3</v>
      </c>
      <c r="E29" s="208">
        <f>INDEX($Q$1:$BH$100,ROW(C29),MATCH(Data_Tech!$AU$7,$Q$1:$AN$1,)+COLUMN(C29)-1)</f>
        <v>14578</v>
      </c>
      <c r="H29" s="47">
        <v>6001</v>
      </c>
      <c r="I29" s="725"/>
      <c r="J29" s="0">
        <f>SUMIFS(Таблица1[сумма],Таблица1[партия],I29,Таблица1[изд],H29)</f>
        <v>0</v>
      </c>
      <c r="K29" s="0">
        <f>SUMIFS(Таблица14[часы],Таблица14[партия],I29,Таблица14[изд],H29)</f>
        <v>0</v>
      </c>
      <c r="L29" s="0">
        <f>SUMIFS(Таблица1[Столбец1],Таблица1[партия],I29,Таблица1[изд],H29)</f>
        <v>0</v>
      </c>
      <c r="M29" s="669">
        <f t="shared" si="10"/>
        <v>0</v>
      </c>
      <c r="N29" s="670">
        <f t="shared" si="8"/>
        <v>358.4</v>
      </c>
      <c r="P29" s="667">
        <v>28</v>
      </c>
      <c r="Q29" s="681" t="s">
        <v>300</v>
      </c>
      <c r="R29" s="648">
        <v>3</v>
      </c>
      <c r="S29" s="648">
        <v>14578</v>
      </c>
      <c r="T29" s="680"/>
      <c r="U29" s="681" t="s">
        <v>300</v>
      </c>
      <c r="V29" s="648">
        <v>29153</v>
      </c>
      <c r="W29" s="648">
        <v>43728</v>
      </c>
      <c r="X29" s="680"/>
      <c r="Y29" s="681" t="s">
        <v>300</v>
      </c>
      <c r="Z29" s="648">
        <v>58303</v>
      </c>
      <c r="AA29" s="648">
        <v>72878</v>
      </c>
      <c r="AB29" s="680"/>
      <c r="AC29" s="681" t="s">
        <v>300</v>
      </c>
      <c r="AD29" s="648">
        <v>87453</v>
      </c>
      <c r="AE29" s="648">
        <v>102028</v>
      </c>
      <c r="AF29" s="680"/>
      <c r="AG29" s="681" t="s">
        <v>300</v>
      </c>
      <c r="AH29" s="648">
        <v>116603</v>
      </c>
      <c r="AI29" s="648">
        <v>131178</v>
      </c>
      <c r="AJ29" s="680"/>
      <c r="AK29" s="681" t="s">
        <v>300</v>
      </c>
      <c r="AL29" s="648">
        <v>145753</v>
      </c>
    </row>
    <row r="30" spans="2:45" ht="17.25" customHeight="1">
      <c r="B30" s="246" t="str">
        <f>IFERROR(INDEX($Q$1:$BH$100,ROW(A30),MATCH(Data_Tech!$AU$7,$Q$1:$AN$1,)+COLUMN(A29)-1),"")</f>
        <v>Иванченко Ульяна Леонидовна</v>
      </c>
      <c r="D30" s="207">
        <f>INDEX($Q$1:$BH$100,ROW(B30),MATCH(Data_Tech!$AU$7,$Q$1:$AN$1,)+COLUMN(B30)-1)</f>
        <v>3</v>
      </c>
      <c r="E30" s="208">
        <f>INDEX($Q$1:$BH$100,ROW(C30),MATCH(Data_Tech!$AU$7,$Q$1:$AN$1,)+COLUMN(C30)-1)</f>
        <v>16799</v>
      </c>
      <c r="H30" s="47"/>
      <c r="I30" s="47"/>
      <c r="M30" s="669"/>
      <c r="N30" s="670"/>
      <c r="P30" s="667">
        <v>29</v>
      </c>
      <c r="Q30" s="681" t="s">
        <v>277</v>
      </c>
      <c r="R30" s="648">
        <v>3</v>
      </c>
      <c r="S30" s="648">
        <v>16799</v>
      </c>
      <c r="T30" s="680"/>
      <c r="U30" s="681" t="s">
        <v>277</v>
      </c>
      <c r="V30" s="648">
        <v>33595</v>
      </c>
      <c r="W30" s="648">
        <v>50391</v>
      </c>
      <c r="X30" s="680"/>
      <c r="Y30" s="681" t="s">
        <v>277</v>
      </c>
      <c r="Z30" s="648">
        <v>67187</v>
      </c>
      <c r="AA30" s="648">
        <v>83983</v>
      </c>
      <c r="AB30" s="680"/>
      <c r="AC30" s="681" t="s">
        <v>277</v>
      </c>
      <c r="AD30" s="648">
        <v>100779</v>
      </c>
      <c r="AE30" s="648">
        <v>117575</v>
      </c>
      <c r="AF30" s="680"/>
      <c r="AG30" s="681" t="s">
        <v>277</v>
      </c>
      <c r="AH30" s="648">
        <v>134371</v>
      </c>
      <c r="AI30" s="648">
        <v>151167</v>
      </c>
      <c r="AJ30" s="680"/>
      <c r="AK30" s="681" t="s">
        <v>277</v>
      </c>
      <c r="AL30" s="648">
        <v>167963</v>
      </c>
      <c r="AP30" s="550" t="s">
        <v>341</v>
      </c>
      <c r="AS30" s="103">
        <f>(AS26-AS25-AS27)*24</f>
        <v>4.1999999999999993</v>
      </c>
    </row>
    <row r="31" spans="2:45" ht="17.25" customHeight="1">
      <c r="B31" s="246" t="str">
        <f>IFERROR(INDEX($Q$1:$BH$100,ROW(A31),MATCH(Data_Tech!$AU$7,$Q$1:$AN$1,)+COLUMN(A30)-1),"")</f>
        <v>Исаева Инна Игоревна</v>
      </c>
      <c r="D31" s="207">
        <f>INDEX($Q$1:$BH$100,ROW(B31),MATCH(Data_Tech!$AU$7,$Q$1:$AN$1,)+COLUMN(B31)-1)</f>
        <v>3</v>
      </c>
      <c r="E31" s="208">
        <f>INDEX($Q$1:$BH$100,ROW(C31),MATCH(Data_Tech!$AU$7,$Q$1:$AN$1,)+COLUMN(C31)-1)</f>
        <v>17305</v>
      </c>
      <c r="H31" s="47"/>
      <c r="I31" s="47"/>
      <c r="M31" s="669"/>
      <c r="N31" s="670"/>
      <c r="P31" s="667">
        <v>30</v>
      </c>
      <c r="Q31" s="649" t="s">
        <v>356</v>
      </c>
      <c r="R31" s="648">
        <v>3</v>
      </c>
      <c r="S31" s="648">
        <v>17305</v>
      </c>
      <c r="T31" s="680">
        <v>2</v>
      </c>
      <c r="U31" s="681" t="s">
        <v>324</v>
      </c>
      <c r="V31" s="648">
        <v>5756</v>
      </c>
      <c r="W31" s="648">
        <v>5755</v>
      </c>
      <c r="X31" s="680">
        <v>5754</v>
      </c>
      <c r="Y31" s="681" t="s">
        <v>324</v>
      </c>
      <c r="Z31" s="648">
        <v>5753.00000000001</v>
      </c>
      <c r="AA31" s="648">
        <v>5752.00000000001</v>
      </c>
      <c r="AB31" s="680">
        <v>5751.00000000001</v>
      </c>
      <c r="AC31" s="681" t="s">
        <v>324</v>
      </c>
      <c r="AD31" s="648">
        <v>5750.00000000001</v>
      </c>
      <c r="AE31" s="648">
        <v>5749.00000000001</v>
      </c>
      <c r="AF31" s="680">
        <v>5748.00000000001</v>
      </c>
      <c r="AG31" s="681" t="s">
        <v>324</v>
      </c>
      <c r="AH31" s="648">
        <v>5747.00000000001</v>
      </c>
      <c r="AI31" s="648">
        <v>5746.00000000001</v>
      </c>
      <c r="AJ31" s="680">
        <v>5745.00000000001</v>
      </c>
      <c r="AK31" s="681" t="s">
        <v>324</v>
      </c>
      <c r="AL31" s="648">
        <v>5744.00000000002</v>
      </c>
      <c r="AP31" s="550" t="s">
        <v>342</v>
      </c>
      <c r="AS31" s="103">
        <f>(AS26-AS25)*24</f>
        <v>4.6999999999999993</v>
      </c>
    </row>
    <row r="32" spans="2:45" ht="17.25" customHeight="1">
      <c r="B32" s="246" t="str">
        <f>IFERROR(INDEX($Q$1:$BH$100,ROW(A32),MATCH(Data_Tech!$AU$7,$Q$1:$AN$1,)+COLUMN(A31)-1),"")</f>
        <v>Кабакова Алина Дмитриевна</v>
      </c>
      <c r="D32" s="207">
        <f>INDEX($Q$1:$BH$100,ROW(B32),MATCH(Data_Tech!$AU$7,$Q$1:$AN$1,)+COLUMN(B32)-1)</f>
        <v>3</v>
      </c>
      <c r="E32" s="208">
        <f>INDEX($Q$1:$BH$100,ROW(C32),MATCH(Data_Tech!$AU$7,$Q$1:$AN$1,)+COLUMN(C32)-1)</f>
        <v>17270</v>
      </c>
      <c r="H32" s="47"/>
      <c r="I32" s="47"/>
      <c r="M32" s="669"/>
      <c r="N32" s="670"/>
      <c r="P32" s="667">
        <v>31</v>
      </c>
      <c r="Q32" s="681" t="s">
        <v>324</v>
      </c>
      <c r="R32" s="648">
        <v>3</v>
      </c>
      <c r="S32" s="648">
        <v>17270</v>
      </c>
      <c r="T32" s="680">
        <v>1</v>
      </c>
      <c r="U32" s="681" t="s">
        <v>278</v>
      </c>
      <c r="V32" s="648">
        <v>33835</v>
      </c>
      <c r="W32" s="648">
        <v>50751</v>
      </c>
      <c r="X32" s="680"/>
      <c r="Y32" s="681" t="s">
        <v>278</v>
      </c>
      <c r="Z32" s="648">
        <v>67667</v>
      </c>
      <c r="AA32" s="648">
        <v>84583</v>
      </c>
      <c r="AB32" s="680"/>
      <c r="AC32" s="681" t="s">
        <v>278</v>
      </c>
      <c r="AD32" s="648">
        <v>101499</v>
      </c>
      <c r="AE32" s="648">
        <v>118415</v>
      </c>
      <c r="AF32" s="680"/>
      <c r="AG32" s="681" t="s">
        <v>278</v>
      </c>
      <c r="AH32" s="648">
        <v>135331</v>
      </c>
      <c r="AI32" s="648">
        <v>152247</v>
      </c>
      <c r="AJ32" s="680"/>
      <c r="AK32" s="681" t="s">
        <v>278</v>
      </c>
      <c r="AL32" s="648">
        <v>169163</v>
      </c>
    </row>
    <row r="33" spans="2:49" ht="17.25" customHeight="1">
      <c r="B33" s="246" t="str">
        <f>IFERROR(INDEX($Q$1:$BH$100,ROW(A33),MATCH(Data_Tech!$AU$7,$Q$1:$AN$1,)+COLUMN(A32)-1),"")</f>
        <v>Кабанова Анастасия Евгеньевна</v>
      </c>
      <c r="D33" s="207">
        <f>INDEX($Q$1:$BH$100,ROW(B33),MATCH(Data_Tech!$AU$7,$Q$1:$AN$1,)+COLUMN(B33)-1)</f>
        <v>3</v>
      </c>
      <c r="E33" s="208">
        <f>INDEX($Q$1:$BH$100,ROW(C33),MATCH(Data_Tech!$AU$7,$Q$1:$AN$1,)+COLUMN(C33)-1)</f>
        <v>16919</v>
      </c>
      <c r="H33" s="714" t="s">
        <v>357</v>
      </c>
      <c r="I33" s="47" t="s">
        <v>371</v>
      </c>
      <c r="J33" s="0">
        <f>SUMIFS(Таблица1[сумма],Таблица1[партия],I33,Таблица1[изд],H33)</f>
        <v>0</v>
      </c>
      <c r="K33" s="0">
        <f>SUMIFS(Таблица14[часы],Таблица14[партия],I33,Таблица14[изд],H33)</f>
        <v>0</v>
      </c>
      <c r="L33" s="0">
        <f>SUMIFS(Таблица1[Столбец1],Таблица1[партия],I33,Таблица1[изд],H33)</f>
        <v>0</v>
      </c>
      <c r="M33" s="669">
        <f t="shared" ref="M33:M35" si="11">J33+K33+L33</f>
        <v>0</v>
      </c>
      <c r="N33" s="670">
        <f>$AS$18-M33-O33</f>
        <v>358.4</v>
      </c>
      <c r="P33" s="667">
        <v>32</v>
      </c>
      <c r="Q33" s="681" t="s">
        <v>278</v>
      </c>
      <c r="R33" s="648">
        <v>3</v>
      </c>
      <c r="S33" s="648">
        <v>16919</v>
      </c>
      <c r="T33" s="680"/>
      <c r="U33" s="681" t="s">
        <v>325</v>
      </c>
      <c r="V33" s="683">
        <v>5762.6666666666697</v>
      </c>
      <c r="W33" s="683">
        <v>5762.6666666666697</v>
      </c>
      <c r="X33" s="680">
        <v>5762.6666666666697</v>
      </c>
      <c r="Y33" s="681" t="s">
        <v>325</v>
      </c>
      <c r="Z33" s="683">
        <v>5762.6666666666697</v>
      </c>
      <c r="AA33" s="683">
        <v>5762.6666666666697</v>
      </c>
      <c r="AB33" s="680">
        <v>5762.6666666666697</v>
      </c>
      <c r="AC33" s="681" t="s">
        <v>325</v>
      </c>
      <c r="AD33" s="683">
        <v>5762.6666666666697</v>
      </c>
      <c r="AE33" s="683">
        <v>5762.6666666666697</v>
      </c>
      <c r="AF33" s="680">
        <v>5762.6666666666697</v>
      </c>
      <c r="AG33" s="681" t="s">
        <v>325</v>
      </c>
      <c r="AH33" s="683">
        <v>5762.6666666666697</v>
      </c>
      <c r="AI33" s="683">
        <v>5762.6666666666697</v>
      </c>
      <c r="AJ33" s="680">
        <v>5762.6666666666697</v>
      </c>
      <c r="AK33" s="681" t="s">
        <v>325</v>
      </c>
      <c r="AL33" s="683">
        <v>5762.6666666666697</v>
      </c>
    </row>
    <row r="34" spans="2:49" ht="17.25" customHeight="1">
      <c r="B34" s="246" t="str">
        <f>IFERROR(INDEX($Q$1:$BH$100,ROW(A34),MATCH(Data_Tech!$AU$7,$Q$1:$AN$1,)+COLUMN(A33)-1),"")</f>
        <v>Кириллова Надежда Вячеславовна</v>
      </c>
      <c r="D34" s="207">
        <f>INDEX($Q$1:$BH$100,ROW(B34),MATCH(Data_Tech!$AU$7,$Q$1:$AN$1,)+COLUMN(B34)-1)</f>
        <v>3</v>
      </c>
      <c r="E34" s="208">
        <f>INDEX($Q$1:$BH$100,ROW(C34),MATCH(Data_Tech!$AU$7,$Q$1:$AN$1,)+COLUMN(C34)-1)</f>
        <v>17282</v>
      </c>
      <c r="H34" s="714" t="s">
        <v>357</v>
      </c>
      <c r="I34" s="47" t="s">
        <v>372</v>
      </c>
      <c r="J34" s="0">
        <f>SUMIFS(Таблица1[сумма],Таблица1[партия],I34,Таблица1[изд],H34)</f>
        <v>0</v>
      </c>
      <c r="K34" s="0">
        <f>SUMIFS(Таблица14[часы],Таблица14[партия],I34,Таблица14[изд],H34)</f>
        <v>0</v>
      </c>
      <c r="L34" s="0">
        <f>SUMIFS(Таблица1[Столбец1],Таблица1[партия],I34,Таблица1[изд],H34)</f>
        <v>0</v>
      </c>
      <c r="M34" s="669">
        <f t="shared" si="11"/>
        <v>0</v>
      </c>
      <c r="N34" s="670">
        <f>$AS$18-M34-O34</f>
        <v>358.4</v>
      </c>
      <c r="P34" s="667">
        <v>33</v>
      </c>
      <c r="Q34" s="681" t="s">
        <v>325</v>
      </c>
      <c r="R34" s="683">
        <v>3</v>
      </c>
      <c r="S34" s="683">
        <v>17282</v>
      </c>
      <c r="T34" s="680">
        <v>3</v>
      </c>
      <c r="U34" s="681" t="s">
        <v>296</v>
      </c>
      <c r="V34" s="648">
        <v>31147</v>
      </c>
      <c r="W34" s="648">
        <v>46719</v>
      </c>
      <c r="X34" s="680"/>
      <c r="Y34" s="681" t="s">
        <v>296</v>
      </c>
      <c r="Z34" s="648">
        <v>62291</v>
      </c>
      <c r="AA34" s="648">
        <v>77863</v>
      </c>
      <c r="AB34" s="680"/>
      <c r="AC34" s="681" t="s">
        <v>296</v>
      </c>
      <c r="AD34" s="648">
        <v>93435</v>
      </c>
      <c r="AE34" s="648">
        <v>109007</v>
      </c>
      <c r="AF34" s="680"/>
      <c r="AG34" s="681" t="s">
        <v>296</v>
      </c>
      <c r="AH34" s="648">
        <v>124579</v>
      </c>
      <c r="AI34" s="648">
        <v>140151</v>
      </c>
      <c r="AJ34" s="680"/>
      <c r="AK34" s="681" t="s">
        <v>296</v>
      </c>
      <c r="AL34" s="648">
        <v>155723</v>
      </c>
      <c r="AV34" t="s" s="0">
        <v>343</v>
      </c>
    </row>
    <row r="35" spans="2:49" ht="17.25" customHeight="1">
      <c r="B35" s="246" t="str">
        <f>IFERROR(INDEX($Q$1:$BH$100,ROW(A35),MATCH(Data_Tech!$AU$7,$Q$1:$AN$1,)+COLUMN(A34)-1),"")</f>
        <v>Киселёва Надежда Игоревна</v>
      </c>
      <c r="D35" s="207">
        <f>INDEX($Q$1:$BH$100,ROW(B35),MATCH(Data_Tech!$AU$7,$Q$1:$AN$1,)+COLUMN(B35)-1)</f>
        <v>3</v>
      </c>
      <c r="E35" s="208">
        <f>INDEX($Q$1:$BH$100,ROW(C35),MATCH(Data_Tech!$AU$7,$Q$1:$AN$1,)+COLUMN(C35)-1)</f>
        <v>15575</v>
      </c>
      <c r="H35" s="714" t="s">
        <v>357</v>
      </c>
      <c r="I35" t="s" s="0">
        <v>384</v>
      </c>
      <c r="J35" s="0">
        <f>SUMIFS(Таблица1[сумма],Таблица1[партия],I35,Таблица1[изд],H35)</f>
        <v>0</v>
      </c>
      <c r="K35" s="0">
        <f>SUMIFS(Таблица14[часы],Таблица14[партия],I35,Таблица14[изд],H35)</f>
        <v>0</v>
      </c>
      <c r="L35" s="0">
        <f>SUMIFS(Таблица1[Столбец1],Таблица1[партия],I35,Таблица1[изд],H35)</f>
        <v>0</v>
      </c>
      <c r="M35" s="669">
        <f t="shared" si="11"/>
        <v>0</v>
      </c>
      <c r="N35" s="670">
        <f>$AS$18-M35-O35</f>
        <v>358.4</v>
      </c>
      <c r="P35" s="667">
        <v>34</v>
      </c>
      <c r="Q35" s="681" t="s">
        <v>296</v>
      </c>
      <c r="R35" s="648">
        <v>3</v>
      </c>
      <c r="S35" s="648">
        <v>15575</v>
      </c>
      <c r="T35" s="680"/>
      <c r="U35" s="681" t="s">
        <v>310</v>
      </c>
      <c r="V35" s="648">
        <v>5730</v>
      </c>
      <c r="W35" s="648">
        <v>5729.5</v>
      </c>
      <c r="X35" s="680">
        <v>5729</v>
      </c>
      <c r="Y35" s="681" t="s">
        <v>310</v>
      </c>
      <c r="Z35" s="648">
        <v>5728.50000000001</v>
      </c>
      <c r="AA35" s="648">
        <v>5728.00000000001</v>
      </c>
      <c r="AB35" s="680">
        <v>5727.50000000001</v>
      </c>
      <c r="AC35" s="681" t="s">
        <v>310</v>
      </c>
      <c r="AD35" s="648">
        <v>5727.00000000001</v>
      </c>
      <c r="AE35" s="648">
        <v>5726.50000000001</v>
      </c>
      <c r="AF35" s="680">
        <v>5726.00000000001</v>
      </c>
      <c r="AG35" s="681" t="s">
        <v>310</v>
      </c>
      <c r="AH35" s="648">
        <v>5725.50000000001</v>
      </c>
      <c r="AI35" s="648">
        <v>5725.00000000001</v>
      </c>
      <c r="AJ35" s="680">
        <v>5724.50000000002</v>
      </c>
      <c r="AK35" s="681" t="s">
        <v>310</v>
      </c>
      <c r="AL35" s="648">
        <v>5724.00000000002</v>
      </c>
      <c r="AV35" s="553"/>
      <c r="AW35" s="553"/>
    </row>
    <row r="36" spans="2:49" ht="17.25" customHeight="1">
      <c r="B36" s="246" t="str">
        <f>IFERROR(INDEX($Q$1:$BH$100,ROW(A36),MATCH(Data_Tech!$AU$7,$Q$1:$AN$1,)+COLUMN(A35)-1),"")</f>
        <v>Климонтович Янина Анатольевна</v>
      </c>
      <c r="D36" s="207">
        <f>INDEX($Q$1:$BH$100,ROW(B36),MATCH(Data_Tech!$AU$7,$Q$1:$AN$1,)+COLUMN(B36)-1)</f>
        <v>3</v>
      </c>
      <c r="E36" s="208">
        <f>INDEX($Q$1:$BH$100,ROW(C36),MATCH(Data_Tech!$AU$7,$Q$1:$AN$1,)+COLUMN(C36)-1)</f>
        <v>17188</v>
      </c>
      <c r="H36" s="47"/>
      <c r="I36" s="47"/>
      <c r="M36" s="669"/>
      <c r="N36" s="670"/>
      <c r="P36" s="667">
        <v>35</v>
      </c>
      <c r="Q36" s="681" t="s">
        <v>310</v>
      </c>
      <c r="R36" s="648">
        <v>3</v>
      </c>
      <c r="S36" s="648">
        <v>17188</v>
      </c>
      <c r="T36" s="680"/>
      <c r="U36" s="681" t="s">
        <v>326</v>
      </c>
      <c r="V36" s="648">
        <v>31773</v>
      </c>
      <c r="W36" s="648">
        <v>47658</v>
      </c>
      <c r="X36" s="680"/>
      <c r="Y36" s="681" t="s">
        <v>326</v>
      </c>
      <c r="Z36" s="648">
        <v>63543</v>
      </c>
      <c r="AA36" s="648">
        <v>79428</v>
      </c>
      <c r="AB36" s="680"/>
      <c r="AC36" s="681" t="s">
        <v>326</v>
      </c>
      <c r="AD36" s="648">
        <v>95313</v>
      </c>
      <c r="AE36" s="648">
        <v>111198</v>
      </c>
      <c r="AF36" s="680"/>
      <c r="AG36" s="681" t="s">
        <v>326</v>
      </c>
      <c r="AH36" s="648">
        <v>127083</v>
      </c>
      <c r="AI36" s="648">
        <v>142968</v>
      </c>
      <c r="AJ36" s="680"/>
      <c r="AK36" s="681" t="s">
        <v>326</v>
      </c>
      <c r="AL36" s="648">
        <v>158853</v>
      </c>
      <c r="AT36" s="550" t="s">
        <v>338</v>
      </c>
      <c r="AU36" s="553"/>
      <c r="AV36" s="553"/>
      <c r="AW36" s="671">
        <v>0.6333333333333333</v>
      </c>
    </row>
    <row r="37" spans="2:49" ht="17.25" customHeight="1">
      <c r="B37" s="246" t="str">
        <f>IFERROR(INDEX($Q$1:$BH$100,ROW(A37),MATCH(Data_Tech!$AU$7,$Q$1:$AN$1,)+COLUMN(A36)-1),"")</f>
        <v>Коричева Юлия Владимировна</v>
      </c>
      <c r="D37" s="207">
        <f>INDEX($Q$1:$BH$100,ROW(B37),MATCH(Data_Tech!$AU$7,$Q$1:$AN$1,)+COLUMN(B37)-1)</f>
        <v>3</v>
      </c>
      <c r="E37" s="208">
        <f>INDEX($Q$1:$BH$100,ROW(C37),MATCH(Data_Tech!$AU$7,$Q$1:$AN$1,)+COLUMN(C37)-1)</f>
        <v>15888</v>
      </c>
      <c r="H37" s="47" t="s">
        <v>353</v>
      </c>
      <c r="I37" s="47" t="s">
        <v>376</v>
      </c>
      <c r="J37" s="0">
        <f>SUMIFS(Таблица1[сумма],Таблица1[партия],I37,Таблица1[изд],H37)</f>
        <v>0</v>
      </c>
      <c r="K37" s="0">
        <f>SUMIFS(Таблица14[часы],Таблица14[партия],I37,Таблица14[изд],H37)</f>
        <v>0</v>
      </c>
      <c r="L37" s="0">
        <f>SUMIFS(Таблица1[Столбец1],Таблица1[партия],I37,Таблица1[изд],H37)</f>
        <v>0</v>
      </c>
      <c r="M37" s="669">
        <f t="shared" ref="M37" si="12">J37+K37+L37</f>
        <v>0</v>
      </c>
      <c r="N37" s="670">
        <f>$AS$16-M37-O37</f>
        <v>540.20000000000005</v>
      </c>
      <c r="P37" s="667">
        <v>36</v>
      </c>
      <c r="Q37" s="681" t="s">
        <v>326</v>
      </c>
      <c r="R37" s="648">
        <v>3</v>
      </c>
      <c r="S37" s="648">
        <v>15888</v>
      </c>
      <c r="T37" s="680"/>
      <c r="U37" s="681" t="s">
        <v>301</v>
      </c>
      <c r="V37" s="648">
        <v>33324</v>
      </c>
      <c r="W37" s="648">
        <v>49984</v>
      </c>
      <c r="X37" s="680"/>
      <c r="Y37" s="681" t="s">
        <v>301</v>
      </c>
      <c r="Z37" s="648">
        <v>66644</v>
      </c>
      <c r="AA37" s="648">
        <v>83304</v>
      </c>
      <c r="AB37" s="680"/>
      <c r="AC37" s="681" t="s">
        <v>301</v>
      </c>
      <c r="AD37" s="648">
        <v>99964</v>
      </c>
      <c r="AE37" s="648">
        <v>116624</v>
      </c>
      <c r="AF37" s="680"/>
      <c r="AG37" s="681" t="s">
        <v>301</v>
      </c>
      <c r="AH37" s="648">
        <v>133284</v>
      </c>
      <c r="AI37" s="648">
        <v>149944</v>
      </c>
      <c r="AJ37" s="680"/>
      <c r="AK37" s="681" t="s">
        <v>301</v>
      </c>
      <c r="AL37" s="648">
        <v>166604</v>
      </c>
      <c r="AT37" s="550" t="s">
        <v>339</v>
      </c>
      <c r="AU37" s="553"/>
      <c r="AV37" s="553"/>
      <c r="AW37" s="672">
        <v>0.79999999999999993</v>
      </c>
    </row>
    <row r="38" spans="2:49" ht="17.25" customHeight="1">
      <c r="B38" s="246" t="str">
        <f>IFERROR(INDEX($Q$1:$BH$100,ROW(A38),MATCH(Data_Tech!$AU$7,$Q$1:$AN$1,)+COLUMN(A37)-1),"")</f>
        <v>Костюченко Александр Валентинович</v>
      </c>
      <c r="D38" s="207">
        <f>INDEX($Q$1:$BH$100,ROW(B38),MATCH(Data_Tech!$AU$7,$Q$1:$AN$1,)+COLUMN(B38)-1)</f>
        <v>4</v>
      </c>
      <c r="E38" s="208">
        <f>INDEX($Q$1:$BH$100,ROW(C38),MATCH(Data_Tech!$AU$7,$Q$1:$AN$1,)+COLUMN(C38)-1)</f>
        <v>16664</v>
      </c>
      <c r="H38" s="47"/>
      <c r="I38" s="47"/>
      <c r="M38" s="669"/>
      <c r="N38" s="670"/>
      <c r="P38" s="667">
        <v>37</v>
      </c>
      <c r="Q38" s="681" t="s">
        <v>301</v>
      </c>
      <c r="R38" s="648">
        <v>4</v>
      </c>
      <c r="S38" s="648">
        <v>16664</v>
      </c>
      <c r="T38" s="680"/>
      <c r="U38" s="681" t="s">
        <v>327</v>
      </c>
      <c r="V38" s="648">
        <v>5756.3333333333403</v>
      </c>
      <c r="W38" s="648">
        <v>5755.3333333333403</v>
      </c>
      <c r="X38" s="680">
        <v>5754.3333333333403</v>
      </c>
      <c r="Y38" s="681" t="s">
        <v>327</v>
      </c>
      <c r="Z38" s="648">
        <v>5753.3333333333403</v>
      </c>
      <c r="AA38" s="648">
        <v>5752.3333333333403</v>
      </c>
      <c r="AB38" s="680">
        <v>5751.3333333333403</v>
      </c>
      <c r="AC38" s="681" t="s">
        <v>327</v>
      </c>
      <c r="AD38" s="648">
        <v>5750.3333333333403</v>
      </c>
      <c r="AE38" s="648">
        <v>5749.3333333333403</v>
      </c>
      <c r="AF38" s="680">
        <v>5748.3333333333403</v>
      </c>
      <c r="AG38" s="681" t="s">
        <v>327</v>
      </c>
      <c r="AH38" s="648">
        <v>5747.3333333333503</v>
      </c>
      <c r="AI38" s="648">
        <v>5746.3333333333503</v>
      </c>
      <c r="AJ38" s="680">
        <v>5745.3333333333503</v>
      </c>
      <c r="AK38" s="681" t="s">
        <v>327</v>
      </c>
      <c r="AL38" s="648">
        <v>5744.3333333333503</v>
      </c>
      <c r="AT38" s="550" t="s">
        <v>340</v>
      </c>
      <c r="AU38" s="553"/>
      <c r="AV38" s="553"/>
      <c r="AW38" s="672">
        <v>2.0833333333333301E-2</v>
      </c>
    </row>
    <row r="39" spans="2:49" ht="17.25" customHeight="1">
      <c r="B39" s="246" t="str">
        <f>IFERROR(INDEX($Q$1:$BH$100,ROW(A39),MATCH(Data_Tech!$AU$7,$Q$1:$AN$1,)+COLUMN(A38)-1),"")</f>
        <v>Кочеткова Мария Андреевна</v>
      </c>
      <c r="D39" s="207">
        <f>INDEX($Q$1:$BH$100,ROW(B39),MATCH(Data_Tech!$AU$7,$Q$1:$AN$1,)+COLUMN(B39)-1)</f>
        <v>3</v>
      </c>
      <c r="E39" s="208">
        <f>INDEX($Q$1:$BH$100,ROW(C39),MATCH(Data_Tech!$AU$7,$Q$1:$AN$1,)+COLUMN(C39)-1)</f>
        <v>17271</v>
      </c>
      <c r="H39" s="47">
        <v>6000</v>
      </c>
      <c r="I39" s="47" t="s">
        <v>377</v>
      </c>
      <c r="J39" s="0">
        <f>SUMIFS(Таблица1[сумма],Таблица1[партия],I39,Таблица1[изд],H39)</f>
        <v>0</v>
      </c>
      <c r="K39" s="0">
        <f>SUMIFS(Таблица14[часы],Таблица14[партия],I39,Таблица14[изд],H39)</f>
        <v>0</v>
      </c>
      <c r="L39" s="0">
        <f>SUMIFS(Таблица1[Столбец1],Таблица1[партия],I39,Таблица1[изд],H39)</f>
        <v>0</v>
      </c>
      <c r="M39" s="669">
        <f t="shared" ref="M39" si="13">J39+K39+L39</f>
        <v>0</v>
      </c>
      <c r="N39" s="670">
        <f>$AS$16-M39-O39</f>
        <v>540.20000000000005</v>
      </c>
      <c r="P39" s="667">
        <v>38</v>
      </c>
      <c r="Q39" s="681" t="s">
        <v>327</v>
      </c>
      <c r="R39" s="648">
        <v>3</v>
      </c>
      <c r="S39" s="648">
        <v>17271</v>
      </c>
      <c r="T39" s="680">
        <v>1</v>
      </c>
      <c r="U39" s="681" t="s">
        <v>279</v>
      </c>
      <c r="V39" s="648">
        <v>5650</v>
      </c>
      <c r="W39" s="648">
        <v>5650</v>
      </c>
      <c r="X39" s="680">
        <v>5650</v>
      </c>
      <c r="Y39" s="681" t="s">
        <v>279</v>
      </c>
      <c r="Z39" s="648">
        <v>5650.00000000001</v>
      </c>
      <c r="AA39" s="648">
        <v>5650.00000000001</v>
      </c>
      <c r="AB39" s="680">
        <v>5650.00000000001</v>
      </c>
      <c r="AC39" s="681" t="s">
        <v>279</v>
      </c>
      <c r="AD39" s="648">
        <v>5650.00000000001</v>
      </c>
      <c r="AE39" s="648">
        <v>5650.00000000001</v>
      </c>
      <c r="AF39" s="680">
        <v>5650.00000000001</v>
      </c>
      <c r="AG39" s="681" t="s">
        <v>279</v>
      </c>
      <c r="AH39" s="648">
        <v>5650.00000000001</v>
      </c>
      <c r="AI39" s="648">
        <v>5650.00000000001</v>
      </c>
      <c r="AJ39" s="680">
        <v>5650.00000000002</v>
      </c>
      <c r="AK39" s="681" t="s">
        <v>279</v>
      </c>
      <c r="AL39" s="648">
        <v>5650.00000000002</v>
      </c>
      <c r="AU39" s="553"/>
      <c r="AV39" s="553"/>
    </row>
    <row r="40" spans="2:49" ht="17.25" customHeight="1">
      <c r="B40" s="246" t="str">
        <f>IFERROR(INDEX($Q$1:$BH$100,ROW(A40),MATCH(Data_Tech!$AU$7,$Q$1:$AN$1,)+COLUMN(A39)-1),"")</f>
        <v>Кравченко Светлана Александровна</v>
      </c>
      <c r="D40" s="207">
        <f>INDEX($Q$1:$BH$100,ROW(B40),MATCH(Data_Tech!$AU$7,$Q$1:$AN$1,)+COLUMN(B40)-1)</f>
        <v>3</v>
      </c>
      <c r="E40" s="208">
        <f>INDEX($Q$1:$BH$100,ROW(C40),MATCH(Data_Tech!$AU$7,$Q$1:$AN$1,)+COLUMN(C40)-1)</f>
        <v>16944</v>
      </c>
      <c r="H40" s="47"/>
      <c r="J40" s="0">
        <f>SUMIFS(Таблица1[сумма],Таблица1[партия],I40,Таблица1[изд],H40)</f>
        <v>0</v>
      </c>
      <c r="K40" s="0">
        <f>SUMIFS(Таблица14[часы],Таблица14[партия],I40,Таблица14[изд],H40)</f>
        <v>0</v>
      </c>
      <c r="L40" s="0">
        <f>SUMIFS(Таблица1[Столбец1],Таблица1[партия],I40,Таблица1[изд],H40)</f>
        <v>0</v>
      </c>
      <c r="M40" s="669">
        <f t="shared" ref="M40:M50" si="14">J40+K40+L40</f>
        <v>0</v>
      </c>
      <c r="N40" s="670"/>
      <c r="P40" s="667">
        <v>39</v>
      </c>
      <c r="Q40" s="681" t="s">
        <v>279</v>
      </c>
      <c r="R40" s="648">
        <v>3</v>
      </c>
      <c r="S40" s="648">
        <v>16944</v>
      </c>
      <c r="T40" s="680">
        <v>3</v>
      </c>
      <c r="U40" s="681" t="s">
        <v>288</v>
      </c>
      <c r="V40" s="648">
        <v>5699.3333333333403</v>
      </c>
      <c r="W40" s="648">
        <v>5698.3333333333403</v>
      </c>
      <c r="X40" s="680">
        <v>5697.3333333333403</v>
      </c>
      <c r="Y40" s="681" t="s">
        <v>288</v>
      </c>
      <c r="Z40" s="648">
        <v>5696.3333333333403</v>
      </c>
      <c r="AA40" s="648">
        <v>5695.3333333333403</v>
      </c>
      <c r="AB40" s="680">
        <v>5694.3333333333403</v>
      </c>
      <c r="AC40" s="681" t="s">
        <v>288</v>
      </c>
      <c r="AD40" s="648">
        <v>5693.3333333333403</v>
      </c>
      <c r="AE40" s="648">
        <v>5692.3333333333403</v>
      </c>
      <c r="AF40" s="680">
        <v>5691.3333333333403</v>
      </c>
      <c r="AG40" s="681" t="s">
        <v>288</v>
      </c>
      <c r="AH40" s="648">
        <v>5690.3333333333503</v>
      </c>
      <c r="AI40" s="648">
        <v>5689.3333333333503</v>
      </c>
      <c r="AJ40" s="680">
        <v>5688.3333333333503</v>
      </c>
      <c r="AK40" s="681" t="s">
        <v>288</v>
      </c>
      <c r="AL40" s="648">
        <v>5687.3333333333503</v>
      </c>
      <c r="AU40" s="553"/>
      <c r="AV40" s="553"/>
    </row>
    <row r="41" spans="2:49" ht="17.25" customHeight="1">
      <c r="B41" s="246" t="str">
        <f>IFERROR(INDEX($Q$1:$BH$100,ROW(A41),MATCH(Data_Tech!$AU$7,$Q$1:$AN$1,)+COLUMN(A40)-1),"")</f>
        <v>Лапина Елена Сергеевна</v>
      </c>
      <c r="D41" s="207">
        <f>INDEX($Q$1:$BH$100,ROW(B41),MATCH(Data_Tech!$AU$7,$Q$1:$AN$1,)+COLUMN(B41)-1)</f>
        <v>3</v>
      </c>
      <c r="E41" s="208">
        <f>INDEX($Q$1:$BH$100,ROW(C41),MATCH(Data_Tech!$AU$7,$Q$1:$AN$1,)+COLUMN(C41)-1)</f>
        <v>17281</v>
      </c>
      <c r="H41" s="726">
        <v>185</v>
      </c>
      <c r="I41" s="731" t="s">
        <v>374</v>
      </c>
      <c r="J41" s="728">
        <f>SUMIFS(Таблица1[сумма],Таблица1[партия],I41,Таблица1[изд],H41)</f>
        <v>0</v>
      </c>
      <c r="K41" s="728">
        <f>SUMIFS(Таблица14[часы],Таблица14[партия],I41,Таблица14[изд],H41)</f>
        <v>0</v>
      </c>
      <c r="L41" s="728">
        <f>SUMIFS(Таблица1[Столбец1],Таблица1[партия],I41,Таблица1[изд],H41)</f>
        <v>0</v>
      </c>
      <c r="M41" s="729">
        <f t="shared" si="14"/>
        <v>0</v>
      </c>
      <c r="N41" s="730">
        <f>$AS$15-M41-O41</f>
        <v>632.5</v>
      </c>
      <c r="P41" s="667">
        <v>40</v>
      </c>
      <c r="Q41" s="681" t="s">
        <v>328</v>
      </c>
      <c r="R41" s="683">
        <v>3</v>
      </c>
      <c r="S41" s="684">
        <v>17281</v>
      </c>
      <c r="T41" s="680">
        <v>2</v>
      </c>
      <c r="U41" s="681" t="s">
        <v>328</v>
      </c>
      <c r="V41" s="683">
        <v>5761</v>
      </c>
      <c r="W41" s="684">
        <v>5760.5</v>
      </c>
      <c r="X41" s="680">
        <v>5760</v>
      </c>
      <c r="Y41" s="681" t="s">
        <v>328</v>
      </c>
      <c r="Z41" s="683">
        <v>5759.50000000001</v>
      </c>
      <c r="AA41" s="684">
        <v>5759.00000000001</v>
      </c>
      <c r="AB41" s="680">
        <v>5758.50000000001</v>
      </c>
      <c r="AC41" s="681" t="s">
        <v>328</v>
      </c>
      <c r="AD41" s="683">
        <v>5758.00000000001</v>
      </c>
      <c r="AE41" s="684">
        <v>5757.50000000001</v>
      </c>
      <c r="AF41" s="680">
        <v>5757.00000000001</v>
      </c>
      <c r="AG41" s="681" t="s">
        <v>328</v>
      </c>
      <c r="AH41" s="683">
        <v>5756.50000000001</v>
      </c>
      <c r="AI41" s="684">
        <v>5756.00000000001</v>
      </c>
      <c r="AJ41" s="680">
        <v>5755.50000000002</v>
      </c>
      <c r="AK41" s="681" t="s">
        <v>328</v>
      </c>
      <c r="AL41" s="683">
        <v>5755.00000000002</v>
      </c>
      <c r="AT41" s="550" t="s">
        <v>341</v>
      </c>
      <c r="AU41" s="553"/>
      <c r="AV41" s="553"/>
      <c r="AW41" s="103">
        <f>(AW37-AW36-AW38)*24</f>
        <v>3.4999999999999996</v>
      </c>
    </row>
    <row r="42" spans="2:49" ht="17.25" customHeight="1">
      <c r="B42" s="246" t="str">
        <f>IFERROR(INDEX($Q$1:$BH$100,ROW(A42),MATCH(Data_Tech!$AU$7,$Q$1:$AN$1,)+COLUMN(A41)-1),"")</f>
        <v>Лебига Людмила Тихоновна</v>
      </c>
      <c r="D42" s="207">
        <f>INDEX($Q$1:$BH$100,ROW(B42),MATCH(Data_Tech!$AU$7,$Q$1:$AN$1,)+COLUMN(B42)-1)</f>
        <v>4</v>
      </c>
      <c r="E42" s="208">
        <f>INDEX($Q$1:$BH$100,ROW(C42),MATCH(Data_Tech!$AU$7,$Q$1:$AN$1,)+COLUMN(C42)-1)</f>
        <v>13859</v>
      </c>
      <c r="H42" s="726">
        <v>185</v>
      </c>
      <c r="I42" s="731" t="s">
        <v>373</v>
      </c>
      <c r="J42" s="728">
        <f>SUMIFS(Таблица1[сумма],Таблица1[партия],I42,Таблица1[изд],H42)</f>
        <v>0</v>
      </c>
      <c r="K42" s="728">
        <f>SUMIFS(Таблица14[часы],Таблица14[партия],I42,Таблица14[изд],H42)</f>
        <v>0</v>
      </c>
      <c r="L42" s="728">
        <f>SUMIFS(Таблица1[Столбец1],Таблица1[партия],I42,Таблица1[изд],H42)</f>
        <v>0</v>
      </c>
      <c r="M42" s="729">
        <f t="shared" si="14"/>
        <v>0</v>
      </c>
      <c r="N42" s="730">
        <f t="shared" ref="N42:N43" si="15">$AS$15-M42-O42</f>
        <v>632.5</v>
      </c>
      <c r="P42" s="667">
        <v>41</v>
      </c>
      <c r="Q42" s="681" t="s">
        <v>305</v>
      </c>
      <c r="R42" s="648">
        <v>4</v>
      </c>
      <c r="S42" s="648">
        <v>13859</v>
      </c>
      <c r="T42" s="680"/>
      <c r="U42" s="681" t="s">
        <v>305</v>
      </c>
      <c r="V42" s="648">
        <v>27714</v>
      </c>
      <c r="W42" s="648">
        <v>41569</v>
      </c>
      <c r="X42" s="680"/>
      <c r="Y42" s="681" t="s">
        <v>305</v>
      </c>
      <c r="Z42" s="648">
        <v>55424</v>
      </c>
      <c r="AA42" s="648">
        <v>69279</v>
      </c>
      <c r="AB42" s="680"/>
      <c r="AC42" s="681" t="s">
        <v>305</v>
      </c>
      <c r="AD42" s="648">
        <v>83134</v>
      </c>
      <c r="AE42" s="648">
        <v>96989</v>
      </c>
      <c r="AF42" s="680"/>
      <c r="AG42" s="681" t="s">
        <v>305</v>
      </c>
      <c r="AH42" s="648">
        <v>110844</v>
      </c>
      <c r="AI42" s="648">
        <v>124699</v>
      </c>
      <c r="AJ42" s="680"/>
      <c r="AK42" s="681" t="s">
        <v>305</v>
      </c>
      <c r="AL42" s="648">
        <v>138554</v>
      </c>
      <c r="AT42" s="550" t="s">
        <v>342</v>
      </c>
      <c r="AU42" s="553"/>
      <c r="AV42" s="553"/>
      <c r="AW42" s="103">
        <f>(AW37-AW36)*24</f>
        <v>3.9999999999999991</v>
      </c>
    </row>
    <row r="43" spans="2:49" ht="17.25" customHeight="1">
      <c r="B43" s="246" t="str">
        <f>IFERROR(INDEX($Q$1:$BH$100,ROW(A43),MATCH(Data_Tech!$AU$7,$Q$1:$AN$1,)+COLUMN(A42)-1),"")</f>
        <v>Лезина Анастасия Юрьевна</v>
      </c>
      <c r="D43" s="207">
        <f>INDEX($Q$1:$BH$100,ROW(B43),MATCH(Data_Tech!$AU$7,$Q$1:$AN$1,)+COLUMN(B43)-1)</f>
        <v>3</v>
      </c>
      <c r="E43" s="208">
        <f>INDEX($Q$1:$BH$100,ROW(C43),MATCH(Data_Tech!$AU$7,$Q$1:$AN$1,)+COLUMN(C43)-1)</f>
        <v>17303</v>
      </c>
      <c r="H43" s="47">
        <v>185</v>
      </c>
      <c r="I43" s="545" t="s">
        <v>375</v>
      </c>
      <c r="J43" s="0">
        <f>SUMIFS(Таблица1[сумма],Таблица1[партия],I43,Таблица1[изд],H43)</f>
        <v>0</v>
      </c>
      <c r="K43" s="0">
        <f>SUMIFS(Таблица14[часы],Таблица14[партия],I43,Таблица14[изд],H43)</f>
        <v>0</v>
      </c>
      <c r="L43" s="0">
        <f>SUMIFS(Таблица1[Столбец1],Таблица1[партия],I43,Таблица1[изд],H43)</f>
        <v>0</v>
      </c>
      <c r="M43" s="669">
        <f t="shared" si="14"/>
        <v>0</v>
      </c>
      <c r="N43" s="670">
        <f t="shared" si="15"/>
        <v>632.5</v>
      </c>
      <c r="P43" s="667">
        <v>42</v>
      </c>
      <c r="Q43" s="649" t="s">
        <v>354</v>
      </c>
      <c r="R43" s="648">
        <v>3</v>
      </c>
      <c r="S43" s="648">
        <v>17303</v>
      </c>
      <c r="T43" s="680">
        <v>3</v>
      </c>
      <c r="U43" s="681" t="s">
        <v>299</v>
      </c>
      <c r="V43" s="648">
        <v>34269</v>
      </c>
      <c r="W43" s="648">
        <v>51402</v>
      </c>
      <c r="X43" s="680"/>
      <c r="Y43" s="681" t="s">
        <v>299</v>
      </c>
      <c r="Z43" s="648">
        <v>68535</v>
      </c>
      <c r="AA43" s="648">
        <v>85668</v>
      </c>
      <c r="AB43" s="680"/>
      <c r="AC43" s="681" t="s">
        <v>299</v>
      </c>
      <c r="AD43" s="648">
        <v>102801</v>
      </c>
      <c r="AE43" s="648">
        <v>119934</v>
      </c>
      <c r="AF43" s="680"/>
      <c r="AG43" s="681" t="s">
        <v>299</v>
      </c>
      <c r="AH43" s="648">
        <v>137067</v>
      </c>
      <c r="AI43" s="648">
        <v>154200</v>
      </c>
      <c r="AJ43" s="680"/>
      <c r="AK43" s="681" t="s">
        <v>299</v>
      </c>
      <c r="AL43" s="648">
        <v>171333</v>
      </c>
    </row>
    <row r="44" spans="2:49" ht="17.25" customHeight="1">
      <c r="B44" s="246" t="str">
        <f>IFERROR(INDEX($Q$1:$BH$100,ROW(A44),MATCH(Data_Tech!$AU$7,$Q$1:$AN$1,)+COLUMN(A43)-1),"")</f>
        <v>Малышева Анна Евгеньевна</v>
      </c>
      <c r="D44" s="207">
        <f>INDEX($Q$1:$BH$100,ROW(B44),MATCH(Data_Tech!$AU$7,$Q$1:$AN$1,)+COLUMN(B44)-1)</f>
        <v>3</v>
      </c>
      <c r="E44" s="208">
        <f>INDEX($Q$1:$BH$100,ROW(C44),MATCH(Data_Tech!$AU$7,$Q$1:$AN$1,)+COLUMN(C44)-1)</f>
        <v>17321</v>
      </c>
      <c r="H44" s="47">
        <v>185</v>
      </c>
      <c r="I44" s="725" t="s">
        <v>378</v>
      </c>
      <c r="J44" s="0">
        <f>SUMIFS(Таблица1[сумма],Таблица1[партия],I44,Таблица1[изд],H44)</f>
        <v>0</v>
      </c>
      <c r="K44" s="0">
        <f>SUMIFS(Таблица14[часы],Таблица14[партия],I44,Таблица14[изд],H44)</f>
        <v>0</v>
      </c>
      <c r="L44" s="0">
        <f>SUMIFS(Таблица1[Столбец1],Таблица1[партия],I44,Таблица1[изд],H44)</f>
        <v>0</v>
      </c>
      <c r="M44" s="669">
        <f t="shared" si="14"/>
        <v>0</v>
      </c>
      <c r="N44" s="670">
        <f>$AS$15-M44-O44</f>
        <v>632.5</v>
      </c>
      <c r="P44" s="667">
        <v>43</v>
      </c>
      <c r="Q44" s="649" t="s">
        <v>360</v>
      </c>
      <c r="R44" s="648">
        <v>3</v>
      </c>
      <c r="S44" s="648">
        <v>17321</v>
      </c>
      <c r="T44" s="680">
        <v>1</v>
      </c>
      <c r="U44" s="681" t="s">
        <v>258</v>
      </c>
      <c r="V44" s="648">
        <v>33555</v>
      </c>
      <c r="W44" s="648">
        <v>50331</v>
      </c>
      <c r="X44" s="680"/>
      <c r="Y44" s="681" t="s">
        <v>258</v>
      </c>
      <c r="Z44" s="648">
        <v>67107</v>
      </c>
      <c r="AA44" s="648">
        <v>83883</v>
      </c>
      <c r="AB44" s="680"/>
      <c r="AC44" s="681" t="s">
        <v>258</v>
      </c>
      <c r="AD44" s="648">
        <v>100659</v>
      </c>
      <c r="AE44" s="648">
        <v>117435</v>
      </c>
      <c r="AF44" s="680"/>
      <c r="AG44" s="681" t="s">
        <v>258</v>
      </c>
      <c r="AH44" s="648">
        <v>134211</v>
      </c>
      <c r="AI44" s="648">
        <v>150987</v>
      </c>
      <c r="AJ44" s="680"/>
      <c r="AK44" s="681" t="s">
        <v>258</v>
      </c>
      <c r="AL44" s="648">
        <v>167763</v>
      </c>
    </row>
    <row r="45" spans="2:49" ht="17.25" customHeight="1">
      <c r="B45" s="246" t="str">
        <f>IFERROR(INDEX($Q$1:$BH$100,ROW(A45),MATCH(Data_Tech!$AU$7,$Q$1:$AN$1,)+COLUMN(A44)-1),"")</f>
        <v>Маргиева Фатима Александровна</v>
      </c>
      <c r="D45" s="207">
        <f>INDEX($Q$1:$BH$100,ROW(B45),MATCH(Data_Tech!$AU$7,$Q$1:$AN$1,)+COLUMN(B45)-1)</f>
        <v>3</v>
      </c>
      <c r="E45" s="208">
        <f>INDEX($Q$1:$BH$100,ROW(C45),MATCH(Data_Tech!$AU$7,$Q$1:$AN$1,)+COLUMN(C45)-1)</f>
        <v>17136</v>
      </c>
      <c r="H45" s="47"/>
      <c r="I45" s="725"/>
      <c r="J45" s="0">
        <f>SUMIFS(Таблица1[сумма],Таблица1[партия],I45,Таблица1[изд],H45)</f>
        <v>0</v>
      </c>
      <c r="K45" s="0">
        <f>SUMIFS(Таблица14[часы],Таблица14[партия],I45,Таблица14[изд],H45)</f>
        <v>0</v>
      </c>
      <c r="L45" s="0">
        <f>SUMIFS(Таблица1[Столбец1],Таблица1[партия],I45,Таблица1[изд],H45)</f>
        <v>0</v>
      </c>
      <c r="M45" s="669">
        <f t="shared" si="14"/>
        <v>0</v>
      </c>
      <c r="N45" s="670"/>
      <c r="P45" s="667">
        <v>44</v>
      </c>
      <c r="Q45" s="681" t="s">
        <v>299</v>
      </c>
      <c r="R45" s="648">
        <v>3</v>
      </c>
      <c r="S45" s="648">
        <v>17136</v>
      </c>
      <c r="T45" s="680"/>
      <c r="U45" s="681" t="s">
        <v>280</v>
      </c>
      <c r="V45" s="648">
        <v>5623.3333333333403</v>
      </c>
      <c r="W45" s="648">
        <v>5622.3333333333403</v>
      </c>
      <c r="X45" s="680">
        <v>5621.3333333333403</v>
      </c>
      <c r="Y45" s="681" t="s">
        <v>280</v>
      </c>
      <c r="Z45" s="648">
        <v>5620.3333333333403</v>
      </c>
      <c r="AA45" s="648">
        <v>5619.3333333333403</v>
      </c>
      <c r="AB45" s="680">
        <v>5618.3333333333403</v>
      </c>
      <c r="AC45" s="681" t="s">
        <v>280</v>
      </c>
      <c r="AD45" s="648">
        <v>5617.3333333333403</v>
      </c>
      <c r="AE45" s="648">
        <v>5616.3333333333403</v>
      </c>
      <c r="AF45" s="680">
        <v>5615.3333333333403</v>
      </c>
      <c r="AG45" s="681" t="s">
        <v>280</v>
      </c>
      <c r="AH45" s="648">
        <v>5614.3333333333503</v>
      </c>
      <c r="AI45" s="648">
        <v>5613.3333333333503</v>
      </c>
      <c r="AJ45" s="680">
        <v>5612.3333333333503</v>
      </c>
      <c r="AK45" s="681" t="s">
        <v>280</v>
      </c>
      <c r="AL45" s="648">
        <v>5611.3333333333503</v>
      </c>
    </row>
    <row r="46" spans="2:49" ht="17.25" customHeight="1">
      <c r="B46" s="246" t="str">
        <f>IFERROR(INDEX($Q$1:$BH$100,ROW(A46),MATCH(Data_Tech!$AU$7,$Q$1:$AN$1,)+COLUMN(A45)-1),"")</f>
        <v>Маркова Ольга Евгеньевна</v>
      </c>
      <c r="D46" s="207">
        <f>INDEX($Q$1:$BH$100,ROW(B46),MATCH(Data_Tech!$AU$7,$Q$1:$AN$1,)+COLUMN(B46)-1)</f>
        <v>3</v>
      </c>
      <c r="E46" s="208">
        <f>INDEX($Q$1:$BH$100,ROW(C46),MATCH(Data_Tech!$AU$7,$Q$1:$AN$1,)+COLUMN(C46)-1)</f>
        <v>16779</v>
      </c>
      <c r="H46" s="726">
        <v>757</v>
      </c>
      <c r="I46" s="731" t="s">
        <v>367</v>
      </c>
      <c r="J46" s="728">
        <f>SUMIFS(Таблица1[сумма],Таблица1[партия],I46,Таблица1[изд],H46)</f>
        <v>0</v>
      </c>
      <c r="K46" s="728">
        <f>SUMIFS(Таблица14[часы],Таблица14[партия],I46,Таблица14[изд],H46)</f>
        <v>0</v>
      </c>
      <c r="L46" s="728">
        <f>SUMIFS(Таблица1[Столбец1],Таблица1[партия],I46,Таблица1[изд],H46)</f>
        <v>0</v>
      </c>
      <c r="M46" s="729">
        <f t="shared" si="14"/>
        <v>0</v>
      </c>
      <c r="N46" s="730">
        <f>$AS$17-M46-O46</f>
        <v>836.2</v>
      </c>
      <c r="P46" s="667">
        <v>45</v>
      </c>
      <c r="Q46" s="681" t="s">
        <v>258</v>
      </c>
      <c r="R46" s="648">
        <v>3</v>
      </c>
      <c r="S46" s="648">
        <v>16779</v>
      </c>
      <c r="T46" s="680"/>
      <c r="U46" s="681" t="s">
        <v>293</v>
      </c>
      <c r="V46" s="648">
        <v>5709</v>
      </c>
      <c r="W46" s="648">
        <v>5709</v>
      </c>
      <c r="X46" s="680">
        <v>5709</v>
      </c>
      <c r="Y46" s="681" t="s">
        <v>293</v>
      </c>
      <c r="Z46" s="648">
        <v>5709.00000000001</v>
      </c>
      <c r="AA46" s="648">
        <v>5709.00000000001</v>
      </c>
      <c r="AB46" s="680">
        <v>5709.00000000001</v>
      </c>
      <c r="AC46" s="681" t="s">
        <v>293</v>
      </c>
      <c r="AD46" s="648">
        <v>5709.00000000001</v>
      </c>
      <c r="AE46" s="648">
        <v>5709.00000000001</v>
      </c>
      <c r="AF46" s="680">
        <v>5709.00000000001</v>
      </c>
      <c r="AG46" s="681" t="s">
        <v>293</v>
      </c>
      <c r="AH46" s="648">
        <v>5709.00000000001</v>
      </c>
      <c r="AI46" s="648">
        <v>5709.00000000001</v>
      </c>
      <c r="AJ46" s="680">
        <v>5709.00000000002</v>
      </c>
      <c r="AK46" s="681" t="s">
        <v>293</v>
      </c>
      <c r="AL46" s="648">
        <v>5709.00000000002</v>
      </c>
    </row>
    <row r="47" spans="2:49" ht="17.25" customHeight="1">
      <c r="B47" s="246" t="str">
        <f>IFERROR(INDEX($Q$1:$BH$100,ROW(A47),MATCH(Data_Tech!$AU$7,$Q$1:$AN$1,)+COLUMN(A46)-1),"")</f>
        <v>Марченко Ирина Вячеславовна</v>
      </c>
      <c r="D47" s="207">
        <f>INDEX($Q$1:$BH$100,ROW(B47),MATCH(Data_Tech!$AU$7,$Q$1:$AN$1,)+COLUMN(B47)-1)</f>
        <v>3</v>
      </c>
      <c r="E47" s="208">
        <f>INDEX($Q$1:$BH$100,ROW(C47),MATCH(Data_Tech!$AU$7,$Q$1:$AN$1,)+COLUMN(C47)-1)</f>
        <v>16872</v>
      </c>
      <c r="H47" s="726">
        <v>757</v>
      </c>
      <c r="I47" s="731" t="s">
        <v>368</v>
      </c>
      <c r="J47" s="728">
        <f>SUMIFS(Таблица1[сумма],Таблица1[партия],I47,Таблица1[изд],H47)</f>
        <v>0</v>
      </c>
      <c r="K47" s="728">
        <f>SUMIFS(Таблица14[часы],Таблица14[партия],I47,Таблица14[изд],H47)</f>
        <v>0</v>
      </c>
      <c r="L47" s="728">
        <f>SUMIFS(Таблица1[Столбец1],Таблица1[партия],I47,Таблица1[изд],H47)</f>
        <v>0</v>
      </c>
      <c r="M47" s="729">
        <f t="shared" si="14"/>
        <v>0</v>
      </c>
      <c r="N47" s="730">
        <f t="shared" ref="N47:N49" si="16">$AS$17-M47-O47</f>
        <v>836.2</v>
      </c>
      <c r="P47" s="667">
        <v>46</v>
      </c>
      <c r="Q47" s="681" t="s">
        <v>280</v>
      </c>
      <c r="R47" s="648">
        <v>3</v>
      </c>
      <c r="S47" s="648">
        <v>16872</v>
      </c>
      <c r="T47" s="680">
        <v>1</v>
      </c>
      <c r="U47" s="681" t="s">
        <v>273</v>
      </c>
      <c r="V47" s="648">
        <v>29762</v>
      </c>
      <c r="W47" s="648">
        <v>44641</v>
      </c>
      <c r="X47" s="680"/>
      <c r="Y47" s="681" t="s">
        <v>273</v>
      </c>
      <c r="Z47" s="648">
        <v>59520</v>
      </c>
      <c r="AA47" s="648">
        <v>74399</v>
      </c>
      <c r="AB47" s="680"/>
      <c r="AC47" s="681" t="s">
        <v>273</v>
      </c>
      <c r="AD47" s="648">
        <v>89278</v>
      </c>
      <c r="AE47" s="648">
        <v>104157</v>
      </c>
      <c r="AF47" s="680"/>
      <c r="AG47" s="681" t="s">
        <v>273</v>
      </c>
      <c r="AH47" s="648">
        <v>119036</v>
      </c>
      <c r="AI47" s="648">
        <v>133915</v>
      </c>
      <c r="AJ47" s="680"/>
      <c r="AK47" s="681" t="s">
        <v>273</v>
      </c>
      <c r="AL47" s="648">
        <v>148794</v>
      </c>
    </row>
    <row r="48" spans="2:49" ht="17.25" customHeight="1">
      <c r="B48" s="246" t="str">
        <f>IFERROR(INDEX($Q$1:$BH$100,ROW(A48),MATCH(Data_Tech!$AU$7,$Q$1:$AN$1,)+COLUMN(A47)-1),"")</f>
        <v>Матыгулина Наталья Энвировна</v>
      </c>
      <c r="D48" s="207">
        <f>INDEX($Q$1:$BH$100,ROW(B48),MATCH(Data_Tech!$AU$7,$Q$1:$AN$1,)+COLUMN(B48)-1)</f>
        <v>3</v>
      </c>
      <c r="E48" s="208">
        <f>INDEX($Q$1:$BH$100,ROW(C48),MATCH(Data_Tech!$AU$7,$Q$1:$AN$1,)+COLUMN(C48)-1)</f>
        <v>15082</v>
      </c>
      <c r="H48" s="726">
        <v>757</v>
      </c>
      <c r="I48" s="731" t="s">
        <v>369</v>
      </c>
      <c r="J48" s="728">
        <f>SUMIFS(Таблица1[сумма],Таблица1[партия],I48,Таблица1[изд],H48)</f>
        <v>14.4</v>
      </c>
      <c r="K48" s="728">
        <f>SUMIFS(Таблица14[часы],Таблица14[партия],I48,Таблица14[изд],H48)</f>
        <v>0</v>
      </c>
      <c r="L48" s="728">
        <f>SUMIFS(Таблица1[Столбец1],Таблица1[партия],I48,Таблица1[изд],H48)</f>
        <v>0</v>
      </c>
      <c r="M48" s="729">
        <f t="shared" si="14"/>
        <v>14.4</v>
      </c>
      <c r="N48" s="730">
        <f t="shared" si="16"/>
        <v>821.80000000000007</v>
      </c>
      <c r="P48" s="667">
        <v>47</v>
      </c>
      <c r="Q48" s="649" t="s">
        <v>364</v>
      </c>
      <c r="R48" s="648">
        <v>3</v>
      </c>
      <c r="S48" s="648">
        <v>15082</v>
      </c>
      <c r="T48" s="680">
        <v>2</v>
      </c>
      <c r="U48" s="681" t="s">
        <v>281</v>
      </c>
      <c r="V48" s="648">
        <v>30475</v>
      </c>
      <c r="W48" s="648">
        <v>45711</v>
      </c>
      <c r="X48" s="680"/>
      <c r="Y48" s="681" t="s">
        <v>281</v>
      </c>
      <c r="Z48" s="648">
        <v>60947</v>
      </c>
      <c r="AA48" s="648">
        <v>76183</v>
      </c>
      <c r="AB48" s="680"/>
      <c r="AC48" s="681" t="s">
        <v>281</v>
      </c>
      <c r="AD48" s="648">
        <v>91419</v>
      </c>
      <c r="AE48" s="648">
        <v>106655</v>
      </c>
      <c r="AF48" s="680"/>
      <c r="AG48" s="681" t="s">
        <v>281</v>
      </c>
      <c r="AH48" s="648">
        <v>121891</v>
      </c>
      <c r="AI48" s="648">
        <v>137127</v>
      </c>
      <c r="AJ48" s="680"/>
      <c r="AK48" s="681" t="s">
        <v>281</v>
      </c>
      <c r="AL48" s="648">
        <v>152363</v>
      </c>
    </row>
    <row r="49" spans="2:38" ht="17.25" customHeight="1">
      <c r="B49" s="246" t="str">
        <f>IFERROR(INDEX($Q$1:$BH$100,ROW(A49),MATCH(Data_Tech!$AU$7,$Q$1:$AN$1,)+COLUMN(A48)-1),"")</f>
        <v>Мельникова Анна Юрьевна</v>
      </c>
      <c r="D49" s="207">
        <f>INDEX($Q$1:$BH$100,ROW(B49),MATCH(Data_Tech!$AU$7,$Q$1:$AN$1,)+COLUMN(B49)-1)</f>
        <v>3</v>
      </c>
      <c r="E49" s="208">
        <f>INDEX($Q$1:$BH$100,ROW(C49),MATCH(Data_Tech!$AU$7,$Q$1:$AN$1,)+COLUMN(C49)-1)</f>
        <v>17121</v>
      </c>
      <c r="H49" s="47">
        <v>757</v>
      </c>
      <c r="I49" s="545" t="s">
        <v>370</v>
      </c>
      <c r="J49" s="0">
        <f>SUMIFS(Таблица1[сумма],Таблица1[партия],I49,Таблица1[изд],H49)</f>
        <v>0</v>
      </c>
      <c r="K49" s="0">
        <f>SUMIFS(Таблица14[часы],Таблица14[партия],I49,Таблица14[изд],H49)</f>
        <v>0</v>
      </c>
      <c r="L49" s="0">
        <f>SUMIFS(Таблица1[Столбец1],Таблица1[партия],I49,Таблица1[изд],H49)</f>
        <v>0</v>
      </c>
      <c r="M49" s="669">
        <f t="shared" si="14"/>
        <v>0</v>
      </c>
      <c r="N49" s="670">
        <f t="shared" si="16"/>
        <v>836.2</v>
      </c>
      <c r="P49" s="667">
        <v>48</v>
      </c>
      <c r="Q49" s="681" t="s">
        <v>293</v>
      </c>
      <c r="R49" s="648">
        <v>3</v>
      </c>
      <c r="S49" s="648">
        <v>17121</v>
      </c>
      <c r="T49" s="680">
        <v>3</v>
      </c>
      <c r="U49" s="681" t="s">
        <v>259</v>
      </c>
      <c r="V49" s="648">
        <v>30079</v>
      </c>
      <c r="W49" s="648">
        <v>45117</v>
      </c>
      <c r="X49" s="680"/>
      <c r="Y49" s="681" t="s">
        <v>259</v>
      </c>
      <c r="Z49" s="648">
        <v>60155</v>
      </c>
      <c r="AA49" s="648">
        <v>75193</v>
      </c>
      <c r="AB49" s="680"/>
      <c r="AC49" s="681" t="s">
        <v>259</v>
      </c>
      <c r="AD49" s="648">
        <v>90231</v>
      </c>
      <c r="AE49" s="648">
        <v>105269</v>
      </c>
      <c r="AF49" s="680"/>
      <c r="AG49" s="681" t="s">
        <v>259</v>
      </c>
      <c r="AH49" s="648">
        <v>120307</v>
      </c>
      <c r="AI49" s="648">
        <v>135345</v>
      </c>
      <c r="AJ49" s="680"/>
      <c r="AK49" s="681" t="s">
        <v>259</v>
      </c>
      <c r="AL49" s="648">
        <v>150383</v>
      </c>
    </row>
    <row r="50" spans="2:38" ht="17.25" customHeight="1">
      <c r="B50" s="246" t="str">
        <f>IFERROR(INDEX($Q$1:$BH$100,ROW(A50),MATCH(Data_Tech!$AU$7,$Q$1:$AN$1,)+COLUMN(A49)-1),"")</f>
        <v>Минко Елена Анатольевна</v>
      </c>
      <c r="D50" s="207">
        <f>INDEX($Q$1:$BH$100,ROW(B50),MATCH(Data_Tech!$AU$7,$Q$1:$AN$1,)+COLUMN(B50)-1)</f>
        <v>4</v>
      </c>
      <c r="E50" s="208">
        <f>INDEX($Q$1:$BH$100,ROW(C50),MATCH(Data_Tech!$AU$7,$Q$1:$AN$1,)+COLUMN(C50)-1)</f>
        <v>14883</v>
      </c>
      <c r="H50" s="47">
        <v>757</v>
      </c>
      <c r="I50" s="725" t="s">
        <v>378</v>
      </c>
      <c r="J50" s="0">
        <f>SUMIFS(Таблица1[сумма],Таблица1[партия],I50,Таблица1[изд],H50)</f>
        <v>0</v>
      </c>
      <c r="K50" s="0">
        <f>SUMIFS(Таблица14[часы],Таблица14[партия],I50,Таблица14[изд],H50)</f>
        <v>0</v>
      </c>
      <c r="L50" s="0">
        <f>SUMIFS(Таблица1[Столбец1],Таблица1[партия],I50,Таблица1[изд],H50)</f>
        <v>0</v>
      </c>
      <c r="M50" s="669">
        <f t="shared" si="14"/>
        <v>0</v>
      </c>
      <c r="N50" s="670">
        <f>$AS$17-M50-O50</f>
        <v>836.2</v>
      </c>
      <c r="P50" s="667">
        <v>49</v>
      </c>
      <c r="Q50" s="681" t="s">
        <v>273</v>
      </c>
      <c r="R50" s="648">
        <v>4</v>
      </c>
      <c r="S50" s="648">
        <v>14883</v>
      </c>
      <c r="T50" s="680"/>
      <c r="U50" s="681" t="s">
        <v>303</v>
      </c>
      <c r="V50" s="648">
        <v>5722.00000000001</v>
      </c>
      <c r="W50" s="648">
        <v>5721.50000000001</v>
      </c>
      <c r="X50" s="680">
        <v>5721.00000000001</v>
      </c>
      <c r="Y50" s="681" t="s">
        <v>303</v>
      </c>
      <c r="Z50" s="648">
        <v>5720.50000000001</v>
      </c>
      <c r="AA50" s="648">
        <v>5720.00000000002</v>
      </c>
      <c r="AB50" s="680">
        <v>5719.50000000002</v>
      </c>
      <c r="AC50" s="681" t="s">
        <v>303</v>
      </c>
      <c r="AD50" s="648">
        <v>5719.00000000002</v>
      </c>
      <c r="AE50" s="648">
        <v>5718.50000000002</v>
      </c>
      <c r="AF50" s="680">
        <v>5718.00000000003</v>
      </c>
      <c r="AG50" s="681" t="s">
        <v>303</v>
      </c>
      <c r="AH50" s="648">
        <v>5717.50000000003</v>
      </c>
      <c r="AI50" s="648">
        <v>5717.00000000003</v>
      </c>
      <c r="AJ50" s="680">
        <v>5716.50000000003</v>
      </c>
      <c r="AK50" s="681" t="s">
        <v>303</v>
      </c>
      <c r="AL50" s="648">
        <v>5716.00000000004</v>
      </c>
    </row>
    <row r="51" spans="2:38" ht="17.25" customHeight="1">
      <c r="B51" s="246" t="str">
        <f>IFERROR(INDEX($Q$1:$BH$100,ROW(A51),MATCH(Data_Tech!$AU$7,$Q$1:$AN$1,)+COLUMN(A50)-1),"")</f>
        <v>Михалочкина Наталья Ивановна</v>
      </c>
      <c r="D51" s="207">
        <f>INDEX($Q$1:$BH$100,ROW(B51),MATCH(Data_Tech!$AU$7,$Q$1:$AN$1,)+COLUMN(B51)-1)</f>
        <v>3</v>
      </c>
      <c r="E51" s="208">
        <f>INDEX($Q$1:$BH$100,ROW(C51),MATCH(Data_Tech!$AU$7,$Q$1:$AN$1,)+COLUMN(C51)-1)</f>
        <v>17312</v>
      </c>
      <c r="H51" s="47">
        <v>757</v>
      </c>
      <c r="I51" s="725" t="s">
        <v>379</v>
      </c>
      <c r="J51" s="0">
        <f>SUMIFS(Таблица1[сумма],Таблица1[партия],I51,Таблица1[изд],H51)</f>
        <v>0</v>
      </c>
      <c r="K51" s="0">
        <f>SUMIFS(Таблица14[часы],Таблица14[партия],I51,Таблица14[изд],H51)</f>
        <v>0</v>
      </c>
      <c r="L51" s="0">
        <f>SUMIFS(Таблица1[Столбец1],Таблица1[партия],I51,Таблица1[изд],H51)</f>
        <v>0</v>
      </c>
      <c r="M51" s="669">
        <f t="shared" ref="M51:M59" si="17">J51+K51+L51</f>
        <v>0</v>
      </c>
      <c r="N51" s="670">
        <f>$AS$17-M51-O51</f>
        <v>836.2</v>
      </c>
      <c r="P51" s="667">
        <v>50</v>
      </c>
      <c r="Q51" s="649" t="s">
        <v>358</v>
      </c>
      <c r="R51" s="648">
        <v>3</v>
      </c>
      <c r="S51" s="648">
        <v>17312</v>
      </c>
      <c r="T51" s="680">
        <v>2</v>
      </c>
      <c r="U51" s="681" t="s">
        <v>268</v>
      </c>
      <c r="V51" s="648">
        <v>33897</v>
      </c>
      <c r="W51" s="648">
        <v>50844</v>
      </c>
      <c r="X51" s="680"/>
      <c r="Y51" s="681" t="s">
        <v>268</v>
      </c>
      <c r="Z51" s="648">
        <v>67791</v>
      </c>
      <c r="AA51" s="648">
        <v>84738</v>
      </c>
      <c r="AB51" s="680"/>
      <c r="AC51" s="681" t="s">
        <v>268</v>
      </c>
      <c r="AD51" s="648">
        <v>101685</v>
      </c>
      <c r="AE51" s="648">
        <v>118632</v>
      </c>
      <c r="AF51" s="680"/>
      <c r="AG51" s="681" t="s">
        <v>268</v>
      </c>
      <c r="AH51" s="648">
        <v>135579</v>
      </c>
      <c r="AI51" s="648">
        <v>152526</v>
      </c>
      <c r="AJ51" s="680"/>
      <c r="AK51" s="681" t="s">
        <v>268</v>
      </c>
      <c r="AL51" s="648">
        <v>169473</v>
      </c>
    </row>
    <row r="52" spans="2:38" ht="17.25" customHeight="1">
      <c r="B52" s="246" t="str">
        <f>IFERROR(INDEX($Q$1:$BH$100,ROW(A52),MATCH(Data_Tech!$AU$7,$Q$1:$AN$1,)+COLUMN(A51)-1),"")</f>
        <v>Михно Татьяна Николаевна</v>
      </c>
      <c r="D52" s="207">
        <f>INDEX($Q$1:$BH$100,ROW(B52),MATCH(Data_Tech!$AU$7,$Q$1:$AN$1,)+COLUMN(B52)-1)</f>
        <v>3</v>
      </c>
      <c r="E52" s="208">
        <f>INDEX($Q$1:$BH$100,ROW(C52),MATCH(Data_Tech!$AU$7,$Q$1:$AN$1,)+COLUMN(C52)-1)</f>
        <v>15239</v>
      </c>
      <c r="H52" s="726">
        <v>85</v>
      </c>
      <c r="I52" s="727" t="s">
        <v>382</v>
      </c>
      <c r="J52" s="728">
        <f>SUMIFS(Таблица1[сумма],Таблица1[партия],I52,Таблица1[изд],H52)</f>
        <v>0</v>
      </c>
      <c r="K52" s="728">
        <f>SUMIFS(Таблица14[часы],Таблица14[партия],I52,Таблица14[изд],H52)</f>
        <v>0</v>
      </c>
      <c r="L52" s="728">
        <f>SUMIFS(Таблица1[Столбец1],Таблица1[партия],I52,Таблица1[изд],H52)</f>
        <v>0</v>
      </c>
      <c r="M52" s="729">
        <f t="shared" si="17"/>
        <v>0</v>
      </c>
      <c r="N52" s="730">
        <f>$AS$4-M52-O52</f>
        <v>1265</v>
      </c>
      <c r="P52" s="667">
        <v>51</v>
      </c>
      <c r="Q52" s="681" t="s">
        <v>281</v>
      </c>
      <c r="R52" s="648">
        <v>3</v>
      </c>
      <c r="S52" s="648">
        <v>15239</v>
      </c>
      <c r="T52" s="680"/>
      <c r="U52" s="681" t="s">
        <v>260</v>
      </c>
      <c r="V52" s="648">
        <v>32619</v>
      </c>
      <c r="W52" s="648">
        <v>48927</v>
      </c>
      <c r="X52" s="680"/>
      <c r="Y52" s="681" t="s">
        <v>260</v>
      </c>
      <c r="Z52" s="648">
        <v>65235</v>
      </c>
      <c r="AA52" s="648">
        <v>81543</v>
      </c>
      <c r="AB52" s="680"/>
      <c r="AC52" s="681" t="s">
        <v>260</v>
      </c>
      <c r="AD52" s="648">
        <v>97851</v>
      </c>
      <c r="AE52" s="648">
        <v>114159</v>
      </c>
      <c r="AF52" s="680"/>
      <c r="AG52" s="681" t="s">
        <v>260</v>
      </c>
      <c r="AH52" s="648">
        <v>130467</v>
      </c>
      <c r="AI52" s="648">
        <v>146775</v>
      </c>
      <c r="AJ52" s="680"/>
      <c r="AK52" s="681" t="s">
        <v>260</v>
      </c>
      <c r="AL52" s="648">
        <v>163083</v>
      </c>
    </row>
    <row r="53" spans="2:38" ht="17.25" customHeight="1">
      <c r="B53" s="246" t="str">
        <f>IFERROR(INDEX($Q$1:$BH$100,ROW(A53),MATCH(Data_Tech!$AU$7,$Q$1:$AN$1,)+COLUMN(A52)-1),"")</f>
        <v>Набойченко Седа Хамидовна</v>
      </c>
      <c r="D53" s="207">
        <f>INDEX($Q$1:$BH$100,ROW(B53),MATCH(Data_Tech!$AU$7,$Q$1:$AN$1,)+COLUMN(B53)-1)</f>
        <v>3</v>
      </c>
      <c r="E53" s="208">
        <f>INDEX($Q$1:$BH$100,ROW(C53),MATCH(Data_Tech!$AU$7,$Q$1:$AN$1,)+COLUMN(C53)-1)</f>
        <v>15041</v>
      </c>
      <c r="H53" s="47">
        <v>85</v>
      </c>
      <c r="I53" s="725" t="s">
        <v>383</v>
      </c>
      <c r="J53" s="0">
        <f>SUMIFS(Таблица1[сумма],Таблица1[партия],I53,Таблица1[изд],H53)</f>
        <v>0</v>
      </c>
      <c r="K53" s="0">
        <f>SUMIFS(Таблица14[часы],Таблица14[партия],I53,Таблица14[изд],H53)</f>
        <v>0</v>
      </c>
      <c r="L53" s="0">
        <f>SUMIFS(Таблица1[Столбец1],Таблица1[партия],I53,Таблица1[изд],H53)</f>
        <v>0</v>
      </c>
      <c r="M53" s="669">
        <f t="shared" si="17"/>
        <v>0</v>
      </c>
      <c r="N53" s="670">
        <f>$AS$20-M53-O53</f>
        <v>760.72500000000002</v>
      </c>
      <c r="P53" s="667">
        <v>52</v>
      </c>
      <c r="Q53" s="681" t="s">
        <v>259</v>
      </c>
      <c r="R53" s="648">
        <v>3</v>
      </c>
      <c r="S53" s="648">
        <v>15041</v>
      </c>
      <c r="T53" s="680"/>
      <c r="U53" s="681" t="s">
        <v>287</v>
      </c>
      <c r="V53" s="648">
        <v>5698.6666666666697</v>
      </c>
      <c r="W53" s="648">
        <v>5698.6666666666697</v>
      </c>
      <c r="X53" s="680">
        <v>5698.6666666666797</v>
      </c>
      <c r="Y53" s="681" t="s">
        <v>287</v>
      </c>
      <c r="Z53" s="648">
        <v>5698.6666666666797</v>
      </c>
      <c r="AA53" s="648">
        <v>5698.6666666666797</v>
      </c>
      <c r="AB53" s="680">
        <v>5698.6666666666897</v>
      </c>
      <c r="AC53" s="681" t="s">
        <v>287</v>
      </c>
      <c r="AD53" s="648">
        <v>5698.6666666666897</v>
      </c>
      <c r="AE53" s="648">
        <v>5698.6666666666897</v>
      </c>
      <c r="AF53" s="680">
        <v>5698.6666666666897</v>
      </c>
      <c r="AG53" s="681" t="s">
        <v>287</v>
      </c>
      <c r="AH53" s="648">
        <v>5698.6666666666997</v>
      </c>
      <c r="AI53" s="648">
        <v>5698.6666666666997</v>
      </c>
      <c r="AJ53" s="680">
        <v>5698.6666666666997</v>
      </c>
      <c r="AK53" s="681" t="s">
        <v>287</v>
      </c>
      <c r="AL53" s="648">
        <v>5698.6666666666997</v>
      </c>
    </row>
    <row r="54" spans="2:38" ht="17.25" customHeight="1">
      <c r="B54" s="246" t="str">
        <f>IFERROR(INDEX($Q$1:$BH$100,ROW(A54),MATCH(Data_Tech!$AU$7,$Q$1:$AN$1,)+COLUMN(A53)-1),"")</f>
        <v>Никифорова Юлия Анатольевна</v>
      </c>
      <c r="D54" s="207">
        <f>INDEX($Q$1:$BH$100,ROW(B54),MATCH(Data_Tech!$AU$7,$Q$1:$AN$1,)+COLUMN(B54)-1)</f>
        <v>3</v>
      </c>
      <c r="E54" s="208">
        <f>INDEX($Q$1:$BH$100,ROW(C54),MATCH(Data_Tech!$AU$7,$Q$1:$AN$1,)+COLUMN(C54)-1)</f>
        <v>17164</v>
      </c>
      <c r="H54" s="47">
        <v>85</v>
      </c>
      <c r="I54" s="725" t="s">
        <v>378</v>
      </c>
      <c r="J54" s="0">
        <f>SUMIFS(Таблица1[сумма],Таблица1[партия],I54,Таблица1[изд],H54)</f>
        <v>0</v>
      </c>
      <c r="K54" s="0">
        <f>SUMIFS(Таблица14[часы],Таблица14[партия],I54,Таблица14[изд],H54)</f>
        <v>0</v>
      </c>
      <c r="L54" s="0">
        <f>SUMIFS(Таблица1[Столбец1],Таблица1[партия],I54,Таблица1[изд],H54)</f>
        <v>0</v>
      </c>
      <c r="M54" s="669">
        <f t="shared" si="17"/>
        <v>0</v>
      </c>
      <c r="N54" s="670">
        <f>$AS$4-M54-O54</f>
        <v>1265</v>
      </c>
      <c r="P54" s="667">
        <v>53</v>
      </c>
      <c r="Q54" s="681" t="s">
        <v>303</v>
      </c>
      <c r="R54" s="648">
        <v>3</v>
      </c>
      <c r="S54" s="648">
        <v>17164</v>
      </c>
      <c r="T54" s="680">
        <v>2</v>
      </c>
      <c r="U54" s="681" t="s">
        <v>261</v>
      </c>
      <c r="V54" s="648">
        <v>31109</v>
      </c>
      <c r="W54" s="648">
        <v>46662</v>
      </c>
      <c r="X54" s="680"/>
      <c r="Y54" s="681" t="s">
        <v>261</v>
      </c>
      <c r="Z54" s="648">
        <v>62215</v>
      </c>
      <c r="AA54" s="648">
        <v>77768</v>
      </c>
      <c r="AB54" s="680"/>
      <c r="AC54" s="681" t="s">
        <v>261</v>
      </c>
      <c r="AD54" s="648">
        <v>93321</v>
      </c>
      <c r="AE54" s="648">
        <v>108874</v>
      </c>
      <c r="AF54" s="680"/>
      <c r="AG54" s="681" t="s">
        <v>261</v>
      </c>
      <c r="AH54" s="648">
        <v>124427</v>
      </c>
      <c r="AI54" s="648">
        <v>139980</v>
      </c>
      <c r="AJ54" s="680"/>
      <c r="AK54" s="681" t="s">
        <v>261</v>
      </c>
      <c r="AL54" s="648">
        <v>155533</v>
      </c>
    </row>
    <row r="55" spans="2:38" ht="17.25" customHeight="1">
      <c r="B55" s="246" t="str">
        <f>IFERROR(INDEX($Q$1:$BH$100,ROW(A55),MATCH(Data_Tech!$AU$7,$Q$1:$AN$1,)+COLUMN(A54)-1),"")</f>
        <v>Новикова Александра Владимировна</v>
      </c>
      <c r="D55" s="207">
        <f>INDEX($Q$1:$BH$100,ROW(B55),MATCH(Data_Tech!$AU$7,$Q$1:$AN$1,)+COLUMN(B55)-1)</f>
        <v>3</v>
      </c>
      <c r="E55" s="208">
        <f>INDEX($Q$1:$BH$100,ROW(C55),MATCH(Data_Tech!$AU$7,$Q$1:$AN$1,)+COLUMN(C55)-1)</f>
        <v>17307</v>
      </c>
      <c r="H55" s="47"/>
      <c r="I55" s="725"/>
      <c r="J55" s="0">
        <f>SUMIFS(Таблица1[сумма],Таблица1[партия],I55,Таблица1[изд],H55)</f>
        <v>0</v>
      </c>
      <c r="K55" s="0">
        <f>SUMIFS(Таблица14[часы],Таблица14[партия],I55,Таблица14[изд],H55)</f>
        <v>0</v>
      </c>
      <c r="L55" s="0">
        <f>SUMIFS(Таблица1[Столбец1],Таблица1[партия],I55,Таблица1[изд],H55)</f>
        <v>0</v>
      </c>
      <c r="M55" s="669">
        <f t="shared" si="17"/>
        <v>0</v>
      </c>
      <c r="N55" s="670"/>
      <c r="P55" s="667">
        <v>54</v>
      </c>
      <c r="Q55" s="649" t="s">
        <v>355</v>
      </c>
      <c r="R55" s="648">
        <v>3</v>
      </c>
      <c r="S55" s="648">
        <v>17307</v>
      </c>
      <c r="T55" s="680">
        <v>2</v>
      </c>
      <c r="U55" s="681" t="s">
        <v>297</v>
      </c>
      <c r="V55" s="648">
        <v>31175</v>
      </c>
      <c r="W55" s="648">
        <v>46761</v>
      </c>
      <c r="X55" s="680"/>
      <c r="Y55" s="681" t="s">
        <v>297</v>
      </c>
      <c r="Z55" s="648">
        <v>62347</v>
      </c>
      <c r="AA55" s="648">
        <v>77933</v>
      </c>
      <c r="AB55" s="680"/>
      <c r="AC55" s="681" t="s">
        <v>297</v>
      </c>
      <c r="AD55" s="648">
        <v>93519</v>
      </c>
      <c r="AE55" s="648">
        <v>109105</v>
      </c>
      <c r="AF55" s="680"/>
      <c r="AG55" s="681" t="s">
        <v>297</v>
      </c>
      <c r="AH55" s="648">
        <v>124691</v>
      </c>
      <c r="AI55" s="648">
        <v>140277</v>
      </c>
      <c r="AJ55" s="680"/>
      <c r="AK55" s="681" t="s">
        <v>297</v>
      </c>
      <c r="AL55" s="648">
        <v>155863</v>
      </c>
    </row>
    <row r="56" spans="2:38" ht="17.25" customHeight="1">
      <c r="B56" s="246" t="str">
        <f>IFERROR(INDEX($Q$1:$BH$100,ROW(A56),MATCH(Data_Tech!$AU$7,$Q$1:$AN$1,)+COLUMN(A55)-1),"")</f>
        <v>Овчинников Глеб Эдуардович</v>
      </c>
      <c r="D56" s="207">
        <f>INDEX($Q$1:$BH$100,ROW(B56),MATCH(Data_Tech!$AU$7,$Q$1:$AN$1,)+COLUMN(B56)-1)</f>
        <v>3</v>
      </c>
      <c r="E56" s="208">
        <f>INDEX($Q$1:$BH$100,ROW(C56),MATCH(Data_Tech!$AU$7,$Q$1:$AN$1,)+COLUMN(C56)-1)</f>
        <v>16950</v>
      </c>
      <c r="H56" s="47">
        <v>631</v>
      </c>
      <c r="I56" s="725" t="s">
        <v>378</v>
      </c>
      <c r="J56" s="0">
        <f>SUMIFS(Таблица1[сумма],Таблица1[партия],I56,Таблица1[изд],H56)</f>
        <v>0</v>
      </c>
      <c r="K56" s="0">
        <f>SUMIFS(Таблица14[часы],Таблица14[партия],I56,Таблица14[изд],H56)</f>
        <v>0</v>
      </c>
      <c r="L56" s="0">
        <f>SUMIFS(Таблица1[Столбец1],Таблица1[партия],I56,Таблица1[изд],H56)</f>
        <v>0</v>
      </c>
      <c r="M56" s="669">
        <f t="shared" si="17"/>
        <v>0</v>
      </c>
      <c r="N56" s="670">
        <f>$AS$19-M56-O56</f>
        <v>604.79999999999995</v>
      </c>
      <c r="P56" s="667">
        <v>55</v>
      </c>
      <c r="Q56" s="681" t="s">
        <v>268</v>
      </c>
      <c r="R56" s="648">
        <v>3</v>
      </c>
      <c r="S56" s="648">
        <v>16950</v>
      </c>
      <c r="T56" s="680"/>
      <c r="U56" s="681" t="s">
        <v>262</v>
      </c>
      <c r="V56" s="648">
        <v>5620</v>
      </c>
      <c r="W56" s="648">
        <v>5619.5</v>
      </c>
      <c r="X56" s="680">
        <v>5619</v>
      </c>
      <c r="Y56" s="681" t="s">
        <v>262</v>
      </c>
      <c r="Z56" s="648">
        <v>5618.50000000001</v>
      </c>
      <c r="AA56" s="648">
        <v>5618.00000000001</v>
      </c>
      <c r="AB56" s="680">
        <v>5617.50000000001</v>
      </c>
      <c r="AC56" s="681" t="s">
        <v>262</v>
      </c>
      <c r="AD56" s="648">
        <v>5617.00000000001</v>
      </c>
      <c r="AE56" s="648">
        <v>5616.50000000001</v>
      </c>
      <c r="AF56" s="680">
        <v>5616.00000000001</v>
      </c>
      <c r="AG56" s="681" t="s">
        <v>262</v>
      </c>
      <c r="AH56" s="648">
        <v>5615.50000000001</v>
      </c>
      <c r="AI56" s="648">
        <v>5615.00000000001</v>
      </c>
      <c r="AJ56" s="680">
        <v>5614.50000000002</v>
      </c>
      <c r="AK56" s="681" t="s">
        <v>262</v>
      </c>
      <c r="AL56" s="648">
        <v>5614.00000000002</v>
      </c>
    </row>
    <row r="57" spans="2:38" ht="17.25" customHeight="1">
      <c r="B57" s="246" t="str">
        <f>IFERROR(INDEX($Q$1:$BH$100,ROW(A57),MATCH(Data_Tech!$AU$7,$Q$1:$AN$1,)+COLUMN(A56)-1),"")</f>
        <v>Оленева Анна Викторовна</v>
      </c>
      <c r="D57" s="207">
        <f>INDEX($Q$1:$BH$100,ROW(B57),MATCH(Data_Tech!$AU$7,$Q$1:$AN$1,)+COLUMN(B57)-1)</f>
        <v>3</v>
      </c>
      <c r="E57" s="208">
        <f>INDEX($Q$1:$BH$100,ROW(C57),MATCH(Data_Tech!$AU$7,$Q$1:$AN$1,)+COLUMN(C57)-1)</f>
        <v>16311</v>
      </c>
      <c r="H57" s="47">
        <v>631</v>
      </c>
      <c r="I57" s="725" t="s">
        <v>379</v>
      </c>
      <c r="J57" s="0">
        <f>SUMIFS(Таблица1[сумма],Таблица1[партия],I57,Таблица1[изд],H57)</f>
        <v>0</v>
      </c>
      <c r="K57" s="0">
        <f>SUMIFS(Таблица14[часы],Таблица14[партия],I57,Таблица14[изд],H57)</f>
        <v>0</v>
      </c>
      <c r="L57" s="0">
        <f>SUMIFS(Таблица1[Столбец1],Таблица1[партия],I57,Таблица1[изд],H57)</f>
        <v>0</v>
      </c>
      <c r="M57" s="669">
        <f t="shared" si="17"/>
        <v>0</v>
      </c>
      <c r="N57" s="670">
        <f t="shared" ref="N57:N58" si="18">$AS$19-M57-O57</f>
        <v>604.79999999999995</v>
      </c>
      <c r="P57" s="667">
        <v>56</v>
      </c>
      <c r="Q57" s="681" t="s">
        <v>260</v>
      </c>
      <c r="R57" s="648">
        <v>3</v>
      </c>
      <c r="S57" s="648">
        <v>16311</v>
      </c>
      <c r="T57" s="680"/>
      <c r="U57" s="681" t="s">
        <v>309</v>
      </c>
      <c r="V57" s="648">
        <v>33933</v>
      </c>
      <c r="W57" s="648">
        <v>50898</v>
      </c>
      <c r="X57" s="680"/>
      <c r="Y57" s="681" t="s">
        <v>309</v>
      </c>
      <c r="Z57" s="648">
        <v>67863</v>
      </c>
      <c r="AA57" s="648">
        <v>84828</v>
      </c>
      <c r="AB57" s="680"/>
      <c r="AC57" s="681" t="s">
        <v>309</v>
      </c>
      <c r="AD57" s="648">
        <v>101793</v>
      </c>
      <c r="AE57" s="648">
        <v>118758</v>
      </c>
      <c r="AF57" s="680"/>
      <c r="AG57" s="681" t="s">
        <v>309</v>
      </c>
      <c r="AH57" s="648">
        <v>135723</v>
      </c>
      <c r="AI57" s="648">
        <v>152688</v>
      </c>
      <c r="AJ57" s="680"/>
      <c r="AK57" s="681" t="s">
        <v>309</v>
      </c>
      <c r="AL57" s="648">
        <v>169653</v>
      </c>
    </row>
    <row r="58" spans="2:38" ht="17.25" customHeight="1">
      <c r="B58" s="246" t="str">
        <f>IFERROR(INDEX($Q$1:$BH$100,ROW(A58),MATCH(Data_Tech!$AU$7,$Q$1:$AN$1,)+COLUMN(A57)-1),"")</f>
        <v>Петрова Анна Сергеевна</v>
      </c>
      <c r="D58" s="207">
        <f>INDEX($Q$1:$BH$100,ROW(B58),MATCH(Data_Tech!$AU$7,$Q$1:$AN$1,)+COLUMN(B58)-1)</f>
        <v>3</v>
      </c>
      <c r="E58" s="208">
        <f>INDEX($Q$1:$BH$100,ROW(C58),MATCH(Data_Tech!$AU$7,$Q$1:$AN$1,)+COLUMN(C58)-1)</f>
        <v>15556</v>
      </c>
      <c r="H58" s="47">
        <v>631</v>
      </c>
      <c r="I58" s="725" t="s">
        <v>380</v>
      </c>
      <c r="J58" s="0">
        <f>SUMIFS(Таблица1[сумма],Таблица1[партия],I58,Таблица1[изд],H58)</f>
        <v>0</v>
      </c>
      <c r="K58" s="0">
        <f>SUMIFS(Таблица14[часы],Таблица14[партия],I58,Таблица14[изд],H58)</f>
        <v>0</v>
      </c>
      <c r="L58" s="0">
        <f>SUMIFS(Таблица1[Столбец1],Таблица1[партия],I58,Таблица1[изд],H58)</f>
        <v>0</v>
      </c>
      <c r="M58" s="669">
        <f t="shared" si="17"/>
        <v>0</v>
      </c>
      <c r="N58" s="670">
        <f t="shared" si="18"/>
        <v>604.79999999999995</v>
      </c>
      <c r="P58" s="667">
        <v>57</v>
      </c>
      <c r="Q58" s="681" t="s">
        <v>261</v>
      </c>
      <c r="R58" s="648">
        <v>3</v>
      </c>
      <c r="S58" s="648">
        <v>15556</v>
      </c>
      <c r="T58" s="680">
        <v>1</v>
      </c>
      <c r="U58" s="681" t="s">
        <v>263</v>
      </c>
      <c r="V58" s="648">
        <v>5034.6666666666697</v>
      </c>
      <c r="W58" s="648">
        <v>5034.6666666666697</v>
      </c>
      <c r="X58" s="680">
        <v>5034.6666666666697</v>
      </c>
      <c r="Y58" s="681" t="s">
        <v>263</v>
      </c>
      <c r="Z58" s="648">
        <v>5034.6666666666697</v>
      </c>
      <c r="AA58" s="648">
        <v>5034.6666666666697</v>
      </c>
      <c r="AB58" s="680">
        <v>5034.6666666666697</v>
      </c>
      <c r="AC58" s="681" t="s">
        <v>263</v>
      </c>
      <c r="AD58" s="648">
        <v>5034.6666666666697</v>
      </c>
      <c r="AE58" s="648">
        <v>5034.6666666666697</v>
      </c>
      <c r="AF58" s="680">
        <v>5034.6666666666697</v>
      </c>
      <c r="AG58" s="681" t="s">
        <v>263</v>
      </c>
      <c r="AH58" s="648">
        <v>5034.6666666666697</v>
      </c>
      <c r="AI58" s="648">
        <v>5034.6666666666697</v>
      </c>
      <c r="AJ58" s="680">
        <v>5034.6666666666697</v>
      </c>
      <c r="AK58" s="681" t="s">
        <v>263</v>
      </c>
      <c r="AL58" s="648">
        <v>5034.6666666666697</v>
      </c>
    </row>
    <row r="59" spans="2:38" ht="17.25" customHeight="1">
      <c r="B59" s="246" t="str">
        <f>IFERROR(INDEX($Q$1:$BH$100,ROW(A59),MATCH(Data_Tech!$AU$7,$Q$1:$AN$1,)+COLUMN(A58)-1),"")</f>
        <v>Пириева Виктория Хозеиновна</v>
      </c>
      <c r="D59" s="207">
        <f>INDEX($Q$1:$BH$100,ROW(B59),MATCH(Data_Tech!$AU$7,$Q$1:$AN$1,)+COLUMN(B59)-1)</f>
        <v>3</v>
      </c>
      <c r="E59" s="208">
        <f>INDEX($Q$1:$BH$100,ROW(C59),MATCH(Data_Tech!$AU$7,$Q$1:$AN$1,)+COLUMN(C59)-1)</f>
        <v>15589</v>
      </c>
      <c r="H59" s="47">
        <v>631</v>
      </c>
      <c r="I59" s="725" t="s">
        <v>378</v>
      </c>
      <c r="J59" s="0">
        <f>SUMIFS(Таблица1[сумма],Таблица1[партия],I59,Таблица1[изд],H59)</f>
        <v>0</v>
      </c>
      <c r="K59" s="0">
        <f>SUMIFS(Таблица14[часы],Таблица14[партия],I59,Таблица14[изд],H59)</f>
        <v>0</v>
      </c>
      <c r="L59" s="0">
        <f>SUMIFS(Таблица1[Столбец1],Таблица1[партия],I59,Таблица1[изд],H59)</f>
        <v>0</v>
      </c>
      <c r="M59" s="669">
        <f t="shared" si="17"/>
        <v>0</v>
      </c>
      <c r="N59" s="670">
        <f>$AS$19-M59-O59</f>
        <v>604.79999999999995</v>
      </c>
      <c r="P59" s="667">
        <v>58</v>
      </c>
      <c r="Q59" s="681" t="s">
        <v>297</v>
      </c>
      <c r="R59" s="648">
        <v>3</v>
      </c>
      <c r="S59" s="648">
        <v>15589</v>
      </c>
      <c r="T59" s="680"/>
      <c r="U59" s="681" t="s">
        <v>264</v>
      </c>
      <c r="V59" s="648">
        <v>30471</v>
      </c>
      <c r="W59" s="648">
        <v>45705</v>
      </c>
      <c r="X59" s="680"/>
      <c r="Y59" s="681" t="s">
        <v>264</v>
      </c>
      <c r="Z59" s="648">
        <v>60939</v>
      </c>
      <c r="AA59" s="648">
        <v>76173</v>
      </c>
      <c r="AB59" s="680"/>
      <c r="AC59" s="681" t="s">
        <v>264</v>
      </c>
      <c r="AD59" s="648">
        <v>91407</v>
      </c>
      <c r="AE59" s="648">
        <v>106641</v>
      </c>
      <c r="AF59" s="680"/>
      <c r="AG59" s="681" t="s">
        <v>264</v>
      </c>
      <c r="AH59" s="648">
        <v>121875</v>
      </c>
      <c r="AI59" s="648">
        <v>137109</v>
      </c>
      <c r="AJ59" s="680"/>
      <c r="AK59" s="681" t="s">
        <v>264</v>
      </c>
      <c r="AL59" s="648">
        <v>152343</v>
      </c>
    </row>
    <row r="60" spans="2:38" ht="17.25" customHeight="1">
      <c r="B60" s="246" t="str">
        <f>IFERROR(INDEX($Q$1:$BH$100,ROW(A60),MATCH(Data_Tech!$AU$7,$Q$1:$AN$1,)+COLUMN(A59)-1),"")</f>
        <v>Полушкина Анастасия Юрьевна</v>
      </c>
      <c r="D60" s="207">
        <f>INDEX($Q$1:$BH$100,ROW(B60),MATCH(Data_Tech!$AU$7,$Q$1:$AN$1,)+COLUMN(B60)-1)</f>
        <v>3</v>
      </c>
      <c r="E60" s="208">
        <f>INDEX($Q$1:$BH$100,ROW(C60),MATCH(Data_Tech!$AU$7,$Q$1:$AN$1,)+COLUMN(C60)-1)</f>
        <v>16858</v>
      </c>
      <c r="P60" s="667">
        <v>59</v>
      </c>
      <c r="Q60" s="681" t="s">
        <v>262</v>
      </c>
      <c r="R60" s="648">
        <v>3</v>
      </c>
      <c r="S60" s="648">
        <v>16858</v>
      </c>
      <c r="T60" s="680">
        <v>2</v>
      </c>
      <c r="U60" s="681" t="s">
        <v>329</v>
      </c>
      <c r="V60" s="648">
        <v>5736.6666666666697</v>
      </c>
      <c r="W60" s="648">
        <v>5736.1666666666697</v>
      </c>
      <c r="X60" s="680">
        <v>5735.6666666666697</v>
      </c>
      <c r="Y60" s="681" t="s">
        <v>329</v>
      </c>
      <c r="Z60" s="648">
        <v>5735.1666666666697</v>
      </c>
      <c r="AA60" s="648">
        <v>5734.6666666666697</v>
      </c>
      <c r="AB60" s="680">
        <v>5734.1666666666797</v>
      </c>
      <c r="AC60" s="681" t="s">
        <v>329</v>
      </c>
      <c r="AD60" s="648">
        <v>5733.6666666666797</v>
      </c>
      <c r="AE60" s="648">
        <v>5733.1666666666797</v>
      </c>
      <c r="AF60" s="680">
        <v>5732.6666666666797</v>
      </c>
      <c r="AG60" s="681" t="s">
        <v>329</v>
      </c>
      <c r="AH60" s="648">
        <v>5732.1666666666797</v>
      </c>
      <c r="AI60" s="648">
        <v>5731.6666666666797</v>
      </c>
      <c r="AJ60" s="680">
        <v>5731.1666666666797</v>
      </c>
      <c r="AK60" s="681" t="s">
        <v>329</v>
      </c>
      <c r="AL60" s="648">
        <v>5730.6666666666797</v>
      </c>
    </row>
    <row r="61" spans="2:38" ht="17.25" customHeight="1">
      <c r="B61" s="246" t="str">
        <f>IFERROR(INDEX($Q$1:$BH$100,ROW(A61),MATCH(Data_Tech!$AU$7,$Q$1:$AN$1,)+COLUMN(A60)-1),"")</f>
        <v>Попова Ольга Геннадьевна</v>
      </c>
      <c r="D61" s="207">
        <f>INDEX($Q$1:$BH$100,ROW(B61),MATCH(Data_Tech!$AU$7,$Q$1:$AN$1,)+COLUMN(B61)-1)</f>
        <v>3</v>
      </c>
      <c r="E61" s="208">
        <f>INDEX($Q$1:$BH$100,ROW(C61),MATCH(Data_Tech!$AU$7,$Q$1:$AN$1,)+COLUMN(C61)-1)</f>
        <v>16968</v>
      </c>
      <c r="P61" s="667">
        <v>60</v>
      </c>
      <c r="Q61" s="681" t="s">
        <v>309</v>
      </c>
      <c r="R61" s="648">
        <v>3</v>
      </c>
      <c r="S61" s="648">
        <v>16968</v>
      </c>
      <c r="T61" s="680"/>
      <c r="U61" s="681" t="s">
        <v>291</v>
      </c>
      <c r="V61" s="648">
        <v>5700</v>
      </c>
      <c r="W61" s="648">
        <v>5699</v>
      </c>
      <c r="X61" s="680">
        <v>5698</v>
      </c>
      <c r="Y61" s="681" t="s">
        <v>291</v>
      </c>
      <c r="Z61" s="648">
        <v>5697</v>
      </c>
      <c r="AA61" s="648">
        <v>5696</v>
      </c>
      <c r="AB61" s="680">
        <v>5695</v>
      </c>
      <c r="AC61" s="681" t="s">
        <v>291</v>
      </c>
      <c r="AD61" s="648">
        <v>5694</v>
      </c>
      <c r="AE61" s="648">
        <v>5693</v>
      </c>
      <c r="AF61" s="680">
        <v>5692</v>
      </c>
      <c r="AG61" s="681" t="s">
        <v>291</v>
      </c>
      <c r="AH61" s="648">
        <v>5691</v>
      </c>
      <c r="AI61" s="648">
        <v>5690</v>
      </c>
      <c r="AJ61" s="680">
        <v>5689</v>
      </c>
      <c r="AK61" s="681" t="s">
        <v>291</v>
      </c>
      <c r="AL61" s="648">
        <v>5688</v>
      </c>
    </row>
    <row r="62" spans="2:38" ht="17.25" customHeight="1">
      <c r="B62" s="246" t="str">
        <f>IFERROR(INDEX($Q$1:$BH$100,ROW(A62),MATCH(Data_Tech!$AU$7,$Q$1:$AN$1,)+COLUMN(A61)-1),"")</f>
        <v>Потемкина Елена Анатольевна</v>
      </c>
      <c r="D62" s="207">
        <f>INDEX($Q$1:$BH$100,ROW(B62),MATCH(Data_Tech!$AU$7,$Q$1:$AN$1,)+COLUMN(B62)-1)</f>
        <v>3</v>
      </c>
      <c r="E62" s="208">
        <f>INDEX($Q$1:$BH$100,ROW(C62),MATCH(Data_Tech!$AU$7,$Q$1:$AN$1,)+COLUMN(C62)-1)</f>
        <v>15098</v>
      </c>
      <c r="P62" s="667">
        <v>61</v>
      </c>
      <c r="Q62" s="681" t="s">
        <v>263</v>
      </c>
      <c r="R62" s="648">
        <v>3</v>
      </c>
      <c r="S62" s="648">
        <v>15098</v>
      </c>
      <c r="T62" s="680">
        <v>3</v>
      </c>
      <c r="U62" s="681" t="s">
        <v>330</v>
      </c>
      <c r="V62" s="648">
        <v>5746</v>
      </c>
      <c r="W62" s="648">
        <v>5746.00000000001</v>
      </c>
      <c r="X62" s="680">
        <v>5746.00000000001</v>
      </c>
      <c r="Y62" s="681" t="s">
        <v>330</v>
      </c>
      <c r="Z62" s="648">
        <v>5746.00000000001</v>
      </c>
      <c r="AA62" s="648">
        <v>5746.00000000002</v>
      </c>
      <c r="AB62" s="680">
        <v>5746.00000000002</v>
      </c>
      <c r="AC62" s="681" t="s">
        <v>330</v>
      </c>
      <c r="AD62" s="648">
        <v>5746.00000000002</v>
      </c>
      <c r="AE62" s="648">
        <v>5746.00000000002</v>
      </c>
      <c r="AF62" s="680">
        <v>5746.00000000003</v>
      </c>
      <c r="AG62" s="681" t="s">
        <v>330</v>
      </c>
      <c r="AH62" s="648">
        <v>5746.00000000003</v>
      </c>
      <c r="AI62" s="648">
        <v>5746.00000000003</v>
      </c>
      <c r="AJ62" s="680">
        <v>5746.00000000003</v>
      </c>
      <c r="AK62" s="681" t="s">
        <v>330</v>
      </c>
      <c r="AL62" s="648">
        <v>5746.00000000004</v>
      </c>
    </row>
    <row r="63" spans="2:38" ht="17.25" customHeight="1">
      <c r="B63" s="246" t="str">
        <f>IFERROR(INDEX($Q$1:$BH$100,ROW(A63),MATCH(Data_Tech!$AU$7,$Q$1:$AN$1,)+COLUMN(A62)-1),"")</f>
        <v>Пригоженкова Ольга Сергеевна</v>
      </c>
      <c r="D63" s="207">
        <f>INDEX($Q$1:$BH$100,ROW(B63),MATCH(Data_Tech!$AU$7,$Q$1:$AN$1,)+COLUMN(B63)-1)</f>
        <v>3</v>
      </c>
      <c r="E63" s="208">
        <f>INDEX($Q$1:$BH$100,ROW(C63),MATCH(Data_Tech!$AU$7,$Q$1:$AN$1,)+COLUMN(C63)-1)</f>
        <v>15237</v>
      </c>
      <c r="P63" s="667">
        <v>62</v>
      </c>
      <c r="Q63" s="681" t="s">
        <v>264</v>
      </c>
      <c r="R63" s="648">
        <v>3</v>
      </c>
      <c r="S63" s="648">
        <v>15237</v>
      </c>
      <c r="T63" s="680">
        <v>1</v>
      </c>
      <c r="U63" s="649" t="s">
        <v>348</v>
      </c>
      <c r="V63" s="648">
        <v>5762.3333333333403</v>
      </c>
      <c r="W63" s="649">
        <v>5761.3333333333403</v>
      </c>
      <c r="X63" s="680">
        <v>5760.3333333333403</v>
      </c>
      <c r="Y63" s="649" t="s">
        <v>348</v>
      </c>
      <c r="Z63" s="648">
        <v>5759.3333333333403</v>
      </c>
      <c r="AA63" s="649">
        <v>5758.3333333333403</v>
      </c>
      <c r="AB63" s="680">
        <v>5757.3333333333403</v>
      </c>
      <c r="AC63" s="649" t="s">
        <v>348</v>
      </c>
      <c r="AD63" s="648">
        <v>5756.3333333333403</v>
      </c>
      <c r="AE63" s="649">
        <v>5755.3333333333403</v>
      </c>
      <c r="AF63" s="680">
        <v>5754.3333333333403</v>
      </c>
      <c r="AG63" s="649" t="s">
        <v>348</v>
      </c>
      <c r="AH63" s="648">
        <v>5753.3333333333503</v>
      </c>
      <c r="AI63" s="649">
        <v>5752.3333333333503</v>
      </c>
      <c r="AJ63" s="680">
        <v>5751.3333333333503</v>
      </c>
      <c r="AK63" s="649" t="s">
        <v>348</v>
      </c>
      <c r="AL63" s="648">
        <v>5750.3333333333503</v>
      </c>
    </row>
    <row r="64" spans="2:38" ht="17.25" customHeight="1">
      <c r="B64" s="246" t="str">
        <f>IFERROR(INDEX($Q$1:$BH$100,ROW(A64),MATCH(Data_Tech!$AU$7,$Q$1:$AN$1,)+COLUMN(A63)-1),"")</f>
        <v>Рысев Иван Александрович</v>
      </c>
      <c r="D64" s="207">
        <f>INDEX($Q$1:$BH$100,ROW(B64),MATCH(Data_Tech!$AU$7,$Q$1:$AN$1,)+COLUMN(B64)-1)</f>
        <v>3</v>
      </c>
      <c r="E64" s="208">
        <f>INDEX($Q$1:$BH$100,ROW(C64),MATCH(Data_Tech!$AU$7,$Q$1:$AN$1,)+COLUMN(C64)-1)</f>
        <v>17208</v>
      </c>
      <c r="P64" s="667">
        <v>63</v>
      </c>
      <c r="Q64" s="681" t="s">
        <v>329</v>
      </c>
      <c r="R64" s="648">
        <v>3</v>
      </c>
      <c r="S64" s="648">
        <v>17208</v>
      </c>
      <c r="T64" s="665">
        <v>2</v>
      </c>
      <c r="U64" s="681" t="s">
        <v>265</v>
      </c>
      <c r="V64" s="648">
        <v>29274</v>
      </c>
      <c r="W64" s="648">
        <v>43909</v>
      </c>
      <c r="X64" s="680"/>
      <c r="Y64" s="681" t="s">
        <v>265</v>
      </c>
      <c r="Z64" s="648">
        <v>58544</v>
      </c>
      <c r="AA64" s="648">
        <v>73179</v>
      </c>
      <c r="AB64" s="680"/>
      <c r="AC64" s="681" t="s">
        <v>265</v>
      </c>
      <c r="AD64" s="648">
        <v>87814</v>
      </c>
      <c r="AE64" s="648">
        <v>102449</v>
      </c>
      <c r="AF64" s="680"/>
      <c r="AG64" s="681" t="s">
        <v>265</v>
      </c>
      <c r="AH64" s="648">
        <v>117084</v>
      </c>
      <c r="AI64" s="648">
        <v>131719</v>
      </c>
      <c r="AJ64" s="680"/>
      <c r="AK64" s="681" t="s">
        <v>265</v>
      </c>
      <c r="AL64" s="648">
        <v>146354</v>
      </c>
    </row>
    <row r="65" spans="2:38" ht="17.25" customHeight="1">
      <c r="B65" s="246" t="str">
        <f>IFERROR(INDEX($Q$1:$BH$100,ROW(A65),MATCH(Data_Tech!$AU$7,$Q$1:$AN$1,)+COLUMN(A64)-1),"")</f>
        <v>Саидова Ольга Владимировна</v>
      </c>
      <c r="D65" s="207">
        <f>INDEX($Q$1:$BH$100,ROW(B65),MATCH(Data_Tech!$AU$7,$Q$1:$AN$1,)+COLUMN(B65)-1)</f>
        <v>3</v>
      </c>
      <c r="E65" s="208">
        <f>INDEX($Q$1:$BH$100,ROW(C65),MATCH(Data_Tech!$AU$7,$Q$1:$AN$1,)+COLUMN(C65)-1)</f>
        <v>17324</v>
      </c>
      <c r="P65" s="667">
        <v>64</v>
      </c>
      <c r="Q65" s="649" t="s">
        <v>361</v>
      </c>
      <c r="R65" s="648">
        <v>3</v>
      </c>
      <c r="S65" s="648">
        <v>17324</v>
      </c>
      <c r="T65" s="665">
        <v>1</v>
      </c>
      <c r="U65" s="681" t="s">
        <v>331</v>
      </c>
      <c r="V65" s="648">
        <v>5734</v>
      </c>
      <c r="W65" s="648">
        <v>5734</v>
      </c>
      <c r="X65" s="680">
        <v>5734</v>
      </c>
      <c r="Y65" s="681" t="s">
        <v>331</v>
      </c>
      <c r="Z65" s="648">
        <v>5734.00000000001</v>
      </c>
      <c r="AA65" s="648">
        <v>5734.00000000001</v>
      </c>
      <c r="AB65" s="680">
        <v>5734.00000000001</v>
      </c>
      <c r="AC65" s="681" t="s">
        <v>331</v>
      </c>
      <c r="AD65" s="648">
        <v>5734.00000000001</v>
      </c>
      <c r="AE65" s="648">
        <v>5734.00000000001</v>
      </c>
      <c r="AF65" s="680">
        <v>5734.00000000001</v>
      </c>
      <c r="AG65" s="681" t="s">
        <v>331</v>
      </c>
      <c r="AH65" s="648">
        <v>5734.00000000001</v>
      </c>
      <c r="AI65" s="648">
        <v>5734.00000000001</v>
      </c>
      <c r="AJ65" s="680">
        <v>5734.00000000002</v>
      </c>
      <c r="AK65" s="681" t="s">
        <v>331</v>
      </c>
      <c r="AL65" s="648">
        <v>5734.00000000002</v>
      </c>
    </row>
    <row r="66" spans="2:38" ht="17.25" customHeight="1">
      <c r="B66" s="246" t="str">
        <f>IFERROR(INDEX($Q$1:$BH$100,ROW(A66),MATCH(Data_Tech!$AU$7,$Q$1:$AN$1,)+COLUMN(A65)-1),"")</f>
        <v>Сайпулаева Феодосия Андреевна</v>
      </c>
      <c r="D66" s="207">
        <f>INDEX($Q$1:$BH$100,ROW(B66),MATCH(Data_Tech!$AU$7,$Q$1:$AN$1,)+COLUMN(B66)-1)</f>
        <v>3</v>
      </c>
      <c r="E66" s="208">
        <f>INDEX($Q$1:$BH$100,ROW(C66),MATCH(Data_Tech!$AU$7,$Q$1:$AN$1,)+COLUMN(C66)-1)</f>
        <v>17102</v>
      </c>
      <c r="P66" s="667">
        <v>65</v>
      </c>
      <c r="Q66" s="681" t="s">
        <v>291</v>
      </c>
      <c r="R66" s="648">
        <v>3</v>
      </c>
      <c r="S66" s="648">
        <v>17102</v>
      </c>
      <c r="T66" s="665">
        <v>1</v>
      </c>
      <c r="U66" s="681" t="s">
        <v>332</v>
      </c>
      <c r="V66" s="648">
        <v>5757.3333333333403</v>
      </c>
      <c r="W66" s="648">
        <v>5757.3333333333403</v>
      </c>
      <c r="X66" s="680">
        <v>5757.3333333333403</v>
      </c>
      <c r="Y66" s="681" t="s">
        <v>332</v>
      </c>
      <c r="Z66" s="648">
        <v>5757.3333333333503</v>
      </c>
      <c r="AA66" s="648">
        <v>5757.3333333333503</v>
      </c>
      <c r="AB66" s="680">
        <v>5757.3333333333503</v>
      </c>
      <c r="AC66" s="681" t="s">
        <v>332</v>
      </c>
      <c r="AD66" s="648">
        <v>5757.3333333333503</v>
      </c>
      <c r="AE66" s="648">
        <v>5757.3333333333603</v>
      </c>
      <c r="AF66" s="680">
        <v>5757.3333333333603</v>
      </c>
      <c r="AG66" s="681" t="s">
        <v>332</v>
      </c>
      <c r="AH66" s="648">
        <v>5757.3333333333603</v>
      </c>
      <c r="AI66" s="648">
        <v>5757.3333333333603</v>
      </c>
      <c r="AJ66" s="680">
        <v>5757.3333333333703</v>
      </c>
      <c r="AK66" s="681" t="s">
        <v>332</v>
      </c>
      <c r="AL66" s="648">
        <v>5757.3333333333703</v>
      </c>
    </row>
    <row r="67" spans="2:38" ht="17.25" customHeight="1">
      <c r="B67" s="246" t="str">
        <f>IFERROR(INDEX($Q$1:$BH$100,ROW(A67),MATCH(Data_Tech!$AU$7,$Q$1:$AN$1,)+COLUMN(A66)-1),"")</f>
        <v>Скрынникова Виктория Геннадьевна</v>
      </c>
      <c r="D67" s="207">
        <f>INDEX($Q$1:$BH$100,ROW(B67),MATCH(Data_Tech!$AU$7,$Q$1:$AN$1,)+COLUMN(B67)-1)</f>
        <v>3</v>
      </c>
      <c r="E67" s="208">
        <f>INDEX($Q$1:$BH$100,ROW(C67),MATCH(Data_Tech!$AU$7,$Q$1:$AN$1,)+COLUMN(C67)-1)</f>
        <v>17289</v>
      </c>
      <c r="P67" s="667">
        <v>66</v>
      </c>
      <c r="Q67" s="649" t="s">
        <v>348</v>
      </c>
      <c r="R67" s="648">
        <v>3</v>
      </c>
      <c r="S67" s="649">
        <v>17289</v>
      </c>
      <c r="T67" s="665">
        <v>1</v>
      </c>
      <c r="U67" s="681" t="s">
        <v>266</v>
      </c>
      <c r="V67" s="648">
        <v>29972</v>
      </c>
      <c r="W67" s="648">
        <v>44956</v>
      </c>
      <c r="X67" s="680"/>
      <c r="Y67" s="681" t="s">
        <v>266</v>
      </c>
      <c r="Z67" s="648">
        <v>59940</v>
      </c>
      <c r="AA67" s="648">
        <v>74924</v>
      </c>
      <c r="AB67" s="680"/>
      <c r="AC67" s="681" t="s">
        <v>266</v>
      </c>
      <c r="AD67" s="648">
        <v>89908</v>
      </c>
      <c r="AE67" s="648">
        <v>104892</v>
      </c>
      <c r="AF67" s="680"/>
      <c r="AG67" s="681" t="s">
        <v>266</v>
      </c>
      <c r="AH67" s="648">
        <v>119876</v>
      </c>
      <c r="AI67" s="648">
        <v>134860</v>
      </c>
      <c r="AJ67" s="680"/>
      <c r="AK67" s="681" t="s">
        <v>266</v>
      </c>
      <c r="AL67" s="648">
        <v>149844</v>
      </c>
    </row>
    <row r="68" spans="2:38" ht="17.25" customHeight="1">
      <c r="B68" s="246" t="str">
        <f>IFERROR(INDEX($Q$1:$BH$100,ROW(A68),MATCH(Data_Tech!$AU$7,$Q$1:$AN$1,)+COLUMN(A67)-1),"")</f>
        <v>Смирнова Елена Евгеньевна</v>
      </c>
      <c r="D68" s="207">
        <f>INDEX($Q$1:$BH$100,ROW(B68),MATCH(Data_Tech!$AU$7,$Q$1:$AN$1,)+COLUMN(B68)-1)</f>
        <v>4</v>
      </c>
      <c r="E68" s="208">
        <f>INDEX($Q$1:$BH$100,ROW(C68),MATCH(Data_Tech!$AU$7,$Q$1:$AN$1,)+COLUMN(C68)-1)</f>
        <v>14639</v>
      </c>
      <c r="P68" s="667">
        <v>67</v>
      </c>
      <c r="Q68" s="681" t="s">
        <v>265</v>
      </c>
      <c r="R68" s="648">
        <v>4</v>
      </c>
      <c r="S68" s="648">
        <v>14639</v>
      </c>
      <c r="T68" s="665"/>
      <c r="U68" s="681" t="s">
        <v>267</v>
      </c>
      <c r="V68" s="648">
        <v>31775</v>
      </c>
      <c r="W68" s="648">
        <v>47661</v>
      </c>
      <c r="X68" s="680"/>
      <c r="Y68" s="681" t="s">
        <v>267</v>
      </c>
      <c r="Z68" s="648">
        <v>63547</v>
      </c>
      <c r="AA68" s="648">
        <v>79433</v>
      </c>
      <c r="AB68" s="680"/>
      <c r="AC68" s="681" t="s">
        <v>267</v>
      </c>
      <c r="AD68" s="648">
        <v>95319</v>
      </c>
      <c r="AE68" s="648">
        <v>111205</v>
      </c>
      <c r="AF68" s="680"/>
      <c r="AG68" s="681" t="s">
        <v>267</v>
      </c>
      <c r="AH68" s="648">
        <v>127091</v>
      </c>
      <c r="AI68" s="648">
        <v>142977</v>
      </c>
      <c r="AJ68" s="680"/>
      <c r="AK68" s="681" t="s">
        <v>267</v>
      </c>
      <c r="AL68" s="648">
        <v>158863</v>
      </c>
    </row>
    <row r="69" spans="2:38" ht="17.25" customHeight="1">
      <c r="B69" s="246" t="str">
        <f>IFERROR(INDEX($Q$1:$BH$100,ROW(A69),MATCH(Data_Tech!$AU$7,$Q$1:$AN$1,)+COLUMN(A68)-1),"")</f>
        <v>Соболева Наталья Александровна</v>
      </c>
      <c r="D69" s="207">
        <f>INDEX($Q$1:$BH$100,ROW(B69),MATCH(Data_Tech!$AU$7,$Q$1:$AN$1,)+COLUMN(B69)-1)</f>
        <v>3</v>
      </c>
      <c r="E69" s="208">
        <f>INDEX($Q$1:$BH$100,ROW(C69),MATCH(Data_Tech!$AU$7,$Q$1:$AN$1,)+COLUMN(C69)-1)</f>
        <v>17076</v>
      </c>
      <c r="P69" s="667">
        <v>68</v>
      </c>
      <c r="Q69" s="649" t="s">
        <v>359</v>
      </c>
      <c r="R69" s="648">
        <v>3</v>
      </c>
      <c r="S69" s="648">
        <v>17076</v>
      </c>
      <c r="T69" s="665"/>
      <c r="U69" s="681" t="s">
        <v>285</v>
      </c>
      <c r="V69" s="648">
        <v>30516</v>
      </c>
      <c r="W69" s="648">
        <v>45772</v>
      </c>
      <c r="X69" s="680"/>
      <c r="Y69" s="681" t="s">
        <v>285</v>
      </c>
      <c r="Z69" s="648">
        <v>61028</v>
      </c>
      <c r="AA69" s="648">
        <v>76284</v>
      </c>
      <c r="AB69" s="680"/>
      <c r="AC69" s="681" t="s">
        <v>285</v>
      </c>
      <c r="AD69" s="648">
        <v>91540</v>
      </c>
      <c r="AE69" s="648">
        <v>106796</v>
      </c>
      <c r="AF69" s="680"/>
      <c r="AG69" s="681" t="s">
        <v>285</v>
      </c>
      <c r="AH69" s="648">
        <v>122052</v>
      </c>
      <c r="AI69" s="648">
        <v>137308</v>
      </c>
      <c r="AJ69" s="680"/>
      <c r="AK69" s="681" t="s">
        <v>285</v>
      </c>
      <c r="AL69" s="648">
        <v>152564</v>
      </c>
    </row>
    <row r="70" spans="2:38" ht="17.25" customHeight="1">
      <c r="B70" s="246" t="str">
        <f>IFERROR(INDEX($Q$1:$BH$100,ROW(A70),MATCH(Data_Tech!$AU$7,$Q$1:$AN$1,)+COLUMN(A69)-1),"")</f>
        <v>Старичкова Полина Анатольевна</v>
      </c>
      <c r="D70" s="207">
        <f>INDEX($Q$1:$BH$100,ROW(B70),MATCH(Data_Tech!$AU$7,$Q$1:$AN$1,)+COLUMN(B70)-1)</f>
        <v>3</v>
      </c>
      <c r="E70" s="208">
        <f>INDEX($Q$1:$BH$100,ROW(C70),MATCH(Data_Tech!$AU$7,$Q$1:$AN$1,)+COLUMN(C70)-1)</f>
        <v>17196</v>
      </c>
      <c r="P70" s="667">
        <v>69</v>
      </c>
      <c r="Q70" s="681" t="s">
        <v>331</v>
      </c>
      <c r="R70" s="648">
        <v>3</v>
      </c>
      <c r="S70" s="648">
        <v>17196</v>
      </c>
      <c r="T70" s="665">
        <v>3</v>
      </c>
      <c r="U70" s="681" t="s">
        <v>286</v>
      </c>
      <c r="V70" s="648">
        <v>5693.6666666666697</v>
      </c>
      <c r="W70" s="648">
        <v>5693.1666666666797</v>
      </c>
      <c r="X70" s="665">
        <v>5692.6666666666797</v>
      </c>
      <c r="Y70" s="681" t="s">
        <v>286</v>
      </c>
      <c r="Z70" s="648">
        <v>5692.1666666666797</v>
      </c>
      <c r="AA70" s="648">
        <v>5691.6666666666797</v>
      </c>
      <c r="AB70" s="665">
        <v>5691.1666666666897</v>
      </c>
      <c r="AC70" s="681" t="s">
        <v>286</v>
      </c>
      <c r="AD70" s="648">
        <v>5690.6666666666897</v>
      </c>
      <c r="AE70" s="648">
        <v>5690.1666666666897</v>
      </c>
      <c r="AF70" s="665">
        <v>5689.6666666666897</v>
      </c>
      <c r="AG70" s="681" t="s">
        <v>286</v>
      </c>
      <c r="AH70" s="648">
        <v>5689.1666666666997</v>
      </c>
      <c r="AI70" s="648">
        <v>5688.6666666666997</v>
      </c>
      <c r="AJ70" s="665">
        <v>5688.1666666666997</v>
      </c>
      <c r="AK70" s="681" t="s">
        <v>286</v>
      </c>
      <c r="AL70" s="648">
        <v>5687.6666666666997</v>
      </c>
    </row>
    <row r="71" spans="2:38" ht="17.25" customHeight="1">
      <c r="B71" s="246" t="str">
        <f>IFERROR(INDEX($Q$1:$BH$100,ROW(A71),MATCH(Data_Tech!$AU$7,$Q$1:$AN$1,)+COLUMN(A70)-1),"")</f>
        <v>Степанова Ольга Юрьевна</v>
      </c>
      <c r="D71" s="207">
        <f>INDEX($Q$1:$BH$100,ROW(B71),MATCH(Data_Tech!$AU$7,$Q$1:$AN$1,)+COLUMN(B71)-1)</f>
        <v>3</v>
      </c>
      <c r="E71" s="208">
        <f>INDEX($Q$1:$BH$100,ROW(C71),MATCH(Data_Tech!$AU$7,$Q$1:$AN$1,)+COLUMN(C71)-1)</f>
        <v>17266</v>
      </c>
      <c r="P71" s="667">
        <v>70</v>
      </c>
      <c r="Q71" s="681" t="s">
        <v>332</v>
      </c>
      <c r="R71" s="648">
        <v>3</v>
      </c>
      <c r="S71" s="648">
        <v>17266</v>
      </c>
      <c r="T71" s="665"/>
      <c r="U71" s="649"/>
      <c r="V71" s="649"/>
      <c r="W71" s="649"/>
      <c r="X71" s="665"/>
      <c r="Y71" s="649"/>
      <c r="Z71" s="649"/>
      <c r="AA71" s="649"/>
      <c r="AB71" s="665"/>
      <c r="AC71" s="649"/>
      <c r="AD71" s="649"/>
      <c r="AE71" s="649"/>
      <c r="AF71" s="665"/>
      <c r="AG71" s="649"/>
      <c r="AH71" s="649"/>
      <c r="AI71" s="649"/>
      <c r="AJ71" s="665"/>
      <c r="AK71" s="649"/>
      <c r="AL71" s="649"/>
    </row>
    <row r="72" spans="2:38" ht="17.25" customHeight="1">
      <c r="B72" s="246" t="str">
        <f>IFERROR(INDEX($Q$1:$BH$100,ROW(A72),MATCH(Data_Tech!$AU$7,$Q$1:$AN$1,)+COLUMN(A71)-1),"")</f>
        <v>Терещенко Виктория Евгеньевна</v>
      </c>
      <c r="D72" s="207">
        <f>INDEX($Q$1:$BH$100,ROW(B72),MATCH(Data_Tech!$AU$7,$Q$1:$AN$1,)+COLUMN(B72)-1)</f>
        <v>3</v>
      </c>
      <c r="E72" s="208">
        <f>INDEX($Q$1:$BH$100,ROW(C72),MATCH(Data_Tech!$AU$7,$Q$1:$AN$1,)+COLUMN(C72)-1)</f>
        <v>17062</v>
      </c>
      <c r="P72" s="667">
        <v>71</v>
      </c>
      <c r="Q72" s="649" t="s">
        <v>351</v>
      </c>
      <c r="R72" s="648">
        <v>3</v>
      </c>
      <c r="S72" s="648">
        <v>17062</v>
      </c>
      <c r="T72" s="666"/>
      <c r="AK72" s="545">
        <v>16</v>
      </c>
      <c r="AL72" s="545" t="s">
        <v>110</v>
      </c>
    </row>
    <row r="73" spans="2:38" ht="17.25" customHeight="1">
      <c r="B73" s="246" t="str">
        <f>IFERROR(INDEX($Q$1:$BH$100,ROW(A73),MATCH(Data_Tech!$AU$7,$Q$1:$AN$1,)+COLUMN(A72)-1),"")</f>
        <v>Томилова Антонина Викторовна</v>
      </c>
      <c r="D73" s="207">
        <f>INDEX($Q$1:$BH$100,ROW(B73),MATCH(Data_Tech!$AU$7,$Q$1:$AN$1,)+COLUMN(B73)-1)</f>
        <v>4</v>
      </c>
      <c r="E73" s="208">
        <f>INDEX($Q$1:$BH$100,ROW(C73),MATCH(Data_Tech!$AU$7,$Q$1:$AN$1,)+COLUMN(C73)-1)</f>
        <v>14988</v>
      </c>
      <c r="P73" s="667">
        <v>72</v>
      </c>
      <c r="Q73" s="681" t="s">
        <v>266</v>
      </c>
      <c r="R73" s="648">
        <v>4</v>
      </c>
      <c r="S73" s="648">
        <v>14988</v>
      </c>
      <c r="T73" s="665"/>
      <c r="AK73" s="545">
        <v>20</v>
      </c>
      <c r="AL73" s="545" t="s">
        <v>111</v>
      </c>
    </row>
    <row r="74" spans="2:38" ht="17.25" customHeight="1">
      <c r="B74" s="246" t="str">
        <f>IFERROR(INDEX($Q$1:$BH$100,ROW(A74),MATCH(Data_Tech!$AU$7,$Q$1:$AN$1,)+COLUMN(A73)-1),"")</f>
        <v>Худякова Ольга Николаевна</v>
      </c>
      <c r="D74" s="207">
        <f>INDEX($Q$1:$BH$100,ROW(B74),MATCH(Data_Tech!$AU$7,$Q$1:$AN$1,)+COLUMN(B74)-1)</f>
        <v>3</v>
      </c>
      <c r="E74" s="208">
        <f>INDEX($Q$1:$BH$100,ROW(C74),MATCH(Data_Tech!$AU$7,$Q$1:$AN$1,)+COLUMN(C74)-1)</f>
        <v>15889</v>
      </c>
      <c r="P74" s="667">
        <v>73</v>
      </c>
      <c r="Q74" s="681" t="s">
        <v>267</v>
      </c>
      <c r="R74" s="648">
        <v>3</v>
      </c>
      <c r="S74" s="648">
        <v>15889</v>
      </c>
      <c r="T74" s="665"/>
      <c r="AK74" s="545">
        <v>23</v>
      </c>
      <c r="AL74" s="545" t="s">
        <v>112</v>
      </c>
    </row>
    <row r="75" spans="2:38" ht="17.25" customHeight="1">
      <c r="B75" s="246" t="str">
        <f>IFERROR(INDEX($Q$1:$BH$100,ROW(A75),MATCH(Data_Tech!$AU$7,$Q$1:$AN$1,)+COLUMN(A74)-1),"")</f>
        <v>Черкасова Дарья Викторовна</v>
      </c>
      <c r="D75" s="207">
        <f>INDEX($Q$1:$BH$100,ROW(B75),MATCH(Data_Tech!$AU$7,$Q$1:$AN$1,)+COLUMN(B75)-1)</f>
        <v>3</v>
      </c>
      <c r="E75" s="208">
        <f>INDEX($Q$1:$BH$100,ROW(C75),MATCH(Data_Tech!$AU$7,$Q$1:$AN$1,)+COLUMN(C75)-1)</f>
        <v>17302</v>
      </c>
      <c r="P75" s="667">
        <v>74</v>
      </c>
      <c r="Q75" s="649" t="s">
        <v>363</v>
      </c>
      <c r="R75" s="648">
        <v>3</v>
      </c>
      <c r="S75" s="648">
        <v>17302</v>
      </c>
      <c r="T75" s="665">
        <v>3</v>
      </c>
      <c r="AK75" s="545">
        <v>34</v>
      </c>
      <c r="AL75" s="545" t="s">
        <v>113</v>
      </c>
    </row>
    <row r="76" spans="2:38" ht="17.25" customHeight="1">
      <c r="B76" s="246" t="str">
        <f>IFERROR(INDEX($Q$1:$BH$100,ROW(A76),MATCH(Data_Tech!$AU$7,$Q$1:$AN$1,)+COLUMN(A75)-1),"")</f>
        <v>Шамарина Светлана Владимировна</v>
      </c>
      <c r="D76" s="207">
        <f>INDEX($Q$1:$BH$100,ROW(B76),MATCH(Data_Tech!$AU$7,$Q$1:$AN$1,)+COLUMN(B76)-1)</f>
        <v>4</v>
      </c>
      <c r="E76" s="208">
        <f>INDEX($Q$1:$BH$100,ROW(C76),MATCH(Data_Tech!$AU$7,$Q$1:$AN$1,)+COLUMN(C76)-1)</f>
        <v>15260</v>
      </c>
      <c r="P76" s="667">
        <v>75</v>
      </c>
      <c r="Q76" s="681" t="s">
        <v>285</v>
      </c>
      <c r="R76" s="648">
        <v>4</v>
      </c>
      <c r="S76" s="648">
        <v>15260</v>
      </c>
      <c r="T76" s="665"/>
      <c r="AK76" s="545">
        <v>37</v>
      </c>
      <c r="AL76" s="545" t="s">
        <v>114</v>
      </c>
    </row>
    <row r="77" spans="2:38" ht="17.25" customHeight="1">
      <c r="B77" s="246" t="str">
        <f>IFERROR(INDEX($Q$1:$BH$100,ROW(A77),MATCH(Data_Tech!$AU$7,$Q$1:$AN$1,)+COLUMN(A76)-1),"")</f>
        <v>Шишина Наталья Александровна</v>
      </c>
      <c r="D77" s="207">
        <f>INDEX($Q$1:$BH$100,ROW(B77),MATCH(Data_Tech!$AU$7,$Q$1:$AN$1,)+COLUMN(B77)-1)</f>
        <v>3</v>
      </c>
      <c r="E77" s="208">
        <f>INDEX($Q$1:$BH$100,ROW(C77),MATCH(Data_Tech!$AU$7,$Q$1:$AN$1,)+COLUMN(C77)-1)</f>
        <v>17079</v>
      </c>
      <c r="P77" s="667">
        <v>76</v>
      </c>
      <c r="Q77" s="681" t="s">
        <v>286</v>
      </c>
      <c r="R77" s="648">
        <v>3</v>
      </c>
      <c r="S77" s="648">
        <v>17079</v>
      </c>
      <c r="T77" s="665">
        <v>2</v>
      </c>
      <c r="AK77" s="545">
        <v>38</v>
      </c>
      <c r="AL77" s="545" t="s">
        <v>115</v>
      </c>
    </row>
    <row r="78" spans="2:38" ht="17.25" customHeight="1">
      <c r="B78" s="246" t="str">
        <f>IFERROR(INDEX($Q$1:$BH$100,ROW(A78),MATCH(Data_Tech!$AU$7,$Q$1:$AN$1,)+COLUMN(A77)-1),"")</f>
        <v>Нагловская Наталья Анатольевна</v>
      </c>
      <c r="D78" s="207">
        <f>INDEX($Q$1:$BH$100,ROW(B78),MATCH(Data_Tech!$AU$7,$Q$1:$AN$1,)+COLUMN(B78)-1)</f>
        <v>3</v>
      </c>
      <c r="E78" s="208">
        <f>INDEX($Q$1:$BH$100,ROW(C78),MATCH(Data_Tech!$AU$7,$Q$1:$AN$1,)+COLUMN(C78)-1)</f>
        <v>16303</v>
      </c>
      <c r="P78" s="667">
        <v>77</v>
      </c>
      <c r="Q78" s="649" t="s">
        <v>365</v>
      </c>
      <c r="R78" s="648">
        <v>3</v>
      </c>
      <c r="S78" s="648">
        <v>16303</v>
      </c>
      <c r="T78" s="665"/>
      <c r="AK78" s="545">
        <v>83</v>
      </c>
      <c r="AL78" s="545" t="s">
        <v>116</v>
      </c>
    </row>
    <row r="79" spans="2:38" ht="17.25" customHeight="1">
      <c r="B79" s="246">
        <f>IFERROR(INDEX($Q$1:$BH$100,ROW(A79),MATCH(Data_Tech!$AU$7,$Q$1:$AN$1,)+COLUMN(A78)-1),"")</f>
        <v>0</v>
      </c>
      <c r="D79" s="207">
        <f>INDEX($Q$1:$BH$100,ROW(B79),MATCH(Data_Tech!$AU$7,$Q$1:$AN$1,)+COLUMN(B79)-1)</f>
        <v>0</v>
      </c>
      <c r="E79" s="208">
        <f>INDEX($Q$1:$BH$100,ROW(C79),MATCH(Data_Tech!$AU$7,$Q$1:$AN$1,)+COLUMN(C79)-1)</f>
        <v>0</v>
      </c>
      <c r="P79" s="667">
        <v>78</v>
      </c>
      <c r="Q79" s="649"/>
      <c r="R79" s="649"/>
      <c r="S79" s="649"/>
      <c r="T79" s="665"/>
      <c r="AK79" s="545">
        <v>86</v>
      </c>
      <c r="AL79" s="545" t="s">
        <v>117</v>
      </c>
    </row>
    <row r="80" spans="2:38" ht="17.25" customHeight="1">
      <c r="B80" s="246">
        <f>IFERROR(INDEX($Q$1:$BH$100,ROW(A80),MATCH(Data_Tech!$AU$7,$Q$1:$AN$1,)+COLUMN(A79)-1),"")</f>
        <v>0</v>
      </c>
      <c r="D80" s="207">
        <f>INDEX($Q$1:$BH$100,ROW(B80),MATCH(Data_Tech!$AU$7,$Q$1:$AN$1,)+COLUMN(B80)-1)</f>
        <v>0</v>
      </c>
      <c r="E80" s="208">
        <f>INDEX($Q$1:$BH$100,ROW(C80),MATCH(Data_Tech!$AU$7,$Q$1:$AN$1,)+COLUMN(C80)-1)</f>
        <v>0</v>
      </c>
      <c r="P80" s="667">
        <v>79</v>
      </c>
      <c r="Q80" s="649"/>
      <c r="R80" s="649"/>
      <c r="S80" s="649"/>
      <c r="T80" s="665"/>
      <c r="AK80" s="545">
        <v>114</v>
      </c>
      <c r="AL80" s="545" t="s">
        <v>118</v>
      </c>
    </row>
    <row r="81" spans="2:38" ht="17.25" customHeight="1">
      <c r="B81" s="246">
        <f>IFERROR(INDEX($Q$1:$BH$100,ROW(A81),MATCH(Data_Tech!$AU$7,$Q$1:$AN$1,)+COLUMN(A80)-1),"")</f>
        <v>0</v>
      </c>
      <c r="D81" s="207">
        <f>INDEX($Q$1:$BH$100,ROW(B81),MATCH(Data_Tech!$AU$7,$Q$1:$AN$1,)+COLUMN(B81)-1)</f>
        <v>0</v>
      </c>
      <c r="E81" s="208">
        <f>INDEX($Q$1:$BH$100,ROW(C81),MATCH(Data_Tech!$AU$7,$Q$1:$AN$1,)+COLUMN(C81)-1)</f>
        <v>0</v>
      </c>
      <c r="P81" s="667">
        <v>80</v>
      </c>
      <c r="Q81" s="649"/>
      <c r="R81" s="649"/>
      <c r="S81" s="649"/>
      <c r="T81" s="665"/>
      <c r="AK81" s="545">
        <v>130</v>
      </c>
      <c r="AL81" s="545" t="s">
        <v>119</v>
      </c>
    </row>
    <row r="82" spans="2:38" ht="17.25" customHeight="1">
      <c r="P82" s="667">
        <v>81</v>
      </c>
      <c r="Q82" s="649"/>
      <c r="R82" s="649"/>
      <c r="S82" s="649"/>
      <c r="T82" s="665"/>
      <c r="AK82" s="545">
        <v>132</v>
      </c>
      <c r="AL82" s="545" t="s">
        <v>120</v>
      </c>
    </row>
    <row r="83" spans="2:38" ht="17.25" customHeight="1">
      <c r="P83" s="667">
        <v>82</v>
      </c>
      <c r="Q83" s="649"/>
      <c r="R83" s="649"/>
      <c r="S83" s="649"/>
      <c r="T83" s="665"/>
      <c r="AK83" s="545">
        <v>133</v>
      </c>
      <c r="AL83" s="545" t="s">
        <v>121</v>
      </c>
    </row>
    <row r="84" spans="2:38" ht="17.25" customHeight="1">
      <c r="P84" s="667">
        <v>83</v>
      </c>
      <c r="Q84" s="649"/>
      <c r="R84" s="649"/>
      <c r="S84" s="649"/>
      <c r="T84" s="665"/>
      <c r="AK84" s="545">
        <v>136</v>
      </c>
      <c r="AL84" s="545" t="s">
        <v>122</v>
      </c>
    </row>
    <row r="85" spans="2:38" ht="17.25" customHeight="1">
      <c r="P85" s="667">
        <v>84</v>
      </c>
      <c r="Q85" s="649"/>
      <c r="R85" s="649"/>
      <c r="S85" s="649"/>
      <c r="T85" s="665"/>
      <c r="AK85" s="545">
        <v>155</v>
      </c>
      <c r="AL85" s="545" t="s">
        <v>123</v>
      </c>
    </row>
    <row r="86" spans="2:38" ht="17.25" customHeight="1">
      <c r="P86" s="667">
        <v>85</v>
      </c>
      <c r="Q86" s="649"/>
      <c r="R86" s="649"/>
      <c r="S86" s="649"/>
      <c r="T86" s="665"/>
      <c r="AK86" s="545">
        <v>160</v>
      </c>
      <c r="AL86" s="545" t="s">
        <v>124</v>
      </c>
    </row>
    <row r="87" spans="2:38" ht="17.25" customHeight="1">
      <c r="P87" s="667">
        <v>86</v>
      </c>
      <c r="Q87" s="649"/>
      <c r="R87" s="649"/>
      <c r="S87" s="649"/>
      <c r="T87" s="665"/>
      <c r="AK87" s="545">
        <v>163</v>
      </c>
      <c r="AL87" s="545" t="s">
        <v>125</v>
      </c>
    </row>
    <row r="88" spans="2:38" ht="17.25" customHeight="1">
      <c r="P88" s="667">
        <v>87</v>
      </c>
      <c r="Q88" s="649"/>
      <c r="R88" s="649"/>
      <c r="S88" s="649"/>
      <c r="T88" s="665"/>
      <c r="AK88" s="545">
        <v>165</v>
      </c>
      <c r="AL88" s="545" t="s">
        <v>126</v>
      </c>
    </row>
    <row r="89" spans="2:38" ht="17.25" customHeight="1">
      <c r="P89" s="667">
        <v>88</v>
      </c>
      <c r="AK89" s="545">
        <v>167</v>
      </c>
      <c r="AL89" s="545" t="s">
        <v>127</v>
      </c>
    </row>
    <row r="90" spans="2:38" ht="17.25" customHeight="1">
      <c r="P90" s="667">
        <v>89</v>
      </c>
      <c r="AK90" s="545" t="s">
        <v>128</v>
      </c>
      <c r="AL90" s="545" t="s">
        <v>129</v>
      </c>
    </row>
    <row r="91" spans="2:38" ht="17.25" customHeight="1">
      <c r="P91" s="667">
        <v>90</v>
      </c>
      <c r="AK91" s="545">
        <v>182</v>
      </c>
      <c r="AL91" s="545" t="s">
        <v>130</v>
      </c>
    </row>
    <row r="92" spans="2:38" ht="17.25" customHeight="1">
      <c r="P92" s="667">
        <v>91</v>
      </c>
      <c r="AK92" s="545">
        <v>183</v>
      </c>
      <c r="AL92" s="545" t="s">
        <v>131</v>
      </c>
    </row>
    <row r="93" spans="2:38" ht="17.25" customHeight="1">
      <c r="P93" s="667">
        <v>92</v>
      </c>
      <c r="AK93" s="545" t="s">
        <v>132</v>
      </c>
      <c r="AL93" s="545" t="s">
        <v>133</v>
      </c>
    </row>
    <row r="94" spans="2:38" ht="17.25" customHeight="1">
      <c r="P94" s="667">
        <v>93</v>
      </c>
      <c r="AK94" s="545" t="s">
        <v>134</v>
      </c>
      <c r="AL94" s="545" t="s">
        <v>135</v>
      </c>
    </row>
    <row r="95" spans="2:38" ht="17.25" customHeight="1">
      <c r="AK95" s="545">
        <v>190</v>
      </c>
      <c r="AL95" s="545" t="s">
        <v>136</v>
      </c>
    </row>
    <row r="96" spans="2:38" ht="17.25" customHeight="1">
      <c r="AK96" s="545">
        <v>198</v>
      </c>
      <c r="AL96" s="545" t="s">
        <v>137</v>
      </c>
    </row>
    <row r="97" spans="37:38" ht="17.25" customHeight="1">
      <c r="AK97" s="545">
        <v>210</v>
      </c>
      <c r="AL97" s="545" t="s">
        <v>138</v>
      </c>
    </row>
    <row r="98" spans="37:38" ht="17.25" customHeight="1">
      <c r="AK98" s="545">
        <v>218</v>
      </c>
      <c r="AL98" s="545" t="s">
        <v>139</v>
      </c>
    </row>
    <row r="99" spans="37:38" ht="17.25" customHeight="1">
      <c r="AK99" s="545">
        <v>219</v>
      </c>
      <c r="AL99" s="545" t="s">
        <v>140</v>
      </c>
    </row>
    <row r="100" spans="37:38" ht="17.25" customHeight="1">
      <c r="AK100" s="545">
        <v>220</v>
      </c>
      <c r="AL100" s="545" t="s">
        <v>141</v>
      </c>
    </row>
    <row r="101" spans="37:38" ht="17.25" customHeight="1">
      <c r="AK101" s="545">
        <v>221</v>
      </c>
      <c r="AL101" s="545" t="s">
        <v>142</v>
      </c>
    </row>
    <row r="102" spans="37:38" ht="17.25" customHeight="1">
      <c r="AK102" s="545" t="s">
        <v>143</v>
      </c>
      <c r="AL102" s="545" t="s">
        <v>144</v>
      </c>
    </row>
    <row r="103" spans="37:38" ht="17.25" customHeight="1">
      <c r="AK103" s="545" t="s">
        <v>145</v>
      </c>
      <c r="AL103" s="545" t="s">
        <v>146</v>
      </c>
    </row>
    <row r="104" spans="37:38" ht="17.25" customHeight="1">
      <c r="AK104" s="545">
        <v>240</v>
      </c>
      <c r="AL104" s="545" t="s">
        <v>147</v>
      </c>
    </row>
    <row r="105" spans="37:38" ht="17.25" customHeight="1">
      <c r="AK105" s="545">
        <v>241</v>
      </c>
      <c r="AL105" s="545" t="s">
        <v>148</v>
      </c>
    </row>
    <row r="106" spans="37:38" ht="17.25" customHeight="1">
      <c r="AK106" s="545">
        <v>244</v>
      </c>
      <c r="AL106" s="545" t="s">
        <v>149</v>
      </c>
    </row>
    <row r="107" spans="37:38" ht="17.25" customHeight="1">
      <c r="AK107" s="545" t="s">
        <v>150</v>
      </c>
      <c r="AL107" s="545" t="s">
        <v>151</v>
      </c>
    </row>
    <row r="108" spans="37:38" ht="17.25" customHeight="1">
      <c r="AK108" s="545">
        <v>255</v>
      </c>
      <c r="AL108" s="545" t="s">
        <v>152</v>
      </c>
    </row>
    <row r="109" spans="37:38" ht="17.25" customHeight="1">
      <c r="AK109" s="545">
        <v>257</v>
      </c>
      <c r="AL109" s="545" t="s">
        <v>153</v>
      </c>
    </row>
    <row r="110" spans="37:38" ht="17.25" customHeight="1">
      <c r="AK110" s="545" t="s">
        <v>154</v>
      </c>
      <c r="AL110" s="545" t="s">
        <v>155</v>
      </c>
    </row>
    <row r="111" spans="37:38" ht="17.25" customHeight="1">
      <c r="AK111" s="545" t="s">
        <v>156</v>
      </c>
      <c r="AL111" s="545" t="s">
        <v>157</v>
      </c>
    </row>
    <row r="112" spans="37:38" ht="17.25" customHeight="1">
      <c r="AK112" s="545" t="s">
        <v>158</v>
      </c>
      <c r="AL112" s="545" t="s">
        <v>159</v>
      </c>
    </row>
    <row r="113" spans="37:38" ht="17.25" customHeight="1">
      <c r="AK113" s="545" t="s">
        <v>160</v>
      </c>
      <c r="AL113" s="545" t="s">
        <v>161</v>
      </c>
    </row>
    <row r="114" spans="37:38" ht="17.25" customHeight="1">
      <c r="AK114" s="545" t="s">
        <v>162</v>
      </c>
      <c r="AL114" s="545" t="s">
        <v>163</v>
      </c>
    </row>
    <row r="115" spans="37:38" ht="17.25" customHeight="1">
      <c r="AK115" s="545" t="s">
        <v>164</v>
      </c>
      <c r="AL115" s="545" t="s">
        <v>165</v>
      </c>
    </row>
    <row r="116" spans="37:38" ht="17.25" customHeight="1">
      <c r="AK116" s="545" t="s">
        <v>166</v>
      </c>
      <c r="AL116" s="545" t="s">
        <v>167</v>
      </c>
    </row>
    <row r="117" spans="37:38" ht="17.25" customHeight="1">
      <c r="AK117" s="545" t="s">
        <v>168</v>
      </c>
      <c r="AL117" s="545" t="s">
        <v>169</v>
      </c>
    </row>
    <row r="118" spans="37:38" ht="17.25" customHeight="1">
      <c r="AK118" s="545">
        <v>267</v>
      </c>
      <c r="AL118" s="545" t="s">
        <v>170</v>
      </c>
    </row>
    <row r="119" spans="37:38" ht="17.25" customHeight="1">
      <c r="AK119" s="545" t="s">
        <v>171</v>
      </c>
      <c r="AL119" s="545" t="s">
        <v>172</v>
      </c>
    </row>
    <row r="120" spans="37:38" ht="17.25" customHeight="1">
      <c r="AK120" s="545">
        <v>293</v>
      </c>
      <c r="AL120" s="545" t="s">
        <v>173</v>
      </c>
    </row>
    <row r="121" spans="37:38" ht="17.25" customHeight="1">
      <c r="AK121" s="545">
        <v>295</v>
      </c>
      <c r="AL121" s="545" t="s">
        <v>174</v>
      </c>
    </row>
    <row r="122" spans="37:38" ht="17.25" customHeight="1">
      <c r="AK122" s="545">
        <v>308</v>
      </c>
      <c r="AL122" s="545" t="s">
        <v>175</v>
      </c>
    </row>
    <row r="123" spans="37:38" ht="17.25" customHeight="1">
      <c r="AK123" s="545">
        <v>319</v>
      </c>
      <c r="AL123" s="545" t="s">
        <v>176</v>
      </c>
    </row>
    <row r="124" spans="37:38" ht="17.25" customHeight="1">
      <c r="AK124" s="545">
        <v>331</v>
      </c>
      <c r="AL124" s="545" t="s">
        <v>177</v>
      </c>
    </row>
    <row r="125" spans="37:38" ht="17.25" customHeight="1">
      <c r="AK125" s="545">
        <v>346</v>
      </c>
      <c r="AL125" s="545" t="s">
        <v>178</v>
      </c>
    </row>
    <row r="126" spans="37:38" ht="17.25" customHeight="1">
      <c r="AK126" s="545">
        <v>351</v>
      </c>
      <c r="AL126" s="545" t="s">
        <v>179</v>
      </c>
    </row>
    <row r="127" spans="37:38" ht="17.25" customHeight="1">
      <c r="AK127" s="545">
        <v>354</v>
      </c>
      <c r="AL127" s="545" t="s">
        <v>180</v>
      </c>
    </row>
    <row r="128" spans="37:38" ht="17.25" customHeight="1">
      <c r="AK128" s="545">
        <v>359</v>
      </c>
      <c r="AL128" s="545" t="s">
        <v>181</v>
      </c>
    </row>
    <row r="129" spans="37:38" ht="17.25" customHeight="1">
      <c r="AK129" s="545">
        <v>362</v>
      </c>
      <c r="AL129" s="545" t="s">
        <v>182</v>
      </c>
    </row>
    <row r="130" spans="37:38" ht="17.25" customHeight="1">
      <c r="AK130" s="545">
        <v>389</v>
      </c>
      <c r="AL130" s="545" t="s">
        <v>183</v>
      </c>
    </row>
    <row r="131" spans="37:38" ht="17.25" customHeight="1">
      <c r="AK131" s="545">
        <v>390</v>
      </c>
      <c r="AL131" s="545" t="s">
        <v>184</v>
      </c>
    </row>
    <row r="132" spans="37:38">
      <c r="AK132" s="545">
        <v>407</v>
      </c>
      <c r="AL132" s="545" t="s">
        <v>185</v>
      </c>
    </row>
    <row r="133" spans="37:38">
      <c r="AK133" s="545">
        <v>408</v>
      </c>
      <c r="AL133" s="545" t="s">
        <v>186</v>
      </c>
    </row>
    <row r="134" spans="37:38">
      <c r="AK134" s="545">
        <v>416</v>
      </c>
      <c r="AL134" s="545" t="s">
        <v>187</v>
      </c>
    </row>
    <row r="135" spans="37:38">
      <c r="AK135" s="545" t="s">
        <v>188</v>
      </c>
      <c r="AL135" s="545" t="s">
        <v>189</v>
      </c>
    </row>
    <row r="136" spans="37:38">
      <c r="AK136" s="545">
        <v>428</v>
      </c>
      <c r="AL136" s="545" t="s">
        <v>190</v>
      </c>
    </row>
    <row r="137" spans="37:38">
      <c r="AK137" s="545">
        <v>429</v>
      </c>
      <c r="AL137" s="545" t="s">
        <v>191</v>
      </c>
    </row>
    <row r="138" spans="37:38">
      <c r="AK138" s="545" t="s">
        <v>192</v>
      </c>
      <c r="AL138" s="545" t="s">
        <v>193</v>
      </c>
    </row>
    <row r="139" spans="37:38">
      <c r="AK139" s="545">
        <v>484</v>
      </c>
      <c r="AL139" s="545" t="s">
        <v>194</v>
      </c>
    </row>
    <row r="140" spans="37:38">
      <c r="AK140" s="545">
        <v>489</v>
      </c>
      <c r="AL140" s="545" t="s">
        <v>195</v>
      </c>
    </row>
    <row r="141" spans="37:38">
      <c r="AK141" s="545">
        <v>490</v>
      </c>
      <c r="AL141" s="545" t="s">
        <v>196</v>
      </c>
    </row>
    <row r="142" spans="37:38">
      <c r="AK142" s="545">
        <v>491</v>
      </c>
      <c r="AL142" s="545" t="s">
        <v>197</v>
      </c>
    </row>
    <row r="143" spans="37:38">
      <c r="AK143" s="545">
        <v>492</v>
      </c>
      <c r="AL143" s="545" t="s">
        <v>198</v>
      </c>
    </row>
    <row r="144" spans="37:38">
      <c r="AK144" s="545">
        <v>500</v>
      </c>
      <c r="AL144" s="545" t="s">
        <v>199</v>
      </c>
    </row>
    <row r="145" spans="37:38">
      <c r="AK145" s="545" t="s">
        <v>200</v>
      </c>
      <c r="AL145" s="545" t="s">
        <v>201</v>
      </c>
    </row>
    <row r="146" spans="37:38">
      <c r="AK146" s="545">
        <v>551</v>
      </c>
      <c r="AL146" s="545" t="s">
        <v>202</v>
      </c>
    </row>
    <row r="147" spans="37:38">
      <c r="AK147" s="545">
        <v>554</v>
      </c>
      <c r="AL147" s="545" t="s">
        <v>203</v>
      </c>
    </row>
    <row r="148" spans="37:38">
      <c r="AK148" s="545">
        <v>589</v>
      </c>
      <c r="AL148" s="545" t="s">
        <v>204</v>
      </c>
    </row>
    <row r="149" spans="37:38">
      <c r="AK149" s="545">
        <v>614</v>
      </c>
      <c r="AL149" s="545" t="s">
        <v>205</v>
      </c>
    </row>
    <row r="150" spans="37:38">
      <c r="AK150" s="545">
        <v>639</v>
      </c>
      <c r="AL150" s="545" t="s">
        <v>206</v>
      </c>
    </row>
    <row r="151" spans="37:38">
      <c r="AK151" s="545">
        <v>641</v>
      </c>
      <c r="AL151" s="545" t="s">
        <v>207</v>
      </c>
    </row>
    <row r="152" spans="37:38">
      <c r="AK152" s="545">
        <v>642</v>
      </c>
      <c r="AL152" s="545" t="s">
        <v>208</v>
      </c>
    </row>
    <row r="153" spans="37:38">
      <c r="AK153" s="545">
        <v>643</v>
      </c>
      <c r="AL153" s="545" t="s">
        <v>209</v>
      </c>
    </row>
    <row r="154" spans="37:38">
      <c r="AK154" s="545">
        <v>659</v>
      </c>
      <c r="AL154" s="545" t="s">
        <v>210</v>
      </c>
    </row>
    <row r="155" spans="37:38">
      <c r="AK155" s="545">
        <v>661</v>
      </c>
      <c r="AL155" s="545" t="s">
        <v>211</v>
      </c>
    </row>
    <row r="156" spans="37:38">
      <c r="AK156" s="545">
        <v>662</v>
      </c>
      <c r="AL156" s="545" t="s">
        <v>212</v>
      </c>
    </row>
    <row r="157" spans="37:38">
      <c r="AK157" s="545">
        <v>663</v>
      </c>
      <c r="AL157" s="545" t="s">
        <v>213</v>
      </c>
    </row>
    <row r="158" spans="37:38">
      <c r="AK158" s="545">
        <v>676</v>
      </c>
      <c r="AL158" s="545" t="s">
        <v>214</v>
      </c>
    </row>
    <row r="159" spans="37:38">
      <c r="AK159" s="545">
        <v>677</v>
      </c>
      <c r="AL159" s="545" t="s">
        <v>177</v>
      </c>
    </row>
    <row r="160" spans="37:38">
      <c r="AK160" s="545">
        <v>685</v>
      </c>
      <c r="AL160" s="545" t="s">
        <v>215</v>
      </c>
    </row>
    <row r="161" spans="37:38">
      <c r="AK161" s="545">
        <v>686</v>
      </c>
      <c r="AL161" s="545" t="s">
        <v>216</v>
      </c>
    </row>
    <row r="162" spans="37:38">
      <c r="AK162" s="545">
        <v>692</v>
      </c>
      <c r="AL162" s="545" t="s">
        <v>217</v>
      </c>
    </row>
    <row r="163" spans="37:38">
      <c r="AK163" s="545">
        <v>698</v>
      </c>
      <c r="AL163" s="545" t="s">
        <v>218</v>
      </c>
    </row>
    <row r="164" spans="37:38">
      <c r="AK164" s="545">
        <v>700</v>
      </c>
      <c r="AL164" s="545" t="s">
        <v>219</v>
      </c>
    </row>
    <row r="165" spans="37:38">
      <c r="AK165" s="545">
        <v>704</v>
      </c>
      <c r="AL165" s="545" t="s">
        <v>95</v>
      </c>
    </row>
    <row r="166" spans="37:38">
      <c r="AK166" s="545">
        <v>706</v>
      </c>
      <c r="AL166" s="545" t="s">
        <v>220</v>
      </c>
    </row>
    <row r="167" spans="37:38">
      <c r="AK167" s="545">
        <v>709</v>
      </c>
      <c r="AL167" s="545" t="s">
        <v>221</v>
      </c>
    </row>
    <row r="168" spans="37:38">
      <c r="AK168" s="545">
        <v>710</v>
      </c>
      <c r="AL168" s="545" t="s">
        <v>222</v>
      </c>
    </row>
    <row r="169" spans="37:38">
      <c r="AK169" s="545">
        <v>717</v>
      </c>
      <c r="AL169" s="545" t="s">
        <v>96</v>
      </c>
    </row>
    <row r="170" spans="37:38">
      <c r="AK170" s="545">
        <v>719</v>
      </c>
      <c r="AL170" s="545" t="s">
        <v>223</v>
      </c>
    </row>
    <row r="171" spans="37:38">
      <c r="AK171" s="545">
        <v>677</v>
      </c>
      <c r="AL171" s="545" t="s">
        <v>177</v>
      </c>
    </row>
    <row r="172" spans="37:38">
      <c r="AK172" s="545" t="s">
        <v>224</v>
      </c>
      <c r="AL172" s="545" t="s">
        <v>225</v>
      </c>
    </row>
    <row r="173" spans="37:38">
      <c r="AK173" s="545">
        <v>729</v>
      </c>
      <c r="AL173" s="545" t="s">
        <v>225</v>
      </c>
    </row>
    <row r="174" spans="37:38">
      <c r="AK174" s="545">
        <v>733</v>
      </c>
      <c r="AL174" s="545" t="s">
        <v>97</v>
      </c>
    </row>
    <row r="175" spans="37:38">
      <c r="AK175" s="545">
        <v>734</v>
      </c>
      <c r="AL175" s="545" t="s">
        <v>226</v>
      </c>
    </row>
    <row r="176" spans="37:38">
      <c r="AK176" s="545">
        <v>735</v>
      </c>
      <c r="AL176" s="545" t="s">
        <v>227</v>
      </c>
    </row>
    <row r="177" spans="37:38">
      <c r="AK177" s="545" t="s">
        <v>228</v>
      </c>
      <c r="AL177" s="545" t="s">
        <v>229</v>
      </c>
    </row>
    <row r="178" spans="37:38">
      <c r="AK178" s="545">
        <v>737</v>
      </c>
      <c r="AL178" s="545" t="s">
        <v>230</v>
      </c>
    </row>
    <row r="179" spans="37:38">
      <c r="AK179" s="545" t="s">
        <v>231</v>
      </c>
      <c r="AL179" s="545" t="s">
        <v>232</v>
      </c>
    </row>
    <row r="180" spans="37:38">
      <c r="AK180" s="545">
        <v>740</v>
      </c>
      <c r="AL180" s="545" t="s">
        <v>233</v>
      </c>
    </row>
    <row r="181" spans="37:38">
      <c r="AK181" s="545" t="s">
        <v>234</v>
      </c>
      <c r="AL181" s="545" t="s">
        <v>235</v>
      </c>
    </row>
    <row r="182" spans="37:38">
      <c r="AK182" s="545">
        <v>742</v>
      </c>
      <c r="AL182" s="545" t="s">
        <v>236</v>
      </c>
    </row>
    <row r="183" spans="37:38">
      <c r="AK183" s="545" t="s">
        <v>237</v>
      </c>
      <c r="AL183" s="545" t="s">
        <v>238</v>
      </c>
    </row>
    <row r="184" spans="37:38">
      <c r="AK184" s="545">
        <v>744</v>
      </c>
      <c r="AL184" s="545" t="s">
        <v>239</v>
      </c>
    </row>
    <row r="185" spans="37:38">
      <c r="AK185" s="545">
        <v>746</v>
      </c>
      <c r="AL185" s="545" t="s">
        <v>240</v>
      </c>
    </row>
    <row r="186" spans="37:38">
      <c r="AK186" s="545">
        <v>752</v>
      </c>
      <c r="AL186" s="545" t="s">
        <v>241</v>
      </c>
    </row>
    <row r="187" spans="37:38">
      <c r="AK187" s="545" t="s">
        <v>242</v>
      </c>
      <c r="AL187" s="545" t="s">
        <v>243</v>
      </c>
    </row>
    <row r="188" spans="37:38">
      <c r="AK188" s="545">
        <v>754</v>
      </c>
      <c r="AL188" s="545" t="s">
        <v>244</v>
      </c>
    </row>
    <row r="189" spans="37:38">
      <c r="AK189" s="545">
        <v>758</v>
      </c>
      <c r="AL189" s="545" t="s">
        <v>245</v>
      </c>
    </row>
    <row r="190" spans="37:38">
      <c r="AK190" s="545">
        <v>759</v>
      </c>
      <c r="AL190" s="545" t="s">
        <v>98</v>
      </c>
    </row>
  </sheetData>
  <sortState xmlns:xlrd2="http://schemas.microsoft.com/office/spreadsheetml/2017/richdata2" ref="Q2:T77">
    <sortCondition ref="Q2"/>
  </sortState>
  <mergeCells count="5">
    <mergeCell ref="Q1:S1"/>
    <mergeCell ref="U1:W1"/>
    <mergeCell ref="Y1:AA1"/>
    <mergeCell ref="AG1:AI1"/>
    <mergeCell ref="AC1:AE1"/>
  </mergeCells>
  <phoneticPr fontId="3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A795"/>
  <sheetViews>
    <sheetView showZeros="0" view="pageBreakPreview" topLeftCell="A752" zoomScale="70" zoomScaleNormal="60" zoomScaleSheetLayoutView="70" workbookViewId="0">
      <selection activeCell="AG641" sqref="AG641"/>
    </sheetView>
  </sheetViews>
  <sheetFormatPr defaultColWidth="10.28515625" defaultRowHeight="15.75"/>
  <cols>
    <col min="1" max="1" customWidth="true" style="168" width="4.0"/>
    <col min="2" max="2" customWidth="true" style="168" width="43.42578125"/>
    <col min="3" max="3" customWidth="true" style="169" width="7.7109375"/>
    <col min="4" max="4" customWidth="true" style="170" width="6.7109375"/>
    <col min="5" max="5" customWidth="true" style="171" width="8.140625"/>
    <col min="6" max="6" customWidth="true" style="172" width="7.0"/>
    <col min="7" max="7" customWidth="true" style="172" width="9.140625"/>
    <col min="8" max="8" customWidth="true" style="171" width="13.140625"/>
    <col min="9" max="9" customWidth="true" style="171" width="8.0"/>
    <col min="10" max="10" customWidth="true" style="168" width="7.0"/>
    <col min="11" max="11" customWidth="true" style="172" width="7.0"/>
    <col min="12" max="12" customWidth="true" style="171" width="11.140625"/>
    <col min="13" max="13" customWidth="true" hidden="true" style="171" width="7.0"/>
    <col min="14" max="14" customWidth="true" hidden="true" style="172" width="7.0"/>
    <col min="15" max="15" customWidth="true" hidden="true" style="172" width="7.42578125"/>
    <col min="16" max="16" customWidth="true" hidden="true" style="171" width="8.85546875"/>
    <col min="17" max="17" customWidth="true" style="171" width="8.5703125"/>
    <col min="18" max="18" customWidth="true" style="172" width="7.0"/>
    <col min="19" max="19" bestFit="true" customWidth="true" style="172" width="9.42578125"/>
    <col min="20" max="20" bestFit="true" customWidth="true" style="171" width="13.0"/>
    <col min="21" max="21" bestFit="true" customWidth="true" style="171" width="8.140625"/>
    <col min="22" max="22" customWidth="true" style="172" width="7.0"/>
    <col min="23" max="23" bestFit="true" customWidth="true" style="172" width="9.42578125"/>
    <col min="24" max="24" bestFit="true" customWidth="true" style="173" width="13.0"/>
    <col min="25" max="25" customWidth="true" style="168" width="13.0"/>
    <col min="26" max="26" customWidth="true" style="171" width="15.28515625"/>
    <col min="27" max="27" customWidth="true" style="174" width="24.7109375"/>
    <col min="28" max="150" style="168" width="10.28515625"/>
    <col min="151" max="151" bestFit="true" customWidth="true" style="168" width="3.42578125"/>
    <col min="152" max="152" customWidth="true" style="168" width="23.28515625"/>
    <col min="153" max="153" bestFit="true" customWidth="true" style="168" width="7.0"/>
    <col min="154" max="154" customWidth="true" style="168" width="5.7109375"/>
    <col min="155" max="174" customWidth="true" style="168" width="7.0"/>
    <col min="175" max="175" bestFit="true" customWidth="true" style="168" width="7.42578125"/>
    <col min="176" max="176" bestFit="true" customWidth="true" style="168" width="14.28515625"/>
    <col min="177" max="177" customWidth="true" style="168" width="20.42578125"/>
    <col min="178" max="16384" style="168" width="10.28515625"/>
  </cols>
  <sheetData>
    <row r="1" spans="1:27" s="159" customFormat="1" ht="27" customHeight="1">
      <c r="A1" s="276"/>
      <c r="B1" s="276"/>
      <c r="C1" s="276"/>
      <c r="D1" s="276"/>
      <c r="E1" s="276"/>
      <c r="F1" s="276"/>
      <c r="G1" s="276"/>
      <c r="H1" s="756" t="str">
        <f>INDEX(база!AO:AO, MATCH(Data_Tech!AU7,база!AN:AN,0))</f>
        <v>Производственный цех №3, мастерская 39</v>
      </c>
      <c r="I1" s="756"/>
      <c r="J1" s="756"/>
      <c r="K1" s="756"/>
      <c r="L1" s="756"/>
      <c r="M1" s="756"/>
      <c r="N1" s="756"/>
      <c r="O1" s="756"/>
      <c r="P1" s="756"/>
      <c r="Q1" s="756"/>
      <c r="R1" s="756"/>
      <c r="S1" s="756"/>
      <c r="T1" s="756"/>
      <c r="U1" s="756"/>
      <c r="V1" s="276"/>
      <c r="W1" s="276"/>
      <c r="X1" s="276"/>
      <c r="Y1" s="276"/>
      <c r="Z1" s="276"/>
      <c r="AA1" s="276"/>
    </row>
    <row r="2" spans="1:27" s="159" customFormat="1">
      <c r="A2" s="156"/>
      <c r="B2" s="156"/>
      <c r="C2" s="156"/>
      <c r="D2" s="156"/>
      <c r="E2" s="157"/>
      <c r="F2" s="158"/>
      <c r="G2" s="158"/>
      <c r="H2" s="157"/>
      <c r="I2" s="157"/>
      <c r="L2" s="159" t="s">
        <v>43</v>
      </c>
      <c r="N2" s="158" t="s">
        <v>43</v>
      </c>
      <c r="Q2" s="160" t="str">
        <f>Data_Tech!$A$3</f>
        <v>декабрь</v>
      </c>
      <c r="R2" s="158"/>
      <c r="S2" s="158"/>
      <c r="T2" s="161">
        <v>2023</v>
      </c>
      <c r="U2" s="157"/>
      <c r="V2" s="158"/>
      <c r="W2" s="158"/>
      <c r="X2" s="162"/>
      <c r="Y2" s="156"/>
      <c r="Z2" s="157"/>
      <c r="AA2" s="163"/>
    </row>
    <row r="3" spans="1:27" s="167" customFormat="1" ht="16.5" thickBot="1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6"/>
      <c r="Q3" s="164"/>
      <c r="R3" s="165"/>
      <c r="S3" s="165"/>
      <c r="T3" s="165"/>
      <c r="U3" s="165"/>
      <c r="V3" s="165"/>
      <c r="W3" s="165"/>
      <c r="X3" s="165"/>
      <c r="Y3" s="165"/>
      <c r="Z3" s="165"/>
      <c r="AA3" s="165"/>
    </row>
    <row r="4" spans="1:27" s="348" customFormat="1" ht="16.5" thickBot="1">
      <c r="A4" s="757"/>
      <c r="B4" s="759" t="s">
        <v>33</v>
      </c>
      <c r="C4" s="761" t="s">
        <v>34</v>
      </c>
      <c r="D4" s="763" t="s">
        <v>35</v>
      </c>
      <c r="E4" s="765">
        <v>0.04</v>
      </c>
      <c r="F4" s="766"/>
      <c r="G4" s="766"/>
      <c r="H4" s="767"/>
      <c r="I4" s="765">
        <v>0.08</v>
      </c>
      <c r="J4" s="766"/>
      <c r="K4" s="766"/>
      <c r="L4" s="767"/>
      <c r="M4" s="765">
        <v>0.12</v>
      </c>
      <c r="N4" s="766"/>
      <c r="O4" s="766"/>
      <c r="P4" s="767"/>
      <c r="Q4" s="768">
        <v>0.16</v>
      </c>
      <c r="R4" s="769"/>
      <c r="S4" s="769"/>
      <c r="T4" s="770"/>
      <c r="U4" s="768">
        <v>0.24</v>
      </c>
      <c r="V4" s="769"/>
      <c r="W4" s="769"/>
      <c r="X4" s="770"/>
      <c r="Y4" s="771" t="s">
        <v>36</v>
      </c>
      <c r="Z4" s="773" t="s">
        <v>37</v>
      </c>
      <c r="AA4" s="775" t="s">
        <v>38</v>
      </c>
    </row>
    <row r="5" spans="1:27" ht="42.75" thickBot="1">
      <c r="A5" s="758"/>
      <c r="B5" s="760"/>
      <c r="C5" s="762"/>
      <c r="D5" s="764"/>
      <c r="E5" s="349" t="s">
        <v>39</v>
      </c>
      <c r="F5" s="350" t="s">
        <v>40</v>
      </c>
      <c r="G5" s="350" t="s">
        <v>41</v>
      </c>
      <c r="H5" s="351" t="s">
        <v>42</v>
      </c>
      <c r="I5" s="352" t="s">
        <v>39</v>
      </c>
      <c r="J5" s="350" t="s">
        <v>40</v>
      </c>
      <c r="K5" s="350" t="s">
        <v>41</v>
      </c>
      <c r="L5" s="351" t="s">
        <v>42</v>
      </c>
      <c r="M5" s="352" t="s">
        <v>39</v>
      </c>
      <c r="N5" s="350" t="s">
        <v>40</v>
      </c>
      <c r="O5" s="350" t="s">
        <v>41</v>
      </c>
      <c r="P5" s="351" t="s">
        <v>42</v>
      </c>
      <c r="Q5" s="352" t="s">
        <v>39</v>
      </c>
      <c r="R5" s="350" t="s">
        <v>40</v>
      </c>
      <c r="S5" s="350" t="s">
        <v>41</v>
      </c>
      <c r="T5" s="351" t="s">
        <v>42</v>
      </c>
      <c r="U5" s="352" t="s">
        <v>39</v>
      </c>
      <c r="V5" s="350" t="s">
        <v>40</v>
      </c>
      <c r="W5" s="350" t="s">
        <v>41</v>
      </c>
      <c r="X5" s="353" t="s">
        <v>42</v>
      </c>
      <c r="Y5" s="772"/>
      <c r="Z5" s="774"/>
      <c r="AA5" s="776"/>
    </row>
    <row r="6" spans="1:27" ht="18.75">
      <c r="A6" s="739">
        <v>1</v>
      </c>
      <c r="B6" s="221"/>
      <c r="C6" s="742">
        <f>INDEX(база!$E$2:$E$81, MATCH(B11,база!$B$2:$B$50,0))</f>
        <v>15118</v>
      </c>
      <c r="D6" s="745">
        <f>INDEX(база!$D$2:$D$89, MATCH(B11,база!$B$2:$B$50,0))</f>
        <v>4</v>
      </c>
      <c r="E6" s="354">
        <f>IF(D6&lt;=3,база!$I$4,
IF(D6=4,база!$I$5,
IF(D6=5,база!$I$6)))</f>
        <v>207.5112</v>
      </c>
      <c r="F6" s="355">
        <v>1</v>
      </c>
      <c r="G6" s="529">
        <f>SUMIFS(Таблица14[часы],Таблица14[коэф],"1",Таблица14[р/р],"2/4",Таблица14[Ф. И. О.],B11)</f>
        <v>0</v>
      </c>
      <c r="H6" s="530">
        <f>ROUND(E6*F6*G6*2,2)</f>
        <v>0</v>
      </c>
      <c r="I6" s="358">
        <f>IF(D6&lt;=3,база!$J$4,
IF(D6=4,база!$J$5,
IF(D6=5,база!$J$6)))</f>
        <v>215.4924</v>
      </c>
      <c r="J6" s="355">
        <v>1</v>
      </c>
      <c r="K6" s="359">
        <f>SUMIFS(Таблица14[часы],Таблица14[коэф],"1",Таблица14[р/р],"2/8",Таблица14[Ф. И. О.],B11)</f>
        <v>0</v>
      </c>
      <c r="L6" s="499">
        <f>ROUND(I6*J6*K6*2,2)</f>
        <v>0</v>
      </c>
      <c r="M6" s="361"/>
      <c r="N6" s="359">
        <v>1</v>
      </c>
      <c r="O6" s="359">
        <f>SUMIFS(Data_Tech!$AM$3:$AM$67,Data_Tech!$E$3:$E$67,"1",Data_Tech!$G$3:$G$67,"3/12",Data_Tech!$F$3:$F$67,B11)</f>
        <v>0</v>
      </c>
      <c r="P6" s="362">
        <f>ROUND(M6*N6*O6,2)</f>
        <v>0</v>
      </c>
      <c r="Q6" s="363">
        <f>IF(D6&lt;=3,база!$L$4,
IF(D6=4,база!$L$5,
IF(D6=5,база!$L$6)))</f>
        <v>231.45480000000001</v>
      </c>
      <c r="R6" s="355">
        <v>1</v>
      </c>
      <c r="S6" s="364">
        <f>SUMIFS(Таблица14[часы],Таблица14[коэф],"1",Таблица14[р/р],"3/16",Таблица14[Ф. И. О.],B11)</f>
        <v>0</v>
      </c>
      <c r="T6" s="357">
        <f>ROUND(Q6*R6*S6*2,2)</f>
        <v>0</v>
      </c>
      <c r="U6" s="365">
        <f>IF(D6&lt;=3,база!$M$4,
IF(D6=4,база!$M$5,
IF(D6=5,база!$M$6)))</f>
        <v>247.41720000000001</v>
      </c>
      <c r="V6" s="355">
        <v>1</v>
      </c>
      <c r="W6" s="364">
        <f>SUMIFS(Таблица14[часы],Таблица14[коэф],"1",Таблица14[р/р],"3/24",Таблица14[Ф. И. О.],B11)</f>
        <v>0</v>
      </c>
      <c r="X6" s="524">
        <f>ROUND(U6*V6*W6*2,2)</f>
        <v>0</v>
      </c>
      <c r="Y6" s="753">
        <f>SUM(G6:G16,K6:K16,O6:O16,S6:S16,W6:W16)</f>
        <v>0</v>
      </c>
      <c r="Z6" s="752">
        <f>IFERROR(SUM(H6:H16,L6:L16,T6:T16,X6:X16),"")</f>
        <v>0</v>
      </c>
      <c r="AA6" s="739"/>
    </row>
    <row r="7" spans="1:27" ht="18.75">
      <c r="A7" s="740"/>
      <c r="C7" s="743"/>
      <c r="D7" s="746"/>
      <c r="E7" s="366">
        <f>IF(D6&lt;=3,база!$I$4,
IF(D6=4,база!$I$5,
IF(D6=5,база!$I$6)))</f>
        <v>207.5112</v>
      </c>
      <c r="F7" s="367">
        <v>1</v>
      </c>
      <c r="G7" s="531">
        <f>SUMIFS(Таблица14[часы],Таблица14[коэф],"1",Таблица14[р/р],"3/4",Таблица14[Ф. И. О.],B11)</f>
        <v>0</v>
      </c>
      <c r="H7" s="532">
        <f t="shared" ref="H7:H16" si="0">ROUND(E7*F7*G7*2,2)</f>
        <v>0</v>
      </c>
      <c r="I7" s="370">
        <f>IF(D6&lt;=3,база!$J$4,
IF(D6=4,база!$J$5,
IF(D6=5,база!$J$6)))</f>
        <v>215.4924</v>
      </c>
      <c r="J7" s="367">
        <v>1</v>
      </c>
      <c r="K7" s="371">
        <f>SUMIFS(Таблица14[часы],Таблица14[коэф],"1",Таблица14[р/р],"3/8",Таблица14[Ф. И. О.],B11)</f>
        <v>0</v>
      </c>
      <c r="L7" s="500">
        <f t="shared" ref="L7:L16" si="1">ROUND(I7*J7*K7*2,2)</f>
        <v>0</v>
      </c>
      <c r="M7" s="373"/>
      <c r="N7" s="374">
        <v>1</v>
      </c>
      <c r="O7" s="374">
        <f>SUMIFS(Data_Tech!$AM$3:$AM$67,Data_Tech!$E$3:$E$67,"1",Data_Tech!$G$3:$G$67,"4/12",Data_Tech!$F$3:$F$67,B11)</f>
        <v>0</v>
      </c>
      <c r="P7" s="375">
        <f>ROUND(M7*O7,2)</f>
        <v>0</v>
      </c>
      <c r="Q7" s="376">
        <f>база!$L$5</f>
        <v>231.45480000000001</v>
      </c>
      <c r="R7" s="367">
        <v>1</v>
      </c>
      <c r="S7" s="377">
        <f>SUMIFS(Таблица14[часы],Таблица14[коэф],"1",Таблица14[р/р],"4/16",Таблица14[Ф. И. О.],B11)</f>
        <v>0</v>
      </c>
      <c r="T7" s="369">
        <f t="shared" ref="T7:T16" si="2">ROUND(Q7*R7*S7*2,2)</f>
        <v>0</v>
      </c>
      <c r="U7" s="378">
        <f>база!$M$5</f>
        <v>247.41720000000001</v>
      </c>
      <c r="V7" s="367">
        <v>1</v>
      </c>
      <c r="W7" s="377">
        <f>SUMIFS(Таблица14[часы],Таблица14[коэф],"1",Таблица14[р/р],"4/24",Таблица14[Ф. И. О.],B11)</f>
        <v>0</v>
      </c>
      <c r="X7" s="520">
        <f t="shared" ref="X7:X16" si="3">ROUND(U7*V7*W7*2,2)</f>
        <v>0</v>
      </c>
      <c r="Y7" s="754"/>
      <c r="Z7" s="750"/>
      <c r="AA7" s="740"/>
    </row>
    <row r="8" spans="1:27" ht="18.75">
      <c r="A8" s="740"/>
      <c r="C8" s="743"/>
      <c r="D8" s="746"/>
      <c r="E8" s="366"/>
      <c r="F8" s="367"/>
      <c r="G8" s="531"/>
      <c r="H8" s="533">
        <f t="shared" si="0"/>
        <v>0</v>
      </c>
      <c r="I8" s="370"/>
      <c r="J8" s="367"/>
      <c r="K8" s="371"/>
      <c r="L8" s="500">
        <f t="shared" si="1"/>
        <v>0</v>
      </c>
      <c r="M8" s="373"/>
      <c r="N8" s="374"/>
      <c r="O8" s="374"/>
      <c r="P8" s="375"/>
      <c r="Q8" s="376">
        <f>база!$L$6</f>
        <v>261.04640000000001</v>
      </c>
      <c r="R8" s="367">
        <v>1</v>
      </c>
      <c r="S8" s="377">
        <f>SUMIFS(Таблица14[часы],Таблица14[коэф],"1",Таблица14[р/р],"5/16",Таблица14[Ф. И. О.],B11)</f>
        <v>0</v>
      </c>
      <c r="T8" s="417">
        <f t="shared" si="2"/>
        <v>0</v>
      </c>
      <c r="U8" s="378">
        <f>база!$M$6</f>
        <v>279.0496</v>
      </c>
      <c r="V8" s="367">
        <v>1</v>
      </c>
      <c r="W8" s="377">
        <f>SUMIFS(Таблица14[часы],Таблица14[коэф],"1",Таблица14[р/р],"5/24",Таблица14[Ф. И. О.],B11)</f>
        <v>0</v>
      </c>
      <c r="X8" s="560">
        <f t="shared" si="3"/>
        <v>0</v>
      </c>
      <c r="Y8" s="754"/>
      <c r="Z8" s="750"/>
      <c r="AA8" s="740"/>
    </row>
    <row r="9" spans="1:27" ht="18.75">
      <c r="A9" s="740"/>
      <c r="B9" s="201"/>
      <c r="C9" s="743"/>
      <c r="D9" s="746"/>
      <c r="E9" s="366"/>
      <c r="F9" s="367"/>
      <c r="G9" s="531"/>
      <c r="H9" s="533">
        <f t="shared" si="0"/>
        <v>0</v>
      </c>
      <c r="I9" s="370">
        <f>база!$J$5</f>
        <v>215.4924</v>
      </c>
      <c r="J9" s="367">
        <v>1.5</v>
      </c>
      <c r="K9" s="371">
        <f>SUMIFS(Таблица14[часы],Таблица14[коэф],"1,5",Таблица14[р/р],"4/8",Таблица14[Ф. И. О.],B11)</f>
        <v>0</v>
      </c>
      <c r="L9" s="557">
        <f t="shared" si="1"/>
        <v>0</v>
      </c>
      <c r="M9" s="373"/>
      <c r="N9" s="374"/>
      <c r="O9" s="374"/>
      <c r="P9" s="375"/>
      <c r="Q9" s="376">
        <f>IF(D6&lt;=3,база!$L$4,
IF(D6=4,база!$L$5,
IF(D6=5,база!$L$6)))</f>
        <v>231.45480000000001</v>
      </c>
      <c r="R9" s="367">
        <v>1.2</v>
      </c>
      <c r="S9" s="377">
        <f>SUMIFS(Таблица14[часы],Таблица14[коэф],"1,2",Таблица14[р/р],"3/16",Таблица14[Ф. И. О.],B11)</f>
        <v>0</v>
      </c>
      <c r="T9" s="386">
        <f t="shared" si="2"/>
        <v>0</v>
      </c>
      <c r="U9" s="378">
        <f>IF(D6&lt;=3,база!$M$4,
IF(D6=4,база!$M$5,
IF(D6=5,база!$M$6)))</f>
        <v>247.41720000000001</v>
      </c>
      <c r="V9" s="367">
        <v>1.2</v>
      </c>
      <c r="W9" s="377">
        <f>SUMIFS(Таблица14[часы],Таблица14[коэф],"1,2",Таблица14[р/р],"3/24",Таблица14[Ф. И. О.],B11)</f>
        <v>0</v>
      </c>
      <c r="X9" s="522">
        <f t="shared" si="3"/>
        <v>0</v>
      </c>
      <c r="Y9" s="754"/>
      <c r="Z9" s="750"/>
      <c r="AA9" s="740"/>
    </row>
    <row r="10" spans="1:27" ht="18.75">
      <c r="A10" s="740"/>
      <c r="B10" s="201"/>
      <c r="C10" s="743"/>
      <c r="D10" s="746"/>
      <c r="E10" s="366"/>
      <c r="F10" s="367"/>
      <c r="G10" s="531"/>
      <c r="H10" s="533">
        <f t="shared" si="0"/>
        <v>0</v>
      </c>
      <c r="I10" s="370">
        <f>база!$J$6</f>
        <v>243.04319999999998</v>
      </c>
      <c r="J10" s="367">
        <v>1.5</v>
      </c>
      <c r="K10" s="371">
        <f>SUMIFS(Таблица14[часы],Таблица14[коэф],"1,5",Таблица14[р/р],"5/8",Таблица14[Ф. И. О.],B11)</f>
        <v>0</v>
      </c>
      <c r="L10" s="558">
        <f t="shared" si="1"/>
        <v>0</v>
      </c>
      <c r="M10" s="373"/>
      <c r="N10" s="374"/>
      <c r="O10" s="374"/>
      <c r="P10" s="375"/>
      <c r="Q10" s="376">
        <f>база!$L$5</f>
        <v>231.45480000000001</v>
      </c>
      <c r="R10" s="380">
        <v>1.2</v>
      </c>
      <c r="S10" s="377">
        <f>SUMIFS(Таблица14[часы],Таблица14[коэф],"1,2",Таблица14[р/р],"4/16",Таблица14[Ф. И. О.],B11)</f>
        <v>0</v>
      </c>
      <c r="T10" s="386">
        <f t="shared" si="2"/>
        <v>0</v>
      </c>
      <c r="U10" s="378">
        <f>база!$M$5</f>
        <v>247.41720000000001</v>
      </c>
      <c r="V10" s="380">
        <v>1.2</v>
      </c>
      <c r="W10" s="377">
        <f>SUMIFS(Таблица14[часы],Таблица14[коэф],"1,2",Таблица14[р/р],"4/24",Таблица14[Ф. И. О.],B11)</f>
        <v>0</v>
      </c>
      <c r="X10" s="522">
        <f t="shared" si="3"/>
        <v>0</v>
      </c>
      <c r="Y10" s="754"/>
      <c r="Z10" s="750"/>
      <c r="AA10" s="740"/>
    </row>
    <row r="11" spans="1:27" ht="20.25" customHeight="1">
      <c r="A11" s="740"/>
      <c r="B11" s="201" t="str">
        <f>база!B2</f>
        <v>Авдокушина Елена Николаевна</v>
      </c>
      <c r="C11" s="743"/>
      <c r="D11" s="746"/>
      <c r="E11" s="366"/>
      <c r="F11" s="367"/>
      <c r="G11" s="531"/>
      <c r="H11" s="533">
        <f t="shared" si="0"/>
        <v>0</v>
      </c>
      <c r="I11" s="370"/>
      <c r="J11" s="367"/>
      <c r="K11" s="371"/>
      <c r="L11" s="500">
        <f t="shared" si="1"/>
        <v>0</v>
      </c>
      <c r="M11" s="373"/>
      <c r="N11" s="374"/>
      <c r="O11" s="374"/>
      <c r="P11" s="375"/>
      <c r="Q11" s="376">
        <f>база!$L$6</f>
        <v>261.04640000000001</v>
      </c>
      <c r="R11" s="367">
        <v>1.2</v>
      </c>
      <c r="S11" s="377">
        <f>SUMIFS(Таблица14[часы],Таблица14[коэф],"1,2",Таблица14[р/р],"5/16",Таблица14[Ф. И. О.],B11)</f>
        <v>0</v>
      </c>
      <c r="T11" s="369">
        <f t="shared" si="2"/>
        <v>0</v>
      </c>
      <c r="U11" s="378">
        <f>база!$M$6</f>
        <v>279.0496</v>
      </c>
      <c r="V11" s="367">
        <v>1.2</v>
      </c>
      <c r="W11" s="501">
        <f>SUMIFS(Таблица14[часы],Таблица14[коэф],"1,2",Таблица14[р/р],"5/24",Таблица14[Ф. И. О.],B11)</f>
        <v>0</v>
      </c>
      <c r="X11" s="522">
        <f t="shared" si="3"/>
        <v>0</v>
      </c>
      <c r="Y11" s="754"/>
      <c r="Z11" s="750"/>
      <c r="AA11" s="740"/>
    </row>
    <row r="12" spans="1:27" ht="18.75">
      <c r="A12" s="740"/>
      <c r="C12" s="743"/>
      <c r="D12" s="746"/>
      <c r="E12" s="366"/>
      <c r="F12" s="367"/>
      <c r="G12" s="531"/>
      <c r="H12" s="533">
        <f t="shared" si="0"/>
        <v>0</v>
      </c>
      <c r="I12" s="370"/>
      <c r="J12" s="367"/>
      <c r="K12" s="371"/>
      <c r="L12" s="557">
        <f t="shared" si="1"/>
        <v>0</v>
      </c>
      <c r="M12" s="382"/>
      <c r="N12" s="371"/>
      <c r="O12" s="371"/>
      <c r="P12" s="383"/>
      <c r="Q12" s="384">
        <f>IF(D6&lt;=3,база!$L$4,
IF(D6=4,база!$L$5,
IF(D6=5,база!$L$6)))</f>
        <v>231.45480000000001</v>
      </c>
      <c r="R12" s="380">
        <v>1.3</v>
      </c>
      <c r="S12" s="385">
        <f>SUMIFS(Таблица14[часы],Таблица14[коэф],"1,3",Таблица14[р/р],"3/16",Таблица14[Ф. И. О.],B11)</f>
        <v>0</v>
      </c>
      <c r="T12" s="417">
        <f t="shared" si="2"/>
        <v>0</v>
      </c>
      <c r="U12" s="387">
        <f>IF(D6&lt;=3,база!$M$4,
IF(D6=4,база!$M$5,
IF(D6=5,база!$M$6)))</f>
        <v>247.41720000000001</v>
      </c>
      <c r="V12" s="388">
        <v>1.3</v>
      </c>
      <c r="W12" s="389">
        <f>SUMIFS(Таблица14[часы],Таблица14[коэф],"1,3",Таблица14[р/р],"3/24",Таблица14[Ф. И. О.],B11)</f>
        <v>0</v>
      </c>
      <c r="X12" s="522">
        <f t="shared" si="3"/>
        <v>0</v>
      </c>
      <c r="Y12" s="754"/>
      <c r="Z12" s="750"/>
      <c r="AA12" s="740"/>
    </row>
    <row r="13" spans="1:27" ht="18.75">
      <c r="A13" s="740"/>
      <c r="B13" s="201"/>
      <c r="C13" s="743"/>
      <c r="D13" s="746"/>
      <c r="E13" s="366"/>
      <c r="F13" s="367"/>
      <c r="G13" s="531"/>
      <c r="H13" s="533">
        <f t="shared" si="0"/>
        <v>0</v>
      </c>
      <c r="I13" s="370"/>
      <c r="J13" s="367"/>
      <c r="K13" s="371"/>
      <c r="L13" s="500">
        <f t="shared" si="1"/>
        <v>0</v>
      </c>
      <c r="M13" s="390"/>
      <c r="N13" s="391"/>
      <c r="O13" s="391"/>
      <c r="P13" s="392"/>
      <c r="Q13" s="376">
        <f>база!$L$5</f>
        <v>231.45480000000001</v>
      </c>
      <c r="R13" s="367">
        <v>1.3</v>
      </c>
      <c r="S13" s="377">
        <f>SUMIFS(Таблица14[часы],Таблица14[коэф],"1,3",Таблица14[р/р],"4/16",Таблица14[Ф. И. О.],B11)</f>
        <v>0</v>
      </c>
      <c r="T13" s="386">
        <f t="shared" si="2"/>
        <v>0</v>
      </c>
      <c r="U13" s="387">
        <f>база!$M$5</f>
        <v>247.41720000000001</v>
      </c>
      <c r="V13" s="388">
        <v>1.3</v>
      </c>
      <c r="W13" s="389">
        <f>SUMIFS(Таблица14[часы],Таблица14[коэф],"1,3",Таблица14[р/р],"4/24",Таблица14[Ф. И. О.],B11)</f>
        <v>0</v>
      </c>
      <c r="X13" s="522">
        <f t="shared" si="3"/>
        <v>0</v>
      </c>
      <c r="Y13" s="754"/>
      <c r="Z13" s="750"/>
      <c r="AA13" s="740"/>
    </row>
    <row r="14" spans="1:27" ht="18.75">
      <c r="A14" s="740"/>
      <c r="B14" s="201"/>
      <c r="C14" s="743"/>
      <c r="D14" s="746"/>
      <c r="E14" s="366"/>
      <c r="F14" s="367"/>
      <c r="G14" s="531"/>
      <c r="H14" s="533">
        <f t="shared" si="0"/>
        <v>0</v>
      </c>
      <c r="I14" s="370"/>
      <c r="J14" s="367"/>
      <c r="K14" s="371"/>
      <c r="L14" s="500">
        <f t="shared" si="1"/>
        <v>0</v>
      </c>
      <c r="M14" s="390"/>
      <c r="N14" s="391"/>
      <c r="O14" s="391"/>
      <c r="P14" s="392"/>
      <c r="Q14" s="393">
        <f>IF(D6&lt;=3,база!$L$4,
IF(D6=4,база!$L$5,
IF(D6=5,база!$L$6)))</f>
        <v>231.45480000000001</v>
      </c>
      <c r="R14" s="394">
        <v>1.4</v>
      </c>
      <c r="S14" s="395">
        <f>SUMIFS(Таблица14[часы],Таблица14[коэф],"1,4",Таблица14[р/р],"3/16",Таблица14[Ф. И. О.],B11)</f>
        <v>0</v>
      </c>
      <c r="T14" s="386">
        <f t="shared" si="2"/>
        <v>0</v>
      </c>
      <c r="U14" s="396">
        <f>IF(D6&lt;=3,база!$M$4,
IF(D6=4,база!$M$5,
IF(D6=5,база!$M$6)))</f>
        <v>247.41720000000001</v>
      </c>
      <c r="V14" s="394">
        <v>1.4</v>
      </c>
      <c r="W14" s="395">
        <f>SUMIFS(Таблица14[часы],Таблица14[коэф],"1,4",Таблица14[р/р],"3/24",Таблица14[Ф. И. О.],B11)</f>
        <v>0</v>
      </c>
      <c r="X14" s="522">
        <f t="shared" si="3"/>
        <v>0</v>
      </c>
      <c r="Y14" s="754"/>
      <c r="Z14" s="750"/>
      <c r="AA14" s="740"/>
    </row>
    <row r="15" spans="1:27" ht="18.75">
      <c r="A15" s="740"/>
      <c r="B15" s="201"/>
      <c r="C15" s="743"/>
      <c r="D15" s="746"/>
      <c r="E15" s="397"/>
      <c r="F15" s="380"/>
      <c r="G15" s="534"/>
      <c r="H15" s="535">
        <f t="shared" si="0"/>
        <v>0</v>
      </c>
      <c r="I15" s="399"/>
      <c r="J15" s="380"/>
      <c r="K15" s="400"/>
      <c r="L15" s="557">
        <f t="shared" si="1"/>
        <v>0</v>
      </c>
      <c r="M15" s="390"/>
      <c r="N15" s="391"/>
      <c r="O15" s="391"/>
      <c r="P15" s="392"/>
      <c r="Q15" s="376">
        <f>база!$L$5</f>
        <v>231.45480000000001</v>
      </c>
      <c r="R15" s="367">
        <v>1.4</v>
      </c>
      <c r="S15" s="377">
        <f>SUMIFS(Таблица14[часы],Таблица14[коэф],"1,4",Таблица14[р/р],"4/16",Таблица14[Ф. И. О.],B11)</f>
        <v>0</v>
      </c>
      <c r="T15" s="369">
        <f t="shared" si="2"/>
        <v>0</v>
      </c>
      <c r="U15" s="378">
        <f>база!$M$5</f>
        <v>247.41720000000001</v>
      </c>
      <c r="V15" s="367">
        <v>1.4</v>
      </c>
      <c r="W15" s="377">
        <f>SUMIFS(Таблица14[часы],Таблица14[коэф],"1,4",Таблица14[р/р],"4/24",Таблица14[Ф. И. О.],B11)</f>
        <v>0</v>
      </c>
      <c r="X15" s="522">
        <f t="shared" si="3"/>
        <v>0</v>
      </c>
      <c r="Y15" s="754"/>
      <c r="Z15" s="750"/>
      <c r="AA15" s="740"/>
    </row>
    <row r="16" spans="1:27" ht="19.5" thickBot="1">
      <c r="A16" s="741"/>
      <c r="B16" s="188"/>
      <c r="C16" s="744"/>
      <c r="D16" s="747"/>
      <c r="E16" s="397"/>
      <c r="F16" s="380"/>
      <c r="G16" s="534"/>
      <c r="H16" s="535">
        <f t="shared" si="0"/>
        <v>0</v>
      </c>
      <c r="I16" s="399"/>
      <c r="J16" s="380"/>
      <c r="K16" s="400"/>
      <c r="L16" s="559">
        <f t="shared" si="1"/>
        <v>0</v>
      </c>
      <c r="M16" s="390"/>
      <c r="N16" s="391"/>
      <c r="O16" s="391"/>
      <c r="P16" s="392"/>
      <c r="Q16" s="384">
        <f>база!$L$6</f>
        <v>261.04640000000001</v>
      </c>
      <c r="R16" s="380">
        <v>1.4</v>
      </c>
      <c r="S16" s="385">
        <f>SUMIFS(Таблица14[часы],Таблица14[коэф],"1,4",Таблица14[р/р],"5/16",Таблица14[Ф. И. О.],B11)</f>
        <v>0</v>
      </c>
      <c r="T16" s="379">
        <f t="shared" si="2"/>
        <v>0</v>
      </c>
      <c r="U16" s="502">
        <f>база!$M$6</f>
        <v>279.0496</v>
      </c>
      <c r="V16" s="380">
        <v>1.4</v>
      </c>
      <c r="W16" s="503">
        <f>SUMIFS(Таблица14[часы],Таблица14[коэф],"1,4",Таблица14[р/р],"5/24",Таблица14[Ф. И. О.],B11)</f>
        <v>0</v>
      </c>
      <c r="X16" s="525">
        <f t="shared" si="3"/>
        <v>0</v>
      </c>
      <c r="Y16" s="755"/>
      <c r="Z16" s="751"/>
      <c r="AA16" s="741"/>
    </row>
    <row r="17" spans="1:27" ht="20.25" customHeight="1">
      <c r="A17" s="739">
        <v>2</v>
      </c>
      <c r="B17" s="201"/>
      <c r="C17" s="742">
        <f>INDEX(база!$E$2:$E$81, MATCH(B22,база!$B$2:$B$50,0))</f>
        <v>15799</v>
      </c>
      <c r="D17" s="745">
        <f>INDEX(база!$D$2:$D$89, MATCH(B22,база!$B$2:$B$50,0))</f>
        <v>3</v>
      </c>
      <c r="E17" s="354">
        <f>IF(D17&lt;=3,база!$I$4,
IF(D17=4,база!$I$5,
IF(D17=5,база!$I$6)))</f>
        <v>188.7912</v>
      </c>
      <c r="F17" s="355">
        <v>1</v>
      </c>
      <c r="G17" s="364">
        <f>SUMIFS(Таблица14[часы],Таблица14[коэф],"1",Таблица14[р/р],"2/4",Таблица14[Ф. И. О.],B22)</f>
        <v>0</v>
      </c>
      <c r="H17" s="357">
        <f>ROUND(E17*F17*G17*2,2)</f>
        <v>0</v>
      </c>
      <c r="I17" s="358">
        <f>IF(D17&lt;=3,база!$J$4,
IF(D17=4,база!$J$5,
IF(D17=5,база!$J$6)))</f>
        <v>196.05240000000001</v>
      </c>
      <c r="J17" s="355">
        <v>1</v>
      </c>
      <c r="K17" s="405">
        <f>SUMIFS(Таблица14[часы],Таблица14[коэф],"1",Таблица14[р/р],"2/8",Таблица14[Ф. И. О.],B22)</f>
        <v>0</v>
      </c>
      <c r="L17" s="360">
        <f>ROUND(I17*J17*K17*2,2)</f>
        <v>0</v>
      </c>
      <c r="M17" s="403"/>
      <c r="N17" s="405">
        <v>1</v>
      </c>
      <c r="O17" s="405">
        <f>SUMIFS(Data_Tech!$AM$3:$AM$67,Data_Tech!$E$3:$E$67,"1",Data_Tech!$G$3:$G$67,"3/12",Data_Tech!$F$3:$F$67,B22)</f>
        <v>0</v>
      </c>
      <c r="P17" s="362">
        <f>ROUND(M17*N17*O17,2)</f>
        <v>0</v>
      </c>
      <c r="Q17" s="406">
        <f>IF(D17&lt;=3,база!$L$4,
IF(D17=4,база!$L$5,
IF(D17=5,база!$L$6)))</f>
        <v>210.57480000000001</v>
      </c>
      <c r="R17" s="406">
        <v>1</v>
      </c>
      <c r="S17" s="407">
        <f>SUMIFS(Таблица14[часы],Таблица14[коэф],"1",Таблица14[р/р],"3/16",Таблица14[Ф. И. О.],B22)</f>
        <v>0</v>
      </c>
      <c r="T17" s="504">
        <f>ROUND(Q17*R17*S17*2,2)</f>
        <v>0</v>
      </c>
      <c r="U17" s="408">
        <f>IF(D17&lt;=3,база!$M$4,
IF(D17=4,база!$M$5,
IF(D17=5,база!$M$6)))</f>
        <v>225.09719999999999</v>
      </c>
      <c r="V17" s="355">
        <v>1</v>
      </c>
      <c r="W17" s="407">
        <f>SUMIFS(Таблица14[часы],Таблица14[коэф],"1",Таблица14[р/р],"3/24",Таблица14[Ф. И. О.],B22)</f>
        <v>0</v>
      </c>
      <c r="X17" s="504">
        <f>ROUND(U17*V17*W17*2,2)</f>
        <v>0</v>
      </c>
      <c r="Y17" s="753">
        <f t="shared" ref="Y17" si="4">SUM(G17:G27,K17:K27,O17:O27,S17:S27,W17:W27)</f>
        <v>0</v>
      </c>
      <c r="Z17" s="750">
        <f>IFERROR(SUM(H17:H27,L17:L27,T17:T27,X17:X27),"")</f>
        <v>0</v>
      </c>
      <c r="AA17" s="740"/>
    </row>
    <row r="18" spans="1:27" ht="20.25" customHeight="1">
      <c r="A18" s="740"/>
      <c r="B18" s="201"/>
      <c r="C18" s="743"/>
      <c r="D18" s="746"/>
      <c r="E18" s="366">
        <f>IF(D17&lt;=3,база!$I$4,
IF(D17=4,база!$I$5,
IF(D17=5,база!$I$6)))</f>
        <v>188.7912</v>
      </c>
      <c r="F18" s="367">
        <v>1</v>
      </c>
      <c r="G18" s="377">
        <f>SUMIFS(Таблица14[часы],Таблица14[коэф],"1",Таблица14[р/р],"3/4",Таблица14[Ф. И. О.],B22)</f>
        <v>0</v>
      </c>
      <c r="H18" s="369">
        <f t="shared" ref="H18:H27" si="5">ROUND(E18*F18*G18*2,2)</f>
        <v>0</v>
      </c>
      <c r="I18" s="370">
        <f>IF(D17&lt;=3,база!$J$4,
IF(D17=4,база!$J$5,
IF(D17=5,база!$J$6)))</f>
        <v>196.05240000000001</v>
      </c>
      <c r="J18" s="367">
        <v>1</v>
      </c>
      <c r="K18" s="411">
        <f>SUMIFS(Таблица14[часы],Таблица14[коэф],"1",Таблица14[р/р],"3/8",Таблица14[Ф. И. О.],B22)</f>
        <v>0</v>
      </c>
      <c r="L18" s="372">
        <f t="shared" ref="L18:L27" si="6">ROUND(I18*J18*K18*2,2)</f>
        <v>0</v>
      </c>
      <c r="M18" s="409"/>
      <c r="N18" s="411">
        <v>1</v>
      </c>
      <c r="O18" s="411">
        <f>SUMIFS(Data_Tech!$AM$3:$AM$67,Data_Tech!$E$3:$E$67,"1",Data_Tech!$G$3:$G$67,"4/12",Data_Tech!$F$3:$F$67,B22)</f>
        <v>0</v>
      </c>
      <c r="P18" s="383">
        <f>ROUND(M18*O18,2)</f>
        <v>0</v>
      </c>
      <c r="Q18" s="412">
        <f>база!$L$5</f>
        <v>231.45480000000001</v>
      </c>
      <c r="R18" s="412">
        <v>1</v>
      </c>
      <c r="S18" s="389">
        <f>SUMIFS(Таблица14[часы],Таблица14[коэф],"1",Таблица14[р/р],"4/16",Таблица14[Ф. И. О.],B22)</f>
        <v>0</v>
      </c>
      <c r="T18" s="505">
        <f t="shared" ref="T18:T27" si="7">ROUND(Q18*R18*S18*2,2)</f>
        <v>0</v>
      </c>
      <c r="U18" s="413">
        <f>база!$M$5</f>
        <v>247.41720000000001</v>
      </c>
      <c r="V18" s="367">
        <v>1</v>
      </c>
      <c r="W18" s="389">
        <f>SUMIFS(Таблица14[часы],Таблица14[коэф],"1",Таблица14[р/р],"4/24",Таблица14[Ф. И. О.],B22)</f>
        <v>0</v>
      </c>
      <c r="X18" s="506">
        <f t="shared" ref="X18:X27" si="8">ROUND(U18*V18*W18*2,2)</f>
        <v>0</v>
      </c>
      <c r="Y18" s="754"/>
      <c r="Z18" s="750"/>
      <c r="AA18" s="740"/>
    </row>
    <row r="19" spans="1:27" ht="20.25" customHeight="1">
      <c r="A19" s="740"/>
      <c r="B19" s="201"/>
      <c r="C19" s="743"/>
      <c r="D19" s="746"/>
      <c r="E19" s="366"/>
      <c r="F19" s="367"/>
      <c r="G19" s="377"/>
      <c r="H19" s="369">
        <f t="shared" si="5"/>
        <v>0</v>
      </c>
      <c r="I19" s="370"/>
      <c r="J19" s="367"/>
      <c r="K19" s="411"/>
      <c r="L19" s="372">
        <f t="shared" si="6"/>
        <v>0</v>
      </c>
      <c r="M19" s="409"/>
      <c r="N19" s="411"/>
      <c r="O19" s="411"/>
      <c r="P19" s="383"/>
      <c r="Q19" s="376">
        <f>база!$L$6</f>
        <v>261.04640000000001</v>
      </c>
      <c r="R19" s="367">
        <v>1</v>
      </c>
      <c r="S19" s="377">
        <f>SUMIFS(Таблица14[часы],Таблица14[коэф],"1",Таблица14[р/р],"5/16",Таблица14[Ф. И. О.],B22)</f>
        <v>0</v>
      </c>
      <c r="T19" s="507">
        <f t="shared" si="7"/>
        <v>0</v>
      </c>
      <c r="U19" s="413">
        <f>база!$M$6</f>
        <v>279.0496</v>
      </c>
      <c r="V19" s="367">
        <v>1</v>
      </c>
      <c r="W19" s="389">
        <f>SUMIFS(Таблица14[часы],Таблица14[коэф],"1",Таблица14[р/р],"5/24",Таблица14[Ф. И. О.],B22)</f>
        <v>0</v>
      </c>
      <c r="X19" s="505">
        <f t="shared" si="8"/>
        <v>0</v>
      </c>
      <c r="Y19" s="754"/>
      <c r="Z19" s="750"/>
      <c r="AA19" s="740"/>
    </row>
    <row r="20" spans="1:27" ht="20.25" customHeight="1">
      <c r="A20" s="740"/>
      <c r="B20" s="201"/>
      <c r="C20" s="743"/>
      <c r="D20" s="746"/>
      <c r="E20" s="414"/>
      <c r="F20" s="415"/>
      <c r="G20" s="416"/>
      <c r="H20" s="417">
        <f t="shared" si="5"/>
        <v>0</v>
      </c>
      <c r="I20" s="492">
        <f>база!$J$5</f>
        <v>215.4924</v>
      </c>
      <c r="J20" s="415">
        <v>1.5</v>
      </c>
      <c r="K20" s="419">
        <f>SUMIFS(Таблица14[часы],Таблица14[коэф],"1,5",Таблица14[р/р],"4/8",Таблица14[Ф. И. О.],B22)</f>
        <v>0</v>
      </c>
      <c r="L20" s="508">
        <f t="shared" si="6"/>
        <v>0</v>
      </c>
      <c r="M20" s="418"/>
      <c r="N20" s="419"/>
      <c r="O20" s="419"/>
      <c r="P20" s="392"/>
      <c r="Q20" s="420">
        <f>IF(D17&lt;=3,база!$L$4,
IF(D17=4,база!$L$5,
IF(D17=5,база!$L$6)))</f>
        <v>210.57480000000001</v>
      </c>
      <c r="R20" s="415">
        <v>1.2</v>
      </c>
      <c r="S20" s="416">
        <f>SUMIFS(Таблица14[часы],Таблица14[коэф],"1,2",Таблица14[р/р],"3/16",Таблица14[Ф. И. О.],B22)</f>
        <v>0</v>
      </c>
      <c r="T20" s="417">
        <f t="shared" si="7"/>
        <v>0</v>
      </c>
      <c r="U20" s="421">
        <f>IF(D17&lt;=3,база!$M$4,
IF(D17=4,база!$M$5,
IF(D17=5,база!$M$6)))</f>
        <v>225.09719999999999</v>
      </c>
      <c r="V20" s="415">
        <v>1.2</v>
      </c>
      <c r="W20" s="509">
        <f>SUMIFS(Таблица14[часы],Таблица14[коэф],"1,2",Таблица14[р/р],"3/24",Таблица14[Ф. И. О.],B22)</f>
        <v>0</v>
      </c>
      <c r="X20" s="510">
        <f t="shared" si="8"/>
        <v>0</v>
      </c>
      <c r="Y20" s="754"/>
      <c r="Z20" s="750"/>
      <c r="AA20" s="740"/>
    </row>
    <row r="21" spans="1:27" ht="20.25" customHeight="1">
      <c r="A21" s="740"/>
      <c r="B21" s="201"/>
      <c r="C21" s="743"/>
      <c r="D21" s="746"/>
      <c r="E21" s="366"/>
      <c r="F21" s="367"/>
      <c r="G21" s="377"/>
      <c r="H21" s="369">
        <f t="shared" si="5"/>
        <v>0</v>
      </c>
      <c r="I21" s="370">
        <f>база!$J$6</f>
        <v>243.04319999999998</v>
      </c>
      <c r="J21" s="367">
        <v>1.5</v>
      </c>
      <c r="K21" s="411">
        <f>SUMIFS(Таблица14[часы],Таблица14[коэф],"1,5",Таблица14[р/р],"5/8",Таблица14[Ф. И. О.],B22)</f>
        <v>0</v>
      </c>
      <c r="L21" s="372">
        <f t="shared" si="6"/>
        <v>0</v>
      </c>
      <c r="M21" s="409"/>
      <c r="N21" s="411"/>
      <c r="O21" s="411"/>
      <c r="P21" s="383"/>
      <c r="Q21" s="376">
        <f>база!$L$5</f>
        <v>231.45480000000001</v>
      </c>
      <c r="R21" s="367">
        <v>1.2</v>
      </c>
      <c r="S21" s="377">
        <f>SUMIFS(Таблица14[часы],Таблица14[коэф],"1,2",Таблица14[р/р],"4/16",Таблица14[Ф. И. О.],B22)</f>
        <v>0</v>
      </c>
      <c r="T21" s="369">
        <f t="shared" si="7"/>
        <v>0</v>
      </c>
      <c r="U21" s="413">
        <f>база!$M$5</f>
        <v>247.41720000000001</v>
      </c>
      <c r="V21" s="367">
        <v>1.2</v>
      </c>
      <c r="W21" s="389">
        <f>SUMIFS(Таблица14[часы],Таблица14[коэф],"1,2",Таблица14[р/р],"4/24",Таблица14[Ф. И. О.],B22)</f>
        <v>0</v>
      </c>
      <c r="X21" s="505">
        <f t="shared" si="8"/>
        <v>0</v>
      </c>
      <c r="Y21" s="754"/>
      <c r="Z21" s="750"/>
      <c r="AA21" s="740"/>
    </row>
    <row r="22" spans="1:27" ht="20.25" customHeight="1">
      <c r="A22" s="740"/>
      <c r="B22" s="201" t="str">
        <f>база!B3</f>
        <v>Аксенов Александр Юрьевич</v>
      </c>
      <c r="C22" s="743"/>
      <c r="D22" s="746"/>
      <c r="E22" s="414"/>
      <c r="F22" s="415"/>
      <c r="G22" s="416"/>
      <c r="H22" s="417">
        <f t="shared" si="5"/>
        <v>0</v>
      </c>
      <c r="I22" s="492"/>
      <c r="J22" s="415"/>
      <c r="K22" s="419"/>
      <c r="L22" s="508">
        <f t="shared" si="6"/>
        <v>0</v>
      </c>
      <c r="M22" s="418"/>
      <c r="N22" s="419"/>
      <c r="O22" s="419"/>
      <c r="P22" s="392"/>
      <c r="Q22" s="420">
        <f>база!$L$6</f>
        <v>261.04640000000001</v>
      </c>
      <c r="R22" s="415">
        <v>1.2</v>
      </c>
      <c r="S22" s="416">
        <f>SUMIFS(Таблица14[часы],Таблица14[коэф],"1,2",Таблица14[р/р],"5/16",Таблица14[Ф. И. О.],B22)</f>
        <v>0</v>
      </c>
      <c r="T22" s="417">
        <f t="shared" si="7"/>
        <v>0</v>
      </c>
      <c r="U22" s="421">
        <f>база!$M$6</f>
        <v>279.0496</v>
      </c>
      <c r="V22" s="415">
        <v>1.2</v>
      </c>
      <c r="W22" s="509">
        <f>SUMIFS(Таблица14[часы],Таблица14[коэф],"1,2",Таблица14[р/р],"5/24",Таблица14[Ф. И. О.],B22)</f>
        <v>0</v>
      </c>
      <c r="X22" s="510">
        <f t="shared" si="8"/>
        <v>0</v>
      </c>
      <c r="Y22" s="754"/>
      <c r="Z22" s="750"/>
      <c r="AA22" s="740"/>
    </row>
    <row r="23" spans="1:27" ht="20.25" customHeight="1">
      <c r="A23" s="740"/>
      <c r="B23" s="201"/>
      <c r="C23" s="743"/>
      <c r="D23" s="746"/>
      <c r="E23" s="366"/>
      <c r="F23" s="367"/>
      <c r="G23" s="377"/>
      <c r="H23" s="369">
        <f t="shared" si="5"/>
        <v>0</v>
      </c>
      <c r="I23" s="370"/>
      <c r="J23" s="367"/>
      <c r="K23" s="411"/>
      <c r="L23" s="372">
        <f t="shared" si="6"/>
        <v>0</v>
      </c>
      <c r="M23" s="409"/>
      <c r="N23" s="411"/>
      <c r="O23" s="411"/>
      <c r="P23" s="383"/>
      <c r="Q23" s="376">
        <f>IF(D17&lt;=3,база!$L$4,
IF(D17=4,база!$L$5,
IF(D17=5,база!$L$6)))</f>
        <v>210.57480000000001</v>
      </c>
      <c r="R23" s="367">
        <v>1.3</v>
      </c>
      <c r="S23" s="377">
        <f>SUMIFS(Таблица14[часы],Таблица14[коэф],"1,3",Таблица14[р/р],"3/16",Таблица14[Ф. И. О.],B22)</f>
        <v>0</v>
      </c>
      <c r="T23" s="369">
        <f t="shared" si="7"/>
        <v>0</v>
      </c>
      <c r="U23" s="413">
        <f>IF(D17&lt;=3,база!$M$4,
IF(D17=4,база!$M$5,
IF(D17=5,база!$M$6)))</f>
        <v>225.09719999999999</v>
      </c>
      <c r="V23" s="367">
        <v>1.3</v>
      </c>
      <c r="W23" s="389">
        <f>SUMIFS(Таблица14[часы],Таблица14[коэф],"1,3",Таблица14[р/р],"3/24",Таблица14[Ф. И. О.],B22)</f>
        <v>0</v>
      </c>
      <c r="X23" s="505">
        <f t="shared" si="8"/>
        <v>0</v>
      </c>
      <c r="Y23" s="754"/>
      <c r="Z23" s="750"/>
      <c r="AA23" s="740"/>
    </row>
    <row r="24" spans="1:27" ht="20.25" customHeight="1">
      <c r="A24" s="740"/>
      <c r="B24" s="201"/>
      <c r="C24" s="743"/>
      <c r="D24" s="746"/>
      <c r="E24" s="366"/>
      <c r="F24" s="367"/>
      <c r="G24" s="377"/>
      <c r="H24" s="369">
        <f t="shared" si="5"/>
        <v>0</v>
      </c>
      <c r="I24" s="370"/>
      <c r="J24" s="367"/>
      <c r="K24" s="411"/>
      <c r="L24" s="372">
        <f t="shared" si="6"/>
        <v>0</v>
      </c>
      <c r="M24" s="409"/>
      <c r="N24" s="411"/>
      <c r="O24" s="411"/>
      <c r="P24" s="383"/>
      <c r="Q24" s="376">
        <f>база!$L$5</f>
        <v>231.45480000000001</v>
      </c>
      <c r="R24" s="367">
        <v>1.3</v>
      </c>
      <c r="S24" s="377">
        <f>SUMIFS(Таблица14[часы],Таблица14[коэф],"1,3",Таблица14[р/р],"4/16",Таблица14[Ф. И. О.],B22)</f>
        <v>0</v>
      </c>
      <c r="T24" s="369">
        <f t="shared" si="7"/>
        <v>0</v>
      </c>
      <c r="U24" s="413">
        <f>база!$M$5</f>
        <v>247.41720000000001</v>
      </c>
      <c r="V24" s="367">
        <v>1.3</v>
      </c>
      <c r="W24" s="389">
        <f>SUMIFS(Таблица14[часы],Таблица14[коэф],"1,3",Таблица14[р/р],"4/24",Таблица14[Ф. И. О.],B22)</f>
        <v>0</v>
      </c>
      <c r="X24" s="505">
        <f t="shared" si="8"/>
        <v>0</v>
      </c>
      <c r="Y24" s="754"/>
      <c r="Z24" s="750"/>
      <c r="AA24" s="740"/>
    </row>
    <row r="25" spans="1:27" ht="20.25" customHeight="1">
      <c r="A25" s="740"/>
      <c r="B25" s="201"/>
      <c r="C25" s="743"/>
      <c r="D25" s="746"/>
      <c r="E25" s="414"/>
      <c r="F25" s="415"/>
      <c r="G25" s="416"/>
      <c r="H25" s="417">
        <f t="shared" si="5"/>
        <v>0</v>
      </c>
      <c r="I25" s="492"/>
      <c r="J25" s="415"/>
      <c r="K25" s="419"/>
      <c r="L25" s="508">
        <f t="shared" si="6"/>
        <v>0</v>
      </c>
      <c r="M25" s="418"/>
      <c r="N25" s="419"/>
      <c r="O25" s="419"/>
      <c r="P25" s="392"/>
      <c r="Q25" s="420">
        <f>IF(D17&lt;=3,база!$L$4,
IF(D17=4,база!$L$5,
IF(D17=5,база!$L$6)))</f>
        <v>210.57480000000001</v>
      </c>
      <c r="R25" s="415">
        <v>1.4</v>
      </c>
      <c r="S25" s="416">
        <f>SUMIFS(Таблица14[часы],Таблица14[коэф],"1,4",Таблица14[р/р],"3/16",Таблица14[Ф. И. О.],B22)</f>
        <v>0</v>
      </c>
      <c r="T25" s="417">
        <f t="shared" si="7"/>
        <v>0</v>
      </c>
      <c r="U25" s="421">
        <f>IF(D17&lt;=3,база!$M$4,
IF(D17=4,база!$M$5,
IF(D17=5,база!$M$6)))</f>
        <v>225.09719999999999</v>
      </c>
      <c r="V25" s="415">
        <v>1.4</v>
      </c>
      <c r="W25" s="509">
        <f>SUMIFS(Таблица14[часы],Таблица14[коэф],"1,4",Таблица14[р/р],"3/24",Таблица14[Ф. И. О.],B22)</f>
        <v>0</v>
      </c>
      <c r="X25" s="510">
        <f t="shared" si="8"/>
        <v>0</v>
      </c>
      <c r="Y25" s="754"/>
      <c r="Z25" s="750"/>
      <c r="AA25" s="740"/>
    </row>
    <row r="26" spans="1:27" ht="20.25" customHeight="1">
      <c r="A26" s="740"/>
      <c r="B26" s="201"/>
      <c r="C26" s="743"/>
      <c r="D26" s="746"/>
      <c r="E26" s="366"/>
      <c r="F26" s="367"/>
      <c r="G26" s="377"/>
      <c r="H26" s="369">
        <f t="shared" si="5"/>
        <v>0</v>
      </c>
      <c r="I26" s="370"/>
      <c r="J26" s="367"/>
      <c r="K26" s="411"/>
      <c r="L26" s="372">
        <f t="shared" si="6"/>
        <v>0</v>
      </c>
      <c r="M26" s="409"/>
      <c r="N26" s="411"/>
      <c r="O26" s="411"/>
      <c r="P26" s="383"/>
      <c r="Q26" s="376">
        <f>база!$L$5</f>
        <v>231.45480000000001</v>
      </c>
      <c r="R26" s="367">
        <v>1.4</v>
      </c>
      <c r="S26" s="377">
        <f>SUMIFS(Таблица14[часы],Таблица14[коэф],"1,4",Таблица14[р/р],"4/16",Таблица14[Ф. И. О.],B22)</f>
        <v>0</v>
      </c>
      <c r="T26" s="369">
        <f t="shared" si="7"/>
        <v>0</v>
      </c>
      <c r="U26" s="413">
        <f>база!$M$5</f>
        <v>247.41720000000001</v>
      </c>
      <c r="V26" s="367">
        <v>1.4</v>
      </c>
      <c r="W26" s="389">
        <f>SUMIFS(Таблица14[часы],Таблица14[коэф],"1,4",Таблица14[р/р],"4/24",Таблица14[Ф. И. О.],B22)</f>
        <v>0</v>
      </c>
      <c r="X26" s="505">
        <f t="shared" si="8"/>
        <v>0</v>
      </c>
      <c r="Y26" s="754"/>
      <c r="Z26" s="750"/>
      <c r="AA26" s="740"/>
    </row>
    <row r="27" spans="1:27" ht="20.25" customHeight="1" thickBot="1">
      <c r="A27" s="741"/>
      <c r="B27" s="188"/>
      <c r="C27" s="744"/>
      <c r="D27" s="747"/>
      <c r="E27" s="422"/>
      <c r="F27" s="423"/>
      <c r="G27" s="424"/>
      <c r="H27" s="511">
        <f t="shared" si="5"/>
        <v>0</v>
      </c>
      <c r="I27" s="512"/>
      <c r="J27" s="423"/>
      <c r="K27" s="426"/>
      <c r="L27" s="513">
        <f t="shared" si="6"/>
        <v>0</v>
      </c>
      <c r="M27" s="425"/>
      <c r="N27" s="426"/>
      <c r="O27" s="426"/>
      <c r="P27" s="514"/>
      <c r="Q27" s="427">
        <f>база!$L$6</f>
        <v>261.04640000000001</v>
      </c>
      <c r="R27" s="423">
        <v>1.4</v>
      </c>
      <c r="S27" s="424">
        <f>SUMIFS(Таблица14[часы],Таблица14[коэф],"1,4",Таблица14[р/р],"5/16",Таблица14[Ф. И. О.],B22)</f>
        <v>0</v>
      </c>
      <c r="T27" s="511">
        <f t="shared" si="7"/>
        <v>0</v>
      </c>
      <c r="U27" s="515">
        <f>база!$M$6</f>
        <v>279.0496</v>
      </c>
      <c r="V27" s="423">
        <v>1.4</v>
      </c>
      <c r="W27" s="516">
        <f>SUMIFS(Таблица14[часы],Таблица14[коэф],"1,4",Таблица14[р/р],"5/24",Таблица14[Ф. И. О.],B22)</f>
        <v>0</v>
      </c>
      <c r="X27" s="517">
        <f t="shared" si="8"/>
        <v>0</v>
      </c>
      <c r="Y27" s="755"/>
      <c r="Z27" s="751"/>
      <c r="AA27" s="741"/>
    </row>
    <row r="28" spans="1:27" ht="18.75" customHeight="1">
      <c r="A28" s="739">
        <v>3</v>
      </c>
      <c r="B28" s="201"/>
      <c r="C28" s="742">
        <f>INDEX(база!$E$2:$E$81, MATCH(B33,база!$B$2:$B$50,0))</f>
        <v>15791</v>
      </c>
      <c r="D28" s="745">
        <f>INDEX(база!$D$2:$D$89, MATCH(B33,база!$B$2:$B$50,0))</f>
        <v>4</v>
      </c>
      <c r="E28" s="428">
        <f>IF(D28&lt;=3,база!$I$4,
IF(D28=4,база!$I$5,
IF(D28=5,база!$I$6)))</f>
        <v>207.5112</v>
      </c>
      <c r="F28" s="394">
        <v>1</v>
      </c>
      <c r="G28" s="395">
        <f>SUMIFS(Таблица14[часы],Таблица14[коэф],"1",Таблица14[р/р],"2/4",Таблица14[Ф. И. О.],B33)</f>
        <v>0</v>
      </c>
      <c r="H28" s="518">
        <f>ROUND(E28*F28*G28*2,2)</f>
        <v>0</v>
      </c>
      <c r="I28" s="354">
        <f>IF(D28&lt;=3,база!$J$4,
IF(D28=4,база!$J$5,
IF(D28=5,база!$J$6)))</f>
        <v>215.4924</v>
      </c>
      <c r="J28" s="355">
        <v>1</v>
      </c>
      <c r="K28" s="405">
        <f>SUMIFS(Таблица14[часы],Таблица14[коэф],"1",Таблица14[р/р],"2/8",Таблица14[Ф. И. О.],B33)</f>
        <v>0</v>
      </c>
      <c r="L28" s="360">
        <f>ROUND(I28*J28*K28*2,2)</f>
        <v>0</v>
      </c>
      <c r="M28" s="429"/>
      <c r="N28" s="430">
        <v>1</v>
      </c>
      <c r="O28" s="430">
        <f>SUMIFS(Data_Tech!$AM$3:$AM$67,Data_Tech!$E$3:$E$67,"1",Data_Tech!$G$3:$G$67,"3/12",Data_Tech!$F$3:$F$67,B33)</f>
        <v>0</v>
      </c>
      <c r="P28" s="430">
        <f>ROUND(M28*N28*O28,2)</f>
        <v>0</v>
      </c>
      <c r="Q28" s="393">
        <f>IF(D28&lt;=3,база!$L$4,
IF(D28=4,база!$L$5,
IF(D28=5,база!$L$6)))</f>
        <v>231.45480000000001</v>
      </c>
      <c r="R28" s="394">
        <v>1</v>
      </c>
      <c r="S28" s="395">
        <f>SUMIFS(Таблица14[часы],Таблица14[коэф],"1",Таблица14[р/р],"3/16",Таблица14[Ф. И. О.],B33)</f>
        <v>0</v>
      </c>
      <c r="T28" s="357">
        <f>ROUND(Q28*R28*S28*2,2)</f>
        <v>0</v>
      </c>
      <c r="U28" s="431">
        <f>IF(D28&lt;=3,база!$M$4,
IF(D28=4,база!$M$5,
IF(D28=5,база!$M$6)))</f>
        <v>247.41720000000001</v>
      </c>
      <c r="V28" s="394">
        <v>1</v>
      </c>
      <c r="W28" s="432">
        <f>SUMIFS(Таблица14[часы],Таблица14[коэф],"1",Таблица14[р/р],"3/24",Таблица14[Ф. И. О.],B33)</f>
        <v>0</v>
      </c>
      <c r="X28" s="519">
        <f>ROUND(U28*V28*W28*2,2)</f>
        <v>0</v>
      </c>
      <c r="Y28" s="753">
        <f t="shared" ref="Y28" si="9">SUM(G28:G38,K28:K38,O28:O38,S28:S38,W28:W38)</f>
        <v>0</v>
      </c>
      <c r="Z28" s="750">
        <f>IFERROR(SUM(H28:H38,L28:L38,T28:T38,X28:X38),"")</f>
        <v>0</v>
      </c>
      <c r="AA28" s="739"/>
    </row>
    <row r="29" spans="1:27" ht="18.75" customHeight="1">
      <c r="A29" s="740"/>
      <c r="B29" s="201"/>
      <c r="C29" s="743"/>
      <c r="D29" s="746"/>
      <c r="E29" s="370">
        <f>IF(D28&lt;=3,база!$I$4,
IF(D28=4,база!$I$5,
IF(D28=5,база!$I$6)))</f>
        <v>207.5112</v>
      </c>
      <c r="F29" s="367">
        <v>1</v>
      </c>
      <c r="G29" s="377">
        <f>SUMIFS(Таблица14[часы],Таблица14[коэф],"1",Таблица14[р/р],"3/4",Таблица14[Ф. И. О.],B33)</f>
        <v>0</v>
      </c>
      <c r="H29" s="520">
        <f t="shared" ref="H29:H38" si="10">ROUND(E29*F29*G29*2,2)</f>
        <v>0</v>
      </c>
      <c r="I29" s="366">
        <f>IF(D28&lt;=3,база!$J$4,
IF(D28=4,база!$J$5,
IF(D28=5,база!$J$6)))</f>
        <v>215.4924</v>
      </c>
      <c r="J29" s="367">
        <v>1</v>
      </c>
      <c r="K29" s="411">
        <f>SUMIFS(Таблица14[часы],Таблица14[коэф],"1",Таблица14[р/р],"3/8",Таблица14[Ф. И. О.],B33)</f>
        <v>0</v>
      </c>
      <c r="L29" s="372">
        <f t="shared" ref="L29:L38" si="11">ROUND(I29*J29*K29*2,2)</f>
        <v>0</v>
      </c>
      <c r="M29" s="409"/>
      <c r="N29" s="411">
        <v>1</v>
      </c>
      <c r="O29" s="411">
        <f>SUMIFS(Data_Tech!$AM$3:$AM$67,Data_Tech!$E$3:$E$67,"1",Data_Tech!$G$3:$G$67,"4/12",Data_Tech!$F$3:$F$67,B33)</f>
        <v>0</v>
      </c>
      <c r="P29" s="411">
        <f>ROUND(M29*O29,2)</f>
        <v>0</v>
      </c>
      <c r="Q29" s="376">
        <f>база!$L$5</f>
        <v>231.45480000000001</v>
      </c>
      <c r="R29" s="367">
        <v>1</v>
      </c>
      <c r="S29" s="377">
        <f>SUMIFS(Таблица14[часы],Таблица14[коэф],"1",Таблица14[р/р],"4/16",Таблица14[Ф. И. О.],B33)</f>
        <v>0</v>
      </c>
      <c r="T29" s="369">
        <f t="shared" ref="T29:T38" si="12">ROUND(Q29*R29*S29*2,2)</f>
        <v>0</v>
      </c>
      <c r="U29" s="387">
        <f>база!$M$5</f>
        <v>247.41720000000001</v>
      </c>
      <c r="V29" s="367">
        <v>1</v>
      </c>
      <c r="W29" s="389">
        <f>SUMIFS(Таблица14[часы],Таблица14[коэф],"1",Таблица14[р/р],"4/24",Таблица14[Ф. И. О.],B33)</f>
        <v>0</v>
      </c>
      <c r="X29" s="521">
        <f t="shared" ref="X29:X38" si="13">ROUND(U29*V29*W29*2,2)</f>
        <v>0</v>
      </c>
      <c r="Y29" s="754"/>
      <c r="Z29" s="750"/>
      <c r="AA29" s="740"/>
    </row>
    <row r="30" spans="1:27" ht="18.75" customHeight="1">
      <c r="A30" s="740"/>
      <c r="B30" s="201"/>
      <c r="C30" s="743"/>
      <c r="D30" s="746"/>
      <c r="E30" s="370"/>
      <c r="F30" s="367"/>
      <c r="G30" s="377"/>
      <c r="H30" s="520">
        <f t="shared" si="10"/>
        <v>0</v>
      </c>
      <c r="I30" s="366"/>
      <c r="J30" s="367"/>
      <c r="K30" s="411"/>
      <c r="L30" s="372">
        <f t="shared" si="11"/>
        <v>0</v>
      </c>
      <c r="M30" s="409"/>
      <c r="N30" s="411"/>
      <c r="O30" s="411"/>
      <c r="P30" s="411"/>
      <c r="Q30" s="376">
        <f>база!$L$6</f>
        <v>261.04640000000001</v>
      </c>
      <c r="R30" s="367">
        <v>1</v>
      </c>
      <c r="S30" s="377">
        <f>SUMIFS(Таблица14[часы],Таблица14[коэф],"1",Таблица14[р/р],"5/16",Таблица14[Ф. И. О.],B33)</f>
        <v>0</v>
      </c>
      <c r="T30" s="369">
        <f t="shared" si="12"/>
        <v>0</v>
      </c>
      <c r="U30" s="387">
        <f>база!$M$6</f>
        <v>279.0496</v>
      </c>
      <c r="V30" s="367">
        <v>1</v>
      </c>
      <c r="W30" s="389">
        <f>SUMIFS(Таблица14[часы],Таблица14[коэф],"1",Таблица14[р/р],"5/24",Таблица14[Ф. И. О.],B33)</f>
        <v>0</v>
      </c>
      <c r="X30" s="521">
        <f t="shared" si="13"/>
        <v>0</v>
      </c>
      <c r="Y30" s="754"/>
      <c r="Z30" s="750"/>
      <c r="AA30" s="740"/>
    </row>
    <row r="31" spans="1:27" ht="18.75" customHeight="1">
      <c r="A31" s="740"/>
      <c r="B31" s="201"/>
      <c r="C31" s="743"/>
      <c r="D31" s="746"/>
      <c r="E31" s="370"/>
      <c r="F31" s="367"/>
      <c r="G31" s="377"/>
      <c r="H31" s="520">
        <f t="shared" si="10"/>
        <v>0</v>
      </c>
      <c r="I31" s="366">
        <f>база!$J$5</f>
        <v>215.4924</v>
      </c>
      <c r="J31" s="367">
        <v>1.5</v>
      </c>
      <c r="K31" s="411">
        <f>SUMIFS(Таблица14[часы],Таблица14[коэф],"1,5",Таблица14[р/р],"4/8",Таблица14[Ф. И. О.],B33)</f>
        <v>0</v>
      </c>
      <c r="L31" s="372">
        <f t="shared" si="11"/>
        <v>0</v>
      </c>
      <c r="M31" s="409"/>
      <c r="N31" s="411"/>
      <c r="O31" s="411"/>
      <c r="P31" s="411"/>
      <c r="Q31" s="376">
        <f>IF(D28&lt;=3,база!$L$4,
IF(D28=4,база!$L$5,
IF(D28=5,база!$L$6)))</f>
        <v>231.45480000000001</v>
      </c>
      <c r="R31" s="367">
        <v>1.2</v>
      </c>
      <c r="S31" s="377">
        <f>SUMIFS(Таблица14[часы],Таблица14[коэф],"1,2",Таблица14[р/р],"3/16",Таблица14[Ф. И. О.],B33)</f>
        <v>0</v>
      </c>
      <c r="T31" s="369">
        <f t="shared" si="12"/>
        <v>0</v>
      </c>
      <c r="U31" s="387">
        <f>IF(D28&lt;=3,база!$M$4,
IF(D28=4,база!$M$5,
IF(D28=5,база!$M$6)))</f>
        <v>247.41720000000001</v>
      </c>
      <c r="V31" s="367">
        <v>1.2</v>
      </c>
      <c r="W31" s="389">
        <f>SUMIFS(Таблица14[часы],Таблица14[коэф],"1,2",Таблица14[р/р],"3/24",Таблица14[Ф. И. О.],B33)</f>
        <v>0</v>
      </c>
      <c r="X31" s="521">
        <f t="shared" si="13"/>
        <v>0</v>
      </c>
      <c r="Y31" s="754"/>
      <c r="Z31" s="750"/>
      <c r="AA31" s="740"/>
    </row>
    <row r="32" spans="1:27" ht="18.75" customHeight="1">
      <c r="A32" s="740"/>
      <c r="B32" s="201"/>
      <c r="C32" s="743"/>
      <c r="D32" s="746"/>
      <c r="E32" s="370"/>
      <c r="F32" s="367"/>
      <c r="G32" s="377"/>
      <c r="H32" s="520">
        <f t="shared" si="10"/>
        <v>0</v>
      </c>
      <c r="I32" s="366">
        <f>база!$J$6</f>
        <v>243.04319999999998</v>
      </c>
      <c r="J32" s="367">
        <v>1.5</v>
      </c>
      <c r="K32" s="411">
        <f>SUMIFS(Таблица14[часы],Таблица14[коэф],"1,5",Таблица14[р/р],"5/8",Таблица14[Ф. И. О.],B33)</f>
        <v>0</v>
      </c>
      <c r="L32" s="372">
        <f t="shared" si="11"/>
        <v>0</v>
      </c>
      <c r="M32" s="409"/>
      <c r="N32" s="411"/>
      <c r="O32" s="411"/>
      <c r="P32" s="411"/>
      <c r="Q32" s="376">
        <f>база!$L$5</f>
        <v>231.45480000000001</v>
      </c>
      <c r="R32" s="367">
        <v>1.2</v>
      </c>
      <c r="S32" s="377">
        <f>SUMIFS(Таблица14[часы],Таблица14[коэф],"1,2",Таблица14[р/р],"4/16",Таблица14[Ф. И. О.],B33)</f>
        <v>0</v>
      </c>
      <c r="T32" s="369">
        <f t="shared" si="12"/>
        <v>0</v>
      </c>
      <c r="U32" s="387">
        <f>база!$M$5</f>
        <v>247.41720000000001</v>
      </c>
      <c r="V32" s="367">
        <v>1.2</v>
      </c>
      <c r="W32" s="389">
        <f>SUMIFS(Таблица14[часы],Таблица14[коэф],"1,2",Таблица14[р/р],"4/24",Таблица14[Ф. И. О.],B33)</f>
        <v>0</v>
      </c>
      <c r="X32" s="521">
        <f t="shared" si="13"/>
        <v>0</v>
      </c>
      <c r="Y32" s="754"/>
      <c r="Z32" s="750"/>
      <c r="AA32" s="740"/>
    </row>
    <row r="33" spans="1:27" ht="20.25" customHeight="1">
      <c r="A33" s="740"/>
      <c r="B33" s="201" t="str">
        <f>база!B4</f>
        <v>Аксенова Диана Владимировна</v>
      </c>
      <c r="C33" s="743"/>
      <c r="D33" s="746"/>
      <c r="E33" s="370"/>
      <c r="F33" s="367"/>
      <c r="G33" s="377"/>
      <c r="H33" s="520">
        <f t="shared" si="10"/>
        <v>0</v>
      </c>
      <c r="I33" s="366"/>
      <c r="J33" s="367"/>
      <c r="K33" s="411"/>
      <c r="L33" s="372">
        <f t="shared" si="11"/>
        <v>0</v>
      </c>
      <c r="M33" s="409"/>
      <c r="N33" s="411"/>
      <c r="O33" s="411"/>
      <c r="P33" s="411"/>
      <c r="Q33" s="376">
        <f>база!$L$6</f>
        <v>261.04640000000001</v>
      </c>
      <c r="R33" s="367">
        <v>1.2</v>
      </c>
      <c r="S33" s="377">
        <f>SUMIFS(Таблица14[часы],Таблица14[коэф],"1,2",Таблица14[р/р],"5/16",Таблица14[Ф. И. О.],B33)</f>
        <v>0</v>
      </c>
      <c r="T33" s="369">
        <f t="shared" si="12"/>
        <v>0</v>
      </c>
      <c r="U33" s="387">
        <f>база!$M$6</f>
        <v>279.0496</v>
      </c>
      <c r="V33" s="367">
        <v>1.2</v>
      </c>
      <c r="W33" s="389">
        <f>SUMIFS(Таблица14[часы],Таблица14[коэф],"1,2",Таблица14[р/р],"5/24",Таблица14[Ф. И. О.],B33)</f>
        <v>0</v>
      </c>
      <c r="X33" s="521">
        <f t="shared" si="13"/>
        <v>0</v>
      </c>
      <c r="Y33" s="754"/>
      <c r="Z33" s="750"/>
      <c r="AA33" s="740"/>
    </row>
    <row r="34" spans="1:27" ht="18.75" customHeight="1">
      <c r="A34" s="740"/>
      <c r="B34" s="201"/>
      <c r="C34" s="743"/>
      <c r="D34" s="746"/>
      <c r="E34" s="370"/>
      <c r="F34" s="367"/>
      <c r="G34" s="377"/>
      <c r="H34" s="520">
        <f t="shared" si="10"/>
        <v>0</v>
      </c>
      <c r="I34" s="366"/>
      <c r="J34" s="367"/>
      <c r="K34" s="411"/>
      <c r="L34" s="372">
        <f t="shared" si="11"/>
        <v>0</v>
      </c>
      <c r="M34" s="409"/>
      <c r="N34" s="411"/>
      <c r="O34" s="411"/>
      <c r="P34" s="411"/>
      <c r="Q34" s="376">
        <f>IF(D28&lt;=3,база!$L$4,
IF(D28=4,база!$L$5,
IF(D28=5,база!$L$6)))</f>
        <v>231.45480000000001</v>
      </c>
      <c r="R34" s="367">
        <v>1.3</v>
      </c>
      <c r="S34" s="377">
        <f>SUMIFS(Таблица14[часы],Таблица14[коэф],"1,3",Таблица14[р/р],"3/16",Таблица14[Ф. И. О.],B33)</f>
        <v>0</v>
      </c>
      <c r="T34" s="369">
        <f t="shared" si="12"/>
        <v>0</v>
      </c>
      <c r="U34" s="387">
        <f>IF(D28&lt;=3,база!$M$4,
IF(D28=4,база!$M$5,
IF(D28=5,база!$M$6)))</f>
        <v>247.41720000000001</v>
      </c>
      <c r="V34" s="367">
        <v>1.3</v>
      </c>
      <c r="W34" s="389">
        <f>SUMIFS(Таблица14[часы],Таблица14[коэф],"1,3",Таблица14[р/р],"3/24",Таблица14[Ф. И. О.],B33)</f>
        <v>0</v>
      </c>
      <c r="X34" s="521">
        <f t="shared" si="13"/>
        <v>0</v>
      </c>
      <c r="Y34" s="754"/>
      <c r="Z34" s="750"/>
      <c r="AA34" s="740"/>
    </row>
    <row r="35" spans="1:27" ht="18.75" customHeight="1">
      <c r="A35" s="740"/>
      <c r="B35" s="201"/>
      <c r="C35" s="743"/>
      <c r="D35" s="746"/>
      <c r="E35" s="370"/>
      <c r="F35" s="367"/>
      <c r="G35" s="377"/>
      <c r="H35" s="520">
        <f t="shared" si="10"/>
        <v>0</v>
      </c>
      <c r="I35" s="366"/>
      <c r="J35" s="367"/>
      <c r="K35" s="411"/>
      <c r="L35" s="372">
        <f t="shared" si="11"/>
        <v>0</v>
      </c>
      <c r="M35" s="409"/>
      <c r="N35" s="411"/>
      <c r="O35" s="411"/>
      <c r="P35" s="411"/>
      <c r="Q35" s="376">
        <f>база!$L$5</f>
        <v>231.45480000000001</v>
      </c>
      <c r="R35" s="367">
        <v>1.3</v>
      </c>
      <c r="S35" s="377">
        <f>SUMIFS(Таблица14[часы],Таблица14[коэф],"1,3",Таблица14[р/р],"4/16",Таблица14[Ф. И. О.],B33)</f>
        <v>0</v>
      </c>
      <c r="T35" s="369">
        <f t="shared" si="12"/>
        <v>0</v>
      </c>
      <c r="U35" s="387">
        <f>база!$M$5</f>
        <v>247.41720000000001</v>
      </c>
      <c r="V35" s="367">
        <v>1.3</v>
      </c>
      <c r="W35" s="389">
        <f>SUMIFS(Таблица14[часы],Таблица14[коэф],"1,3",Таблица14[р/р],"4/24",Таблица14[Ф. И. О.],B33)</f>
        <v>0</v>
      </c>
      <c r="X35" s="521">
        <f t="shared" si="13"/>
        <v>0</v>
      </c>
      <c r="Y35" s="754"/>
      <c r="Z35" s="750"/>
      <c r="AA35" s="740"/>
    </row>
    <row r="36" spans="1:27" ht="18.75" customHeight="1">
      <c r="A36" s="740"/>
      <c r="B36" s="201"/>
      <c r="C36" s="743"/>
      <c r="D36" s="746"/>
      <c r="E36" s="370"/>
      <c r="F36" s="367"/>
      <c r="G36" s="377"/>
      <c r="H36" s="520">
        <f t="shared" si="10"/>
        <v>0</v>
      </c>
      <c r="I36" s="366"/>
      <c r="J36" s="367"/>
      <c r="K36" s="411"/>
      <c r="L36" s="372">
        <f t="shared" si="11"/>
        <v>0</v>
      </c>
      <c r="M36" s="409"/>
      <c r="N36" s="411"/>
      <c r="O36" s="411"/>
      <c r="P36" s="411"/>
      <c r="Q36" s="376">
        <f>IF(D28&lt;=3,база!$L$4,
IF(D28=4,база!$L$5,
IF(D28=5,база!$L$6)))</f>
        <v>231.45480000000001</v>
      </c>
      <c r="R36" s="367">
        <v>1.4</v>
      </c>
      <c r="S36" s="377">
        <f>SUMIFS(Таблица14[часы],Таблица14[коэф],"1,4",Таблица14[р/р],"3/16",Таблица14[Ф. И. О.],B33)</f>
        <v>0</v>
      </c>
      <c r="T36" s="369">
        <f t="shared" si="12"/>
        <v>0</v>
      </c>
      <c r="U36" s="387">
        <f>IF(D28&lt;=3,база!$M$4,
IF(D28=4,база!$M$5,
IF(D28=5,база!$M$6)))</f>
        <v>247.41720000000001</v>
      </c>
      <c r="V36" s="367">
        <v>1.4</v>
      </c>
      <c r="W36" s="389">
        <f>SUMIFS(Таблица14[часы],Таблица14[коэф],"1,4",Таблица14[р/р],"3/24",Таблица14[Ф. И. О.],B33)</f>
        <v>0</v>
      </c>
      <c r="X36" s="521">
        <f t="shared" si="13"/>
        <v>0</v>
      </c>
      <c r="Y36" s="754"/>
      <c r="Z36" s="750"/>
      <c r="AA36" s="740"/>
    </row>
    <row r="37" spans="1:27" ht="18.75" customHeight="1">
      <c r="A37" s="740"/>
      <c r="B37" s="201"/>
      <c r="C37" s="743"/>
      <c r="D37" s="746"/>
      <c r="E37" s="370"/>
      <c r="F37" s="367"/>
      <c r="G37" s="377"/>
      <c r="H37" s="520">
        <f t="shared" si="10"/>
        <v>0</v>
      </c>
      <c r="I37" s="366"/>
      <c r="J37" s="367"/>
      <c r="K37" s="411"/>
      <c r="L37" s="372">
        <f t="shared" si="11"/>
        <v>0</v>
      </c>
      <c r="M37" s="409"/>
      <c r="N37" s="411"/>
      <c r="O37" s="411"/>
      <c r="P37" s="411"/>
      <c r="Q37" s="376">
        <f>база!$L$5</f>
        <v>231.45480000000001</v>
      </c>
      <c r="R37" s="367">
        <v>1.4</v>
      </c>
      <c r="S37" s="377">
        <f>SUMIFS(Таблица14[часы],Таблица14[коэф],"1,4",Таблица14[р/р],"4/16",Таблица14[Ф. И. О.],B33)</f>
        <v>0</v>
      </c>
      <c r="T37" s="369">
        <f t="shared" si="12"/>
        <v>0</v>
      </c>
      <c r="U37" s="387">
        <f>база!$M$5</f>
        <v>247.41720000000001</v>
      </c>
      <c r="V37" s="367">
        <v>1.4</v>
      </c>
      <c r="W37" s="389">
        <f>SUMIFS(Таблица14[часы],Таблица14[коэф],"1,4",Таблица14[р/р],"4/24",Таблица14[Ф. И. О.],B33)</f>
        <v>0</v>
      </c>
      <c r="X37" s="521">
        <f t="shared" si="13"/>
        <v>0</v>
      </c>
      <c r="Y37" s="754"/>
      <c r="Z37" s="750"/>
      <c r="AA37" s="740"/>
    </row>
    <row r="38" spans="1:27" ht="19.5" customHeight="1" thickBot="1">
      <c r="A38" s="741"/>
      <c r="B38" s="201"/>
      <c r="C38" s="744"/>
      <c r="D38" s="747"/>
      <c r="E38" s="399"/>
      <c r="F38" s="380"/>
      <c r="G38" s="385"/>
      <c r="H38" s="522">
        <f t="shared" si="10"/>
        <v>0</v>
      </c>
      <c r="I38" s="450"/>
      <c r="J38" s="441"/>
      <c r="K38" s="434"/>
      <c r="L38" s="435">
        <f t="shared" si="11"/>
        <v>0</v>
      </c>
      <c r="M38" s="436"/>
      <c r="N38" s="437"/>
      <c r="O38" s="437"/>
      <c r="P38" s="437"/>
      <c r="Q38" s="384">
        <f>база!$L$6</f>
        <v>261.04640000000001</v>
      </c>
      <c r="R38" s="380">
        <v>1.4</v>
      </c>
      <c r="S38" s="385">
        <f>SUMIFS(Таблица14[часы],Таблица14[коэф],"1,4",Таблица14[р/р],"5/16",Таблица14[Ф. И. О.],B33)</f>
        <v>0</v>
      </c>
      <c r="T38" s="386">
        <f t="shared" si="12"/>
        <v>0</v>
      </c>
      <c r="U38" s="438">
        <f>база!$M$6</f>
        <v>279.0496</v>
      </c>
      <c r="V38" s="380">
        <v>1.4</v>
      </c>
      <c r="W38" s="503">
        <f>SUMIFS(Таблица14[часы],Таблица14[коэф],"1,4",Таблица14[р/р],"5/24",Таблица14[Ф. И. О.],B33)</f>
        <v>0</v>
      </c>
      <c r="X38" s="523">
        <f t="shared" si="13"/>
        <v>0</v>
      </c>
      <c r="Y38" s="755"/>
      <c r="Z38" s="751"/>
      <c r="AA38" s="741"/>
    </row>
    <row r="39" spans="1:27" ht="18.75">
      <c r="A39" s="739">
        <v>4</v>
      </c>
      <c r="B39" s="219"/>
      <c r="C39" s="742">
        <f>INDEX(база!$E$2:$E$81, MATCH(B44,база!$B$2:$B$50,0))</f>
        <v>15816</v>
      </c>
      <c r="D39" s="745">
        <f>INDEX(база!$D$2:$D$89, MATCH(B44,база!$B$2:$B$50,0))</f>
        <v>3</v>
      </c>
      <c r="E39" s="358">
        <f>IF(D39&lt;=3,база!$I$4,
IF(D39=4,база!$I$5,
IF(D39=5,база!$I$6)))</f>
        <v>188.7912</v>
      </c>
      <c r="F39" s="355">
        <v>1</v>
      </c>
      <c r="G39" s="364">
        <f>SUMIFS(Таблица14[часы],Таблица14[коэф],"1",Таблица14[р/р],"2/4",Таблица14[Ф. И. О.],B44)</f>
        <v>0</v>
      </c>
      <c r="H39" s="524">
        <f>ROUND(E39*F39*G39*2,2)</f>
        <v>0</v>
      </c>
      <c r="I39" s="354">
        <f>IF(D39&lt;=3,база!$J$4,
IF(D39=4,база!$J$5,
IF(D39=5,база!$J$6)))</f>
        <v>196.05240000000001</v>
      </c>
      <c r="J39" s="355">
        <v>1</v>
      </c>
      <c r="K39" s="405">
        <f>SUMIFS(Таблица14[часы],Таблица14[коэф],"1",Таблица14[р/р],"2/8",Таблица14[Ф. И. О.],B44)</f>
        <v>0</v>
      </c>
      <c r="L39" s="360">
        <f>ROUND(I39*J39*K39*2,2)</f>
        <v>0</v>
      </c>
      <c r="M39" s="403"/>
      <c r="N39" s="405">
        <v>1</v>
      </c>
      <c r="O39" s="405">
        <f>SUMIFS(Data_Tech!$AM$3:$AM$67,Data_Tech!$E$3:$E$67,"1",Data_Tech!$G$3:$G$67,"3/12",Data_Tech!$F$3:$F$67,B44)</f>
        <v>0</v>
      </c>
      <c r="P39" s="405">
        <f>ROUND(M39*N39*O39,2)</f>
        <v>0</v>
      </c>
      <c r="Q39" s="363">
        <f>IF(D39&lt;=3,база!$L$4,
IF(D39=4,база!$L$5,
IF(D39=5,база!$L$6)))</f>
        <v>210.57480000000001</v>
      </c>
      <c r="R39" s="355">
        <v>1</v>
      </c>
      <c r="S39" s="364">
        <f>SUMIFS(Таблица14[часы],Таблица14[коэф],"1",Таблица14[р/р],"3/16",Таблица14[Ф. И. О.],B44)</f>
        <v>0</v>
      </c>
      <c r="T39" s="357">
        <f>ROUND(Q39*R39*S39*2,2)</f>
        <v>0</v>
      </c>
      <c r="U39" s="439">
        <f>IF(D39&lt;=3,база!$M$4,
IF(D39=4,база!$M$5,
IF(D39=5,база!$M$6)))</f>
        <v>225.09719999999999</v>
      </c>
      <c r="V39" s="355">
        <v>1</v>
      </c>
      <c r="W39" s="407">
        <f>SUMIFS(Таблица14[часы],Таблица14[коэф],"1",Таблица14[р/р],"3/24",Таблица14[Ф. И. О.],B44)</f>
        <v>0</v>
      </c>
      <c r="X39" s="519">
        <f>ROUND(U39*V39*W39*2,2)</f>
        <v>0</v>
      </c>
      <c r="Y39" s="748">
        <f>SUM(G39:G49,K39:K49,O39:O49,S39:S49,W39:W49)</f>
        <v>0</v>
      </c>
      <c r="Z39" s="750">
        <f>IFERROR(SUM(H39:H49,L39:L49,T39:T49,X39:X49),"")</f>
        <v>0</v>
      </c>
      <c r="AA39" s="740"/>
    </row>
    <row r="40" spans="1:27" ht="18.75">
      <c r="A40" s="740"/>
      <c r="B40" s="201"/>
      <c r="C40" s="743"/>
      <c r="D40" s="746"/>
      <c r="E40" s="370">
        <f>IF(D39&lt;=3,база!$I$4,
IF(D39=4,база!$I$5,
IF(D39=5,база!$I$6)))</f>
        <v>188.7912</v>
      </c>
      <c r="F40" s="367">
        <v>1</v>
      </c>
      <c r="G40" s="377">
        <f>SUMIFS(Таблица14[часы],Таблица14[коэф],"1",Таблица14[р/р],"3/4",Таблица14[Ф. И. О.],B44)</f>
        <v>0</v>
      </c>
      <c r="H40" s="520">
        <f t="shared" ref="H40:H49" si="14">ROUND(E40*F40*G40*2,2)</f>
        <v>0</v>
      </c>
      <c r="I40" s="366">
        <f>IF(D39&lt;=3,база!$J$4,
IF(D39=4,база!$J$5,
IF(D39=5,база!$J$6)))</f>
        <v>196.05240000000001</v>
      </c>
      <c r="J40" s="367">
        <v>1</v>
      </c>
      <c r="K40" s="411">
        <f>SUMIFS(Таблица14[часы],Таблица14[коэф],"1",Таблица14[р/р],"3/8",Таблица14[Ф. И. О.],B44)</f>
        <v>0</v>
      </c>
      <c r="L40" s="372">
        <f t="shared" ref="L40:L49" si="15">ROUND(I40*J40*K40*2,2)</f>
        <v>0</v>
      </c>
      <c r="M40" s="409"/>
      <c r="N40" s="411">
        <v>1</v>
      </c>
      <c r="O40" s="411">
        <f>SUMIFS(Data_Tech!$AM$3:$AM$67,Data_Tech!$E$3:$E$67,"1",Data_Tech!$G$3:$G$67,"4/12",Data_Tech!$F$3:$F$67,B44)</f>
        <v>0</v>
      </c>
      <c r="P40" s="411">
        <f>ROUND(M40*O40,2)</f>
        <v>0</v>
      </c>
      <c r="Q40" s="376">
        <f>база!$L$5</f>
        <v>231.45480000000001</v>
      </c>
      <c r="R40" s="367">
        <v>1</v>
      </c>
      <c r="S40" s="377">
        <f>SUMIFS(Таблица14[часы],Таблица14[коэф],"1",Таблица14[р/р],"4/16",Таблица14[Ф. И. О.],B44)</f>
        <v>0</v>
      </c>
      <c r="T40" s="369">
        <f t="shared" ref="T40:T49" si="16">ROUND(Q40*R40*S40*2,2)</f>
        <v>0</v>
      </c>
      <c r="U40" s="387">
        <f>база!$M$5</f>
        <v>247.41720000000001</v>
      </c>
      <c r="V40" s="367">
        <v>1</v>
      </c>
      <c r="W40" s="389">
        <f>SUMIFS(Таблица14[часы],Таблица14[коэф],"1",Таблица14[р/р],"4/24",Таблица14[Ф. И. О.],B44)</f>
        <v>0</v>
      </c>
      <c r="X40" s="521">
        <f t="shared" ref="X40:X49" si="17">ROUND(U40*V40*W40*2,2)</f>
        <v>0</v>
      </c>
      <c r="Y40" s="748"/>
      <c r="Z40" s="750"/>
      <c r="AA40" s="740"/>
    </row>
    <row r="41" spans="1:27" ht="18.75">
      <c r="A41" s="740"/>
      <c r="B41" s="201"/>
      <c r="C41" s="743"/>
      <c r="D41" s="746"/>
      <c r="E41" s="370"/>
      <c r="F41" s="367"/>
      <c r="G41" s="377"/>
      <c r="H41" s="520">
        <f t="shared" si="14"/>
        <v>0</v>
      </c>
      <c r="I41" s="366"/>
      <c r="J41" s="367"/>
      <c r="K41" s="411"/>
      <c r="L41" s="372">
        <f t="shared" si="15"/>
        <v>0</v>
      </c>
      <c r="M41" s="409"/>
      <c r="N41" s="411"/>
      <c r="O41" s="411"/>
      <c r="P41" s="411"/>
      <c r="Q41" s="376">
        <f>база!$L$6</f>
        <v>261.04640000000001</v>
      </c>
      <c r="R41" s="367">
        <v>1</v>
      </c>
      <c r="S41" s="377">
        <f>SUMIFS(Таблица14[часы],Таблица14[коэф],"1",Таблица14[р/р],"5/16",Таблица14[Ф. И. О.],B44)</f>
        <v>0</v>
      </c>
      <c r="T41" s="369">
        <f t="shared" si="16"/>
        <v>0</v>
      </c>
      <c r="U41" s="387">
        <f>база!$M$6</f>
        <v>279.0496</v>
      </c>
      <c r="V41" s="367">
        <v>1</v>
      </c>
      <c r="W41" s="389">
        <f>SUMIFS(Таблица14[часы],Таблица14[коэф],"1",Таблица14[р/р],"5/24",Таблица14[Ф. И. О.],B44)</f>
        <v>0</v>
      </c>
      <c r="X41" s="521">
        <f t="shared" si="17"/>
        <v>0</v>
      </c>
      <c r="Y41" s="748"/>
      <c r="Z41" s="750"/>
      <c r="AA41" s="740"/>
    </row>
    <row r="42" spans="1:27" ht="18.75">
      <c r="A42" s="740"/>
      <c r="B42" s="201"/>
      <c r="C42" s="743"/>
      <c r="D42" s="746"/>
      <c r="E42" s="370"/>
      <c r="F42" s="367"/>
      <c r="G42" s="377"/>
      <c r="H42" s="520">
        <f t="shared" si="14"/>
        <v>0</v>
      </c>
      <c r="I42" s="366">
        <f>база!$J$5</f>
        <v>215.4924</v>
      </c>
      <c r="J42" s="367">
        <v>1.5</v>
      </c>
      <c r="K42" s="411">
        <f>SUMIFS(Таблица14[часы],Таблица14[коэф],"1,5",Таблица14[р/р],"4/8",Таблица14[Ф. И. О.],B44)</f>
        <v>0</v>
      </c>
      <c r="L42" s="372">
        <f t="shared" si="15"/>
        <v>0</v>
      </c>
      <c r="M42" s="409"/>
      <c r="N42" s="411"/>
      <c r="O42" s="411"/>
      <c r="P42" s="411"/>
      <c r="Q42" s="376">
        <f>IF(D39&lt;=3,база!$L$4,
IF(D39=4,база!$L$5,
IF(D39=5,база!$L$6)))</f>
        <v>210.57480000000001</v>
      </c>
      <c r="R42" s="367">
        <v>1.2</v>
      </c>
      <c r="S42" s="377">
        <f>SUMIFS(Таблица14[часы],Таблица14[коэф],"1,2",Таблица14[р/р],"3/16",Таблица14[Ф. И. О.],B44)</f>
        <v>0</v>
      </c>
      <c r="T42" s="369">
        <f t="shared" si="16"/>
        <v>0</v>
      </c>
      <c r="U42" s="387">
        <f>IF(D39&lt;=3,база!$M$4,
IF(D39=4,база!$M$5,
IF(D39=5,база!$M$6)))</f>
        <v>225.09719999999999</v>
      </c>
      <c r="V42" s="367">
        <v>1.2</v>
      </c>
      <c r="W42" s="389">
        <f>SUMIFS(Таблица14[часы],Таблица14[коэф],"1,2",Таблица14[р/р],"3/24",Таблица14[Ф. И. О.],B44)</f>
        <v>0</v>
      </c>
      <c r="X42" s="521">
        <f t="shared" si="17"/>
        <v>0</v>
      </c>
      <c r="Y42" s="748"/>
      <c r="Z42" s="750"/>
      <c r="AA42" s="740"/>
    </row>
    <row r="43" spans="1:27" ht="18.75">
      <c r="A43" s="740"/>
      <c r="B43" s="201"/>
      <c r="C43" s="743"/>
      <c r="D43" s="746"/>
      <c r="E43" s="370"/>
      <c r="F43" s="367"/>
      <c r="G43" s="377"/>
      <c r="H43" s="520">
        <f t="shared" si="14"/>
        <v>0</v>
      </c>
      <c r="I43" s="366">
        <f>база!$J$6</f>
        <v>243.04319999999998</v>
      </c>
      <c r="J43" s="367">
        <v>1.5</v>
      </c>
      <c r="K43" s="411">
        <f>SUMIFS(Таблица14[часы],Таблица14[коэф],"1,5",Таблица14[р/р],"5/8",Таблица14[Ф. И. О.],B44)</f>
        <v>0</v>
      </c>
      <c r="L43" s="372">
        <f t="shared" si="15"/>
        <v>0</v>
      </c>
      <c r="M43" s="409"/>
      <c r="N43" s="411"/>
      <c r="O43" s="411"/>
      <c r="P43" s="411"/>
      <c r="Q43" s="376">
        <f>база!$L$5</f>
        <v>231.45480000000001</v>
      </c>
      <c r="R43" s="367">
        <v>1.2</v>
      </c>
      <c r="S43" s="377">
        <f>SUMIFS(Таблица14[часы],Таблица14[коэф],"1,2",Таблица14[р/р],"4/16",Таблица14[Ф. И. О.],B44)</f>
        <v>0</v>
      </c>
      <c r="T43" s="369">
        <f t="shared" si="16"/>
        <v>0</v>
      </c>
      <c r="U43" s="387">
        <f>база!$M$5</f>
        <v>247.41720000000001</v>
      </c>
      <c r="V43" s="367">
        <v>1.2</v>
      </c>
      <c r="W43" s="389">
        <f>SUMIFS(Таблица14[часы],Таблица14[коэф],"1,2",Таблица14[р/р],"4/24",Таблица14[Ф. И. О.],B44)</f>
        <v>0</v>
      </c>
      <c r="X43" s="521">
        <f t="shared" si="17"/>
        <v>0</v>
      </c>
      <c r="Y43" s="748"/>
      <c r="Z43" s="750"/>
      <c r="AA43" s="740"/>
    </row>
    <row r="44" spans="1:27" ht="37.5">
      <c r="A44" s="740"/>
      <c r="B44" s="201" t="str">
        <f>база!B5</f>
        <v>Александрович Екатерина Сергеевна</v>
      </c>
      <c r="C44" s="743"/>
      <c r="D44" s="746"/>
      <c r="E44" s="370"/>
      <c r="F44" s="367"/>
      <c r="G44" s="377"/>
      <c r="H44" s="520">
        <f t="shared" si="14"/>
        <v>0</v>
      </c>
      <c r="I44" s="366"/>
      <c r="J44" s="367"/>
      <c r="K44" s="411"/>
      <c r="L44" s="372">
        <f t="shared" si="15"/>
        <v>0</v>
      </c>
      <c r="M44" s="409"/>
      <c r="N44" s="411"/>
      <c r="O44" s="411"/>
      <c r="P44" s="411"/>
      <c r="Q44" s="376">
        <f>база!$L$6</f>
        <v>261.04640000000001</v>
      </c>
      <c r="R44" s="367">
        <v>1.2</v>
      </c>
      <c r="S44" s="377">
        <f>SUMIFS(Таблица14[часы],Таблица14[коэф],"1,2",Таблица14[р/р],"5/16",Таблица14[Ф. И. О.],B44)</f>
        <v>0</v>
      </c>
      <c r="T44" s="369">
        <f t="shared" si="16"/>
        <v>0</v>
      </c>
      <c r="U44" s="387">
        <f>база!$M$6</f>
        <v>279.0496</v>
      </c>
      <c r="V44" s="367">
        <v>1.2</v>
      </c>
      <c r="W44" s="389">
        <f>SUMIFS(Таблица14[часы],Таблица14[коэф],"1,2",Таблица14[р/р],"5/24",Таблица14[Ф. И. О.],B44)</f>
        <v>0</v>
      </c>
      <c r="X44" s="521">
        <f t="shared" si="17"/>
        <v>0</v>
      </c>
      <c r="Y44" s="748"/>
      <c r="Z44" s="750"/>
      <c r="AA44" s="740"/>
    </row>
    <row r="45" spans="1:27" ht="18.75">
      <c r="A45" s="740"/>
      <c r="B45" s="201"/>
      <c r="C45" s="743"/>
      <c r="D45" s="746"/>
      <c r="E45" s="370"/>
      <c r="F45" s="367"/>
      <c r="G45" s="377"/>
      <c r="H45" s="520">
        <f t="shared" si="14"/>
        <v>0</v>
      </c>
      <c r="I45" s="366"/>
      <c r="J45" s="367"/>
      <c r="K45" s="411"/>
      <c r="L45" s="372">
        <f t="shared" si="15"/>
        <v>0</v>
      </c>
      <c r="M45" s="409"/>
      <c r="N45" s="411"/>
      <c r="O45" s="411"/>
      <c r="P45" s="411"/>
      <c r="Q45" s="376">
        <f>IF(D39&lt;=3,база!$L$4,
IF(D39=4,база!$L$5,
IF(D39=5,база!$L$6)))</f>
        <v>210.57480000000001</v>
      </c>
      <c r="R45" s="367">
        <v>1.3</v>
      </c>
      <c r="S45" s="377">
        <f>SUMIFS(Таблица14[часы],Таблица14[коэф],"1,3",Таблица14[р/р],"3/16",Таблица14[Ф. И. О.],B44)</f>
        <v>0</v>
      </c>
      <c r="T45" s="369">
        <f t="shared" si="16"/>
        <v>0</v>
      </c>
      <c r="U45" s="387">
        <f>IF(D39&lt;=3,база!$M$4,
IF(D39=4,база!$M$5,
IF(D39=5,база!$M$6)))</f>
        <v>225.09719999999999</v>
      </c>
      <c r="V45" s="367">
        <v>1.3</v>
      </c>
      <c r="W45" s="389">
        <f>SUMIFS(Таблица14[часы],Таблица14[коэф],"1,3",Таблица14[р/р],"3/24",Таблица14[Ф. И. О.],B44)</f>
        <v>0</v>
      </c>
      <c r="X45" s="521">
        <f t="shared" si="17"/>
        <v>0</v>
      </c>
      <c r="Y45" s="748"/>
      <c r="Z45" s="750"/>
      <c r="AA45" s="740"/>
    </row>
    <row r="46" spans="1:27" ht="18.75">
      <c r="A46" s="740"/>
      <c r="B46" s="201"/>
      <c r="C46" s="743"/>
      <c r="D46" s="746"/>
      <c r="E46" s="370"/>
      <c r="F46" s="367"/>
      <c r="G46" s="377"/>
      <c r="H46" s="520">
        <f t="shared" si="14"/>
        <v>0</v>
      </c>
      <c r="I46" s="366"/>
      <c r="J46" s="367"/>
      <c r="K46" s="411"/>
      <c r="L46" s="372">
        <f t="shared" si="15"/>
        <v>0</v>
      </c>
      <c r="M46" s="409"/>
      <c r="N46" s="411"/>
      <c r="O46" s="411"/>
      <c r="P46" s="411"/>
      <c r="Q46" s="376">
        <f>база!$L$5</f>
        <v>231.45480000000001</v>
      </c>
      <c r="R46" s="367">
        <v>1.3</v>
      </c>
      <c r="S46" s="377">
        <f>SUMIFS(Таблица14[часы],Таблица14[коэф],"1,3",Таблица14[р/р],"4/16",Таблица14[Ф. И. О.],B44)</f>
        <v>0</v>
      </c>
      <c r="T46" s="369">
        <f t="shared" si="16"/>
        <v>0</v>
      </c>
      <c r="U46" s="387">
        <f>база!$M$5</f>
        <v>247.41720000000001</v>
      </c>
      <c r="V46" s="367">
        <v>1.3</v>
      </c>
      <c r="W46" s="389">
        <f>SUMIFS(Таблица14[часы],Таблица14[коэф],"1,3",Таблица14[р/р],"4/24",Таблица14[Ф. И. О.],B44)</f>
        <v>0</v>
      </c>
      <c r="X46" s="521">
        <f t="shared" si="17"/>
        <v>0</v>
      </c>
      <c r="Y46" s="748"/>
      <c r="Z46" s="750"/>
      <c r="AA46" s="740"/>
    </row>
    <row r="47" spans="1:27" ht="18.75">
      <c r="A47" s="740"/>
      <c r="B47" s="201"/>
      <c r="C47" s="743"/>
      <c r="D47" s="746"/>
      <c r="E47" s="370"/>
      <c r="F47" s="367"/>
      <c r="G47" s="377"/>
      <c r="H47" s="520">
        <f t="shared" si="14"/>
        <v>0</v>
      </c>
      <c r="I47" s="366"/>
      <c r="J47" s="367"/>
      <c r="K47" s="411"/>
      <c r="L47" s="372">
        <f t="shared" si="15"/>
        <v>0</v>
      </c>
      <c r="M47" s="409"/>
      <c r="N47" s="411"/>
      <c r="O47" s="411"/>
      <c r="P47" s="411"/>
      <c r="Q47" s="376">
        <f>IF(D39&lt;=3,база!$L$4,
IF(D39=4,база!$L$5,
IF(D39=5,база!$L$6)))</f>
        <v>210.57480000000001</v>
      </c>
      <c r="R47" s="367">
        <v>1.4</v>
      </c>
      <c r="S47" s="377">
        <f>SUMIFS(Таблица14[часы],Таблица14[коэф],"1,4",Таблица14[р/р],"3/16",Таблица14[Ф. И. О.],B44)</f>
        <v>0</v>
      </c>
      <c r="T47" s="369">
        <f t="shared" si="16"/>
        <v>0</v>
      </c>
      <c r="U47" s="387">
        <f>IF(D39&lt;=3,база!$M$4,
IF(D39=4,база!$M$5,
IF(D39=5,база!$M$6)))</f>
        <v>225.09719999999999</v>
      </c>
      <c r="V47" s="367">
        <v>1.4</v>
      </c>
      <c r="W47" s="389">
        <f>SUMIFS(Таблица14[часы],Таблица14[коэф],"1,4",Таблица14[р/р],"3/24",Таблица14[Ф. И. О.],B44)</f>
        <v>0</v>
      </c>
      <c r="X47" s="521">
        <f t="shared" si="17"/>
        <v>0</v>
      </c>
      <c r="Y47" s="748"/>
      <c r="Z47" s="750"/>
      <c r="AA47" s="740"/>
    </row>
    <row r="48" spans="1:27" ht="18.75">
      <c r="A48" s="740"/>
      <c r="B48" s="201"/>
      <c r="C48" s="743"/>
      <c r="D48" s="746"/>
      <c r="E48" s="370"/>
      <c r="F48" s="367"/>
      <c r="G48" s="377"/>
      <c r="H48" s="520">
        <f t="shared" si="14"/>
        <v>0</v>
      </c>
      <c r="I48" s="366"/>
      <c r="J48" s="367"/>
      <c r="K48" s="411"/>
      <c r="L48" s="372">
        <f t="shared" si="15"/>
        <v>0</v>
      </c>
      <c r="M48" s="409"/>
      <c r="N48" s="411"/>
      <c r="O48" s="411"/>
      <c r="P48" s="411"/>
      <c r="Q48" s="376">
        <f>база!$L$5</f>
        <v>231.45480000000001</v>
      </c>
      <c r="R48" s="367">
        <v>1.4</v>
      </c>
      <c r="S48" s="377">
        <f>SUMIFS(Таблица14[часы],Таблица14[коэф],"1,4",Таблица14[р/р],"4/16",Таблица14[Ф. И. О.],B44)</f>
        <v>0</v>
      </c>
      <c r="T48" s="369">
        <f t="shared" si="16"/>
        <v>0</v>
      </c>
      <c r="U48" s="387">
        <f>база!$M$5</f>
        <v>247.41720000000001</v>
      </c>
      <c r="V48" s="367">
        <v>1.4</v>
      </c>
      <c r="W48" s="389">
        <f>SUMIFS(Таблица14[часы],Таблица14[коэф],"1,4",Таблица14[р/р],"4/24",Таблица14[Ф. И. О.],B44)</f>
        <v>0</v>
      </c>
      <c r="X48" s="521">
        <f t="shared" si="17"/>
        <v>0</v>
      </c>
      <c r="Y48" s="748"/>
      <c r="Z48" s="750"/>
      <c r="AA48" s="740"/>
    </row>
    <row r="49" spans="1:27" ht="19.5" thickBot="1">
      <c r="A49" s="741"/>
      <c r="B49" s="188"/>
      <c r="C49" s="744"/>
      <c r="D49" s="747"/>
      <c r="E49" s="440"/>
      <c r="F49" s="441"/>
      <c r="G49" s="442"/>
      <c r="H49" s="525">
        <f t="shared" si="14"/>
        <v>0</v>
      </c>
      <c r="I49" s="450"/>
      <c r="J49" s="441"/>
      <c r="K49" s="434"/>
      <c r="L49" s="435">
        <f t="shared" si="15"/>
        <v>0</v>
      </c>
      <c r="M49" s="443"/>
      <c r="N49" s="434"/>
      <c r="O49" s="434"/>
      <c r="P49" s="434"/>
      <c r="Q49" s="444">
        <f>база!$L$6</f>
        <v>261.04640000000001</v>
      </c>
      <c r="R49" s="441">
        <v>1.4</v>
      </c>
      <c r="S49" s="442">
        <f>SUMIFS(Таблица14[часы],Таблица14[коэф],"1,4",Таблица14[р/р],"5/16",Таблица14[Ф. И. О.],B44)</f>
        <v>0</v>
      </c>
      <c r="T49" s="445">
        <f t="shared" si="16"/>
        <v>0</v>
      </c>
      <c r="U49" s="446">
        <f>база!$M$6</f>
        <v>279.0496</v>
      </c>
      <c r="V49" s="441">
        <v>1.4</v>
      </c>
      <c r="W49" s="447">
        <f>SUMIFS(Таблица14[часы],Таблица14[коэф],"1,4",Таблица14[р/р],"5/24",Таблица14[Ф. И. О.],B44)</f>
        <v>0</v>
      </c>
      <c r="X49" s="523">
        <f t="shared" si="17"/>
        <v>0</v>
      </c>
      <c r="Y49" s="749"/>
      <c r="Z49" s="751"/>
      <c r="AA49" s="741"/>
    </row>
    <row r="50" spans="1:27" ht="18.75">
      <c r="A50" s="739">
        <v>5</v>
      </c>
      <c r="B50" s="201"/>
      <c r="C50" s="778">
        <f>INDEX(база!$E$2:$E$81, MATCH(B55,база!$B$2:$B$50,0))</f>
        <v>16475</v>
      </c>
      <c r="D50" s="778">
        <f>INDEX(база!$D$2:$D$89, MATCH(B55,база!$B$2:$B$50,0))</f>
        <v>3</v>
      </c>
      <c r="E50" s="354">
        <f>IF(D50&lt;=3,база!$I$4,
IF(D50=4,база!$I$5,
IF(D50=5,база!$I$6)))</f>
        <v>188.7912</v>
      </c>
      <c r="F50" s="355">
        <v>1</v>
      </c>
      <c r="G50" s="364">
        <f>SUMIFS(Таблица14[часы],Таблица14[коэф],"1",Таблица14[р/р],"2/4",Таблица14[Ф. И. О.],B55)</f>
        <v>0</v>
      </c>
      <c r="H50" s="357">
        <f>ROUND(E50*F50*G50*2,2)</f>
        <v>0</v>
      </c>
      <c r="I50" s="358">
        <f>IF(D50&lt;=3,база!$J$4,
IF(D50=4,база!$J$5,
IF(D50=5,база!$J$6)))</f>
        <v>196.05240000000001</v>
      </c>
      <c r="J50" s="355">
        <v>1</v>
      </c>
      <c r="K50" s="405">
        <f>SUMIFS(Таблица14[часы],Таблица14[коэф],"1",Таблица14[р/р],"2/8",Таблица14[Ф. И. О.],B55)</f>
        <v>0</v>
      </c>
      <c r="L50" s="360">
        <f>ROUND(I50*J50*K50*2,2)</f>
        <v>0</v>
      </c>
      <c r="M50" s="403"/>
      <c r="N50" s="405">
        <v>1</v>
      </c>
      <c r="O50" s="405">
        <f>SUMIFS(Data_Tech!$AM$3:$AM$67,Data_Tech!$E$3:$E$67,"1",Data_Tech!$G$3:$G$67,"3/12",Data_Tech!$F$3:$F$67,B55)</f>
        <v>0</v>
      </c>
      <c r="P50" s="405">
        <f>ROUND(M50*N50*O50,2)</f>
        <v>0</v>
      </c>
      <c r="Q50" s="363">
        <f>IF(D50&lt;=3,база!$L$4,
IF(D50=4,база!$L$5,
IF(D50=5,база!$L$6)))</f>
        <v>210.57480000000001</v>
      </c>
      <c r="R50" s="355">
        <v>1</v>
      </c>
      <c r="S50" s="364">
        <f>SUMIFS(Таблица14[часы],Таблица14[коэф],"1",Таблица14[р/р],"3/16",Таблица14[Ф. И. О.],B55)</f>
        <v>0</v>
      </c>
      <c r="T50" s="524">
        <f>ROUND(Q50*R50*S50*2,2)</f>
        <v>0</v>
      </c>
      <c r="U50" s="448">
        <f>IF(D50&lt;=3,база!$M$4,
IF(D50=4,база!$M$5,
IF(D50=5,база!$M$6)))</f>
        <v>225.09719999999999</v>
      </c>
      <c r="V50" s="355">
        <v>1</v>
      </c>
      <c r="W50" s="407">
        <f>SUMIFS(Таблица14[часы],Таблица14[коэф],"1",Таблица14[р/р],"3/24",Таблица14[Ф. И. О.],B55)</f>
        <v>0</v>
      </c>
      <c r="X50" s="519">
        <f>ROUND(U50*V50*W50*2,2)</f>
        <v>0</v>
      </c>
      <c r="Y50" s="748">
        <f>SUM(G50:G60,K50:K60,O50:O60,S50:S60,W50:W60)</f>
        <v>0</v>
      </c>
      <c r="Z50" s="750">
        <f>IFERROR(SUM(H50:H60,L50:L60,T50:T60,X50:X60),"")</f>
        <v>0</v>
      </c>
      <c r="AA50" s="739"/>
    </row>
    <row r="51" spans="1:27" ht="18.75">
      <c r="A51" s="740"/>
      <c r="B51" s="201"/>
      <c r="C51" s="779"/>
      <c r="D51" s="779"/>
      <c r="E51" s="366">
        <f>IF(D50&lt;=3,база!$I$4,
IF(D50=4,база!$I$5,
IF(D50=5,база!$I$6)))</f>
        <v>188.7912</v>
      </c>
      <c r="F51" s="367">
        <v>1</v>
      </c>
      <c r="G51" s="377">
        <f>SUMIFS(Таблица14[часы],Таблица14[коэф],"1",Таблица14[р/р],"3/4",Таблица14[Ф. И. О.],B55)</f>
        <v>0</v>
      </c>
      <c r="H51" s="369">
        <f t="shared" ref="H51:H60" si="18">ROUND(E51*F51*G51*2,2)</f>
        <v>0</v>
      </c>
      <c r="I51" s="370">
        <f>IF(D50&lt;=3,база!$J$4,
IF(D50=4,база!$J$5,
IF(D50=5,база!$J$6)))</f>
        <v>196.05240000000001</v>
      </c>
      <c r="J51" s="367">
        <v>1</v>
      </c>
      <c r="K51" s="411">
        <f>SUMIFS(Таблица14[часы],Таблица14[коэф],"1",Таблица14[р/р],"3/8",Таблица14[Ф. И. О.],B55)</f>
        <v>0</v>
      </c>
      <c r="L51" s="372">
        <f t="shared" ref="L51:L60" si="19">ROUND(I51*J51*K51*2,2)</f>
        <v>0</v>
      </c>
      <c r="M51" s="409"/>
      <c r="N51" s="411">
        <v>1</v>
      </c>
      <c r="O51" s="411">
        <f>SUMIFS(Data_Tech!$AM$3:$AM$67,Data_Tech!$E$3:$E$67,"1",Data_Tech!$G$3:$G$67,"4/12",Data_Tech!$F$3:$F$67,B55)</f>
        <v>0</v>
      </c>
      <c r="P51" s="411">
        <f>ROUND(M51*O51,2)</f>
        <v>0</v>
      </c>
      <c r="Q51" s="376">
        <f>база!$L$5</f>
        <v>231.45480000000001</v>
      </c>
      <c r="R51" s="367">
        <v>1</v>
      </c>
      <c r="S51" s="377">
        <f>SUMIFS(Таблица14[часы],Таблица14[коэф],"1",Таблица14[р/р],"4/16",Таблица14[Ф. И. О.],B55)</f>
        <v>0</v>
      </c>
      <c r="T51" s="520">
        <f t="shared" ref="T51:T60" si="20">ROUND(Q51*R51*S51*2,2)</f>
        <v>0</v>
      </c>
      <c r="U51" s="449">
        <f>база!$M$5</f>
        <v>247.41720000000001</v>
      </c>
      <c r="V51" s="367">
        <v>1</v>
      </c>
      <c r="W51" s="389">
        <f>SUMIFS(Таблица14[часы],Таблица14[коэф],"1",Таблица14[р/р],"4/24",Таблица14[Ф. И. О.],B55)</f>
        <v>0</v>
      </c>
      <c r="X51" s="521">
        <f t="shared" ref="X51:X60" si="21">ROUND(U51*V51*W51*2,2)</f>
        <v>0</v>
      </c>
      <c r="Y51" s="748"/>
      <c r="Z51" s="750"/>
      <c r="AA51" s="740"/>
    </row>
    <row r="52" spans="1:27" ht="18.75">
      <c r="A52" s="740"/>
      <c r="B52" s="201"/>
      <c r="C52" s="779"/>
      <c r="D52" s="779"/>
      <c r="E52" s="366"/>
      <c r="F52" s="367"/>
      <c r="G52" s="377"/>
      <c r="H52" s="369">
        <f t="shared" si="18"/>
        <v>0</v>
      </c>
      <c r="I52" s="370"/>
      <c r="J52" s="367"/>
      <c r="K52" s="411"/>
      <c r="L52" s="372">
        <f t="shared" si="19"/>
        <v>0</v>
      </c>
      <c r="M52" s="409"/>
      <c r="N52" s="411"/>
      <c r="O52" s="411"/>
      <c r="P52" s="411"/>
      <c r="Q52" s="376">
        <f>база!$L$6</f>
        <v>261.04640000000001</v>
      </c>
      <c r="R52" s="367">
        <v>1</v>
      </c>
      <c r="S52" s="377">
        <f>SUMIFS(Таблица14[часы],Таблица14[коэф],"1",Таблица14[р/р],"5/16",Таблица14[Ф. И. О.],B55)</f>
        <v>0</v>
      </c>
      <c r="T52" s="520">
        <f t="shared" si="20"/>
        <v>0</v>
      </c>
      <c r="U52" s="449">
        <f>база!$M$6</f>
        <v>279.0496</v>
      </c>
      <c r="V52" s="367">
        <v>1</v>
      </c>
      <c r="W52" s="389">
        <f>SUMIFS(Таблица14[часы],Таблица14[коэф],"1",Таблица14[р/р],"5/24",Таблица14[Ф. И. О.],B55)</f>
        <v>0</v>
      </c>
      <c r="X52" s="521">
        <f t="shared" si="21"/>
        <v>0</v>
      </c>
      <c r="Y52" s="748"/>
      <c r="Z52" s="750"/>
      <c r="AA52" s="740"/>
    </row>
    <row r="53" spans="1:27" ht="18.75">
      <c r="A53" s="740"/>
      <c r="B53" s="201"/>
      <c r="C53" s="779"/>
      <c r="D53" s="779"/>
      <c r="E53" s="366"/>
      <c r="F53" s="367"/>
      <c r="G53" s="377"/>
      <c r="H53" s="369">
        <f t="shared" si="18"/>
        <v>0</v>
      </c>
      <c r="I53" s="370">
        <f>база!$J$5</f>
        <v>215.4924</v>
      </c>
      <c r="J53" s="367">
        <v>1.5</v>
      </c>
      <c r="K53" s="411">
        <f>SUMIFS(Таблица14[часы],Таблица14[коэф],"1,5",Таблица14[р/р],"4/8",Таблица14[Ф. И. О.],B55)</f>
        <v>0</v>
      </c>
      <c r="L53" s="372">
        <f t="shared" si="19"/>
        <v>0</v>
      </c>
      <c r="M53" s="409"/>
      <c r="N53" s="411"/>
      <c r="O53" s="411"/>
      <c r="P53" s="411"/>
      <c r="Q53" s="376">
        <f>IF(D50&lt;=3,база!$L$4,
IF(D50=4,база!$L$5,
IF(D50=5,база!$L$6)))</f>
        <v>210.57480000000001</v>
      </c>
      <c r="R53" s="367">
        <v>1.2</v>
      </c>
      <c r="S53" s="377">
        <f>SUMIFS(Таблица14[часы],Таблица14[коэф],"1,2",Таблица14[р/р],"3/16",Таблица14[Ф. И. О.],B55)</f>
        <v>0</v>
      </c>
      <c r="T53" s="520">
        <f t="shared" si="20"/>
        <v>0</v>
      </c>
      <c r="U53" s="449">
        <f>IF(D50&lt;=3,база!$M$4,
IF(D50=4,база!$M$5,
IF(D50=5,база!$M$6)))</f>
        <v>225.09719999999999</v>
      </c>
      <c r="V53" s="367">
        <v>1.2</v>
      </c>
      <c r="W53" s="389">
        <f>SUMIFS(Таблица14[часы],Таблица14[коэф],"1,2",Таблица14[р/р],"3/24",Таблица14[Ф. И. О.],B55)</f>
        <v>0</v>
      </c>
      <c r="X53" s="521">
        <f t="shared" si="21"/>
        <v>0</v>
      </c>
      <c r="Y53" s="748"/>
      <c r="Z53" s="750"/>
      <c r="AA53" s="740"/>
    </row>
    <row r="54" spans="1:27" ht="18.75">
      <c r="A54" s="740"/>
      <c r="B54" s="201"/>
      <c r="C54" s="779"/>
      <c r="D54" s="779"/>
      <c r="E54" s="366"/>
      <c r="F54" s="367"/>
      <c r="G54" s="377"/>
      <c r="H54" s="369">
        <f t="shared" si="18"/>
        <v>0</v>
      </c>
      <c r="I54" s="370">
        <f>база!$J$6</f>
        <v>243.04319999999998</v>
      </c>
      <c r="J54" s="367">
        <v>1.5</v>
      </c>
      <c r="K54" s="411">
        <f>SUMIFS(Таблица14[часы],Таблица14[коэф],"1,5",Таблица14[р/р],"5/8",Таблица14[Ф. И. О.],B55)</f>
        <v>0</v>
      </c>
      <c r="L54" s="372">
        <f t="shared" si="19"/>
        <v>0</v>
      </c>
      <c r="M54" s="409"/>
      <c r="N54" s="411"/>
      <c r="O54" s="411"/>
      <c r="P54" s="411"/>
      <c r="Q54" s="376">
        <f>база!$L$5</f>
        <v>231.45480000000001</v>
      </c>
      <c r="R54" s="367">
        <v>1.2</v>
      </c>
      <c r="S54" s="377">
        <f>SUMIFS(Таблица14[часы],Таблица14[коэф],"1,2",Таблица14[р/р],"4/16",Таблица14[Ф. И. О.],B55)</f>
        <v>0</v>
      </c>
      <c r="T54" s="520">
        <f t="shared" si="20"/>
        <v>0</v>
      </c>
      <c r="U54" s="449">
        <f>база!$M$5</f>
        <v>247.41720000000001</v>
      </c>
      <c r="V54" s="367">
        <v>1.2</v>
      </c>
      <c r="W54" s="389">
        <f>SUMIFS(Таблица14[часы],Таблица14[коэф],"1,2",Таблица14[р/р],"4/24",Таблица14[Ф. И. О.],B55)</f>
        <v>0</v>
      </c>
      <c r="X54" s="521">
        <f t="shared" si="21"/>
        <v>0</v>
      </c>
      <c r="Y54" s="748"/>
      <c r="Z54" s="750"/>
      <c r="AA54" s="740"/>
    </row>
    <row r="55" spans="1:27" ht="18.75">
      <c r="A55" s="740"/>
      <c r="B55" s="201" t="str">
        <f>база!B6</f>
        <v>Алиева Диана Арифовна</v>
      </c>
      <c r="C55" s="779"/>
      <c r="D55" s="779"/>
      <c r="E55" s="366"/>
      <c r="F55" s="367"/>
      <c r="G55" s="377"/>
      <c r="H55" s="369">
        <f t="shared" si="18"/>
        <v>0</v>
      </c>
      <c r="I55" s="370"/>
      <c r="J55" s="367"/>
      <c r="K55" s="411"/>
      <c r="L55" s="372">
        <f t="shared" si="19"/>
        <v>0</v>
      </c>
      <c r="M55" s="409"/>
      <c r="N55" s="411"/>
      <c r="O55" s="411"/>
      <c r="P55" s="411"/>
      <c r="Q55" s="376">
        <f>база!$L$6</f>
        <v>261.04640000000001</v>
      </c>
      <c r="R55" s="367">
        <v>1.2</v>
      </c>
      <c r="S55" s="377">
        <f>SUMIFS(Таблица14[часы],Таблица14[коэф],"1,2",Таблица14[р/р],"5/16",Таблица14[Ф. И. О.],B55)</f>
        <v>0</v>
      </c>
      <c r="T55" s="520">
        <f t="shared" si="20"/>
        <v>0</v>
      </c>
      <c r="U55" s="449">
        <f>база!$M$6</f>
        <v>279.0496</v>
      </c>
      <c r="V55" s="367">
        <v>1.2</v>
      </c>
      <c r="W55" s="389">
        <f>SUMIFS(Таблица14[часы],Таблица14[коэф],"1,2",Таблица14[р/р],"5/24",Таблица14[Ф. И. О.],B55)</f>
        <v>0</v>
      </c>
      <c r="X55" s="521">
        <f t="shared" si="21"/>
        <v>0</v>
      </c>
      <c r="Y55" s="748"/>
      <c r="Z55" s="750"/>
      <c r="AA55" s="740"/>
    </row>
    <row r="56" spans="1:27" ht="18.75">
      <c r="A56" s="740"/>
      <c r="B56" s="201"/>
      <c r="C56" s="779"/>
      <c r="D56" s="779"/>
      <c r="E56" s="366"/>
      <c r="F56" s="367"/>
      <c r="G56" s="377"/>
      <c r="H56" s="369">
        <f t="shared" si="18"/>
        <v>0</v>
      </c>
      <c r="I56" s="370"/>
      <c r="J56" s="367"/>
      <c r="K56" s="411"/>
      <c r="L56" s="372">
        <f t="shared" si="19"/>
        <v>0</v>
      </c>
      <c r="M56" s="409"/>
      <c r="N56" s="411"/>
      <c r="O56" s="411"/>
      <c r="P56" s="411"/>
      <c r="Q56" s="376">
        <f>IF(D50&lt;=3,база!$L$4,
IF(D50=4,база!$L$5,
IF(D50=5,база!$L$6)))</f>
        <v>210.57480000000001</v>
      </c>
      <c r="R56" s="367">
        <v>1.3</v>
      </c>
      <c r="S56" s="377">
        <f>SUMIFS(Таблица14[часы],Таблица14[коэф],"1,3",Таблица14[р/р],"3/16",Таблица14[Ф. И. О.],B55)</f>
        <v>0</v>
      </c>
      <c r="T56" s="520">
        <f t="shared" si="20"/>
        <v>0</v>
      </c>
      <c r="U56" s="449">
        <f>IF(D50&lt;=3,база!$M$4,
IF(D50=4,база!$M$5,
IF(D50=5,база!$M$6)))</f>
        <v>225.09719999999999</v>
      </c>
      <c r="V56" s="367">
        <v>1.3</v>
      </c>
      <c r="W56" s="389">
        <f>SUMIFS(Таблица14[часы],Таблица14[коэф],"1,3",Таблица14[р/р],"3/24",Таблица14[Ф. И. О.],B55)</f>
        <v>0</v>
      </c>
      <c r="X56" s="521">
        <f t="shared" si="21"/>
        <v>0</v>
      </c>
      <c r="Y56" s="748"/>
      <c r="Z56" s="750"/>
      <c r="AA56" s="740"/>
    </row>
    <row r="57" spans="1:27" ht="18.75">
      <c r="A57" s="740"/>
      <c r="B57" s="201"/>
      <c r="C57" s="779"/>
      <c r="D57" s="779"/>
      <c r="E57" s="366"/>
      <c r="F57" s="367"/>
      <c r="G57" s="377"/>
      <c r="H57" s="369">
        <f t="shared" si="18"/>
        <v>0</v>
      </c>
      <c r="I57" s="370"/>
      <c r="J57" s="367"/>
      <c r="K57" s="411"/>
      <c r="L57" s="372">
        <f t="shared" si="19"/>
        <v>0</v>
      </c>
      <c r="M57" s="409"/>
      <c r="N57" s="411"/>
      <c r="O57" s="411"/>
      <c r="P57" s="411"/>
      <c r="Q57" s="376">
        <f>база!$L$5</f>
        <v>231.45480000000001</v>
      </c>
      <c r="R57" s="367">
        <v>1.3</v>
      </c>
      <c r="S57" s="377">
        <f>SUMIFS(Таблица14[часы],Таблица14[коэф],"1,3",Таблица14[р/р],"4/16",Таблица14[Ф. И. О.],B55)</f>
        <v>0</v>
      </c>
      <c r="T57" s="520">
        <f t="shared" si="20"/>
        <v>0</v>
      </c>
      <c r="U57" s="449">
        <f>база!$M$5</f>
        <v>247.41720000000001</v>
      </c>
      <c r="V57" s="367">
        <v>1.3</v>
      </c>
      <c r="W57" s="389">
        <f>SUMIFS(Таблица14[часы],Таблица14[коэф],"1,3",Таблица14[р/р],"4/24",Таблица14[Ф. И. О.],B55)</f>
        <v>0</v>
      </c>
      <c r="X57" s="521">
        <f t="shared" si="21"/>
        <v>0</v>
      </c>
      <c r="Y57" s="748"/>
      <c r="Z57" s="750"/>
      <c r="AA57" s="740"/>
    </row>
    <row r="58" spans="1:27" ht="18.75">
      <c r="A58" s="740"/>
      <c r="B58" s="201"/>
      <c r="C58" s="779"/>
      <c r="D58" s="779"/>
      <c r="E58" s="366"/>
      <c r="F58" s="367"/>
      <c r="G58" s="377"/>
      <c r="H58" s="369">
        <f t="shared" si="18"/>
        <v>0</v>
      </c>
      <c r="I58" s="370"/>
      <c r="J58" s="367"/>
      <c r="K58" s="411"/>
      <c r="L58" s="372">
        <f t="shared" si="19"/>
        <v>0</v>
      </c>
      <c r="M58" s="409"/>
      <c r="N58" s="411"/>
      <c r="O58" s="411"/>
      <c r="P58" s="411"/>
      <c r="Q58" s="376">
        <f>IF(D50&lt;=3,база!$L$4,
IF(D50=4,база!$L$5,
IF(D50=5,база!$L$6)))</f>
        <v>210.57480000000001</v>
      </c>
      <c r="R58" s="367">
        <v>1.4</v>
      </c>
      <c r="S58" s="377">
        <f>SUMIFS(Таблица14[часы],Таблица14[коэф],"1,4",Таблица14[р/р],"3/16",Таблица14[Ф. И. О.],B55)</f>
        <v>0</v>
      </c>
      <c r="T58" s="520">
        <f t="shared" si="20"/>
        <v>0</v>
      </c>
      <c r="U58" s="449">
        <f>IF(D50&lt;=3,база!$M$4,
IF(D50=4,база!$M$5,
IF(D50=5,база!$M$6)))</f>
        <v>225.09719999999999</v>
      </c>
      <c r="V58" s="367">
        <v>1.4</v>
      </c>
      <c r="W58" s="389">
        <f>SUMIFS(Таблица14[часы],Таблица14[коэф],"1,4",Таблица14[р/р],"3/24",Таблица14[Ф. И. О.],B55)</f>
        <v>0</v>
      </c>
      <c r="X58" s="521">
        <f t="shared" si="21"/>
        <v>0</v>
      </c>
      <c r="Y58" s="748"/>
      <c r="Z58" s="750"/>
      <c r="AA58" s="740"/>
    </row>
    <row r="59" spans="1:27" ht="18.75">
      <c r="A59" s="740"/>
      <c r="B59" s="201"/>
      <c r="C59" s="779"/>
      <c r="D59" s="779"/>
      <c r="E59" s="366"/>
      <c r="F59" s="367"/>
      <c r="G59" s="377"/>
      <c r="H59" s="369">
        <f t="shared" si="18"/>
        <v>0</v>
      </c>
      <c r="I59" s="370"/>
      <c r="J59" s="367"/>
      <c r="K59" s="411"/>
      <c r="L59" s="372">
        <f t="shared" si="19"/>
        <v>0</v>
      </c>
      <c r="M59" s="409"/>
      <c r="N59" s="411"/>
      <c r="O59" s="411"/>
      <c r="P59" s="411"/>
      <c r="Q59" s="376">
        <f>база!$L$5</f>
        <v>231.45480000000001</v>
      </c>
      <c r="R59" s="367">
        <v>1.4</v>
      </c>
      <c r="S59" s="377">
        <f>SUMIFS(Таблица14[часы],Таблица14[коэф],"1,4",Таблица14[р/р],"4/16",Таблица14[Ф. И. О.],B55)</f>
        <v>0</v>
      </c>
      <c r="T59" s="520">
        <f t="shared" si="20"/>
        <v>0</v>
      </c>
      <c r="U59" s="449">
        <f>база!$M$5</f>
        <v>247.41720000000001</v>
      </c>
      <c r="V59" s="367">
        <v>1.4</v>
      </c>
      <c r="W59" s="389">
        <f>SUMIFS(Таблица14[часы],Таблица14[коэф],"1,4",Таблица14[р/р],"4/24",Таблица14[Ф. И. О.],B55)</f>
        <v>0</v>
      </c>
      <c r="X59" s="521">
        <f t="shared" si="21"/>
        <v>0</v>
      </c>
      <c r="Y59" s="748"/>
      <c r="Z59" s="750"/>
      <c r="AA59" s="740"/>
    </row>
    <row r="60" spans="1:27" ht="19.5" thickBot="1">
      <c r="A60" s="741"/>
      <c r="B60" s="188"/>
      <c r="C60" s="780"/>
      <c r="D60" s="780"/>
      <c r="E60" s="450"/>
      <c r="F60" s="441"/>
      <c r="G60" s="442"/>
      <c r="H60" s="445">
        <f t="shared" si="18"/>
        <v>0</v>
      </c>
      <c r="I60" s="440"/>
      <c r="J60" s="441"/>
      <c r="K60" s="434"/>
      <c r="L60" s="435">
        <f t="shared" si="19"/>
        <v>0</v>
      </c>
      <c r="M60" s="409"/>
      <c r="N60" s="411"/>
      <c r="O60" s="411"/>
      <c r="P60" s="411"/>
      <c r="Q60" s="444">
        <f>база!$L$6</f>
        <v>261.04640000000001</v>
      </c>
      <c r="R60" s="441">
        <v>1.4</v>
      </c>
      <c r="S60" s="442">
        <f>SUMIFS(Таблица14[часы],Таблица14[коэф],"1,4",Таблица14[р/р],"5/16",Таблица14[Ф. И. О.],B55)</f>
        <v>0</v>
      </c>
      <c r="T60" s="525">
        <f t="shared" si="20"/>
        <v>0</v>
      </c>
      <c r="U60" s="451">
        <f>база!$M$6</f>
        <v>279.0496</v>
      </c>
      <c r="V60" s="441">
        <v>1.4</v>
      </c>
      <c r="W60" s="447">
        <f>SUMIFS(Таблица14[часы],Таблица14[коэф],"1,4",Таблица14[р/р],"5/24",Таблица14[Ф. И. О.],B55)</f>
        <v>0</v>
      </c>
      <c r="X60" s="523">
        <f t="shared" si="21"/>
        <v>0</v>
      </c>
      <c r="Y60" s="749"/>
      <c r="Z60" s="751"/>
      <c r="AA60" s="741"/>
    </row>
    <row r="61" spans="1:27" ht="18.75">
      <c r="A61" s="739">
        <v>6</v>
      </c>
      <c r="B61" s="201"/>
      <c r="C61" s="778">
        <f>INDEX(база!$E$2:$E$81, MATCH(B66,база!$B$2:$B$50,0))</f>
        <v>17290</v>
      </c>
      <c r="D61" s="778">
        <f>INDEX(база!$D$2:$D$89, MATCH(B66,база!$B$2:$B$50,0))</f>
        <v>3</v>
      </c>
      <c r="E61" s="354">
        <f>IF(D61&lt;=3,база!$I$4,
IF(D61=4,база!$I$5,
IF(D61=5,база!$I$6)))</f>
        <v>188.7912</v>
      </c>
      <c r="F61" s="355">
        <v>1</v>
      </c>
      <c r="G61" s="364">
        <f>SUMIFS(Таблица14[часы],Таблица14[коэф],"1",Таблица14[р/р],"2/4",Таблица14[Ф. И. О.],B66)</f>
        <v>0</v>
      </c>
      <c r="H61" s="357">
        <f>ROUND(E61*F61*G61*2,2)</f>
        <v>0</v>
      </c>
      <c r="I61" s="428">
        <f>IF(D61&lt;=3,база!$J$4,
IF(D61=4,база!$J$5,
IF(D61=5,база!$J$6)))</f>
        <v>196.05240000000001</v>
      </c>
      <c r="J61" s="394">
        <v>1</v>
      </c>
      <c r="K61" s="430">
        <f>SUMIFS(Таблица14[часы],Таблица14[коэф],"1",Таблица14[р/р],"2/8",Таблица14[Ф. И. О.],B66)</f>
        <v>0</v>
      </c>
      <c r="L61" s="430">
        <f>ROUND(I61*J61*K61*2,2)</f>
        <v>0</v>
      </c>
      <c r="M61" s="411"/>
      <c r="N61" s="411">
        <v>1</v>
      </c>
      <c r="O61" s="411">
        <f>SUMIFS(Data_Tech!$AM$3:$AM$67,Data_Tech!$E$3:$E$67,"1",Data_Tech!$G$3:$G$67,"3/12",Data_Tech!$F$3:$F$67,B66)</f>
        <v>0</v>
      </c>
      <c r="P61" s="383">
        <f>ROUND(M61*N61*O61,2)</f>
        <v>0</v>
      </c>
      <c r="Q61" s="354">
        <f>IF(D61&lt;=3,база!$L$4,
IF(D61=4,база!$L$5,
IF(D61=5,база!$L$6)))</f>
        <v>210.57480000000001</v>
      </c>
      <c r="R61" s="355">
        <v>1</v>
      </c>
      <c r="S61" s="364">
        <f>SUMIFS(Таблица14[часы],Таблица14[коэф],"1",Таблица14[р/р],"3/16",Таблица14[Ф. И. О.],B66)</f>
        <v>0</v>
      </c>
      <c r="T61" s="357">
        <f>ROUND(Q61*R61*S61*2,2)</f>
        <v>0</v>
      </c>
      <c r="U61" s="431">
        <f>IF(D61&lt;=3,база!$M$4,
IF(D61=4,база!$M$5,
IF(D61=5,база!$M$6)))</f>
        <v>225.09719999999999</v>
      </c>
      <c r="V61" s="394">
        <v>1</v>
      </c>
      <c r="W61" s="432">
        <f>SUMIFS(Таблица14[часы],Таблица14[коэф],"1",Таблица14[р/р],"3/24",Таблица14[Ф. И. О.],B66)</f>
        <v>0</v>
      </c>
      <c r="X61" s="519">
        <f>ROUND(U61*V61*W61*2,2)</f>
        <v>0</v>
      </c>
      <c r="Y61" s="748">
        <f>SUM(G61:G71,K61:K71,O61:O71,S61:S71,W61:W71)</f>
        <v>0</v>
      </c>
      <c r="Z61" s="750">
        <f>IFERROR(SUM(H61:H71,L61:L71,T61:T71,X61:X71),"")</f>
        <v>0</v>
      </c>
      <c r="AA61" s="740"/>
    </row>
    <row r="62" spans="1:27" ht="18.75">
      <c r="A62" s="740"/>
      <c r="B62" s="201"/>
      <c r="C62" s="779"/>
      <c r="D62" s="779"/>
      <c r="E62" s="366">
        <f>IF(D61&lt;=3,база!$I$4,
IF(D61=4,база!$I$5,
IF(D61=5,база!$I$6)))</f>
        <v>188.7912</v>
      </c>
      <c r="F62" s="367">
        <v>1</v>
      </c>
      <c r="G62" s="377">
        <f>SUMIFS(Таблица14[часы],Таблица14[коэф],"1",Таблица14[р/р],"3/4",Таблица14[Ф. И. О.],B66)</f>
        <v>0</v>
      </c>
      <c r="H62" s="369">
        <f t="shared" ref="H62:H71" si="22">ROUND(E62*F62*G62*2,2)</f>
        <v>0</v>
      </c>
      <c r="I62" s="370">
        <f>IF(D61&lt;=3,база!$J$4,
IF(D61=4,база!$J$5,
IF(D61=5,база!$J$6)))</f>
        <v>196.05240000000001</v>
      </c>
      <c r="J62" s="367">
        <v>1</v>
      </c>
      <c r="K62" s="411">
        <f>SUMIFS(Таблица14[часы],Таблица14[коэф],"1",Таблица14[р/р],"3/8",Таблица14[Ф. И. О.],B66)</f>
        <v>0</v>
      </c>
      <c r="L62" s="411">
        <f t="shared" ref="L62:L71" si="23">ROUND(I62*J62*K62*2,2)</f>
        <v>0</v>
      </c>
      <c r="M62" s="411"/>
      <c r="N62" s="411">
        <v>1</v>
      </c>
      <c r="O62" s="411">
        <f>SUMIFS(Data_Tech!$AM$3:$AM$67,Data_Tech!$E$3:$E$67,"1",Data_Tech!$G$3:$G$67,"4/12",Data_Tech!$F$3:$F$67,B66)</f>
        <v>0</v>
      </c>
      <c r="P62" s="383">
        <f>ROUND(M62*O62,2)</f>
        <v>0</v>
      </c>
      <c r="Q62" s="366">
        <f>база!$L$5</f>
        <v>231.45480000000001</v>
      </c>
      <c r="R62" s="367">
        <v>1</v>
      </c>
      <c r="S62" s="377">
        <f>SUMIFS(Таблица14[часы],Таблица14[коэф],"1",Таблица14[р/р],"4/16",Таблица14[Ф. И. О.],B66)</f>
        <v>0</v>
      </c>
      <c r="T62" s="369">
        <f t="shared" ref="T62:T71" si="24">ROUND(Q62*R62*S62*2,2)</f>
        <v>0</v>
      </c>
      <c r="U62" s="387">
        <f>база!$M$5</f>
        <v>247.41720000000001</v>
      </c>
      <c r="V62" s="367">
        <v>1</v>
      </c>
      <c r="W62" s="389">
        <f>SUMIFS(Таблица14[часы],Таблица14[коэф],"1",Таблица14[р/р],"4/24",Таблица14[Ф. И. О.],B66)</f>
        <v>0</v>
      </c>
      <c r="X62" s="521">
        <f t="shared" ref="X62:X71" si="25">ROUND(U62*V62*W62*2,2)</f>
        <v>0</v>
      </c>
      <c r="Y62" s="748"/>
      <c r="Z62" s="750"/>
      <c r="AA62" s="740"/>
    </row>
    <row r="63" spans="1:27" ht="18.75">
      <c r="A63" s="740"/>
      <c r="B63" s="201"/>
      <c r="C63" s="779"/>
      <c r="D63" s="779"/>
      <c r="E63" s="366"/>
      <c r="F63" s="367"/>
      <c r="G63" s="377"/>
      <c r="H63" s="369">
        <f t="shared" si="22"/>
        <v>0</v>
      </c>
      <c r="I63" s="370"/>
      <c r="J63" s="367"/>
      <c r="K63" s="411"/>
      <c r="L63" s="411">
        <f t="shared" si="23"/>
        <v>0</v>
      </c>
      <c r="M63" s="411"/>
      <c r="N63" s="411"/>
      <c r="O63" s="411"/>
      <c r="P63" s="383"/>
      <c r="Q63" s="366">
        <f>база!$L$6</f>
        <v>261.04640000000001</v>
      </c>
      <c r="R63" s="367">
        <v>1</v>
      </c>
      <c r="S63" s="377">
        <f>SUMIFS(Таблица14[часы],Таблица14[коэф],"1",Таблица14[р/р],"5/16",Таблица14[Ф. И. О.],B66)</f>
        <v>0</v>
      </c>
      <c r="T63" s="369">
        <f t="shared" si="24"/>
        <v>0</v>
      </c>
      <c r="U63" s="387">
        <f>база!$M$6</f>
        <v>279.0496</v>
      </c>
      <c r="V63" s="367">
        <v>1</v>
      </c>
      <c r="W63" s="389">
        <f>SUMIFS(Таблица14[часы],Таблица14[коэф],"1",Таблица14[р/р],"5/24",Таблица14[Ф. И. О.],B66)</f>
        <v>0</v>
      </c>
      <c r="X63" s="521">
        <f t="shared" si="25"/>
        <v>0</v>
      </c>
      <c r="Y63" s="748"/>
      <c r="Z63" s="750"/>
      <c r="AA63" s="740"/>
    </row>
    <row r="64" spans="1:27" ht="18.75">
      <c r="A64" s="740"/>
      <c r="B64" s="201"/>
      <c r="C64" s="779"/>
      <c r="D64" s="779"/>
      <c r="E64" s="366"/>
      <c r="F64" s="367"/>
      <c r="G64" s="377"/>
      <c r="H64" s="369">
        <f t="shared" si="22"/>
        <v>0</v>
      </c>
      <c r="I64" s="370">
        <f>база!$J$5</f>
        <v>215.4924</v>
      </c>
      <c r="J64" s="367">
        <v>1.5</v>
      </c>
      <c r="K64" s="411">
        <f>SUMIFS(Таблица14[часы],Таблица14[коэф],"1,5",Таблица14[р/р],"4/8",Таблица14[Ф. И. О.],B66)</f>
        <v>0</v>
      </c>
      <c r="L64" s="411">
        <f t="shared" si="23"/>
        <v>0</v>
      </c>
      <c r="M64" s="411"/>
      <c r="N64" s="411"/>
      <c r="O64" s="411"/>
      <c r="P64" s="383"/>
      <c r="Q64" s="366">
        <f>IF(D61&lt;=3,база!$L$4,
IF(D61=4,база!$L$5,
IF(D61=5,база!$L$6)))</f>
        <v>210.57480000000001</v>
      </c>
      <c r="R64" s="367">
        <v>1.2</v>
      </c>
      <c r="S64" s="377">
        <f>SUMIFS(Таблица14[часы],Таблица14[коэф],"1,2",Таблица14[р/р],"3/16",Таблица14[Ф. И. О.],B66)</f>
        <v>0</v>
      </c>
      <c r="T64" s="369">
        <f t="shared" si="24"/>
        <v>0</v>
      </c>
      <c r="U64" s="387">
        <f>IF(D61&lt;=3,база!$M$4,
IF(D61=4,база!$M$5,
IF(D61=5,база!$M$6)))</f>
        <v>225.09719999999999</v>
      </c>
      <c r="V64" s="367">
        <v>1.2</v>
      </c>
      <c r="W64" s="389">
        <f>SUMIFS(Таблица14[часы],Таблица14[коэф],"1,2",Таблица14[р/р],"3/24",Таблица14[Ф. И. О.],B66)</f>
        <v>0</v>
      </c>
      <c r="X64" s="521">
        <f t="shared" si="25"/>
        <v>0</v>
      </c>
      <c r="Y64" s="748"/>
      <c r="Z64" s="750"/>
      <c r="AA64" s="740"/>
    </row>
    <row r="65" spans="1:27" ht="18.75">
      <c r="A65" s="740"/>
      <c r="B65" s="201"/>
      <c r="C65" s="779"/>
      <c r="D65" s="779"/>
      <c r="E65" s="366"/>
      <c r="F65" s="367"/>
      <c r="G65" s="377"/>
      <c r="H65" s="369">
        <f t="shared" si="22"/>
        <v>0</v>
      </c>
      <c r="I65" s="370">
        <f>база!$J$6</f>
        <v>243.04319999999998</v>
      </c>
      <c r="J65" s="367">
        <v>1.5</v>
      </c>
      <c r="K65" s="411">
        <f>SUMIFS(Таблица14[часы],Таблица14[коэф],"1,5",Таблица14[р/р],"5/8",Таблица14[Ф. И. О.],B66)</f>
        <v>0</v>
      </c>
      <c r="L65" s="411">
        <f t="shared" si="23"/>
        <v>0</v>
      </c>
      <c r="M65" s="411"/>
      <c r="N65" s="411"/>
      <c r="O65" s="411"/>
      <c r="P65" s="383"/>
      <c r="Q65" s="366">
        <f>база!$L$5</f>
        <v>231.45480000000001</v>
      </c>
      <c r="R65" s="367">
        <v>1.2</v>
      </c>
      <c r="S65" s="377">
        <f>SUMIFS(Таблица14[часы],Таблица14[коэф],"1,2",Таблица14[р/р],"4/16",Таблица14[Ф. И. О.],B66)</f>
        <v>0</v>
      </c>
      <c r="T65" s="369">
        <f t="shared" si="24"/>
        <v>0</v>
      </c>
      <c r="U65" s="387">
        <f>база!$M$5</f>
        <v>247.41720000000001</v>
      </c>
      <c r="V65" s="367">
        <v>1.2</v>
      </c>
      <c r="W65" s="389">
        <f>SUMIFS(Таблица14[часы],Таблица14[коэф],"1,2",Таблица14[р/р],"4/24",Таблица14[Ф. И. О.],B66)</f>
        <v>0</v>
      </c>
      <c r="X65" s="521">
        <f t="shared" si="25"/>
        <v>0</v>
      </c>
      <c r="Y65" s="748"/>
      <c r="Z65" s="750"/>
      <c r="AA65" s="740"/>
    </row>
    <row r="66" spans="1:27" ht="18.75">
      <c r="A66" s="740"/>
      <c r="B66" s="201" t="str">
        <f>база!B7</f>
        <v>Аполосова Ольга Николаевна</v>
      </c>
      <c r="C66" s="779"/>
      <c r="D66" s="779"/>
      <c r="E66" s="366"/>
      <c r="F66" s="367"/>
      <c r="G66" s="377"/>
      <c r="H66" s="369">
        <f t="shared" si="22"/>
        <v>0</v>
      </c>
      <c r="I66" s="370"/>
      <c r="J66" s="367"/>
      <c r="K66" s="411"/>
      <c r="L66" s="411">
        <f t="shared" si="23"/>
        <v>0</v>
      </c>
      <c r="M66" s="411"/>
      <c r="N66" s="411"/>
      <c r="O66" s="411"/>
      <c r="P66" s="383"/>
      <c r="Q66" s="366">
        <f>база!$L$6</f>
        <v>261.04640000000001</v>
      </c>
      <c r="R66" s="367">
        <v>1.2</v>
      </c>
      <c r="S66" s="377">
        <f>SUMIFS(Таблица14[часы],Таблица14[коэф],"1,2",Таблица14[р/р],"5/16",Таблица14[Ф. И. О.],B66)</f>
        <v>0</v>
      </c>
      <c r="T66" s="369">
        <f t="shared" si="24"/>
        <v>0</v>
      </c>
      <c r="U66" s="387">
        <f>база!$M$6</f>
        <v>279.0496</v>
      </c>
      <c r="V66" s="367">
        <v>1.2</v>
      </c>
      <c r="W66" s="389">
        <f>SUMIFS(Таблица14[часы],Таблица14[коэф],"1,2",Таблица14[р/р],"5/24",Таблица14[Ф. И. О.],B66)</f>
        <v>0</v>
      </c>
      <c r="X66" s="521">
        <f t="shared" si="25"/>
        <v>0</v>
      </c>
      <c r="Y66" s="748"/>
      <c r="Z66" s="750"/>
      <c r="AA66" s="740"/>
    </row>
    <row r="67" spans="1:27" ht="18.75">
      <c r="A67" s="740"/>
      <c r="B67" s="201"/>
      <c r="C67" s="779"/>
      <c r="D67" s="779"/>
      <c r="E67" s="366"/>
      <c r="F67" s="367"/>
      <c r="G67" s="377"/>
      <c r="H67" s="369">
        <f t="shared" si="22"/>
        <v>0</v>
      </c>
      <c r="I67" s="370"/>
      <c r="J67" s="367"/>
      <c r="K67" s="411"/>
      <c r="L67" s="411">
        <f t="shared" si="23"/>
        <v>0</v>
      </c>
      <c r="M67" s="411"/>
      <c r="N67" s="411"/>
      <c r="O67" s="411"/>
      <c r="P67" s="383"/>
      <c r="Q67" s="366">
        <f>IF(D61&lt;=3,база!$L$4,
IF(D61=4,база!$L$5,
IF(D61=5,база!$L$6)))</f>
        <v>210.57480000000001</v>
      </c>
      <c r="R67" s="367">
        <v>1.3</v>
      </c>
      <c r="S67" s="377">
        <f>SUMIFS(Таблица14[часы],Таблица14[коэф],"1,3",Таблица14[р/р],"3/16",Таблица14[Ф. И. О.],B66)</f>
        <v>0</v>
      </c>
      <c r="T67" s="369">
        <f t="shared" si="24"/>
        <v>0</v>
      </c>
      <c r="U67" s="387">
        <f>IF(D61&lt;=3,база!$M$4,
IF(D61=4,база!$M$5,
IF(D61=5,база!$M$6)))</f>
        <v>225.09719999999999</v>
      </c>
      <c r="V67" s="367">
        <v>1.3</v>
      </c>
      <c r="W67" s="389">
        <f>SUMIFS(Таблица14[часы],Таблица14[коэф],"1,3",Таблица14[р/р],"3/24",Таблица14[Ф. И. О.],B66)</f>
        <v>0</v>
      </c>
      <c r="X67" s="521">
        <f t="shared" si="25"/>
        <v>0</v>
      </c>
      <c r="Y67" s="748"/>
      <c r="Z67" s="750"/>
      <c r="AA67" s="740"/>
    </row>
    <row r="68" spans="1:27" ht="18.75">
      <c r="A68" s="740"/>
      <c r="B68" s="201"/>
      <c r="C68" s="779"/>
      <c r="D68" s="779"/>
      <c r="E68" s="366"/>
      <c r="F68" s="367"/>
      <c r="G68" s="377"/>
      <c r="H68" s="369">
        <f t="shared" si="22"/>
        <v>0</v>
      </c>
      <c r="I68" s="370"/>
      <c r="J68" s="367"/>
      <c r="K68" s="411"/>
      <c r="L68" s="411">
        <f t="shared" si="23"/>
        <v>0</v>
      </c>
      <c r="M68" s="411"/>
      <c r="N68" s="411"/>
      <c r="O68" s="411"/>
      <c r="P68" s="383"/>
      <c r="Q68" s="366">
        <f>база!$L$5</f>
        <v>231.45480000000001</v>
      </c>
      <c r="R68" s="367">
        <v>1.3</v>
      </c>
      <c r="S68" s="377">
        <f>SUMIFS(Таблица14[часы],Таблица14[коэф],"1,3",Таблица14[р/р],"4/16",Таблица14[Ф. И. О.],B66)</f>
        <v>0</v>
      </c>
      <c r="T68" s="369">
        <f t="shared" si="24"/>
        <v>0</v>
      </c>
      <c r="U68" s="387">
        <f>база!$M$5</f>
        <v>247.41720000000001</v>
      </c>
      <c r="V68" s="367">
        <v>1.3</v>
      </c>
      <c r="W68" s="389">
        <f>SUMIFS(Таблица14[часы],Таблица14[коэф],"1,3",Таблица14[р/р],"4/24",Таблица14[Ф. И. О.],B66)</f>
        <v>0</v>
      </c>
      <c r="X68" s="521">
        <f t="shared" si="25"/>
        <v>0</v>
      </c>
      <c r="Y68" s="748"/>
      <c r="Z68" s="750"/>
      <c r="AA68" s="740"/>
    </row>
    <row r="69" spans="1:27" ht="18.75">
      <c r="A69" s="740"/>
      <c r="B69" s="201"/>
      <c r="C69" s="779"/>
      <c r="D69" s="779"/>
      <c r="E69" s="366"/>
      <c r="F69" s="367"/>
      <c r="G69" s="377"/>
      <c r="H69" s="369">
        <f t="shared" si="22"/>
        <v>0</v>
      </c>
      <c r="I69" s="370"/>
      <c r="J69" s="367"/>
      <c r="K69" s="411"/>
      <c r="L69" s="411">
        <f t="shared" si="23"/>
        <v>0</v>
      </c>
      <c r="M69" s="411"/>
      <c r="N69" s="411"/>
      <c r="O69" s="411"/>
      <c r="P69" s="383"/>
      <c r="Q69" s="366">
        <f>IF(D61&lt;=3,база!$L$4,
IF(D61=4,база!$L$5,
IF(D61=5,база!$L$6)))</f>
        <v>210.57480000000001</v>
      </c>
      <c r="R69" s="367">
        <v>1.4</v>
      </c>
      <c r="S69" s="377">
        <f>SUMIFS(Таблица14[часы],Таблица14[коэф],"1,4",Таблица14[р/р],"3/16",Таблица14[Ф. И. О.],B66)</f>
        <v>0</v>
      </c>
      <c r="T69" s="369">
        <f t="shared" si="24"/>
        <v>0</v>
      </c>
      <c r="U69" s="387">
        <f>IF(D61&lt;=3,база!$M$4,
IF(D61=4,база!$M$5,
IF(D61=5,база!$M$6)))</f>
        <v>225.09719999999999</v>
      </c>
      <c r="V69" s="367">
        <v>1.4</v>
      </c>
      <c r="W69" s="389">
        <f>SUMIFS(Таблица14[часы],Таблица14[коэф],"1,4",Таблица14[р/р],"3/24",Таблица14[Ф. И. О.],B66)</f>
        <v>0</v>
      </c>
      <c r="X69" s="521">
        <f t="shared" si="25"/>
        <v>0</v>
      </c>
      <c r="Y69" s="748"/>
      <c r="Z69" s="750"/>
      <c r="AA69" s="740"/>
    </row>
    <row r="70" spans="1:27" ht="18.75">
      <c r="A70" s="740"/>
      <c r="B70" s="201"/>
      <c r="C70" s="779"/>
      <c r="D70" s="779"/>
      <c r="E70" s="366"/>
      <c r="F70" s="367"/>
      <c r="G70" s="377"/>
      <c r="H70" s="369">
        <f t="shared" si="22"/>
        <v>0</v>
      </c>
      <c r="I70" s="370"/>
      <c r="J70" s="367"/>
      <c r="K70" s="411"/>
      <c r="L70" s="411">
        <f t="shared" si="23"/>
        <v>0</v>
      </c>
      <c r="M70" s="411"/>
      <c r="N70" s="411"/>
      <c r="O70" s="411"/>
      <c r="P70" s="383"/>
      <c r="Q70" s="366">
        <f>база!$L$5</f>
        <v>231.45480000000001</v>
      </c>
      <c r="R70" s="367">
        <v>1.4</v>
      </c>
      <c r="S70" s="377">
        <f>SUMIFS(Таблица14[часы],Таблица14[коэф],"1,4",Таблица14[р/р],"4/16",Таблица14[Ф. И. О.],B66)</f>
        <v>0</v>
      </c>
      <c r="T70" s="369">
        <f t="shared" si="24"/>
        <v>0</v>
      </c>
      <c r="U70" s="387">
        <f>база!$M$5</f>
        <v>247.41720000000001</v>
      </c>
      <c r="V70" s="367">
        <v>1.4</v>
      </c>
      <c r="W70" s="389">
        <f>SUMIFS(Таблица14[часы],Таблица14[коэф],"1,4",Таблица14[р/р],"4/24",Таблица14[Ф. И. О.],B66)</f>
        <v>0</v>
      </c>
      <c r="X70" s="521">
        <f t="shared" si="25"/>
        <v>0</v>
      </c>
      <c r="Y70" s="748"/>
      <c r="Z70" s="750"/>
      <c r="AA70" s="740"/>
    </row>
    <row r="71" spans="1:27" ht="19.5" thickBot="1">
      <c r="A71" s="741"/>
      <c r="B71" s="188"/>
      <c r="C71" s="780"/>
      <c r="D71" s="780"/>
      <c r="E71" s="450"/>
      <c r="F71" s="441"/>
      <c r="G71" s="442"/>
      <c r="H71" s="445">
        <f t="shared" si="22"/>
        <v>0</v>
      </c>
      <c r="I71" s="440"/>
      <c r="J71" s="441"/>
      <c r="K71" s="434"/>
      <c r="L71" s="434">
        <f t="shared" si="23"/>
        <v>0</v>
      </c>
      <c r="M71" s="434"/>
      <c r="N71" s="434"/>
      <c r="O71" s="434"/>
      <c r="P71" s="453"/>
      <c r="Q71" s="450">
        <f>база!$L$6</f>
        <v>261.04640000000001</v>
      </c>
      <c r="R71" s="441">
        <v>1.4</v>
      </c>
      <c r="S71" s="442">
        <f>SUMIFS(Таблица14[часы],Таблица14[коэф],"1,4",Таблица14[р/р],"5/16",Таблица14[Ф. И. О.],B66)</f>
        <v>0</v>
      </c>
      <c r="T71" s="445">
        <f t="shared" si="24"/>
        <v>0</v>
      </c>
      <c r="U71" s="446">
        <f>база!$M$6</f>
        <v>279.0496</v>
      </c>
      <c r="V71" s="441">
        <v>1.4</v>
      </c>
      <c r="W71" s="447">
        <f>SUMIFS(Таблица14[часы],Таблица14[коэф],"1,4",Таблица14[р/р],"5/24",Таблица14[Ф. И. О.],B66)</f>
        <v>0</v>
      </c>
      <c r="X71" s="523">
        <f t="shared" si="25"/>
        <v>0</v>
      </c>
      <c r="Y71" s="749"/>
      <c r="Z71" s="751"/>
      <c r="AA71" s="741"/>
    </row>
    <row r="72" spans="1:27" ht="18.75">
      <c r="A72" s="739">
        <v>7</v>
      </c>
      <c r="B72" s="201"/>
      <c r="C72" s="778">
        <f>INDEX(база!$E$2:$E$81, MATCH(B77,база!$B$2:$B$50,0))</f>
        <v>17296</v>
      </c>
      <c r="D72" s="778">
        <f>INDEX(база!$D$2:$D$89, MATCH(B77,база!$B$2:$B$50,0))</f>
        <v>3</v>
      </c>
      <c r="E72" s="354">
        <f>IF(D72&lt;=3,база!$I$4,
IF(D72=4,база!$I$5,
IF(D72=5,база!$I$6)))</f>
        <v>188.7912</v>
      </c>
      <c r="F72" s="355">
        <v>1</v>
      </c>
      <c r="G72" s="364">
        <f>SUMIFS(Таблица14[часы],Таблица14[коэф],"1",Таблица14[р/р],"2/4",Таблица14[Ф. И. О.],B77)</f>
        <v>0</v>
      </c>
      <c r="H72" s="524">
        <f>ROUND(E72*F72*G72*2,2)</f>
        <v>0</v>
      </c>
      <c r="I72" s="354">
        <f>IF(D72&lt;=3,база!$J$4,
IF(D72=4,база!$J$5,
IF(D72=5,база!$J$6)))</f>
        <v>196.05240000000001</v>
      </c>
      <c r="J72" s="355">
        <v>1</v>
      </c>
      <c r="K72" s="405">
        <f>SUMIFS(Таблица14[часы],Таблица14[коэф],"1",Таблица14[р/р],"2/8",Таблица14[Ф. И. О.],B77)</f>
        <v>0</v>
      </c>
      <c r="L72" s="360">
        <f>ROUND(I72*J72*K72*2,2)</f>
        <v>0</v>
      </c>
      <c r="M72" s="403"/>
      <c r="N72" s="405">
        <v>1</v>
      </c>
      <c r="O72" s="405">
        <f>SUMIFS(Data_Tech!$AM$3:$AM$67,Data_Tech!$E$3:$E$67,"1",Data_Tech!$G$3:$G$67,"3/12",Data_Tech!$F$3:$F$67,B77)</f>
        <v>0</v>
      </c>
      <c r="P72" s="360">
        <f>ROUND(M72*N72*O72,2)</f>
        <v>0</v>
      </c>
      <c r="Q72" s="358">
        <f>IF(D72&lt;=3,база!$L$4,
IF(D72=4,база!$L$5,
IF(D72=5,база!$L$6)))</f>
        <v>210.57480000000001</v>
      </c>
      <c r="R72" s="355">
        <v>1</v>
      </c>
      <c r="S72" s="364">
        <f>SUMIFS(Таблица14[часы],Таблица14[коэф],"1",Таблица14[р/р],"3/16",Таблица14[Ф. И. О.],B77)</f>
        <v>0</v>
      </c>
      <c r="T72" s="357">
        <f>ROUND(Q72*R72*S72*2,2)</f>
        <v>0</v>
      </c>
      <c r="U72" s="439">
        <f>IF(D72&lt;=3,база!$M$4,
IF(D72=4,база!$M$5,
IF(D72=5,база!$M$6)))</f>
        <v>225.09719999999999</v>
      </c>
      <c r="V72" s="355">
        <v>1</v>
      </c>
      <c r="W72" s="407">
        <f>SUMIFS(Таблица14[часы],Таблица14[коэф],"1",Таблица14[р/р],"3/24",Таблица14[Ф. И. О.],B77)</f>
        <v>0</v>
      </c>
      <c r="X72" s="519">
        <f>ROUND(U72*V72*W72*2,2)</f>
        <v>0</v>
      </c>
      <c r="Y72" s="748">
        <f>SUM(G72:G82,K72:K82,O72:O82,S72:S82,W72:W82)</f>
        <v>0</v>
      </c>
      <c r="Z72" s="750">
        <f>IFERROR(SUM(H72:H82,L72:L82,T72:T82,X72:X82),"")</f>
        <v>0</v>
      </c>
      <c r="AA72" s="740"/>
    </row>
    <row r="73" spans="1:27" ht="18.75">
      <c r="A73" s="740"/>
      <c r="B73" s="201"/>
      <c r="C73" s="779"/>
      <c r="D73" s="779"/>
      <c r="E73" s="366">
        <f>IF(D72&lt;=3,база!$I$4,
IF(D72=4,база!$I$5,
IF(D72=5,база!$I$6)))</f>
        <v>188.7912</v>
      </c>
      <c r="F73" s="367">
        <v>1</v>
      </c>
      <c r="G73" s="377">
        <f>SUMIFS(Таблица14[часы],Таблица14[коэф],"1",Таблица14[р/р],"3/4",Таблица14[Ф. И. О.],B77)</f>
        <v>0</v>
      </c>
      <c r="H73" s="520">
        <f t="shared" ref="H73:H82" si="26">ROUND(E73*F73*G73*2,2)</f>
        <v>0</v>
      </c>
      <c r="I73" s="366">
        <f>IF(D72&lt;=3,база!$J$4,
IF(D72=4,база!$J$5,
IF(D72=5,база!$J$6)))</f>
        <v>196.05240000000001</v>
      </c>
      <c r="J73" s="367">
        <v>1</v>
      </c>
      <c r="K73" s="411">
        <f>SUMIFS(Таблица14[часы],Таблица14[коэф],"1",Таблица14[р/р],"3/8",Таблица14[Ф. И. О.],B77)</f>
        <v>0</v>
      </c>
      <c r="L73" s="372">
        <f t="shared" ref="L73:L82" si="27">ROUND(I73*J73*K73*2,2)</f>
        <v>0</v>
      </c>
      <c r="M73" s="409"/>
      <c r="N73" s="411">
        <v>1</v>
      </c>
      <c r="O73" s="411">
        <f>SUMIFS(Data_Tech!$AM$3:$AM$67,Data_Tech!$E$3:$E$67,"1",Data_Tech!$G$3:$G$67,"4/12",Data_Tech!$F$3:$F$67,B77)</f>
        <v>0</v>
      </c>
      <c r="P73" s="372">
        <f>ROUND(M73*O73,2)</f>
        <v>0</v>
      </c>
      <c r="Q73" s="370">
        <f>база!$L$5</f>
        <v>231.45480000000001</v>
      </c>
      <c r="R73" s="367">
        <v>1</v>
      </c>
      <c r="S73" s="377">
        <f>SUMIFS(Таблица14[часы],Таблица14[коэф],"1",Таблица14[р/р],"4/16",Таблица14[Ф. И. О.],B77)</f>
        <v>0</v>
      </c>
      <c r="T73" s="369">
        <f t="shared" ref="T73:T82" si="28">ROUND(Q73*R73*S73*2,2)</f>
        <v>0</v>
      </c>
      <c r="U73" s="387">
        <f>база!$M$5</f>
        <v>247.41720000000001</v>
      </c>
      <c r="V73" s="367">
        <v>1</v>
      </c>
      <c r="W73" s="389">
        <f>SUMIFS(Таблица14[часы],Таблица14[коэф],"1",Таблица14[р/р],"4/24",Таблица14[Ф. И. О.],B77)</f>
        <v>0</v>
      </c>
      <c r="X73" s="521">
        <f t="shared" ref="X73:X82" si="29">ROUND(U73*V73*W73*2,2)</f>
        <v>0</v>
      </c>
      <c r="Y73" s="748"/>
      <c r="Z73" s="750"/>
      <c r="AA73" s="740"/>
    </row>
    <row r="74" spans="1:27" ht="18.75">
      <c r="A74" s="740"/>
      <c r="B74" s="201"/>
      <c r="C74" s="779"/>
      <c r="D74" s="779"/>
      <c r="E74" s="366"/>
      <c r="F74" s="367"/>
      <c r="G74" s="377"/>
      <c r="H74" s="520">
        <f t="shared" si="26"/>
        <v>0</v>
      </c>
      <c r="I74" s="366"/>
      <c r="J74" s="367"/>
      <c r="K74" s="411"/>
      <c r="L74" s="372">
        <f t="shared" si="27"/>
        <v>0</v>
      </c>
      <c r="M74" s="409"/>
      <c r="N74" s="411"/>
      <c r="O74" s="411"/>
      <c r="P74" s="372"/>
      <c r="Q74" s="370">
        <f>база!$L$6</f>
        <v>261.04640000000001</v>
      </c>
      <c r="R74" s="367">
        <v>1</v>
      </c>
      <c r="S74" s="377">
        <f>SUMIFS(Таблица14[часы],Таблица14[коэф],"1",Таблица14[р/р],"5/16",Таблица14[Ф. И. О.],B77)</f>
        <v>0</v>
      </c>
      <c r="T74" s="369">
        <f t="shared" si="28"/>
        <v>0</v>
      </c>
      <c r="U74" s="387">
        <f>база!$M$6</f>
        <v>279.0496</v>
      </c>
      <c r="V74" s="367">
        <v>1</v>
      </c>
      <c r="W74" s="389">
        <f>SUMIFS(Таблица14[часы],Таблица14[коэф],"1",Таблица14[р/р],"5/24",Таблица14[Ф. И. О.],B77)</f>
        <v>0</v>
      </c>
      <c r="X74" s="521">
        <f t="shared" si="29"/>
        <v>0</v>
      </c>
      <c r="Y74" s="748"/>
      <c r="Z74" s="750"/>
      <c r="AA74" s="740"/>
    </row>
    <row r="75" spans="1:27" ht="18.75">
      <c r="A75" s="740"/>
      <c r="B75" s="201"/>
      <c r="C75" s="779"/>
      <c r="D75" s="779"/>
      <c r="E75" s="366"/>
      <c r="F75" s="367"/>
      <c r="G75" s="377"/>
      <c r="H75" s="520">
        <f t="shared" si="26"/>
        <v>0</v>
      </c>
      <c r="I75" s="366">
        <f>база!$J$5</f>
        <v>215.4924</v>
      </c>
      <c r="J75" s="367">
        <v>1.5</v>
      </c>
      <c r="K75" s="411">
        <f>SUMIFS(Таблица14[часы],Таблица14[коэф],"1,5",Таблица14[р/р],"4/8",Таблица14[Ф. И. О.],B77)</f>
        <v>0</v>
      </c>
      <c r="L75" s="372">
        <f t="shared" si="27"/>
        <v>0</v>
      </c>
      <c r="M75" s="409"/>
      <c r="N75" s="411"/>
      <c r="O75" s="411"/>
      <c r="P75" s="372"/>
      <c r="Q75" s="370">
        <f>IF(D72&lt;=3,база!$L$4,
IF(D72=4,база!$L$5,
IF(D72=5,база!$L$6)))</f>
        <v>210.57480000000001</v>
      </c>
      <c r="R75" s="367">
        <v>1.2</v>
      </c>
      <c r="S75" s="377">
        <f>SUMIFS(Таблица14[часы],Таблица14[коэф],"1,2",Таблица14[р/р],"3/16",Таблица14[Ф. И. О.],B77)</f>
        <v>0</v>
      </c>
      <c r="T75" s="369">
        <f t="shared" si="28"/>
        <v>0</v>
      </c>
      <c r="U75" s="387">
        <f>IF(D72&lt;=3,база!$M$4,
IF(D72=4,база!$M$5,
IF(D72=5,база!$M$6)))</f>
        <v>225.09719999999999</v>
      </c>
      <c r="V75" s="367">
        <v>1.2</v>
      </c>
      <c r="W75" s="389">
        <f>SUMIFS(Таблица14[часы],Таблица14[коэф],"1,2",Таблица14[р/р],"3/24",Таблица14[Ф. И. О.],B77)</f>
        <v>0</v>
      </c>
      <c r="X75" s="521">
        <f t="shared" si="29"/>
        <v>0</v>
      </c>
      <c r="Y75" s="748"/>
      <c r="Z75" s="750"/>
      <c r="AA75" s="740"/>
    </row>
    <row r="76" spans="1:27" ht="18.75">
      <c r="A76" s="740"/>
      <c r="B76" s="201"/>
      <c r="C76" s="779"/>
      <c r="D76" s="779"/>
      <c r="E76" s="366"/>
      <c r="F76" s="367"/>
      <c r="G76" s="377"/>
      <c r="H76" s="520">
        <f t="shared" si="26"/>
        <v>0</v>
      </c>
      <c r="I76" s="366">
        <f>база!$J$6</f>
        <v>243.04319999999998</v>
      </c>
      <c r="J76" s="367">
        <v>1.5</v>
      </c>
      <c r="K76" s="411">
        <f>SUMIFS(Таблица14[часы],Таблица14[коэф],"1,5",Таблица14[р/р],"5/8",Таблица14[Ф. И. О.],B77)</f>
        <v>0</v>
      </c>
      <c r="L76" s="372">
        <f t="shared" si="27"/>
        <v>0</v>
      </c>
      <c r="M76" s="409"/>
      <c r="N76" s="411"/>
      <c r="O76" s="411"/>
      <c r="P76" s="372"/>
      <c r="Q76" s="370">
        <f>база!$L$5</f>
        <v>231.45480000000001</v>
      </c>
      <c r="R76" s="367">
        <v>1.2</v>
      </c>
      <c r="S76" s="377">
        <f>SUMIFS(Таблица14[часы],Таблица14[коэф],"1,2",Таблица14[р/р],"4/16",Таблица14[Ф. И. О.],B77)</f>
        <v>0</v>
      </c>
      <c r="T76" s="369">
        <f t="shared" si="28"/>
        <v>0</v>
      </c>
      <c r="U76" s="387">
        <f>база!$M$5</f>
        <v>247.41720000000001</v>
      </c>
      <c r="V76" s="367">
        <v>1.2</v>
      </c>
      <c r="W76" s="389">
        <f>SUMIFS(Таблица14[часы],Таблица14[коэф],"1,2",Таблица14[р/р],"4/24",Таблица14[Ф. И. О.],B77)</f>
        <v>0</v>
      </c>
      <c r="X76" s="521">
        <f t="shared" si="29"/>
        <v>0</v>
      </c>
      <c r="Y76" s="748"/>
      <c r="Z76" s="750"/>
      <c r="AA76" s="740"/>
    </row>
    <row r="77" spans="1:27" ht="18.75">
      <c r="A77" s="740"/>
      <c r="B77" s="201" t="str">
        <f>база!B8</f>
        <v>Аполосова Юлиана Александровна</v>
      </c>
      <c r="C77" s="779"/>
      <c r="D77" s="779"/>
      <c r="E77" s="366"/>
      <c r="F77" s="367"/>
      <c r="G77" s="377"/>
      <c r="H77" s="520">
        <f t="shared" si="26"/>
        <v>0</v>
      </c>
      <c r="I77" s="366"/>
      <c r="J77" s="367"/>
      <c r="K77" s="411"/>
      <c r="L77" s="372">
        <f t="shared" si="27"/>
        <v>0</v>
      </c>
      <c r="M77" s="409"/>
      <c r="N77" s="411"/>
      <c r="O77" s="411"/>
      <c r="P77" s="372"/>
      <c r="Q77" s="370">
        <f>база!$L$6</f>
        <v>261.04640000000001</v>
      </c>
      <c r="R77" s="367">
        <v>1.2</v>
      </c>
      <c r="S77" s="377">
        <f>SUMIFS(Таблица14[часы],Таблица14[коэф],"1,2",Таблица14[р/р],"5/16",Таблица14[Ф. И. О.],B77)</f>
        <v>0</v>
      </c>
      <c r="T77" s="369">
        <f t="shared" si="28"/>
        <v>0</v>
      </c>
      <c r="U77" s="387">
        <f>база!$M$6</f>
        <v>279.0496</v>
      </c>
      <c r="V77" s="367">
        <v>1.2</v>
      </c>
      <c r="W77" s="389">
        <f>SUMIFS(Таблица14[часы],Таблица14[коэф],"1,2",Таблица14[р/р],"5/24",Таблица14[Ф. И. О.],B77)</f>
        <v>0</v>
      </c>
      <c r="X77" s="521">
        <f t="shared" si="29"/>
        <v>0</v>
      </c>
      <c r="Y77" s="748"/>
      <c r="Z77" s="750"/>
      <c r="AA77" s="740"/>
    </row>
    <row r="78" spans="1:27" ht="18.75">
      <c r="A78" s="740"/>
      <c r="B78" s="201"/>
      <c r="C78" s="779"/>
      <c r="D78" s="779"/>
      <c r="E78" s="366"/>
      <c r="F78" s="367"/>
      <c r="G78" s="377"/>
      <c r="H78" s="520">
        <f t="shared" si="26"/>
        <v>0</v>
      </c>
      <c r="I78" s="366"/>
      <c r="J78" s="367"/>
      <c r="K78" s="411"/>
      <c r="L78" s="372">
        <f t="shared" si="27"/>
        <v>0</v>
      </c>
      <c r="M78" s="409"/>
      <c r="N78" s="411"/>
      <c r="O78" s="411"/>
      <c r="P78" s="372"/>
      <c r="Q78" s="370">
        <f>IF(D72&lt;=3,база!$L$4,
IF(D72=4,база!$L$5,
IF(D72=5,база!$L$6)))</f>
        <v>210.57480000000001</v>
      </c>
      <c r="R78" s="367">
        <v>1.3</v>
      </c>
      <c r="S78" s="377">
        <f>SUMIFS(Таблица14[часы],Таблица14[коэф],"1,3",Таблица14[р/р],"3/16",Таблица14[Ф. И. О.],B77)</f>
        <v>0</v>
      </c>
      <c r="T78" s="369">
        <f t="shared" si="28"/>
        <v>0</v>
      </c>
      <c r="U78" s="387">
        <f>IF(D72&lt;=3,база!$M$4,
IF(D72=4,база!$M$5,
IF(D72=5,база!$M$6)))</f>
        <v>225.09719999999999</v>
      </c>
      <c r="V78" s="367">
        <v>1.3</v>
      </c>
      <c r="W78" s="389">
        <f>SUMIFS(Таблица14[часы],Таблица14[коэф],"1,3",Таблица14[р/р],"3/24",Таблица14[Ф. И. О.],B77)</f>
        <v>0</v>
      </c>
      <c r="X78" s="521">
        <f t="shared" si="29"/>
        <v>0</v>
      </c>
      <c r="Y78" s="748"/>
      <c r="Z78" s="750"/>
      <c r="AA78" s="740"/>
    </row>
    <row r="79" spans="1:27" ht="18.75">
      <c r="A79" s="740"/>
      <c r="B79" s="201"/>
      <c r="C79" s="779"/>
      <c r="D79" s="779"/>
      <c r="E79" s="366"/>
      <c r="F79" s="367"/>
      <c r="G79" s="377"/>
      <c r="H79" s="520">
        <f t="shared" si="26"/>
        <v>0</v>
      </c>
      <c r="I79" s="366"/>
      <c r="J79" s="367"/>
      <c r="K79" s="411"/>
      <c r="L79" s="372">
        <f t="shared" si="27"/>
        <v>0</v>
      </c>
      <c r="M79" s="409"/>
      <c r="N79" s="411"/>
      <c r="O79" s="411"/>
      <c r="P79" s="372"/>
      <c r="Q79" s="370">
        <f>база!$L$5</f>
        <v>231.45480000000001</v>
      </c>
      <c r="R79" s="367">
        <v>1.3</v>
      </c>
      <c r="S79" s="377">
        <f>SUMIFS(Таблица14[часы],Таблица14[коэф],"1,3",Таблица14[р/р],"4/16",Таблица14[Ф. И. О.],B77)</f>
        <v>0</v>
      </c>
      <c r="T79" s="369">
        <f t="shared" si="28"/>
        <v>0</v>
      </c>
      <c r="U79" s="387">
        <f>база!$M$5</f>
        <v>247.41720000000001</v>
      </c>
      <c r="V79" s="367">
        <v>1.3</v>
      </c>
      <c r="W79" s="389">
        <f>SUMIFS(Таблица14[часы],Таблица14[коэф],"1,3",Таблица14[р/р],"4/24",Таблица14[Ф. И. О.],B77)</f>
        <v>0</v>
      </c>
      <c r="X79" s="521">
        <f t="shared" si="29"/>
        <v>0</v>
      </c>
      <c r="Y79" s="748"/>
      <c r="Z79" s="750"/>
      <c r="AA79" s="740"/>
    </row>
    <row r="80" spans="1:27" ht="18.75">
      <c r="A80" s="740"/>
      <c r="B80" s="201"/>
      <c r="C80" s="779"/>
      <c r="D80" s="779"/>
      <c r="E80" s="366"/>
      <c r="F80" s="367"/>
      <c r="G80" s="377"/>
      <c r="H80" s="520">
        <f t="shared" si="26"/>
        <v>0</v>
      </c>
      <c r="I80" s="366"/>
      <c r="J80" s="367"/>
      <c r="K80" s="411"/>
      <c r="L80" s="372">
        <f t="shared" si="27"/>
        <v>0</v>
      </c>
      <c r="M80" s="409"/>
      <c r="N80" s="411"/>
      <c r="O80" s="411"/>
      <c r="P80" s="372"/>
      <c r="Q80" s="370">
        <f>IF(D72&lt;=3,база!$L$4,
IF(D72=4,база!$L$5,
IF(D72=5,база!$L$6)))</f>
        <v>210.57480000000001</v>
      </c>
      <c r="R80" s="367">
        <v>1.4</v>
      </c>
      <c r="S80" s="377">
        <f>SUMIFS(Таблица14[часы],Таблица14[коэф],"1,4",Таблица14[р/р],"3/16",Таблица14[Ф. И. О.],B77)</f>
        <v>0</v>
      </c>
      <c r="T80" s="369">
        <f t="shared" si="28"/>
        <v>0</v>
      </c>
      <c r="U80" s="387">
        <f>IF(D72&lt;=3,база!$M$4,
IF(D72=4,база!$M$5,
IF(D72=5,база!$M$6)))</f>
        <v>225.09719999999999</v>
      </c>
      <c r="V80" s="367">
        <v>1.4</v>
      </c>
      <c r="W80" s="389">
        <f>SUMIFS(Таблица14[часы],Таблица14[коэф],"1,4",Таблица14[р/р],"3/24",Таблица14[Ф. И. О.],B77)</f>
        <v>0</v>
      </c>
      <c r="X80" s="521">
        <f t="shared" si="29"/>
        <v>0</v>
      </c>
      <c r="Y80" s="748"/>
      <c r="Z80" s="750"/>
      <c r="AA80" s="740"/>
    </row>
    <row r="81" spans="1:27" ht="18.75">
      <c r="A81" s="740"/>
      <c r="B81" s="201"/>
      <c r="C81" s="779"/>
      <c r="D81" s="779"/>
      <c r="E81" s="366"/>
      <c r="F81" s="367"/>
      <c r="G81" s="377"/>
      <c r="H81" s="520">
        <f t="shared" si="26"/>
        <v>0</v>
      </c>
      <c r="I81" s="366"/>
      <c r="J81" s="367"/>
      <c r="K81" s="411"/>
      <c r="L81" s="372">
        <f t="shared" si="27"/>
        <v>0</v>
      </c>
      <c r="M81" s="409"/>
      <c r="N81" s="411"/>
      <c r="O81" s="411"/>
      <c r="P81" s="372"/>
      <c r="Q81" s="370">
        <f>база!$L$5</f>
        <v>231.45480000000001</v>
      </c>
      <c r="R81" s="367">
        <v>1.4</v>
      </c>
      <c r="S81" s="377">
        <f>SUMIFS(Таблица14[часы],Таблица14[коэф],"1,4",Таблица14[р/р],"4/16",Таблица14[Ф. И. О.],B77)</f>
        <v>0</v>
      </c>
      <c r="T81" s="369">
        <f t="shared" si="28"/>
        <v>0</v>
      </c>
      <c r="U81" s="387">
        <f>база!$M$5</f>
        <v>247.41720000000001</v>
      </c>
      <c r="V81" s="367">
        <v>1.4</v>
      </c>
      <c r="W81" s="389">
        <f>SUMIFS(Таблица14[часы],Таблица14[коэф],"1,4",Таблица14[р/р],"4/24",Таблица14[Ф. И. О.],B77)</f>
        <v>0</v>
      </c>
      <c r="X81" s="521">
        <f t="shared" si="29"/>
        <v>0</v>
      </c>
      <c r="Y81" s="748"/>
      <c r="Z81" s="750"/>
      <c r="AA81" s="740"/>
    </row>
    <row r="82" spans="1:27" ht="19.5" thickBot="1">
      <c r="A82" s="741"/>
      <c r="B82" s="188"/>
      <c r="C82" s="780"/>
      <c r="D82" s="780"/>
      <c r="E82" s="450"/>
      <c r="F82" s="441"/>
      <c r="G82" s="442"/>
      <c r="H82" s="525">
        <f t="shared" si="26"/>
        <v>0</v>
      </c>
      <c r="I82" s="450"/>
      <c r="J82" s="441"/>
      <c r="K82" s="434"/>
      <c r="L82" s="435">
        <f t="shared" si="27"/>
        <v>0</v>
      </c>
      <c r="M82" s="443"/>
      <c r="N82" s="434"/>
      <c r="O82" s="434"/>
      <c r="P82" s="435"/>
      <c r="Q82" s="440">
        <f>база!$L$6</f>
        <v>261.04640000000001</v>
      </c>
      <c r="R82" s="441">
        <v>1.4</v>
      </c>
      <c r="S82" s="442">
        <f>SUMIFS(Таблица14[часы],Таблица14[коэф],"1,4",Таблица14[р/р],"5/16",Таблица14[Ф. И. О.],B77)</f>
        <v>0</v>
      </c>
      <c r="T82" s="445">
        <f t="shared" si="28"/>
        <v>0</v>
      </c>
      <c r="U82" s="446">
        <f>база!$M$6</f>
        <v>279.0496</v>
      </c>
      <c r="V82" s="441">
        <v>1.4</v>
      </c>
      <c r="W82" s="447">
        <f>SUMIFS(Таблица14[часы],Таблица14[коэф],"1,4",Таблица14[р/р],"5/24",Таблица14[Ф. И. О.],B77)</f>
        <v>0</v>
      </c>
      <c r="X82" s="523">
        <f t="shared" si="29"/>
        <v>0</v>
      </c>
      <c r="Y82" s="749"/>
      <c r="Z82" s="751"/>
      <c r="AA82" s="741"/>
    </row>
    <row r="83" spans="1:27" ht="18.75">
      <c r="A83" s="739">
        <v>8</v>
      </c>
      <c r="B83" s="201"/>
      <c r="C83" s="778">
        <f>INDEX(база!$E$2:$E$81, MATCH(B88,база!$B$2:$B$50,0))</f>
        <v>16809</v>
      </c>
      <c r="D83" s="778">
        <f>INDEX(база!$D$2:$D$89, MATCH(B88,база!$B$2:$B$50,0))</f>
        <v>3</v>
      </c>
      <c r="E83" s="354">
        <f>IF(D83&lt;=3,база!$I$4,
IF(D83=4,база!$I$5,
IF(D83=5,база!$I$6)))</f>
        <v>188.7912</v>
      </c>
      <c r="F83" s="355">
        <v>1</v>
      </c>
      <c r="G83" s="364">
        <f>SUMIFS(Таблица14[часы],Таблица14[коэф],"1",Таблица14[р/р],"2/4",Таблица14[Ф. И. О.],B88)</f>
        <v>0</v>
      </c>
      <c r="H83" s="357">
        <f>ROUND(E83*F83*G83*2,2)</f>
        <v>0</v>
      </c>
      <c r="I83" s="428">
        <f>IF(D83&lt;=3,база!$J$4,
IF(D83=4,база!$J$5,
IF(D83=5,база!$J$6)))</f>
        <v>196.05240000000001</v>
      </c>
      <c r="J83" s="394">
        <v>1</v>
      </c>
      <c r="K83" s="430">
        <f>SUMIFS(Таблица14[часы],Таблица14[коэф],"1",Таблица14[р/р],"2/8",Таблица14[Ф. И. О.],B88)</f>
        <v>0</v>
      </c>
      <c r="L83" s="430">
        <f>ROUND(I83*J83*K83*2,2)</f>
        <v>0</v>
      </c>
      <c r="M83" s="430"/>
      <c r="N83" s="430">
        <v>1</v>
      </c>
      <c r="O83" s="430">
        <f>SUMIFS(Data_Tech!$AM$3:$AM$67,Data_Tech!$E$3:$E$67,"1",Data_Tech!$G$3:$G$67,"3/12",Data_Tech!$F$3:$F$67,B88)</f>
        <v>0</v>
      </c>
      <c r="P83" s="375">
        <f>ROUND(M83*N83*O83,2)</f>
        <v>0</v>
      </c>
      <c r="Q83" s="354">
        <f>IF(D83&lt;=3,база!$L$4,
IF(D83=4,база!$L$5,
IF(D83=5,база!$L$6)))</f>
        <v>210.57480000000001</v>
      </c>
      <c r="R83" s="355">
        <v>1</v>
      </c>
      <c r="S83" s="364">
        <f>SUMIFS(Таблица14[часы],Таблица14[коэф],"1",Таблица14[р/р],"3/16",Таблица14[Ф. И. О.],B88)</f>
        <v>0</v>
      </c>
      <c r="T83" s="357">
        <f>ROUND(Q83*R83*S83*2,2)</f>
        <v>0</v>
      </c>
      <c r="U83" s="431">
        <f>IF(D83&lt;=3,база!$M$4,
IF(D83=4,база!$M$5,
IF(D83=5,база!$M$6)))</f>
        <v>225.09719999999999</v>
      </c>
      <c r="V83" s="394">
        <v>1</v>
      </c>
      <c r="W83" s="432">
        <f>SUMIFS(Таблица14[часы],Таблица14[коэф],"1",Таблица14[р/р],"3/24",Таблица14[Ф. И. О.],B88)</f>
        <v>0</v>
      </c>
      <c r="X83" s="519">
        <f>ROUND(U83*V83*W83*2,2)</f>
        <v>0</v>
      </c>
      <c r="Y83" s="748">
        <f>SUM(G83:G93,K83:K93,O83:O93,S83:S93,W83:W93)</f>
        <v>0</v>
      </c>
      <c r="Z83" s="750">
        <f>IFERROR(SUM(H83:H93,L83:L93,T83:T93,X83:X93),"")</f>
        <v>0</v>
      </c>
      <c r="AA83" s="740"/>
    </row>
    <row r="84" spans="1:27" ht="18.75">
      <c r="A84" s="740"/>
      <c r="B84" s="201"/>
      <c r="C84" s="779"/>
      <c r="D84" s="779"/>
      <c r="E84" s="366">
        <f>IF(D83&lt;=3,база!$I$4,
IF(D83=4,база!$I$5,
IF(D83=5,база!$I$6)))</f>
        <v>188.7912</v>
      </c>
      <c r="F84" s="367">
        <v>1</v>
      </c>
      <c r="G84" s="377">
        <f>SUMIFS(Таблица14[часы],Таблица14[коэф],"1",Таблица14[р/р],"3/4",Таблица14[Ф. И. О.],B88)</f>
        <v>0</v>
      </c>
      <c r="H84" s="369">
        <f t="shared" ref="H84:H93" si="30">ROUND(E84*F84*G84*2,2)</f>
        <v>0</v>
      </c>
      <c r="I84" s="370">
        <f>IF(D83&lt;=3,база!$J$4,
IF(D83=4,база!$J$5,
IF(D83=5,база!$J$6)))</f>
        <v>196.05240000000001</v>
      </c>
      <c r="J84" s="367">
        <v>1</v>
      </c>
      <c r="K84" s="411">
        <f>SUMIFS(Таблица14[часы],Таблица14[коэф],"1",Таблица14[р/р],"3/8",Таблица14[Ф. И. О.],B88)</f>
        <v>0</v>
      </c>
      <c r="L84" s="411">
        <f t="shared" ref="L84:L93" si="31">ROUND(I84*J84*K84*2,2)</f>
        <v>0</v>
      </c>
      <c r="M84" s="411"/>
      <c r="N84" s="411">
        <v>1</v>
      </c>
      <c r="O84" s="411">
        <f>SUMIFS(Data_Tech!$AM$3:$AM$67,Data_Tech!$E$3:$E$67,"1",Data_Tech!$G$3:$G$67,"4/12",Data_Tech!$F$3:$F$67,B88)</f>
        <v>0</v>
      </c>
      <c r="P84" s="383">
        <f>ROUND(M84*O84,2)</f>
        <v>0</v>
      </c>
      <c r="Q84" s="366">
        <f>база!$L$5</f>
        <v>231.45480000000001</v>
      </c>
      <c r="R84" s="367">
        <v>1</v>
      </c>
      <c r="S84" s="377">
        <f>SUMIFS(Таблица14[часы],Таблица14[коэф],"1",Таблица14[р/р],"4/16",Таблица14[Ф. И. О.],B88)</f>
        <v>0</v>
      </c>
      <c r="T84" s="369">
        <f t="shared" ref="T84:T93" si="32">ROUND(Q84*R84*S84*2,2)</f>
        <v>0</v>
      </c>
      <c r="U84" s="387">
        <f>база!$M$5</f>
        <v>247.41720000000001</v>
      </c>
      <c r="V84" s="367">
        <v>1</v>
      </c>
      <c r="W84" s="389">
        <f>SUMIFS(Таблица14[часы],Таблица14[коэф],"1",Таблица14[р/р],"4/24",Таблица14[Ф. И. О.],B88)</f>
        <v>0</v>
      </c>
      <c r="X84" s="521">
        <f t="shared" ref="X84:X93" si="33">ROUND(U84*V84*W84*2,2)</f>
        <v>0</v>
      </c>
      <c r="Y84" s="748"/>
      <c r="Z84" s="750"/>
      <c r="AA84" s="740"/>
    </row>
    <row r="85" spans="1:27" ht="18.75">
      <c r="A85" s="740"/>
      <c r="B85" s="201"/>
      <c r="C85" s="779"/>
      <c r="D85" s="779"/>
      <c r="E85" s="366"/>
      <c r="F85" s="367"/>
      <c r="G85" s="377"/>
      <c r="H85" s="369">
        <f t="shared" si="30"/>
        <v>0</v>
      </c>
      <c r="I85" s="370"/>
      <c r="J85" s="367"/>
      <c r="K85" s="411"/>
      <c r="L85" s="411">
        <f t="shared" si="31"/>
        <v>0</v>
      </c>
      <c r="M85" s="411"/>
      <c r="N85" s="411"/>
      <c r="O85" s="411"/>
      <c r="P85" s="383"/>
      <c r="Q85" s="366">
        <f>база!$L$6</f>
        <v>261.04640000000001</v>
      </c>
      <c r="R85" s="367">
        <v>1</v>
      </c>
      <c r="S85" s="377">
        <f>SUMIFS(Таблица14[часы],Таблица14[коэф],"1",Таблица14[р/р],"5/16",Таблица14[Ф. И. О.],B88)</f>
        <v>0</v>
      </c>
      <c r="T85" s="369">
        <f t="shared" si="32"/>
        <v>0</v>
      </c>
      <c r="U85" s="387">
        <f>база!$M$6</f>
        <v>279.0496</v>
      </c>
      <c r="V85" s="367">
        <v>1</v>
      </c>
      <c r="W85" s="389">
        <f>SUMIFS(Таблица14[часы],Таблица14[коэф],"1",Таблица14[р/р],"5/24",Таблица14[Ф. И. О.],B88)</f>
        <v>0</v>
      </c>
      <c r="X85" s="521">
        <f t="shared" si="33"/>
        <v>0</v>
      </c>
      <c r="Y85" s="748"/>
      <c r="Z85" s="750"/>
      <c r="AA85" s="740"/>
    </row>
    <row r="86" spans="1:27" ht="18.75">
      <c r="A86" s="740"/>
      <c r="B86" s="201"/>
      <c r="C86" s="779"/>
      <c r="D86" s="779"/>
      <c r="E86" s="366"/>
      <c r="F86" s="367"/>
      <c r="G86" s="377"/>
      <c r="H86" s="369">
        <f t="shared" si="30"/>
        <v>0</v>
      </c>
      <c r="I86" s="370">
        <f>база!$J$5</f>
        <v>215.4924</v>
      </c>
      <c r="J86" s="367">
        <v>1.5</v>
      </c>
      <c r="K86" s="411">
        <f>SUMIFS(Таблица14[часы],Таблица14[коэф],"1,5",Таблица14[р/р],"4/8",Таблица14[Ф. И. О.],B88)</f>
        <v>0</v>
      </c>
      <c r="L86" s="411">
        <f t="shared" si="31"/>
        <v>0</v>
      </c>
      <c r="M86" s="411"/>
      <c r="N86" s="411"/>
      <c r="O86" s="411"/>
      <c r="P86" s="383"/>
      <c r="Q86" s="366">
        <f>IF(D83&lt;=3,база!$L$4,
IF(D83=4,база!$L$5,
IF(D83=5,база!$L$6)))</f>
        <v>210.57480000000001</v>
      </c>
      <c r="R86" s="367">
        <v>1.2</v>
      </c>
      <c r="S86" s="377">
        <f>SUMIFS(Таблица14[часы],Таблица14[коэф],"1,2",Таблица14[р/р],"3/16",Таблица14[Ф. И. О.],B88)</f>
        <v>0</v>
      </c>
      <c r="T86" s="369">
        <f t="shared" si="32"/>
        <v>0</v>
      </c>
      <c r="U86" s="387">
        <f>IF(D83&lt;=3,база!$M$4,
IF(D83=4,база!$M$5,
IF(D83=5,база!$M$6)))</f>
        <v>225.09719999999999</v>
      </c>
      <c r="V86" s="367">
        <v>1.2</v>
      </c>
      <c r="W86" s="389">
        <f>SUMIFS(Таблица14[часы],Таблица14[коэф],"1,2",Таблица14[р/р],"3/24",Таблица14[Ф. И. О.],B88)</f>
        <v>0</v>
      </c>
      <c r="X86" s="521">
        <f t="shared" si="33"/>
        <v>0</v>
      </c>
      <c r="Y86" s="748"/>
      <c r="Z86" s="750"/>
      <c r="AA86" s="740"/>
    </row>
    <row r="87" spans="1:27" ht="18.75">
      <c r="A87" s="740"/>
      <c r="B87" s="201"/>
      <c r="C87" s="779"/>
      <c r="D87" s="779"/>
      <c r="E87" s="366"/>
      <c r="F87" s="367"/>
      <c r="G87" s="377"/>
      <c r="H87" s="369">
        <f t="shared" si="30"/>
        <v>0</v>
      </c>
      <c r="I87" s="370">
        <f>база!$J$6</f>
        <v>243.04319999999998</v>
      </c>
      <c r="J87" s="367">
        <v>1.5</v>
      </c>
      <c r="K87" s="411">
        <f>SUMIFS(Таблица14[часы],Таблица14[коэф],"1,5",Таблица14[р/р],"5/8",Таблица14[Ф. И. О.],B88)</f>
        <v>0</v>
      </c>
      <c r="L87" s="411">
        <f t="shared" si="31"/>
        <v>0</v>
      </c>
      <c r="M87" s="411"/>
      <c r="N87" s="411"/>
      <c r="O87" s="411"/>
      <c r="P87" s="383"/>
      <c r="Q87" s="366">
        <f>база!$L$5</f>
        <v>231.45480000000001</v>
      </c>
      <c r="R87" s="367">
        <v>1.2</v>
      </c>
      <c r="S87" s="377">
        <f>SUMIFS(Таблица14[часы],Таблица14[коэф],"1,2",Таблица14[р/р],"4/16",Таблица14[Ф. И. О.],B88)</f>
        <v>0</v>
      </c>
      <c r="T87" s="369">
        <f t="shared" si="32"/>
        <v>0</v>
      </c>
      <c r="U87" s="387">
        <f>база!$M$5</f>
        <v>247.41720000000001</v>
      </c>
      <c r="V87" s="367">
        <v>1.2</v>
      </c>
      <c r="W87" s="389">
        <f>SUMIFS(Таблица14[часы],Таблица14[коэф],"1,2",Таблица14[р/р],"4/24",Таблица14[Ф. И. О.],B88)</f>
        <v>0</v>
      </c>
      <c r="X87" s="521">
        <f t="shared" si="33"/>
        <v>0</v>
      </c>
      <c r="Y87" s="748"/>
      <c r="Z87" s="750"/>
      <c r="AA87" s="740"/>
    </row>
    <row r="88" spans="1:27" ht="18.75">
      <c r="A88" s="740"/>
      <c r="B88" s="201" t="str">
        <f>база!B9</f>
        <v>Бадьялова Елена Сергеевна</v>
      </c>
      <c r="C88" s="779"/>
      <c r="D88" s="779"/>
      <c r="E88" s="366"/>
      <c r="F88" s="367"/>
      <c r="G88" s="377"/>
      <c r="H88" s="369">
        <f t="shared" si="30"/>
        <v>0</v>
      </c>
      <c r="I88" s="370"/>
      <c r="J88" s="367"/>
      <c r="K88" s="411"/>
      <c r="L88" s="411">
        <f t="shared" si="31"/>
        <v>0</v>
      </c>
      <c r="M88" s="411"/>
      <c r="N88" s="411"/>
      <c r="O88" s="411"/>
      <c r="P88" s="383"/>
      <c r="Q88" s="366">
        <f>база!$L$6</f>
        <v>261.04640000000001</v>
      </c>
      <c r="R88" s="367">
        <v>1.2</v>
      </c>
      <c r="S88" s="377">
        <f>SUMIFS(Таблица14[часы],Таблица14[коэф],"1,2",Таблица14[р/р],"5/16",Таблица14[Ф. И. О.],B88)</f>
        <v>0</v>
      </c>
      <c r="T88" s="369">
        <f t="shared" si="32"/>
        <v>0</v>
      </c>
      <c r="U88" s="387">
        <f>база!$M$6</f>
        <v>279.0496</v>
      </c>
      <c r="V88" s="367">
        <v>1.2</v>
      </c>
      <c r="W88" s="389">
        <f>SUMIFS(Таблица14[часы],Таблица14[коэф],"1,2",Таблица14[р/р],"5/24",Таблица14[Ф. И. О.],B88)</f>
        <v>0</v>
      </c>
      <c r="X88" s="521">
        <f t="shared" si="33"/>
        <v>0</v>
      </c>
      <c r="Y88" s="748"/>
      <c r="Z88" s="750"/>
      <c r="AA88" s="740"/>
    </row>
    <row r="89" spans="1:27" ht="18.75">
      <c r="A89" s="740"/>
      <c r="B89" s="201"/>
      <c r="C89" s="779"/>
      <c r="D89" s="779"/>
      <c r="E89" s="366"/>
      <c r="F89" s="367"/>
      <c r="G89" s="377"/>
      <c r="H89" s="369">
        <f t="shared" si="30"/>
        <v>0</v>
      </c>
      <c r="I89" s="370"/>
      <c r="J89" s="367"/>
      <c r="K89" s="411"/>
      <c r="L89" s="411">
        <f t="shared" si="31"/>
        <v>0</v>
      </c>
      <c r="M89" s="411"/>
      <c r="N89" s="411"/>
      <c r="O89" s="411"/>
      <c r="P89" s="383"/>
      <c r="Q89" s="366">
        <f>IF(D83&lt;=3,база!$L$4,
IF(D83=4,база!$L$5,
IF(D83=5,база!$L$6)))</f>
        <v>210.57480000000001</v>
      </c>
      <c r="R89" s="367">
        <v>1.3</v>
      </c>
      <c r="S89" s="377">
        <f>SUMIFS(Таблица14[часы],Таблица14[коэф],"1,3",Таблица14[р/р],"3/16",Таблица14[Ф. И. О.],B88)</f>
        <v>0</v>
      </c>
      <c r="T89" s="369">
        <f t="shared" si="32"/>
        <v>0</v>
      </c>
      <c r="U89" s="387">
        <f>IF(D83&lt;=3,база!$M$4,
IF(D83=4,база!$M$5,
IF(D83=5,база!$M$6)))</f>
        <v>225.09719999999999</v>
      </c>
      <c r="V89" s="367">
        <v>1.3</v>
      </c>
      <c r="W89" s="389">
        <f>SUMIFS(Таблица14[часы],Таблица14[коэф],"1,3",Таблица14[р/р],"3/24",Таблица14[Ф. И. О.],B88)</f>
        <v>0</v>
      </c>
      <c r="X89" s="521">
        <f t="shared" si="33"/>
        <v>0</v>
      </c>
      <c r="Y89" s="748"/>
      <c r="Z89" s="750"/>
      <c r="AA89" s="740"/>
    </row>
    <row r="90" spans="1:27" ht="18.75">
      <c r="A90" s="740"/>
      <c r="B90" s="201"/>
      <c r="C90" s="779"/>
      <c r="D90" s="779"/>
      <c r="E90" s="366"/>
      <c r="F90" s="367"/>
      <c r="G90" s="377"/>
      <c r="H90" s="369">
        <f t="shared" si="30"/>
        <v>0</v>
      </c>
      <c r="I90" s="370"/>
      <c r="J90" s="367"/>
      <c r="K90" s="411"/>
      <c r="L90" s="411">
        <f t="shared" si="31"/>
        <v>0</v>
      </c>
      <c r="M90" s="411"/>
      <c r="N90" s="411"/>
      <c r="O90" s="411"/>
      <c r="P90" s="383"/>
      <c r="Q90" s="366">
        <f>база!$L$5</f>
        <v>231.45480000000001</v>
      </c>
      <c r="R90" s="367">
        <v>1.3</v>
      </c>
      <c r="S90" s="377">
        <f>SUMIFS(Таблица14[часы],Таблица14[коэф],"1,3",Таблица14[р/р],"4/16",Таблица14[Ф. И. О.],B88)</f>
        <v>0</v>
      </c>
      <c r="T90" s="369">
        <f t="shared" si="32"/>
        <v>0</v>
      </c>
      <c r="U90" s="387">
        <f>база!$M$5</f>
        <v>247.41720000000001</v>
      </c>
      <c r="V90" s="367">
        <v>1.3</v>
      </c>
      <c r="W90" s="389">
        <f>SUMIFS(Таблица14[часы],Таблица14[коэф],"1,3",Таблица14[р/р],"4/24",Таблица14[Ф. И. О.],B88)</f>
        <v>0</v>
      </c>
      <c r="X90" s="521">
        <f t="shared" si="33"/>
        <v>0</v>
      </c>
      <c r="Y90" s="748"/>
      <c r="Z90" s="750"/>
      <c r="AA90" s="740"/>
    </row>
    <row r="91" spans="1:27" ht="18.75">
      <c r="A91" s="740"/>
      <c r="B91" s="201"/>
      <c r="C91" s="779"/>
      <c r="D91" s="779"/>
      <c r="E91" s="366"/>
      <c r="F91" s="367"/>
      <c r="G91" s="377"/>
      <c r="H91" s="369">
        <f t="shared" si="30"/>
        <v>0</v>
      </c>
      <c r="I91" s="370"/>
      <c r="J91" s="367"/>
      <c r="K91" s="411"/>
      <c r="L91" s="411">
        <f t="shared" si="31"/>
        <v>0</v>
      </c>
      <c r="M91" s="411"/>
      <c r="N91" s="411"/>
      <c r="O91" s="411"/>
      <c r="P91" s="383"/>
      <c r="Q91" s="366">
        <f>IF(D83&lt;=3,база!$L$4,
IF(D83=4,база!$L$5,
IF(D83=5,база!$L$6)))</f>
        <v>210.57480000000001</v>
      </c>
      <c r="R91" s="367">
        <v>1.4</v>
      </c>
      <c r="S91" s="377">
        <f>SUMIFS(Таблица14[часы],Таблица14[коэф],"1,4",Таблица14[р/р],"3/16",Таблица14[Ф. И. О.],B88)</f>
        <v>0</v>
      </c>
      <c r="T91" s="369">
        <f t="shared" si="32"/>
        <v>0</v>
      </c>
      <c r="U91" s="387">
        <f>IF(D83&lt;=3,база!$M$4,
IF(D83=4,база!$M$5,
IF(D83=5,база!$M$6)))</f>
        <v>225.09719999999999</v>
      </c>
      <c r="V91" s="367">
        <v>1.4</v>
      </c>
      <c r="W91" s="389">
        <f>SUMIFS(Таблица14[часы],Таблица14[коэф],"1,4",Таблица14[р/р],"3/24",Таблица14[Ф. И. О.],B88)</f>
        <v>0</v>
      </c>
      <c r="X91" s="521">
        <f t="shared" si="33"/>
        <v>0</v>
      </c>
      <c r="Y91" s="748"/>
      <c r="Z91" s="750"/>
      <c r="AA91" s="740"/>
    </row>
    <row r="92" spans="1:27" ht="18.75">
      <c r="A92" s="740"/>
      <c r="B92" s="201"/>
      <c r="C92" s="779"/>
      <c r="D92" s="779"/>
      <c r="E92" s="366"/>
      <c r="F92" s="367"/>
      <c r="G92" s="377"/>
      <c r="H92" s="369">
        <f t="shared" si="30"/>
        <v>0</v>
      </c>
      <c r="I92" s="370"/>
      <c r="J92" s="367"/>
      <c r="K92" s="411"/>
      <c r="L92" s="411">
        <f t="shared" si="31"/>
        <v>0</v>
      </c>
      <c r="M92" s="411"/>
      <c r="N92" s="411"/>
      <c r="O92" s="411"/>
      <c r="P92" s="383"/>
      <c r="Q92" s="366">
        <f>база!$L$5</f>
        <v>231.45480000000001</v>
      </c>
      <c r="R92" s="367">
        <v>1.4</v>
      </c>
      <c r="S92" s="377">
        <f>SUMIFS(Таблица14[часы],Таблица14[коэф],"1,4",Таблица14[р/р],"4/16",Таблица14[Ф. И. О.],B88)</f>
        <v>0</v>
      </c>
      <c r="T92" s="369">
        <f t="shared" si="32"/>
        <v>0</v>
      </c>
      <c r="U92" s="387">
        <f>база!$M$5</f>
        <v>247.41720000000001</v>
      </c>
      <c r="V92" s="367">
        <v>1.4</v>
      </c>
      <c r="W92" s="389">
        <f>SUMIFS(Таблица14[часы],Таблица14[коэф],"1,4",Таблица14[р/р],"4/24",Таблица14[Ф. И. О.],B88)</f>
        <v>0</v>
      </c>
      <c r="X92" s="521">
        <f t="shared" si="33"/>
        <v>0</v>
      </c>
      <c r="Y92" s="748"/>
      <c r="Z92" s="750"/>
      <c r="AA92" s="740"/>
    </row>
    <row r="93" spans="1:27" ht="19.5" thickBot="1">
      <c r="A93" s="741"/>
      <c r="B93" s="188"/>
      <c r="C93" s="780"/>
      <c r="D93" s="780"/>
      <c r="E93" s="450"/>
      <c r="F93" s="441"/>
      <c r="G93" s="442"/>
      <c r="H93" s="445">
        <f t="shared" si="30"/>
        <v>0</v>
      </c>
      <c r="I93" s="440"/>
      <c r="J93" s="441"/>
      <c r="K93" s="434"/>
      <c r="L93" s="434">
        <f t="shared" si="31"/>
        <v>0</v>
      </c>
      <c r="M93" s="434"/>
      <c r="N93" s="434"/>
      <c r="O93" s="434"/>
      <c r="P93" s="453"/>
      <c r="Q93" s="450">
        <f>база!$L$6</f>
        <v>261.04640000000001</v>
      </c>
      <c r="R93" s="441">
        <v>1.4</v>
      </c>
      <c r="S93" s="442">
        <f>SUMIFS(Таблица14[часы],Таблица14[коэф],"1,4",Таблица14[р/р],"5/16",Таблица14[Ф. И. О.],B88)</f>
        <v>0</v>
      </c>
      <c r="T93" s="445">
        <f t="shared" si="32"/>
        <v>0</v>
      </c>
      <c r="U93" s="446">
        <f>база!$M$6</f>
        <v>279.0496</v>
      </c>
      <c r="V93" s="441">
        <v>1.4</v>
      </c>
      <c r="W93" s="447">
        <f>SUMIFS(Таблица14[часы],Таблица14[коэф],"1,4",Таблица14[р/р],"5/24",Таблица14[Ф. И. О.],B88)</f>
        <v>0</v>
      </c>
      <c r="X93" s="523">
        <f t="shared" si="33"/>
        <v>0</v>
      </c>
      <c r="Y93" s="749"/>
      <c r="Z93" s="751"/>
      <c r="AA93" s="741"/>
    </row>
    <row r="94" spans="1:27" ht="18.75">
      <c r="A94" s="739">
        <v>9</v>
      </c>
      <c r="B94" s="201"/>
      <c r="C94" s="778">
        <f>INDEX(база!$E$2:$E$81, MATCH(B99,база!$B$2:$B$50,0))</f>
        <v>17169</v>
      </c>
      <c r="D94" s="778">
        <f>INDEX(база!$D$2:$D$89, MATCH(B99,база!$B$2:$B$50,0))</f>
        <v>3</v>
      </c>
      <c r="E94" s="354">
        <f>IF(D94&lt;=3,база!$I$4,
IF(D94=4,база!$I$5,
IF(D94=5,база!$I$6)))</f>
        <v>188.7912</v>
      </c>
      <c r="F94" s="355">
        <v>1</v>
      </c>
      <c r="G94" s="364">
        <f>SUMIFS(Таблица14[часы],Таблица14[коэф],"1",Таблица14[р/р],"2/4",Таблица14[Ф. И. О.],B99)</f>
        <v>0</v>
      </c>
      <c r="H94" s="357">
        <f>ROUND(E94*F94*G94*2,2)</f>
        <v>0</v>
      </c>
      <c r="I94" s="428">
        <f>IF(D94&lt;=3,база!$J$4,
IF(D94=4,база!$J$5,
IF(D94=5,база!$J$6)))</f>
        <v>196.05240000000001</v>
      </c>
      <c r="J94" s="394">
        <v>1</v>
      </c>
      <c r="K94" s="430">
        <f>SUMIFS(Таблица14[часы],Таблица14[коэф],"1",Таблица14[р/р],"2/8",Таблица14[Ф. И. О.],B99)</f>
        <v>0</v>
      </c>
      <c r="L94" s="430">
        <f>ROUND(I94*J94*K94*2,2)</f>
        <v>0</v>
      </c>
      <c r="M94" s="430"/>
      <c r="N94" s="430">
        <v>1</v>
      </c>
      <c r="O94" s="430">
        <f>SUMIFS(Data_Tech!$AM$3:$AM$67,Data_Tech!$E$3:$E$67,"1",Data_Tech!$G$3:$G$67,"3/12",Data_Tech!$F$3:$F$67,B99)</f>
        <v>0</v>
      </c>
      <c r="P94" s="375">
        <f>ROUND(M94*N94*O94,2)</f>
        <v>0</v>
      </c>
      <c r="Q94" s="354">
        <f>IF(D94&lt;=3,база!$L$4,
IF(D94=4,база!$L$5,
IF(D94=5,база!$L$6)))</f>
        <v>210.57480000000001</v>
      </c>
      <c r="R94" s="355">
        <v>1</v>
      </c>
      <c r="S94" s="364">
        <f>SUMIFS(Таблица14[часы],Таблица14[коэф],"1",Таблица14[р/р],"3/16",Таблица14[Ф. И. О.],B99)</f>
        <v>0</v>
      </c>
      <c r="T94" s="524">
        <f>ROUND(Q94*R94*S94*2,2)</f>
        <v>0</v>
      </c>
      <c r="U94" s="448">
        <f>IF(D94&lt;=3,база!$M$4,
IF(D94=4,база!$M$5,
IF(D94=5,база!$M$6)))</f>
        <v>225.09719999999999</v>
      </c>
      <c r="V94" s="355">
        <v>1</v>
      </c>
      <c r="W94" s="454">
        <f>SUMIFS(Таблица14[часы],Таблица14[коэф],"1",Таблица14[р/р],"3/24",Таблица14[Ф. И. О.],B99)</f>
        <v>0</v>
      </c>
      <c r="X94" s="519">
        <f>ROUND(U94*V94*W94*2,2)</f>
        <v>0</v>
      </c>
      <c r="Y94" s="748">
        <f t="shared" ref="Y94" si="34">SUM(G94:G104,K94:K104,O94:O104,S94:S104,W94:W104)</f>
        <v>0</v>
      </c>
      <c r="Z94" s="750">
        <f t="shared" ref="Z94" si="35">IFERROR(SUM(H94:H104,L94:L104,T94:T104,X94:X104),"")</f>
        <v>0</v>
      </c>
      <c r="AA94" s="740"/>
    </row>
    <row r="95" spans="1:27" ht="18.75">
      <c r="A95" s="740"/>
      <c r="B95" s="201"/>
      <c r="C95" s="779"/>
      <c r="D95" s="779"/>
      <c r="E95" s="366">
        <f>IF(D94&lt;=3,база!$I$4,
IF(D94=4,база!$I$5,
IF(D94=5,база!$I$6)))</f>
        <v>188.7912</v>
      </c>
      <c r="F95" s="367">
        <v>1</v>
      </c>
      <c r="G95" s="377">
        <f>SUMIFS(Таблица14[часы],Таблица14[коэф],"1",Таблица14[р/р],"3/4",Таблица14[Ф. И. О.],B99)</f>
        <v>0</v>
      </c>
      <c r="H95" s="369">
        <f t="shared" ref="H95:H104" si="36">ROUND(E95*F95*G95*2,2)</f>
        <v>0</v>
      </c>
      <c r="I95" s="370">
        <f>IF(D94&lt;=3,база!$J$4,
IF(D94=4,база!$J$5,
IF(D94=5,база!$J$6)))</f>
        <v>196.05240000000001</v>
      </c>
      <c r="J95" s="367">
        <v>1</v>
      </c>
      <c r="K95" s="411">
        <f>SUMIFS(Таблица14[часы],Таблица14[коэф],"1",Таблица14[р/р],"3/8",Таблица14[Ф. И. О.],B99)</f>
        <v>0</v>
      </c>
      <c r="L95" s="411">
        <f t="shared" ref="L95:L104" si="37">ROUND(I95*J95*K95*2,2)</f>
        <v>0</v>
      </c>
      <c r="M95" s="411"/>
      <c r="N95" s="411">
        <v>1</v>
      </c>
      <c r="O95" s="411">
        <f>SUMIFS(Data_Tech!$AM$3:$AM$67,Data_Tech!$E$3:$E$67,"1",Data_Tech!$G$3:$G$67,"4/12",Data_Tech!$F$3:$F$67,B99)</f>
        <v>0</v>
      </c>
      <c r="P95" s="383">
        <f>ROUND(M95*O95,2)</f>
        <v>0</v>
      </c>
      <c r="Q95" s="366">
        <f>база!$L$5</f>
        <v>231.45480000000001</v>
      </c>
      <c r="R95" s="367">
        <v>1</v>
      </c>
      <c r="S95" s="377">
        <f>SUMIFS(Таблица14[часы],Таблица14[коэф],"1",Таблица14[р/р],"4/16",Таблица14[Ф. И. О.],B99)</f>
        <v>0</v>
      </c>
      <c r="T95" s="520">
        <f t="shared" ref="T95:T104" si="38">ROUND(Q95*R95*S95*2,2)</f>
        <v>0</v>
      </c>
      <c r="U95" s="449">
        <f>база!$M$5</f>
        <v>247.41720000000001</v>
      </c>
      <c r="V95" s="367">
        <v>1</v>
      </c>
      <c r="W95" s="455">
        <f>SUMIFS(Таблица14[часы],Таблица14[коэф],"1",Таблица14[р/р],"4/24",Таблица14[Ф. И. О.],B99)</f>
        <v>0</v>
      </c>
      <c r="X95" s="521">
        <f t="shared" ref="X95:X104" si="39">ROUND(U95*V95*W95*2,2)</f>
        <v>0</v>
      </c>
      <c r="Y95" s="748"/>
      <c r="Z95" s="750"/>
      <c r="AA95" s="740"/>
    </row>
    <row r="96" spans="1:27" ht="18.75">
      <c r="A96" s="740"/>
      <c r="B96" s="201"/>
      <c r="C96" s="779"/>
      <c r="D96" s="779"/>
      <c r="E96" s="366"/>
      <c r="F96" s="367"/>
      <c r="G96" s="377"/>
      <c r="H96" s="369">
        <f t="shared" si="36"/>
        <v>0</v>
      </c>
      <c r="I96" s="370"/>
      <c r="J96" s="367"/>
      <c r="K96" s="411"/>
      <c r="L96" s="411">
        <f t="shared" si="37"/>
        <v>0</v>
      </c>
      <c r="M96" s="411"/>
      <c r="N96" s="411"/>
      <c r="O96" s="411"/>
      <c r="P96" s="383"/>
      <c r="Q96" s="366">
        <f>база!$L$6</f>
        <v>261.04640000000001</v>
      </c>
      <c r="R96" s="367">
        <v>1</v>
      </c>
      <c r="S96" s="377">
        <f>SUMIFS(Таблица14[часы],Таблица14[коэф],"1",Таблица14[р/р],"5/16",Таблица14[Ф. И. О.],B99)</f>
        <v>0</v>
      </c>
      <c r="T96" s="520">
        <f t="shared" si="38"/>
        <v>0</v>
      </c>
      <c r="U96" s="449">
        <f>база!$M$6</f>
        <v>279.0496</v>
      </c>
      <c r="V96" s="367">
        <v>1</v>
      </c>
      <c r="W96" s="455">
        <f>SUMIFS(Таблица14[часы],Таблица14[коэф],"1",Таблица14[р/р],"5/24",Таблица14[Ф. И. О.],B99)</f>
        <v>0</v>
      </c>
      <c r="X96" s="521">
        <f t="shared" si="39"/>
        <v>0</v>
      </c>
      <c r="Y96" s="748"/>
      <c r="Z96" s="750"/>
      <c r="AA96" s="740"/>
    </row>
    <row r="97" spans="1:27" ht="18.75">
      <c r="A97" s="740"/>
      <c r="B97" s="201"/>
      <c r="C97" s="779"/>
      <c r="D97" s="779"/>
      <c r="E97" s="366"/>
      <c r="F97" s="367"/>
      <c r="G97" s="377"/>
      <c r="H97" s="369">
        <f t="shared" si="36"/>
        <v>0</v>
      </c>
      <c r="I97" s="370">
        <f>база!$J$5</f>
        <v>215.4924</v>
      </c>
      <c r="J97" s="367">
        <v>1.5</v>
      </c>
      <c r="K97" s="411">
        <f>SUMIFS(Таблица14[часы],Таблица14[коэф],"1,5",Таблица14[р/р],"4/8",Таблица14[Ф. И. О.],B99)</f>
        <v>0</v>
      </c>
      <c r="L97" s="411">
        <f t="shared" si="37"/>
        <v>0</v>
      </c>
      <c r="M97" s="411"/>
      <c r="N97" s="411"/>
      <c r="O97" s="411"/>
      <c r="P97" s="383"/>
      <c r="Q97" s="366">
        <f>IF(D94&lt;=3,база!$L$4,
IF(D94=4,база!$L$5,
IF(D94=5,база!$L$6)))</f>
        <v>210.57480000000001</v>
      </c>
      <c r="R97" s="367">
        <v>1.2</v>
      </c>
      <c r="S97" s="377">
        <f>SUMIFS(Таблица14[часы],Таблица14[коэф],"1,2",Таблица14[р/р],"3/16",Таблица14[Ф. И. О.],B99)</f>
        <v>0</v>
      </c>
      <c r="T97" s="520">
        <f t="shared" si="38"/>
        <v>0</v>
      </c>
      <c r="U97" s="449">
        <f>IF(D94&lt;=3,база!$M$4,
IF(D94=4,база!$M$5,
IF(D94=5,база!$M$6)))</f>
        <v>225.09719999999999</v>
      </c>
      <c r="V97" s="367">
        <v>1.2</v>
      </c>
      <c r="W97" s="455">
        <f>SUMIFS(Таблица14[часы],Таблица14[коэф],"1,2",Таблица14[р/р],"3/24",Таблица14[Ф. И. О.],B99)</f>
        <v>0</v>
      </c>
      <c r="X97" s="521">
        <f t="shared" si="39"/>
        <v>0</v>
      </c>
      <c r="Y97" s="748"/>
      <c r="Z97" s="750"/>
      <c r="AA97" s="740"/>
    </row>
    <row r="98" spans="1:27" ht="18.75">
      <c r="A98" s="740"/>
      <c r="B98" s="201"/>
      <c r="C98" s="779"/>
      <c r="D98" s="779"/>
      <c r="E98" s="366"/>
      <c r="F98" s="367"/>
      <c r="G98" s="377"/>
      <c r="H98" s="369">
        <f t="shared" si="36"/>
        <v>0</v>
      </c>
      <c r="I98" s="370">
        <f>база!$J$6</f>
        <v>243.04319999999998</v>
      </c>
      <c r="J98" s="367">
        <v>1.5</v>
      </c>
      <c r="K98" s="411">
        <f>SUMIFS(Таблица14[часы],Таблица14[коэф],"1,5",Таблица14[р/р],"5/8",Таблица14[Ф. И. О.],B99)</f>
        <v>0</v>
      </c>
      <c r="L98" s="411">
        <f t="shared" si="37"/>
        <v>0</v>
      </c>
      <c r="M98" s="411"/>
      <c r="N98" s="411"/>
      <c r="O98" s="411"/>
      <c r="P98" s="383"/>
      <c r="Q98" s="366">
        <f>база!$L$5</f>
        <v>231.45480000000001</v>
      </c>
      <c r="R98" s="367">
        <v>1.2</v>
      </c>
      <c r="S98" s="377">
        <f>SUMIFS(Таблица14[часы],Таблица14[коэф],"1,2",Таблица14[р/р],"4/16",Таблица14[Ф. И. О.],B99)</f>
        <v>0</v>
      </c>
      <c r="T98" s="520">
        <f t="shared" si="38"/>
        <v>0</v>
      </c>
      <c r="U98" s="449">
        <f>база!$M$5</f>
        <v>247.41720000000001</v>
      </c>
      <c r="V98" s="367">
        <v>1.2</v>
      </c>
      <c r="W98" s="455">
        <f>SUMIFS(Таблица14[часы],Таблица14[коэф],"1,2",Таблица14[р/р],"4/24",Таблица14[Ф. И. О.],B99)</f>
        <v>0</v>
      </c>
      <c r="X98" s="521">
        <f t="shared" si="39"/>
        <v>0</v>
      </c>
      <c r="Y98" s="748"/>
      <c r="Z98" s="750"/>
      <c r="AA98" s="740"/>
    </row>
    <row r="99" spans="1:27" ht="20.25" customHeight="1">
      <c r="A99" s="740"/>
      <c r="B99" s="201" t="str">
        <f>база!B10</f>
        <v>Бекетова Надежда Ильинична</v>
      </c>
      <c r="C99" s="779"/>
      <c r="D99" s="779"/>
      <c r="E99" s="366"/>
      <c r="F99" s="367"/>
      <c r="G99" s="377"/>
      <c r="H99" s="369">
        <f t="shared" si="36"/>
        <v>0</v>
      </c>
      <c r="I99" s="370"/>
      <c r="J99" s="367"/>
      <c r="K99" s="411"/>
      <c r="L99" s="411">
        <f t="shared" si="37"/>
        <v>0</v>
      </c>
      <c r="M99" s="411"/>
      <c r="N99" s="411"/>
      <c r="O99" s="411"/>
      <c r="P99" s="383"/>
      <c r="Q99" s="366">
        <f>база!$L$6</f>
        <v>261.04640000000001</v>
      </c>
      <c r="R99" s="367">
        <v>1.2</v>
      </c>
      <c r="S99" s="377">
        <f>SUMIFS(Таблица14[часы],Таблица14[коэф],"1,2",Таблица14[р/р],"5/16",Таблица14[Ф. И. О.],B99)</f>
        <v>0</v>
      </c>
      <c r="T99" s="520">
        <f t="shared" si="38"/>
        <v>0</v>
      </c>
      <c r="U99" s="449">
        <f>база!$M$6</f>
        <v>279.0496</v>
      </c>
      <c r="V99" s="367">
        <v>1.2</v>
      </c>
      <c r="W99" s="455">
        <f>SUMIFS(Таблица14[часы],Таблица14[коэф],"1,2",Таблица14[р/р],"5/24",Таблица14[Ф. И. О.],B99)</f>
        <v>0</v>
      </c>
      <c r="X99" s="521">
        <f t="shared" si="39"/>
        <v>0</v>
      </c>
      <c r="Y99" s="748"/>
      <c r="Z99" s="750"/>
      <c r="AA99" s="740"/>
    </row>
    <row r="100" spans="1:27" ht="18.75">
      <c r="A100" s="740"/>
      <c r="B100" s="201"/>
      <c r="C100" s="779"/>
      <c r="D100" s="779"/>
      <c r="E100" s="366"/>
      <c r="F100" s="367"/>
      <c r="G100" s="377"/>
      <c r="H100" s="369">
        <f t="shared" si="36"/>
        <v>0</v>
      </c>
      <c r="I100" s="370"/>
      <c r="J100" s="367"/>
      <c r="K100" s="411"/>
      <c r="L100" s="411">
        <f t="shared" si="37"/>
        <v>0</v>
      </c>
      <c r="M100" s="411"/>
      <c r="N100" s="411"/>
      <c r="O100" s="411"/>
      <c r="P100" s="383"/>
      <c r="Q100" s="366">
        <f>IF(D94&lt;=3,база!$L$4,
IF(D94=4,база!$L$5,
IF(D94=5,база!$L$6)))</f>
        <v>210.57480000000001</v>
      </c>
      <c r="R100" s="367">
        <v>1.3</v>
      </c>
      <c r="S100" s="377">
        <f>SUMIFS(Таблица14[часы],Таблица14[коэф],"1,3",Таблица14[р/р],"3/16",Таблица14[Ф. И. О.],B99)</f>
        <v>0</v>
      </c>
      <c r="T100" s="520">
        <f t="shared" si="38"/>
        <v>0</v>
      </c>
      <c r="U100" s="449">
        <f>IF(D94&lt;=3,база!$M$4,
IF(D94=4,база!$M$5,
IF(D94=5,база!$M$6)))</f>
        <v>225.09719999999999</v>
      </c>
      <c r="V100" s="367">
        <v>1.3</v>
      </c>
      <c r="W100" s="455">
        <f>SUMIFS(Таблица14[часы],Таблица14[коэф],"1,3",Таблица14[р/р],"3/24",Таблица14[Ф. И. О.],B99)</f>
        <v>0</v>
      </c>
      <c r="X100" s="521">
        <f t="shared" si="39"/>
        <v>0</v>
      </c>
      <c r="Y100" s="748"/>
      <c r="Z100" s="750"/>
      <c r="AA100" s="740"/>
    </row>
    <row r="101" spans="1:27" ht="18.75">
      <c r="A101" s="740"/>
      <c r="B101" s="201"/>
      <c r="C101" s="779"/>
      <c r="D101" s="779"/>
      <c r="E101" s="366"/>
      <c r="F101" s="367"/>
      <c r="G101" s="377"/>
      <c r="H101" s="369">
        <f t="shared" si="36"/>
        <v>0</v>
      </c>
      <c r="I101" s="370"/>
      <c r="J101" s="367"/>
      <c r="K101" s="411"/>
      <c r="L101" s="411">
        <f t="shared" si="37"/>
        <v>0</v>
      </c>
      <c r="M101" s="411"/>
      <c r="N101" s="411"/>
      <c r="O101" s="411"/>
      <c r="P101" s="383"/>
      <c r="Q101" s="366">
        <f>база!$L$5</f>
        <v>231.45480000000001</v>
      </c>
      <c r="R101" s="367">
        <v>1.3</v>
      </c>
      <c r="S101" s="377">
        <f>SUMIFS(Таблица14[часы],Таблица14[коэф],"1,3",Таблица14[р/р],"4/16",Таблица14[Ф. И. О.],B99)</f>
        <v>0</v>
      </c>
      <c r="T101" s="520">
        <f t="shared" si="38"/>
        <v>0</v>
      </c>
      <c r="U101" s="449">
        <f>база!$M$5</f>
        <v>247.41720000000001</v>
      </c>
      <c r="V101" s="367">
        <v>1.3</v>
      </c>
      <c r="W101" s="455">
        <f>SUMIFS(Таблица14[часы],Таблица14[коэф],"1,3",Таблица14[р/р],"4/24",Таблица14[Ф. И. О.],B99)</f>
        <v>0</v>
      </c>
      <c r="X101" s="521">
        <f t="shared" si="39"/>
        <v>0</v>
      </c>
      <c r="Y101" s="748"/>
      <c r="Z101" s="750"/>
      <c r="AA101" s="740"/>
    </row>
    <row r="102" spans="1:27" ht="18.75">
      <c r="A102" s="740"/>
      <c r="B102" s="201"/>
      <c r="C102" s="779"/>
      <c r="D102" s="779"/>
      <c r="E102" s="366"/>
      <c r="F102" s="367"/>
      <c r="G102" s="377"/>
      <c r="H102" s="369">
        <f t="shared" si="36"/>
        <v>0</v>
      </c>
      <c r="I102" s="370"/>
      <c r="J102" s="367"/>
      <c r="K102" s="411"/>
      <c r="L102" s="411">
        <f t="shared" si="37"/>
        <v>0</v>
      </c>
      <c r="M102" s="411"/>
      <c r="N102" s="411"/>
      <c r="O102" s="411"/>
      <c r="P102" s="383"/>
      <c r="Q102" s="366">
        <f>IF(D94&lt;=3,база!$L$4,
IF(D94=4,база!$L$5,
IF(D94=5,база!$L$6)))</f>
        <v>210.57480000000001</v>
      </c>
      <c r="R102" s="367">
        <v>1.4</v>
      </c>
      <c r="S102" s="377">
        <f>SUMIFS(Таблица14[часы],Таблица14[коэф],"1,4",Таблица14[р/р],"3/16",Таблица14[Ф. И. О.],B99)</f>
        <v>0</v>
      </c>
      <c r="T102" s="520">
        <f t="shared" si="38"/>
        <v>0</v>
      </c>
      <c r="U102" s="449">
        <f>IF(D94&lt;=3,база!$M$4,
IF(D94=4,база!$M$5,
IF(D94=5,база!$M$6)))</f>
        <v>225.09719999999999</v>
      </c>
      <c r="V102" s="367">
        <v>1.4</v>
      </c>
      <c r="W102" s="455">
        <f>SUMIFS(Таблица14[часы],Таблица14[коэф],"1,4",Таблица14[р/р],"3/24",Таблица14[Ф. И. О.],B99)</f>
        <v>0</v>
      </c>
      <c r="X102" s="521">
        <f t="shared" si="39"/>
        <v>0</v>
      </c>
      <c r="Y102" s="748"/>
      <c r="Z102" s="750"/>
      <c r="AA102" s="740"/>
    </row>
    <row r="103" spans="1:27" ht="18.75">
      <c r="A103" s="740"/>
      <c r="B103" s="201"/>
      <c r="C103" s="779"/>
      <c r="D103" s="779"/>
      <c r="E103" s="366"/>
      <c r="F103" s="367"/>
      <c r="G103" s="377"/>
      <c r="H103" s="369">
        <f t="shared" si="36"/>
        <v>0</v>
      </c>
      <c r="I103" s="370"/>
      <c r="J103" s="367"/>
      <c r="K103" s="411"/>
      <c r="L103" s="411">
        <f t="shared" si="37"/>
        <v>0</v>
      </c>
      <c r="M103" s="411"/>
      <c r="N103" s="411"/>
      <c r="O103" s="411"/>
      <c r="P103" s="383"/>
      <c r="Q103" s="366">
        <f>база!$L$5</f>
        <v>231.45480000000001</v>
      </c>
      <c r="R103" s="367">
        <v>1.4</v>
      </c>
      <c r="S103" s="377">
        <f>SUMIFS(Таблица14[часы],Таблица14[коэф],"1,4",Таблица14[р/р],"4/16",Таблица14[Ф. И. О.],B99)</f>
        <v>0</v>
      </c>
      <c r="T103" s="520">
        <f t="shared" si="38"/>
        <v>0</v>
      </c>
      <c r="U103" s="449">
        <f>база!$M$5</f>
        <v>247.41720000000001</v>
      </c>
      <c r="V103" s="367">
        <v>1.4</v>
      </c>
      <c r="W103" s="455">
        <f>SUMIFS(Таблица14[часы],Таблица14[коэф],"1,4",Таблица14[р/р],"4/24",Таблица14[Ф. И. О.],B99)</f>
        <v>0</v>
      </c>
      <c r="X103" s="521">
        <f t="shared" si="39"/>
        <v>0</v>
      </c>
      <c r="Y103" s="748"/>
      <c r="Z103" s="750"/>
      <c r="AA103" s="740"/>
    </row>
    <row r="104" spans="1:27" ht="19.5" thickBot="1">
      <c r="A104" s="741"/>
      <c r="B104" s="201"/>
      <c r="C104" s="780"/>
      <c r="D104" s="780"/>
      <c r="E104" s="397"/>
      <c r="F104" s="380"/>
      <c r="G104" s="385"/>
      <c r="H104" s="386">
        <f t="shared" si="36"/>
        <v>0</v>
      </c>
      <c r="I104" s="399"/>
      <c r="J104" s="380"/>
      <c r="K104" s="437"/>
      <c r="L104" s="437">
        <f t="shared" si="37"/>
        <v>0</v>
      </c>
      <c r="M104" s="437"/>
      <c r="N104" s="437"/>
      <c r="O104" s="437"/>
      <c r="P104" s="456"/>
      <c r="Q104" s="397">
        <f>база!$L$6</f>
        <v>261.04640000000001</v>
      </c>
      <c r="R104" s="380">
        <v>1.4</v>
      </c>
      <c r="S104" s="385">
        <f>SUMIFS(Таблица14[часы],Таблица14[коэф],"1,4",Таблица14[р/р],"5/16",Таблица14[Ф. И. О.],B99)</f>
        <v>0</v>
      </c>
      <c r="T104" s="522">
        <f t="shared" si="38"/>
        <v>0</v>
      </c>
      <c r="U104" s="451">
        <f>база!$M$6</f>
        <v>279.0496</v>
      </c>
      <c r="V104" s="441">
        <v>1.4</v>
      </c>
      <c r="W104" s="457">
        <f>SUMIFS(Таблица14[часы],Таблица14[коэф],"1,4",Таблица14[р/р],"5/24",Таблица14[Ф. И. О.],B99)</f>
        <v>0</v>
      </c>
      <c r="X104" s="523">
        <f t="shared" si="39"/>
        <v>0</v>
      </c>
      <c r="Y104" s="749"/>
      <c r="Z104" s="751"/>
      <c r="AA104" s="741"/>
    </row>
    <row r="105" spans="1:27" ht="18.75">
      <c r="A105" s="739">
        <v>10</v>
      </c>
      <c r="B105" s="219"/>
      <c r="C105" s="778">
        <f>INDEX(база!$E$2:$E$81, MATCH(B110,база!$B$2:$B$50,0))</f>
        <v>17256</v>
      </c>
      <c r="D105" s="778">
        <f>INDEX(база!$D$2:$D$89, MATCH(B110,база!$B$2:$B$50,0))</f>
        <v>3</v>
      </c>
      <c r="E105" s="354">
        <f>IF(D105&lt;=3,база!$I$4,
IF(D105=4,база!$I$5,
IF(D105=5,база!$I$6)))</f>
        <v>188.7912</v>
      </c>
      <c r="F105" s="355">
        <v>1</v>
      </c>
      <c r="G105" s="364">
        <f>SUMIFS(Таблица14[часы],Таблица14[коэф],"1",Таблица14[р/р],"2/4",Таблица14[Ф. И. О.],B110)</f>
        <v>0</v>
      </c>
      <c r="H105" s="357">
        <f>ROUND(E105*F105*G105*2,2)</f>
        <v>0</v>
      </c>
      <c r="I105" s="358">
        <f>IF(D105&lt;=3,база!$J$4,
IF(D105=4,база!$J$5,
IF(D105=5,база!$J$6)))</f>
        <v>196.05240000000001</v>
      </c>
      <c r="J105" s="355">
        <v>1</v>
      </c>
      <c r="K105" s="405">
        <f>SUMIFS(Таблица14[часы],Таблица14[коэф],"1",Таблица14[р/р],"2/8",Таблица14[Ф. И. О.],B110)</f>
        <v>0</v>
      </c>
      <c r="L105" s="405">
        <f>ROUND(I105*J105*K105*2,2)</f>
        <v>0</v>
      </c>
      <c r="M105" s="405"/>
      <c r="N105" s="405">
        <v>1</v>
      </c>
      <c r="O105" s="405">
        <f>SUMIFS(Data_Tech!$AM$3:$AM$67,Data_Tech!$E$3:$E$67,"1",Data_Tech!$G$3:$G$67,"3/12",Data_Tech!$F$3:$F$67,B110)</f>
        <v>0</v>
      </c>
      <c r="P105" s="362">
        <f>ROUND(M105*N105*O105,2)</f>
        <v>0</v>
      </c>
      <c r="Q105" s="354">
        <f>IF(D105&lt;=3,база!$L$4,
IF(D105=4,база!$L$5,
IF(D105=5,база!$L$6)))</f>
        <v>210.57480000000001</v>
      </c>
      <c r="R105" s="355">
        <v>1</v>
      </c>
      <c r="S105" s="364">
        <f>SUMIFS(Таблица14[часы],Таблица14[коэф],"1",Таблица14[р/р],"3/16",Таблица14[Ф. И. О.],B110)</f>
        <v>0</v>
      </c>
      <c r="T105" s="357">
        <f>ROUND(Q105*R105*S105*2,2)</f>
        <v>0</v>
      </c>
      <c r="U105" s="439">
        <f>IF(D105&lt;=3,база!$M$4,
IF(D105=4,база!$M$5,
IF(D105=5,база!$M$6)))</f>
        <v>225.09719999999999</v>
      </c>
      <c r="V105" s="355">
        <v>1</v>
      </c>
      <c r="W105" s="454">
        <f>SUMIFS(Таблица14[часы],Таблица14[коэф],"1",Таблица14[р/р],"3/24",Таблица14[Ф. И. О.],B110)</f>
        <v>0</v>
      </c>
      <c r="X105" s="519">
        <f>ROUND(U105*V105*W105*2,2)</f>
        <v>0</v>
      </c>
      <c r="Y105" s="748">
        <f t="shared" ref="Y105" si="40">SUM(G105:G115,K105:K115,O105:O115,S105:S115,W105:W115)</f>
        <v>0</v>
      </c>
      <c r="Z105" s="750">
        <f t="shared" ref="Z105" si="41">IFERROR(SUM(H105:H115,L105:L115,T105:T115,X105:X115),"")</f>
        <v>0</v>
      </c>
      <c r="AA105" s="740"/>
    </row>
    <row r="106" spans="1:27" ht="18.75">
      <c r="A106" s="740"/>
      <c r="B106" s="201"/>
      <c r="C106" s="779"/>
      <c r="D106" s="779"/>
      <c r="E106" s="366">
        <f>IF(D105&lt;=3,база!$I$4,
IF(D105=4,база!$I$5,
IF(D105=5,база!$I$6)))</f>
        <v>188.7912</v>
      </c>
      <c r="F106" s="367">
        <v>1</v>
      </c>
      <c r="G106" s="377">
        <f>SUMIFS(Таблица14[часы],Таблица14[коэф],"1",Таблица14[р/р],"3/4",Таблица14[Ф. И. О.],B110)</f>
        <v>0</v>
      </c>
      <c r="H106" s="369">
        <f t="shared" ref="H106:H115" si="42">ROUND(E106*F106*G106*2,2)</f>
        <v>0</v>
      </c>
      <c r="I106" s="370">
        <f>IF(D105&lt;=3,база!$J$4,
IF(D105=4,база!$J$5,
IF(D105=5,база!$J$6)))</f>
        <v>196.05240000000001</v>
      </c>
      <c r="J106" s="367">
        <v>1</v>
      </c>
      <c r="K106" s="411">
        <f>SUMIFS(Таблица14[часы],Таблица14[коэф],"1",Таблица14[р/р],"3/8",Таблица14[Ф. И. О.],B110)</f>
        <v>0</v>
      </c>
      <c r="L106" s="411">
        <f t="shared" ref="L106:L115" si="43">ROUND(I106*J106*K106*2,2)</f>
        <v>0</v>
      </c>
      <c r="M106" s="411"/>
      <c r="N106" s="411">
        <v>1</v>
      </c>
      <c r="O106" s="411">
        <f>SUMIFS(Data_Tech!$AM$3:$AM$67,Data_Tech!$E$3:$E$67,"1",Data_Tech!$G$3:$G$67,"4/12",Data_Tech!$F$3:$F$67,B110)</f>
        <v>0</v>
      </c>
      <c r="P106" s="383">
        <f>ROUND(M106*O106,2)</f>
        <v>0</v>
      </c>
      <c r="Q106" s="366">
        <f>база!$L$5</f>
        <v>231.45480000000001</v>
      </c>
      <c r="R106" s="367">
        <v>1</v>
      </c>
      <c r="S106" s="377">
        <f>SUMIFS(Таблица14[часы],Таблица14[коэф],"1",Таблица14[р/р],"4/16",Таблица14[Ф. И. О.],B110)</f>
        <v>0</v>
      </c>
      <c r="T106" s="369">
        <f t="shared" ref="T106:T115" si="44">ROUND(Q106*R106*S106*2,2)</f>
        <v>0</v>
      </c>
      <c r="U106" s="387">
        <f>база!$M$5</f>
        <v>247.41720000000001</v>
      </c>
      <c r="V106" s="367">
        <v>1</v>
      </c>
      <c r="W106" s="455">
        <f>SUMIFS(Таблица14[часы],Таблица14[коэф],"1",Таблица14[р/р],"4/24",Таблица14[Ф. И. О.],B110)</f>
        <v>0</v>
      </c>
      <c r="X106" s="521">
        <f t="shared" ref="X106:X115" si="45">ROUND(U106*V106*W106*2,2)</f>
        <v>0</v>
      </c>
      <c r="Y106" s="748"/>
      <c r="Z106" s="750"/>
      <c r="AA106" s="740"/>
    </row>
    <row r="107" spans="1:27" ht="18.75">
      <c r="A107" s="740"/>
      <c r="B107" s="201"/>
      <c r="C107" s="779"/>
      <c r="D107" s="779"/>
      <c r="E107" s="366"/>
      <c r="F107" s="367"/>
      <c r="G107" s="377"/>
      <c r="H107" s="369">
        <f t="shared" si="42"/>
        <v>0</v>
      </c>
      <c r="I107" s="370"/>
      <c r="J107" s="367"/>
      <c r="K107" s="411"/>
      <c r="L107" s="411">
        <f t="shared" si="43"/>
        <v>0</v>
      </c>
      <c r="M107" s="411"/>
      <c r="N107" s="411"/>
      <c r="O107" s="411"/>
      <c r="P107" s="383"/>
      <c r="Q107" s="366">
        <f>база!$L$6</f>
        <v>261.04640000000001</v>
      </c>
      <c r="R107" s="367">
        <v>1</v>
      </c>
      <c r="S107" s="377">
        <f>SUMIFS(Таблица14[часы],Таблица14[коэф],"1",Таблица14[р/р],"5/16",Таблица14[Ф. И. О.],B110)</f>
        <v>0</v>
      </c>
      <c r="T107" s="369">
        <f t="shared" si="44"/>
        <v>0</v>
      </c>
      <c r="U107" s="387">
        <f>база!$M$6</f>
        <v>279.0496</v>
      </c>
      <c r="V107" s="367">
        <v>1</v>
      </c>
      <c r="W107" s="455">
        <f>SUMIFS(Таблица14[часы],Таблица14[коэф],"1",Таблица14[р/р],"5/24",Таблица14[Ф. И. О.],B110)</f>
        <v>0</v>
      </c>
      <c r="X107" s="521">
        <f t="shared" si="45"/>
        <v>0</v>
      </c>
      <c r="Y107" s="748"/>
      <c r="Z107" s="750"/>
      <c r="AA107" s="740"/>
    </row>
    <row r="108" spans="1:27" ht="18.75">
      <c r="A108" s="740"/>
      <c r="B108" s="201"/>
      <c r="C108" s="779"/>
      <c r="D108" s="779"/>
      <c r="E108" s="366"/>
      <c r="F108" s="367"/>
      <c r="G108" s="377"/>
      <c r="H108" s="369">
        <f t="shared" si="42"/>
        <v>0</v>
      </c>
      <c r="I108" s="370">
        <f>база!$J$5</f>
        <v>215.4924</v>
      </c>
      <c r="J108" s="367">
        <v>1.5</v>
      </c>
      <c r="K108" s="411">
        <f>SUMIFS(Таблица14[часы],Таблица14[коэф],"1,5",Таблица14[р/р],"4/8",Таблица14[Ф. И. О.],B110)</f>
        <v>0</v>
      </c>
      <c r="L108" s="411">
        <f t="shared" si="43"/>
        <v>0</v>
      </c>
      <c r="M108" s="411"/>
      <c r="N108" s="411"/>
      <c r="O108" s="411"/>
      <c r="P108" s="383"/>
      <c r="Q108" s="366">
        <f>IF(D105&lt;=3,база!$L$4,
IF(D105=4,база!$L$5,
IF(D105=5,база!$L$6)))</f>
        <v>210.57480000000001</v>
      </c>
      <c r="R108" s="367">
        <v>1.2</v>
      </c>
      <c r="S108" s="377">
        <f>SUMIFS(Таблица14[часы],Таблица14[коэф],"1,2",Таблица14[р/р],"3/16",Таблица14[Ф. И. О.],B110)</f>
        <v>0</v>
      </c>
      <c r="T108" s="369">
        <f t="shared" si="44"/>
        <v>0</v>
      </c>
      <c r="U108" s="387">
        <f>IF(D105&lt;=3,база!$M$4,
IF(D105=4,база!$M$5,
IF(D105=5,база!$M$6)))</f>
        <v>225.09719999999999</v>
      </c>
      <c r="V108" s="367">
        <v>1.2</v>
      </c>
      <c r="W108" s="455">
        <f>SUMIFS(Таблица14[часы],Таблица14[коэф],"1,2",Таблица14[р/р],"3/24",Таблица14[Ф. И. О.],B110)</f>
        <v>0</v>
      </c>
      <c r="X108" s="521">
        <f t="shared" si="45"/>
        <v>0</v>
      </c>
      <c r="Y108" s="748"/>
      <c r="Z108" s="750"/>
      <c r="AA108" s="740"/>
    </row>
    <row r="109" spans="1:27" ht="18.75">
      <c r="A109" s="740"/>
      <c r="B109" s="201"/>
      <c r="C109" s="779"/>
      <c r="D109" s="779"/>
      <c r="E109" s="366"/>
      <c r="F109" s="367"/>
      <c r="G109" s="377"/>
      <c r="H109" s="369">
        <f t="shared" si="42"/>
        <v>0</v>
      </c>
      <c r="I109" s="370">
        <f>база!$J$6</f>
        <v>243.04319999999998</v>
      </c>
      <c r="J109" s="367">
        <v>1.5</v>
      </c>
      <c r="K109" s="411">
        <f>SUMIFS(Таблица14[часы],Таблица14[коэф],"1,5",Таблица14[р/р],"5/8",Таблица14[Ф. И. О.],B110)</f>
        <v>0</v>
      </c>
      <c r="L109" s="411">
        <f t="shared" si="43"/>
        <v>0</v>
      </c>
      <c r="M109" s="411"/>
      <c r="N109" s="411"/>
      <c r="O109" s="411"/>
      <c r="P109" s="383"/>
      <c r="Q109" s="366">
        <f>база!$L$5</f>
        <v>231.45480000000001</v>
      </c>
      <c r="R109" s="367">
        <v>1.2</v>
      </c>
      <c r="S109" s="377">
        <f>SUMIFS(Таблица14[часы],Таблица14[коэф],"1,2",Таблица14[р/р],"4/16",Таблица14[Ф. И. О.],B110)</f>
        <v>0</v>
      </c>
      <c r="T109" s="369">
        <f t="shared" si="44"/>
        <v>0</v>
      </c>
      <c r="U109" s="387">
        <f>база!$M$5</f>
        <v>247.41720000000001</v>
      </c>
      <c r="V109" s="367">
        <v>1.2</v>
      </c>
      <c r="W109" s="455">
        <f>SUMIFS(Таблица14[часы],Таблица14[коэф],"1,2",Таблица14[р/р],"4/24",Таблица14[Ф. И. О.],B110)</f>
        <v>0</v>
      </c>
      <c r="X109" s="521">
        <f t="shared" si="45"/>
        <v>0</v>
      </c>
      <c r="Y109" s="748"/>
      <c r="Z109" s="750"/>
      <c r="AA109" s="740"/>
    </row>
    <row r="110" spans="1:27" ht="18.75">
      <c r="A110" s="740"/>
      <c r="B110" s="201" t="str">
        <f>база!B11</f>
        <v>Боровик Елена Владимировна</v>
      </c>
      <c r="C110" s="779"/>
      <c r="D110" s="779"/>
      <c r="E110" s="366"/>
      <c r="F110" s="367"/>
      <c r="G110" s="377"/>
      <c r="H110" s="369">
        <f t="shared" si="42"/>
        <v>0</v>
      </c>
      <c r="I110" s="370"/>
      <c r="J110" s="367"/>
      <c r="K110" s="411"/>
      <c r="L110" s="411">
        <f t="shared" si="43"/>
        <v>0</v>
      </c>
      <c r="M110" s="411"/>
      <c r="N110" s="411"/>
      <c r="O110" s="411"/>
      <c r="P110" s="383"/>
      <c r="Q110" s="366">
        <f>база!$L$6</f>
        <v>261.04640000000001</v>
      </c>
      <c r="R110" s="367">
        <v>1.2</v>
      </c>
      <c r="S110" s="377">
        <f>SUMIFS(Таблица14[часы],Таблица14[коэф],"1,2",Таблица14[р/р],"5/16",Таблица14[Ф. И. О.],B110)</f>
        <v>0</v>
      </c>
      <c r="T110" s="369">
        <f t="shared" si="44"/>
        <v>0</v>
      </c>
      <c r="U110" s="387">
        <f>база!$M$6</f>
        <v>279.0496</v>
      </c>
      <c r="V110" s="367">
        <v>1.2</v>
      </c>
      <c r="W110" s="455">
        <f>SUMIFS(Таблица14[часы],Таблица14[коэф],"1,2",Таблица14[р/р],"5/24",Таблица14[Ф. И. О.],B110)</f>
        <v>0</v>
      </c>
      <c r="X110" s="521">
        <f t="shared" si="45"/>
        <v>0</v>
      </c>
      <c r="Y110" s="748"/>
      <c r="Z110" s="750"/>
      <c r="AA110" s="740"/>
    </row>
    <row r="111" spans="1:27" ht="18.75">
      <c r="A111" s="740"/>
      <c r="B111" s="201"/>
      <c r="C111" s="779"/>
      <c r="D111" s="779"/>
      <c r="E111" s="366"/>
      <c r="F111" s="367"/>
      <c r="G111" s="377"/>
      <c r="H111" s="369">
        <f t="shared" si="42"/>
        <v>0</v>
      </c>
      <c r="I111" s="370"/>
      <c r="J111" s="367"/>
      <c r="K111" s="411"/>
      <c r="L111" s="411">
        <f t="shared" si="43"/>
        <v>0</v>
      </c>
      <c r="M111" s="411"/>
      <c r="N111" s="411"/>
      <c r="O111" s="411"/>
      <c r="P111" s="383"/>
      <c r="Q111" s="366">
        <f>IF(D105&lt;=3,база!$L$4,
IF(D105=4,база!$L$5,
IF(D105=5,база!$L$6)))</f>
        <v>210.57480000000001</v>
      </c>
      <c r="R111" s="367">
        <v>1.3</v>
      </c>
      <c r="S111" s="377">
        <f>SUMIFS(Таблица14[часы],Таблица14[коэф],"1,3",Таблица14[р/р],"3/16",Таблица14[Ф. И. О.],B110)</f>
        <v>0</v>
      </c>
      <c r="T111" s="369">
        <f t="shared" si="44"/>
        <v>0</v>
      </c>
      <c r="U111" s="387">
        <f>IF(D105&lt;=3,база!$M$4,
IF(D105=4,база!$M$5,
IF(D105=5,база!$M$6)))</f>
        <v>225.09719999999999</v>
      </c>
      <c r="V111" s="367">
        <v>1.3</v>
      </c>
      <c r="W111" s="455">
        <f>SUMIFS(Таблица14[часы],Таблица14[коэф],"1,3",Таблица14[р/р],"3/24",Таблица14[Ф. И. О.],B110)</f>
        <v>0</v>
      </c>
      <c r="X111" s="521">
        <f t="shared" si="45"/>
        <v>0</v>
      </c>
      <c r="Y111" s="748"/>
      <c r="Z111" s="750"/>
      <c r="AA111" s="740"/>
    </row>
    <row r="112" spans="1:27" ht="18.75">
      <c r="A112" s="740"/>
      <c r="B112" s="201"/>
      <c r="C112" s="779"/>
      <c r="D112" s="779"/>
      <c r="E112" s="366"/>
      <c r="F112" s="367"/>
      <c r="G112" s="377"/>
      <c r="H112" s="369">
        <f t="shared" si="42"/>
        <v>0</v>
      </c>
      <c r="I112" s="370"/>
      <c r="J112" s="367"/>
      <c r="K112" s="411"/>
      <c r="L112" s="411">
        <f t="shared" si="43"/>
        <v>0</v>
      </c>
      <c r="M112" s="411"/>
      <c r="N112" s="411"/>
      <c r="O112" s="411"/>
      <c r="P112" s="383"/>
      <c r="Q112" s="366">
        <f>база!$L$5</f>
        <v>231.45480000000001</v>
      </c>
      <c r="R112" s="367">
        <v>1.3</v>
      </c>
      <c r="S112" s="377">
        <f>SUMIFS(Таблица14[часы],Таблица14[коэф],"1,3",Таблица14[р/р],"4/16",Таблица14[Ф. И. О.],B110)</f>
        <v>0</v>
      </c>
      <c r="T112" s="369">
        <f t="shared" si="44"/>
        <v>0</v>
      </c>
      <c r="U112" s="387">
        <f>база!$M$5</f>
        <v>247.41720000000001</v>
      </c>
      <c r="V112" s="367">
        <v>1.3</v>
      </c>
      <c r="W112" s="455">
        <f>SUMIFS(Таблица14[часы],Таблица14[коэф],"1,3",Таблица14[р/р],"4/24",Таблица14[Ф. И. О.],B110)</f>
        <v>0</v>
      </c>
      <c r="X112" s="521">
        <f t="shared" si="45"/>
        <v>0</v>
      </c>
      <c r="Y112" s="748"/>
      <c r="Z112" s="750"/>
      <c r="AA112" s="740"/>
    </row>
    <row r="113" spans="1:27" ht="18.75">
      <c r="A113" s="740"/>
      <c r="B113" s="201"/>
      <c r="C113" s="779"/>
      <c r="D113" s="779"/>
      <c r="E113" s="366"/>
      <c r="F113" s="367"/>
      <c r="G113" s="377"/>
      <c r="H113" s="369">
        <f t="shared" si="42"/>
        <v>0</v>
      </c>
      <c r="I113" s="370"/>
      <c r="J113" s="367"/>
      <c r="K113" s="411"/>
      <c r="L113" s="411">
        <f t="shared" si="43"/>
        <v>0</v>
      </c>
      <c r="M113" s="411"/>
      <c r="N113" s="411"/>
      <c r="O113" s="411"/>
      <c r="P113" s="383"/>
      <c r="Q113" s="366">
        <f>IF(D105&lt;=3,база!$L$4,
IF(D105=4,база!$L$5,
IF(D105=5,база!$L$6)))</f>
        <v>210.57480000000001</v>
      </c>
      <c r="R113" s="367">
        <v>1.4</v>
      </c>
      <c r="S113" s="377">
        <f>SUMIFS(Таблица14[часы],Таблица14[коэф],"1,4",Таблица14[р/р],"3/16",Таблица14[Ф. И. О.],B110)</f>
        <v>0</v>
      </c>
      <c r="T113" s="369">
        <f t="shared" si="44"/>
        <v>0</v>
      </c>
      <c r="U113" s="387">
        <f>IF(D105&lt;=3,база!$M$4,
IF(D105=4,база!$M$5,
IF(D105=5,база!$M$6)))</f>
        <v>225.09719999999999</v>
      </c>
      <c r="V113" s="367">
        <v>1.4</v>
      </c>
      <c r="W113" s="455">
        <f>SUMIFS(Таблица14[часы],Таблица14[коэф],"1,4",Таблица14[р/р],"3/24",Таблица14[Ф. И. О.],B110)</f>
        <v>0</v>
      </c>
      <c r="X113" s="521">
        <f t="shared" si="45"/>
        <v>0</v>
      </c>
      <c r="Y113" s="748"/>
      <c r="Z113" s="750"/>
      <c r="AA113" s="740"/>
    </row>
    <row r="114" spans="1:27" ht="18.75">
      <c r="A114" s="740"/>
      <c r="B114" s="201"/>
      <c r="C114" s="779"/>
      <c r="D114" s="779"/>
      <c r="E114" s="366"/>
      <c r="F114" s="367"/>
      <c r="G114" s="377"/>
      <c r="H114" s="369">
        <f t="shared" si="42"/>
        <v>0</v>
      </c>
      <c r="I114" s="370"/>
      <c r="J114" s="367"/>
      <c r="K114" s="411"/>
      <c r="L114" s="411">
        <f t="shared" si="43"/>
        <v>0</v>
      </c>
      <c r="M114" s="411"/>
      <c r="N114" s="411"/>
      <c r="O114" s="411"/>
      <c r="P114" s="383"/>
      <c r="Q114" s="366">
        <f>база!$L$5</f>
        <v>231.45480000000001</v>
      </c>
      <c r="R114" s="367">
        <v>1.4</v>
      </c>
      <c r="S114" s="377">
        <f>SUMIFS(Таблица14[часы],Таблица14[коэф],"1,4",Таблица14[р/р],"4/16",Таблица14[Ф. И. О.],B110)</f>
        <v>0</v>
      </c>
      <c r="T114" s="369">
        <f t="shared" si="44"/>
        <v>0</v>
      </c>
      <c r="U114" s="387">
        <f>база!$M$5</f>
        <v>247.41720000000001</v>
      </c>
      <c r="V114" s="367">
        <v>1.4</v>
      </c>
      <c r="W114" s="455">
        <f>SUMIFS(Таблица14[часы],Таблица14[коэф],"1,4",Таблица14[р/р],"4/24",Таблица14[Ф. И. О.],B110)</f>
        <v>0</v>
      </c>
      <c r="X114" s="521">
        <f t="shared" si="45"/>
        <v>0</v>
      </c>
      <c r="Y114" s="748"/>
      <c r="Z114" s="750"/>
      <c r="AA114" s="740"/>
    </row>
    <row r="115" spans="1:27" ht="19.5" thickBot="1">
      <c r="A115" s="741"/>
      <c r="B115" s="188"/>
      <c r="C115" s="780"/>
      <c r="D115" s="780"/>
      <c r="E115" s="450"/>
      <c r="F115" s="441"/>
      <c r="G115" s="442"/>
      <c r="H115" s="445">
        <f t="shared" si="42"/>
        <v>0</v>
      </c>
      <c r="I115" s="440"/>
      <c r="J115" s="441"/>
      <c r="K115" s="434"/>
      <c r="L115" s="434">
        <f t="shared" si="43"/>
        <v>0</v>
      </c>
      <c r="M115" s="434"/>
      <c r="N115" s="434"/>
      <c r="O115" s="434"/>
      <c r="P115" s="453"/>
      <c r="Q115" s="450">
        <f>база!$L$6</f>
        <v>261.04640000000001</v>
      </c>
      <c r="R115" s="441">
        <v>1.4</v>
      </c>
      <c r="S115" s="442">
        <f>SUMIFS(Таблица14[часы],Таблица14[коэф],"1,4",Таблица14[р/р],"5/16",Таблица14[Ф. И. О.],B110)</f>
        <v>0</v>
      </c>
      <c r="T115" s="445">
        <f t="shared" si="44"/>
        <v>0</v>
      </c>
      <c r="U115" s="446">
        <f>база!$M$6</f>
        <v>279.0496</v>
      </c>
      <c r="V115" s="441">
        <v>1.4</v>
      </c>
      <c r="W115" s="457">
        <f>SUMIFS(Таблица14[часы],Таблица14[коэф],"1,4",Таблица14[р/р],"5/24",Таблица14[Ф. И. О.],B110)</f>
        <v>0</v>
      </c>
      <c r="X115" s="523">
        <f t="shared" si="45"/>
        <v>0</v>
      </c>
      <c r="Y115" s="749"/>
      <c r="Z115" s="751"/>
      <c r="AA115" s="741"/>
    </row>
    <row r="116" spans="1:27" ht="18.75">
      <c r="A116" s="739">
        <v>11</v>
      </c>
      <c r="B116" s="201"/>
      <c r="C116" s="742">
        <f>INDEX(база!$E$2:$E$81, MATCH(B121,база!$B$2:$B$50,0))</f>
        <v>16250</v>
      </c>
      <c r="D116" s="745">
        <f>INDEX(база!$D$2:$D$89, MATCH(B121,база!$B$2:$B$50,0))</f>
        <v>3</v>
      </c>
      <c r="E116" s="428">
        <f>IF(D116&lt;=3,база!$I$4,
IF(D116=4,база!$I$5,
IF(D116=5,база!$I$6)))</f>
        <v>188.7912</v>
      </c>
      <c r="F116" s="394">
        <v>1</v>
      </c>
      <c r="G116" s="395">
        <f>SUMIFS(Таблица14[часы],Таблица14[коэф],"1",Таблица14[р/р],"2/4",Таблица14[Ф. И. О.],B121)</f>
        <v>0</v>
      </c>
      <c r="H116" s="518">
        <f>ROUND(E116*F116*G116*2,2)</f>
        <v>0</v>
      </c>
      <c r="I116" s="354">
        <f>IF(D116&lt;=3,база!$J$4,
IF(D116=4,база!$J$5,
IF(D116=5,база!$J$6)))</f>
        <v>196.05240000000001</v>
      </c>
      <c r="J116" s="355">
        <v>1</v>
      </c>
      <c r="K116" s="405">
        <f>SUMIFS(Таблица14[часы],Таблица14[коэф],"1",Таблица14[р/р],"2/8",Таблица14[Ф. И. О.],B121)</f>
        <v>0</v>
      </c>
      <c r="L116" s="405">
        <f>ROUND(I116*J116*K116*2,2)</f>
        <v>0</v>
      </c>
      <c r="M116" s="405"/>
      <c r="N116" s="405">
        <v>1</v>
      </c>
      <c r="O116" s="405">
        <f>SUMIFS(Data_Tech!$AM$3:$AM$67,Data_Tech!$E$3:$E$67,"1",Data_Tech!$G$3:$G$67,"3/12",Data_Tech!$F$3:$F$67,B121)</f>
        <v>0</v>
      </c>
      <c r="P116" s="360">
        <f>ROUND(M116*N116*O116,2)</f>
        <v>0</v>
      </c>
      <c r="Q116" s="458">
        <f>IF(D116&lt;=3,база!$L$4,
IF(D116=4,база!$L$5,
IF(D116=5,база!$L$6)))</f>
        <v>210.57480000000001</v>
      </c>
      <c r="R116" s="394">
        <v>1</v>
      </c>
      <c r="S116" s="395">
        <f>SUMIFS(Таблица14[часы],Таблица14[коэф],"1",Таблица14[р/р],"3/16",Таблица14[Ф. И. О.],B121)</f>
        <v>0</v>
      </c>
      <c r="T116" s="518">
        <f>ROUND(Q116*R116*S116*2,2)</f>
        <v>0</v>
      </c>
      <c r="U116" s="448">
        <f>IF(D116&lt;=3,база!$M$4,
IF(D116=4,база!$M$5,
IF(D116=5,база!$M$6)))</f>
        <v>225.09719999999999</v>
      </c>
      <c r="V116" s="355">
        <v>1</v>
      </c>
      <c r="W116" s="407">
        <f>SUMIFS(Таблица14[часы],Таблица14[коэф],"1",Таблица14[р/р],"3/24",Таблица14[Ф. И. О.],B121)</f>
        <v>0</v>
      </c>
      <c r="X116" s="519">
        <f>ROUND(U116*V116*W116*2,2)</f>
        <v>0</v>
      </c>
      <c r="Y116" s="748">
        <f t="shared" ref="Y116" si="46">SUM(G116:G126,K116:K126,O116:O126,S116:S126,W116:W126)</f>
        <v>0</v>
      </c>
      <c r="Z116" s="750">
        <f t="shared" ref="Z116" si="47">IFERROR(SUM(H116:H126,L116:L126,T116:T126,X116:X126),"")</f>
        <v>0</v>
      </c>
      <c r="AA116" s="740"/>
    </row>
    <row r="117" spans="1:27" ht="18.75">
      <c r="A117" s="740"/>
      <c r="B117" s="201"/>
      <c r="C117" s="743"/>
      <c r="D117" s="746"/>
      <c r="E117" s="370">
        <f>IF(D116&lt;=3,база!$I$4,
IF(D116=4,база!$I$5,
IF(D116=5,база!$I$6)))</f>
        <v>188.7912</v>
      </c>
      <c r="F117" s="367">
        <v>1</v>
      </c>
      <c r="G117" s="377">
        <f>SUMIFS(Таблица14[часы],Таблица14[коэф],"1",Таблица14[р/р],"3/4",Таблица14[Ф. И. О.],B121)</f>
        <v>0</v>
      </c>
      <c r="H117" s="520">
        <f t="shared" ref="H117:H126" si="48">ROUND(E117*F117*G117*2,2)</f>
        <v>0</v>
      </c>
      <c r="I117" s="366">
        <f>IF(D116&lt;=3,база!$J$4,
IF(D116=4,база!$J$5,
IF(D116=5,база!$J$6)))</f>
        <v>196.05240000000001</v>
      </c>
      <c r="J117" s="367">
        <v>1</v>
      </c>
      <c r="K117" s="411">
        <f>SUMIFS(Таблица14[часы],Таблица14[коэф],"1",Таблица14[р/р],"3/8",Таблица14[Ф. И. О.],B121)</f>
        <v>0</v>
      </c>
      <c r="L117" s="411">
        <f t="shared" ref="L117:L126" si="49">ROUND(I117*J117*K117*2,2)</f>
        <v>0</v>
      </c>
      <c r="M117" s="411"/>
      <c r="N117" s="411">
        <v>1</v>
      </c>
      <c r="O117" s="411">
        <f>SUMIFS(Data_Tech!$AM$3:$AM$67,Data_Tech!$E$3:$E$67,"1",Data_Tech!$G$3:$G$67,"4/12",Data_Tech!$F$3:$F$67,B121)</f>
        <v>0</v>
      </c>
      <c r="P117" s="372">
        <f>ROUND(M117*O117,2)</f>
        <v>0</v>
      </c>
      <c r="Q117" s="366">
        <f>база!$L$5</f>
        <v>231.45480000000001</v>
      </c>
      <c r="R117" s="367">
        <v>1</v>
      </c>
      <c r="S117" s="377">
        <f>SUMIFS(Таблица14[часы],Таблица14[коэф],"1",Таблица14[р/р],"4/16",Таблица14[Ф. И. О.],B121)</f>
        <v>0</v>
      </c>
      <c r="T117" s="520">
        <f t="shared" ref="T117:T126" si="50">ROUND(Q117*R117*S117*2,2)</f>
        <v>0</v>
      </c>
      <c r="U117" s="449">
        <f>база!$M$5</f>
        <v>247.41720000000001</v>
      </c>
      <c r="V117" s="367">
        <v>1</v>
      </c>
      <c r="W117" s="389">
        <f>SUMIFS(Таблица14[часы],Таблица14[коэф],"1",Таблица14[р/р],"4/24",Таблица14[Ф. И. О.],B121)</f>
        <v>0</v>
      </c>
      <c r="X117" s="521">
        <f t="shared" ref="X117:X126" si="51">ROUND(U117*V117*W117*2,2)</f>
        <v>0</v>
      </c>
      <c r="Y117" s="748"/>
      <c r="Z117" s="750"/>
      <c r="AA117" s="740"/>
    </row>
    <row r="118" spans="1:27" ht="18.75">
      <c r="A118" s="740"/>
      <c r="B118" s="201"/>
      <c r="C118" s="743"/>
      <c r="D118" s="746"/>
      <c r="E118" s="370"/>
      <c r="F118" s="367"/>
      <c r="G118" s="377"/>
      <c r="H118" s="520">
        <f t="shared" si="48"/>
        <v>0</v>
      </c>
      <c r="I118" s="366"/>
      <c r="J118" s="367"/>
      <c r="K118" s="411"/>
      <c r="L118" s="411">
        <f t="shared" si="49"/>
        <v>0</v>
      </c>
      <c r="M118" s="411"/>
      <c r="N118" s="411"/>
      <c r="O118" s="411"/>
      <c r="P118" s="372"/>
      <c r="Q118" s="366">
        <f>база!$L$6</f>
        <v>261.04640000000001</v>
      </c>
      <c r="R118" s="367">
        <v>1</v>
      </c>
      <c r="S118" s="377">
        <f>SUMIFS(Таблица14[часы],Таблица14[коэф],"1",Таблица14[р/р],"5/16",Таблица14[Ф. И. О.],B121)</f>
        <v>0</v>
      </c>
      <c r="T118" s="520">
        <f t="shared" si="50"/>
        <v>0</v>
      </c>
      <c r="U118" s="449">
        <f>база!$M$6</f>
        <v>279.0496</v>
      </c>
      <c r="V118" s="367">
        <v>1</v>
      </c>
      <c r="W118" s="389">
        <f>SUMIFS(Таблица14[часы],Таблица14[коэф],"1",Таблица14[р/р],"5/24",Таблица14[Ф. И. О.],B121)</f>
        <v>0</v>
      </c>
      <c r="X118" s="521">
        <f t="shared" si="51"/>
        <v>0</v>
      </c>
      <c r="Y118" s="748"/>
      <c r="Z118" s="750"/>
      <c r="AA118" s="740"/>
    </row>
    <row r="119" spans="1:27" ht="18.75">
      <c r="A119" s="740"/>
      <c r="B119" s="201"/>
      <c r="C119" s="743"/>
      <c r="D119" s="746"/>
      <c r="E119" s="370"/>
      <c r="F119" s="367"/>
      <c r="G119" s="377"/>
      <c r="H119" s="520">
        <f t="shared" si="48"/>
        <v>0</v>
      </c>
      <c r="I119" s="366">
        <f>база!$J$5</f>
        <v>215.4924</v>
      </c>
      <c r="J119" s="367">
        <v>1.5</v>
      </c>
      <c r="K119" s="411">
        <f>SUMIFS(Таблица14[часы],Таблица14[коэф],"1,5",Таблица14[р/р],"4/8",Таблица14[Ф. И. О.],B121)</f>
        <v>0</v>
      </c>
      <c r="L119" s="411">
        <f t="shared" si="49"/>
        <v>0</v>
      </c>
      <c r="M119" s="411"/>
      <c r="N119" s="411"/>
      <c r="O119" s="411"/>
      <c r="P119" s="372"/>
      <c r="Q119" s="366">
        <f>IF(D116&lt;=3,база!$L$4,
IF(D116=4,база!$L$5,
IF(D116=5,база!$L$6)))</f>
        <v>210.57480000000001</v>
      </c>
      <c r="R119" s="367">
        <v>1.2</v>
      </c>
      <c r="S119" s="377">
        <f>SUMIFS(Таблица14[часы],Таблица14[коэф],"1,2",Таблица14[р/р],"3/16",Таблица14[Ф. И. О.],B121)</f>
        <v>0</v>
      </c>
      <c r="T119" s="520">
        <f t="shared" si="50"/>
        <v>0</v>
      </c>
      <c r="U119" s="449">
        <f>IF(D116&lt;=3,база!$M$4,
IF(D116=4,база!$M$5,
IF(D116=5,база!$M$6)))</f>
        <v>225.09719999999999</v>
      </c>
      <c r="V119" s="367">
        <v>1.2</v>
      </c>
      <c r="W119" s="389">
        <f>SUMIFS(Таблица14[часы],Таблица14[коэф],"1,2",Таблица14[р/р],"3/24",Таблица14[Ф. И. О.],B121)</f>
        <v>0</v>
      </c>
      <c r="X119" s="521">
        <f t="shared" si="51"/>
        <v>0</v>
      </c>
      <c r="Y119" s="748"/>
      <c r="Z119" s="750"/>
      <c r="AA119" s="740"/>
    </row>
    <row r="120" spans="1:27" ht="18.75">
      <c r="A120" s="740"/>
      <c r="B120" s="201"/>
      <c r="C120" s="743"/>
      <c r="D120" s="746"/>
      <c r="E120" s="370"/>
      <c r="F120" s="367"/>
      <c r="G120" s="377"/>
      <c r="H120" s="520">
        <f t="shared" si="48"/>
        <v>0</v>
      </c>
      <c r="I120" s="366">
        <f>база!$J$6</f>
        <v>243.04319999999998</v>
      </c>
      <c r="J120" s="367">
        <v>1.5</v>
      </c>
      <c r="K120" s="411">
        <f>SUMIFS(Таблица14[часы],Таблица14[коэф],"1,5",Таблица14[р/р],"5/8",Таблица14[Ф. И. О.],B121)</f>
        <v>0</v>
      </c>
      <c r="L120" s="411">
        <f t="shared" si="49"/>
        <v>0</v>
      </c>
      <c r="M120" s="411"/>
      <c r="N120" s="411"/>
      <c r="O120" s="411"/>
      <c r="P120" s="372"/>
      <c r="Q120" s="366">
        <f>база!$L$5</f>
        <v>231.45480000000001</v>
      </c>
      <c r="R120" s="367">
        <v>1.2</v>
      </c>
      <c r="S120" s="377">
        <f>SUMIFS(Таблица14[часы],Таблица14[коэф],"1,2",Таблица14[р/р],"4/16",Таблица14[Ф. И. О.],B121)</f>
        <v>0</v>
      </c>
      <c r="T120" s="520">
        <f t="shared" si="50"/>
        <v>0</v>
      </c>
      <c r="U120" s="449">
        <f>база!$M$5</f>
        <v>247.41720000000001</v>
      </c>
      <c r="V120" s="367">
        <v>1.2</v>
      </c>
      <c r="W120" s="389">
        <f>SUMIFS(Таблица14[часы],Таблица14[коэф],"1,2",Таблица14[р/р],"4/24",Таблица14[Ф. И. О.],B121)</f>
        <v>0</v>
      </c>
      <c r="X120" s="521">
        <f t="shared" si="51"/>
        <v>0</v>
      </c>
      <c r="Y120" s="748"/>
      <c r="Z120" s="750"/>
      <c r="AA120" s="740"/>
    </row>
    <row r="121" spans="1:27" ht="18.75">
      <c r="A121" s="740"/>
      <c r="B121" s="201" t="str">
        <f>база!B12</f>
        <v>Бородицкая Ирина Борисовна</v>
      </c>
      <c r="C121" s="743"/>
      <c r="D121" s="746"/>
      <c r="E121" s="370"/>
      <c r="F121" s="367"/>
      <c r="G121" s="377"/>
      <c r="H121" s="520">
        <f t="shared" si="48"/>
        <v>0</v>
      </c>
      <c r="I121" s="366"/>
      <c r="J121" s="367"/>
      <c r="K121" s="411"/>
      <c r="L121" s="411">
        <f t="shared" si="49"/>
        <v>0</v>
      </c>
      <c r="M121" s="411"/>
      <c r="N121" s="411"/>
      <c r="O121" s="411"/>
      <c r="P121" s="372"/>
      <c r="Q121" s="366">
        <f>база!$L$6</f>
        <v>261.04640000000001</v>
      </c>
      <c r="R121" s="367">
        <v>1.2</v>
      </c>
      <c r="S121" s="377">
        <f>SUMIFS(Таблица14[часы],Таблица14[коэф],"1,2",Таблица14[р/р],"5/16",Таблица14[Ф. И. О.],B121)</f>
        <v>0</v>
      </c>
      <c r="T121" s="520">
        <f t="shared" si="50"/>
        <v>0</v>
      </c>
      <c r="U121" s="449">
        <f>база!$M$6</f>
        <v>279.0496</v>
      </c>
      <c r="V121" s="367">
        <v>1.2</v>
      </c>
      <c r="W121" s="389">
        <f>SUMIFS(Таблица14[часы],Таблица14[коэф],"1,2",Таблица14[р/р],"5/24",Таблица14[Ф. И. О.],B121)</f>
        <v>0</v>
      </c>
      <c r="X121" s="521">
        <f t="shared" si="51"/>
        <v>0</v>
      </c>
      <c r="Y121" s="748"/>
      <c r="Z121" s="750"/>
      <c r="AA121" s="740"/>
    </row>
    <row r="122" spans="1:27" ht="18.75">
      <c r="A122" s="740"/>
      <c r="B122" s="201"/>
      <c r="C122" s="743"/>
      <c r="D122" s="746"/>
      <c r="E122" s="370"/>
      <c r="F122" s="367"/>
      <c r="G122" s="377"/>
      <c r="H122" s="520">
        <f t="shared" si="48"/>
        <v>0</v>
      </c>
      <c r="I122" s="366"/>
      <c r="J122" s="367"/>
      <c r="K122" s="411"/>
      <c r="L122" s="411">
        <f t="shared" si="49"/>
        <v>0</v>
      </c>
      <c r="M122" s="411"/>
      <c r="N122" s="411"/>
      <c r="O122" s="411"/>
      <c r="P122" s="372"/>
      <c r="Q122" s="366">
        <f>IF(D116&lt;=3,база!$L$4,
IF(D116=4,база!$L$5,
IF(D116=5,база!$L$6)))</f>
        <v>210.57480000000001</v>
      </c>
      <c r="R122" s="367">
        <v>1.3</v>
      </c>
      <c r="S122" s="377">
        <f>SUMIFS(Таблица14[часы],Таблица14[коэф],"1,3",Таблица14[р/р],"3/16",Таблица14[Ф. И. О.],B121)</f>
        <v>0</v>
      </c>
      <c r="T122" s="520">
        <f t="shared" si="50"/>
        <v>0</v>
      </c>
      <c r="U122" s="449">
        <f>IF(D116&lt;=3,база!$M$4,
IF(D116=4,база!$M$5,
IF(D116=5,база!$M$6)))</f>
        <v>225.09719999999999</v>
      </c>
      <c r="V122" s="367">
        <v>1.3</v>
      </c>
      <c r="W122" s="389">
        <f>SUMIFS(Таблица14[часы],Таблица14[коэф],"1,3",Таблица14[р/р],"3/24",Таблица14[Ф. И. О.],B121)</f>
        <v>0</v>
      </c>
      <c r="X122" s="521">
        <f t="shared" si="51"/>
        <v>0</v>
      </c>
      <c r="Y122" s="748"/>
      <c r="Z122" s="750"/>
      <c r="AA122" s="740"/>
    </row>
    <row r="123" spans="1:27" ht="18.75">
      <c r="A123" s="740"/>
      <c r="B123" s="201"/>
      <c r="C123" s="743"/>
      <c r="D123" s="746"/>
      <c r="E123" s="370"/>
      <c r="F123" s="367"/>
      <c r="G123" s="377"/>
      <c r="H123" s="520">
        <f t="shared" si="48"/>
        <v>0</v>
      </c>
      <c r="I123" s="366"/>
      <c r="J123" s="367"/>
      <c r="K123" s="411"/>
      <c r="L123" s="411">
        <f t="shared" si="49"/>
        <v>0</v>
      </c>
      <c r="M123" s="411"/>
      <c r="N123" s="411"/>
      <c r="O123" s="411"/>
      <c r="P123" s="372"/>
      <c r="Q123" s="366">
        <f>база!$L$5</f>
        <v>231.45480000000001</v>
      </c>
      <c r="R123" s="367">
        <v>1.3</v>
      </c>
      <c r="S123" s="377">
        <f>SUMIFS(Таблица14[часы],Таблица14[коэф],"1,3",Таблица14[р/р],"4/16",Таблица14[Ф. И. О.],B121)</f>
        <v>0</v>
      </c>
      <c r="T123" s="520">
        <f t="shared" si="50"/>
        <v>0</v>
      </c>
      <c r="U123" s="449">
        <f>база!$M$5</f>
        <v>247.41720000000001</v>
      </c>
      <c r="V123" s="367">
        <v>1.3</v>
      </c>
      <c r="W123" s="389">
        <f>SUMIFS(Таблица14[часы],Таблица14[коэф],"1,3",Таблица14[р/р],"4/24",Таблица14[Ф. И. О.],B121)</f>
        <v>0</v>
      </c>
      <c r="X123" s="521">
        <f t="shared" si="51"/>
        <v>0</v>
      </c>
      <c r="Y123" s="748"/>
      <c r="Z123" s="750"/>
      <c r="AA123" s="740"/>
    </row>
    <row r="124" spans="1:27" ht="18.75">
      <c r="A124" s="740"/>
      <c r="B124" s="201"/>
      <c r="C124" s="743"/>
      <c r="D124" s="746"/>
      <c r="E124" s="370"/>
      <c r="F124" s="367"/>
      <c r="G124" s="377"/>
      <c r="H124" s="520">
        <f t="shared" si="48"/>
        <v>0</v>
      </c>
      <c r="I124" s="366"/>
      <c r="J124" s="367"/>
      <c r="K124" s="411"/>
      <c r="L124" s="411">
        <f t="shared" si="49"/>
        <v>0</v>
      </c>
      <c r="M124" s="411"/>
      <c r="N124" s="411"/>
      <c r="O124" s="411"/>
      <c r="P124" s="372"/>
      <c r="Q124" s="366">
        <f>IF(D116&lt;=3,база!$L$4,
IF(D116=4,база!$L$5,
IF(D116=5,база!$L$6)))</f>
        <v>210.57480000000001</v>
      </c>
      <c r="R124" s="367">
        <v>1.4</v>
      </c>
      <c r="S124" s="377">
        <f>SUMIFS(Таблица14[часы],Таблица14[коэф],"1,4",Таблица14[р/р],"3/16",Таблица14[Ф. И. О.],B121)</f>
        <v>0</v>
      </c>
      <c r="T124" s="520">
        <f t="shared" si="50"/>
        <v>0</v>
      </c>
      <c r="U124" s="449">
        <f>IF(D116&lt;=3,база!$M$4,
IF(D116=4,база!$M$5,
IF(D116=5,база!$M$6)))</f>
        <v>225.09719999999999</v>
      </c>
      <c r="V124" s="367">
        <v>1.4</v>
      </c>
      <c r="W124" s="389">
        <f>SUMIFS(Таблица14[часы],Таблица14[коэф],"1,4",Таблица14[р/р],"3/24",Таблица14[Ф. И. О.],B121)</f>
        <v>0</v>
      </c>
      <c r="X124" s="521">
        <f t="shared" si="51"/>
        <v>0</v>
      </c>
      <c r="Y124" s="748"/>
      <c r="Z124" s="750"/>
      <c r="AA124" s="740"/>
    </row>
    <row r="125" spans="1:27" ht="18.75">
      <c r="A125" s="740"/>
      <c r="B125" s="201"/>
      <c r="C125" s="743"/>
      <c r="D125" s="746"/>
      <c r="E125" s="370"/>
      <c r="F125" s="367"/>
      <c r="G125" s="377"/>
      <c r="H125" s="520">
        <f t="shared" si="48"/>
        <v>0</v>
      </c>
      <c r="I125" s="366"/>
      <c r="J125" s="367"/>
      <c r="K125" s="411"/>
      <c r="L125" s="411">
        <f t="shared" si="49"/>
        <v>0</v>
      </c>
      <c r="M125" s="411"/>
      <c r="N125" s="411"/>
      <c r="O125" s="411"/>
      <c r="P125" s="372"/>
      <c r="Q125" s="366">
        <f>база!$L$5</f>
        <v>231.45480000000001</v>
      </c>
      <c r="R125" s="367">
        <v>1.4</v>
      </c>
      <c r="S125" s="377">
        <f>SUMIFS(Таблица14[часы],Таблица14[коэф],"1,4",Таблица14[р/р],"4/16",Таблица14[Ф. И. О.],B121)</f>
        <v>0</v>
      </c>
      <c r="T125" s="520">
        <f t="shared" si="50"/>
        <v>0</v>
      </c>
      <c r="U125" s="449">
        <f>база!$M$5</f>
        <v>247.41720000000001</v>
      </c>
      <c r="V125" s="367">
        <v>1.4</v>
      </c>
      <c r="W125" s="389">
        <f>SUMIFS(Таблица14[часы],Таблица14[коэф],"1,4",Таблица14[р/р],"4/24",Таблица14[Ф. И. О.],B121)</f>
        <v>0</v>
      </c>
      <c r="X125" s="521">
        <f t="shared" si="51"/>
        <v>0</v>
      </c>
      <c r="Y125" s="748"/>
      <c r="Z125" s="750"/>
      <c r="AA125" s="740"/>
    </row>
    <row r="126" spans="1:27" ht="19.5" thickBot="1">
      <c r="A126" s="741"/>
      <c r="B126" s="201"/>
      <c r="C126" s="744"/>
      <c r="D126" s="747"/>
      <c r="E126" s="399"/>
      <c r="F126" s="380"/>
      <c r="G126" s="385"/>
      <c r="H126" s="522">
        <f t="shared" si="48"/>
        <v>0</v>
      </c>
      <c r="I126" s="397"/>
      <c r="J126" s="380"/>
      <c r="K126" s="437"/>
      <c r="L126" s="437">
        <f t="shared" si="49"/>
        <v>0</v>
      </c>
      <c r="M126" s="437"/>
      <c r="N126" s="437"/>
      <c r="O126" s="437"/>
      <c r="P126" s="401"/>
      <c r="Q126" s="397">
        <f>база!$L$6</f>
        <v>261.04640000000001</v>
      </c>
      <c r="R126" s="380">
        <v>1.4</v>
      </c>
      <c r="S126" s="385">
        <f>SUMIFS(Таблица14[часы],Таблица14[коэф],"1,4",Таблица14[р/р],"5/16",Таблица14[Ф. И. О.],B121)</f>
        <v>0</v>
      </c>
      <c r="T126" s="522">
        <f t="shared" si="50"/>
        <v>0</v>
      </c>
      <c r="U126" s="459">
        <f>база!$M$6</f>
        <v>279.0496</v>
      </c>
      <c r="V126" s="380">
        <v>1.4</v>
      </c>
      <c r="W126" s="503">
        <f>SUMIFS(Таблица14[часы],Таблица14[коэф],"1,4",Таблица14[р/р],"5/24",Таблица14[Ф. И. О.],B121)</f>
        <v>0</v>
      </c>
      <c r="X126" s="526">
        <f t="shared" si="51"/>
        <v>0</v>
      </c>
      <c r="Y126" s="749"/>
      <c r="Z126" s="751"/>
      <c r="AA126" s="741"/>
    </row>
    <row r="127" spans="1:27" ht="18.75">
      <c r="A127" s="739">
        <v>12</v>
      </c>
      <c r="B127" s="282"/>
      <c r="C127" s="742">
        <f>INDEX(база!$E$2:$E$81, MATCH(B132,база!$B$2:$B$50,0))</f>
        <v>16960</v>
      </c>
      <c r="D127" s="745">
        <f>INDEX(база!$D$2:$D$89, MATCH(B132,база!$B$2:$B$50,0))</f>
        <v>3</v>
      </c>
      <c r="E127" s="358">
        <f>IF(D127&lt;=3,база!$I$4,
IF(D127=4,база!$I$5,
IF(D127=5,база!$I$6)))</f>
        <v>188.7912</v>
      </c>
      <c r="F127" s="355">
        <v>1</v>
      </c>
      <c r="G127" s="364">
        <f>SUMIFS(Таблица14[часы],Таблица14[коэф],"1",Таблица14[р/р],"2/4",Таблица14[Ф. И. О.],B132)</f>
        <v>0</v>
      </c>
      <c r="H127" s="524">
        <f>ROUND(E127*F127*G127*2,2)</f>
        <v>0</v>
      </c>
      <c r="I127" s="354">
        <f>IF(D127&lt;=3,база!$J$4,
IF(D127=4,база!$J$5,
IF(D127=5,база!$J$6)))</f>
        <v>196.05240000000001</v>
      </c>
      <c r="J127" s="355">
        <v>1</v>
      </c>
      <c r="K127" s="405">
        <f>SUMIFS(Таблица14[часы],Таблица14[коэф],"1",Таблица14[р/р],"2/8",Таблица14[Ф. И. О.],B132)</f>
        <v>0</v>
      </c>
      <c r="L127" s="405">
        <f>ROUND(I127*J127*K127*2,2)</f>
        <v>0</v>
      </c>
      <c r="M127" s="405"/>
      <c r="N127" s="405">
        <v>1</v>
      </c>
      <c r="O127" s="405">
        <f>SUMIFS(Data_Tech!$AM$3:$AM$67,Data_Tech!$E$3:$E$67,"1",Data_Tech!$G$3:$G$67,"3/12",Data_Tech!$F$3:$F$67,B132)</f>
        <v>0</v>
      </c>
      <c r="P127" s="360">
        <f>ROUND(M127*N127*O127,2)</f>
        <v>0</v>
      </c>
      <c r="Q127" s="354">
        <f>IF(D127&lt;=3,база!$L$4,
IF(D127=4,база!$L$5,
IF(D127=5,база!$L$6)))</f>
        <v>210.57480000000001</v>
      </c>
      <c r="R127" s="355">
        <v>1</v>
      </c>
      <c r="S127" s="364">
        <f>SUMIFS(Таблица14[часы],Таблица14[коэф],"1",Таблица14[р/р],"3/16",Таблица14[Ф. И. О.],B132)</f>
        <v>0</v>
      </c>
      <c r="T127" s="524">
        <f>ROUND(Q127*R127*S127*2,2)</f>
        <v>0</v>
      </c>
      <c r="U127" s="448">
        <f>IF(D127&lt;=3,база!$M$4,
IF(D127=4,база!$M$5,
IF(D127=5,база!$M$6)))</f>
        <v>225.09719999999999</v>
      </c>
      <c r="V127" s="355">
        <v>1</v>
      </c>
      <c r="W127" s="407">
        <f>SUMIFS(Таблица14[часы],Таблица14[коэф],"1",Таблица14[р/р],"3/24",Таблица14[Ф. И. О.],B132)</f>
        <v>0</v>
      </c>
      <c r="X127" s="519">
        <f>ROUND(U127*V127*W127*2,2)</f>
        <v>0</v>
      </c>
      <c r="Y127" s="748">
        <f t="shared" ref="Y127" si="52">SUM(G127:G137,K127:K137,O127:O137,S127:S137,W127:W137)</f>
        <v>0</v>
      </c>
      <c r="Z127" s="750">
        <f t="shared" ref="Z127" si="53">IFERROR(SUM(H127:H137,L127:L137,T127:T137,X127:X137),"")</f>
        <v>0</v>
      </c>
      <c r="AA127" s="740"/>
    </row>
    <row r="128" spans="1:27" ht="18.75">
      <c r="A128" s="740"/>
      <c r="B128" s="201"/>
      <c r="C128" s="743"/>
      <c r="D128" s="746"/>
      <c r="E128" s="370">
        <f>IF(D127&lt;=3,база!$I$4,
IF(D127=4,база!$I$5,
IF(D127=5,база!$I$6)))</f>
        <v>188.7912</v>
      </c>
      <c r="F128" s="367">
        <v>1</v>
      </c>
      <c r="G128" s="377">
        <f>SUMIFS(Таблица14[часы],Таблица14[коэф],"1",Таблица14[р/р],"3/4",Таблица14[Ф. И. О.],B132)</f>
        <v>0</v>
      </c>
      <c r="H128" s="520">
        <f t="shared" ref="H128:H137" si="54">ROUND(E128*F128*G128*2,2)</f>
        <v>0</v>
      </c>
      <c r="I128" s="366">
        <f>IF(D127&lt;=3,база!$J$4,
IF(D127=4,база!$J$5,
IF(D127=5,база!$J$6)))</f>
        <v>196.05240000000001</v>
      </c>
      <c r="J128" s="367">
        <v>1</v>
      </c>
      <c r="K128" s="411">
        <f>SUMIFS(Таблица14[часы],Таблица14[коэф],"1",Таблица14[р/р],"3/8",Таблица14[Ф. И. О.],B132)</f>
        <v>0</v>
      </c>
      <c r="L128" s="411">
        <f t="shared" ref="L128:L137" si="55">ROUND(I128*J128*K128*2,2)</f>
        <v>0</v>
      </c>
      <c r="M128" s="411"/>
      <c r="N128" s="411">
        <v>1</v>
      </c>
      <c r="O128" s="411">
        <f>SUMIFS(Data_Tech!$AM$3:$AM$67,Data_Tech!$E$3:$E$67,"1",Data_Tech!$G$3:$G$67,"4/12",Data_Tech!$F$3:$F$67,B132)</f>
        <v>0</v>
      </c>
      <c r="P128" s="372">
        <f>ROUND(M128*O128,2)</f>
        <v>0</v>
      </c>
      <c r="Q128" s="366">
        <f>база!$L$5</f>
        <v>231.45480000000001</v>
      </c>
      <c r="R128" s="367">
        <v>1</v>
      </c>
      <c r="S128" s="377">
        <f>SUMIFS(Таблица14[часы],Таблица14[коэф],"1",Таблица14[р/р],"4/16",Таблица14[Ф. И. О.],B132)</f>
        <v>0</v>
      </c>
      <c r="T128" s="520">
        <f t="shared" ref="T128:T137" si="56">ROUND(Q128*R128*S128*2,2)</f>
        <v>0</v>
      </c>
      <c r="U128" s="449">
        <f>база!$M$5</f>
        <v>247.41720000000001</v>
      </c>
      <c r="V128" s="367">
        <v>1</v>
      </c>
      <c r="W128" s="389">
        <f>SUMIFS(Таблица14[часы],Таблица14[коэф],"1",Таблица14[р/р],"4/24",Таблица14[Ф. И. О.],B132)</f>
        <v>0</v>
      </c>
      <c r="X128" s="521">
        <f t="shared" ref="X128:X137" si="57">ROUND(U128*V128*W128*2,2)</f>
        <v>0</v>
      </c>
      <c r="Y128" s="748"/>
      <c r="Z128" s="750"/>
      <c r="AA128" s="740"/>
    </row>
    <row r="129" spans="1:27" ht="18.75">
      <c r="A129" s="740"/>
      <c r="B129" s="201"/>
      <c r="C129" s="743"/>
      <c r="D129" s="746"/>
      <c r="E129" s="370"/>
      <c r="F129" s="367"/>
      <c r="G129" s="377"/>
      <c r="H129" s="520">
        <f t="shared" si="54"/>
        <v>0</v>
      </c>
      <c r="I129" s="366"/>
      <c r="J129" s="367"/>
      <c r="K129" s="411"/>
      <c r="L129" s="411">
        <f t="shared" si="55"/>
        <v>0</v>
      </c>
      <c r="M129" s="411"/>
      <c r="N129" s="411"/>
      <c r="O129" s="411"/>
      <c r="P129" s="372"/>
      <c r="Q129" s="366">
        <f>база!$L$6</f>
        <v>261.04640000000001</v>
      </c>
      <c r="R129" s="367">
        <v>1</v>
      </c>
      <c r="S129" s="377">
        <f>SUMIFS(Таблица14[часы],Таблица14[коэф],"1",Таблица14[р/р],"5/16",Таблица14[Ф. И. О.],B132)</f>
        <v>0</v>
      </c>
      <c r="T129" s="520">
        <f t="shared" si="56"/>
        <v>0</v>
      </c>
      <c r="U129" s="449">
        <f>база!$M$6</f>
        <v>279.0496</v>
      </c>
      <c r="V129" s="367">
        <v>1</v>
      </c>
      <c r="W129" s="389">
        <f>SUMIFS(Таблица14[часы],Таблица14[коэф],"1",Таблица14[р/р],"5/24",Таблица14[Ф. И. О.],B132)</f>
        <v>0</v>
      </c>
      <c r="X129" s="521">
        <f t="shared" si="57"/>
        <v>0</v>
      </c>
      <c r="Y129" s="748"/>
      <c r="Z129" s="750"/>
      <c r="AA129" s="740"/>
    </row>
    <row r="130" spans="1:27" ht="18.75">
      <c r="A130" s="740"/>
      <c r="B130" s="201"/>
      <c r="C130" s="743"/>
      <c r="D130" s="746"/>
      <c r="E130" s="370"/>
      <c r="F130" s="367"/>
      <c r="G130" s="377"/>
      <c r="H130" s="520">
        <f t="shared" si="54"/>
        <v>0</v>
      </c>
      <c r="I130" s="366">
        <f>база!$J$5</f>
        <v>215.4924</v>
      </c>
      <c r="J130" s="367">
        <v>1.5</v>
      </c>
      <c r="K130" s="411">
        <f>SUMIFS(Таблица14[часы],Таблица14[коэф],"1,5",Таблица14[р/р],"4/8",Таблица14[Ф. И. О.],B132)</f>
        <v>0</v>
      </c>
      <c r="L130" s="411">
        <f t="shared" si="55"/>
        <v>0</v>
      </c>
      <c r="M130" s="411"/>
      <c r="N130" s="411"/>
      <c r="O130" s="411"/>
      <c r="P130" s="372"/>
      <c r="Q130" s="366">
        <f>IF(D127&lt;=3,база!$L$4,
IF(D127=4,база!$L$5,
IF(D127=5,база!$L$6)))</f>
        <v>210.57480000000001</v>
      </c>
      <c r="R130" s="367">
        <v>1.2</v>
      </c>
      <c r="S130" s="377">
        <f>SUMIFS(Таблица14[часы],Таблица14[коэф],"1,2",Таблица14[р/р],"3/16",Таблица14[Ф. И. О.],B132)</f>
        <v>0</v>
      </c>
      <c r="T130" s="520">
        <f t="shared" si="56"/>
        <v>0</v>
      </c>
      <c r="U130" s="449">
        <f>IF(D127&lt;=3,база!$M$4,
IF(D127=4,база!$M$5,
IF(D127=5,база!$M$6)))</f>
        <v>225.09719999999999</v>
      </c>
      <c r="V130" s="367">
        <v>1.2</v>
      </c>
      <c r="W130" s="389">
        <f>SUMIFS(Таблица14[часы],Таблица14[коэф],"1,2",Таблица14[р/р],"3/24",Таблица14[Ф. И. О.],B132)</f>
        <v>0</v>
      </c>
      <c r="X130" s="521">
        <f t="shared" si="57"/>
        <v>0</v>
      </c>
      <c r="Y130" s="748"/>
      <c r="Z130" s="750"/>
      <c r="AA130" s="740"/>
    </row>
    <row r="131" spans="1:27" ht="18.75">
      <c r="A131" s="740"/>
      <c r="B131" s="201"/>
      <c r="C131" s="743"/>
      <c r="D131" s="746"/>
      <c r="E131" s="370"/>
      <c r="F131" s="367"/>
      <c r="G131" s="377"/>
      <c r="H131" s="520">
        <f t="shared" si="54"/>
        <v>0</v>
      </c>
      <c r="I131" s="366">
        <f>база!$J$6</f>
        <v>243.04319999999998</v>
      </c>
      <c r="J131" s="367">
        <v>1.5</v>
      </c>
      <c r="K131" s="411">
        <f>SUMIFS(Таблица14[часы],Таблица14[коэф],"1,5",Таблица14[р/р],"5/8",Таблица14[Ф. И. О.],B132)</f>
        <v>0</v>
      </c>
      <c r="L131" s="411">
        <f t="shared" si="55"/>
        <v>0</v>
      </c>
      <c r="M131" s="411"/>
      <c r="N131" s="411"/>
      <c r="O131" s="411"/>
      <c r="P131" s="372"/>
      <c r="Q131" s="366">
        <f>база!$L$5</f>
        <v>231.45480000000001</v>
      </c>
      <c r="R131" s="367">
        <v>1.2</v>
      </c>
      <c r="S131" s="377">
        <f>SUMIFS(Таблица14[часы],Таблица14[коэф],"1,2",Таблица14[р/р],"4/16",Таблица14[Ф. И. О.],B132)</f>
        <v>0</v>
      </c>
      <c r="T131" s="520">
        <f t="shared" si="56"/>
        <v>0</v>
      </c>
      <c r="U131" s="449">
        <f>база!$M$5</f>
        <v>247.41720000000001</v>
      </c>
      <c r="V131" s="367">
        <v>1.2</v>
      </c>
      <c r="W131" s="389">
        <f>SUMIFS(Таблица14[часы],Таблица14[коэф],"1,2",Таблица14[р/р],"4/24",Таблица14[Ф. И. О.],B132)</f>
        <v>0</v>
      </c>
      <c r="X131" s="521">
        <f t="shared" si="57"/>
        <v>0</v>
      </c>
      <c r="Y131" s="748"/>
      <c r="Z131" s="750"/>
      <c r="AA131" s="740"/>
    </row>
    <row r="132" spans="1:27" ht="21" customHeight="1">
      <c r="A132" s="740"/>
      <c r="B132" s="201" t="str">
        <f>база!B13</f>
        <v>Бунчук Виктория Ивановна</v>
      </c>
      <c r="C132" s="743"/>
      <c r="D132" s="746"/>
      <c r="E132" s="370"/>
      <c r="F132" s="367"/>
      <c r="G132" s="377"/>
      <c r="H132" s="520">
        <f t="shared" si="54"/>
        <v>0</v>
      </c>
      <c r="I132" s="366"/>
      <c r="J132" s="367"/>
      <c r="K132" s="411"/>
      <c r="L132" s="411">
        <f t="shared" si="55"/>
        <v>0</v>
      </c>
      <c r="M132" s="411"/>
      <c r="N132" s="411"/>
      <c r="O132" s="411"/>
      <c r="P132" s="372"/>
      <c r="Q132" s="366">
        <f>база!$L$6</f>
        <v>261.04640000000001</v>
      </c>
      <c r="R132" s="367">
        <v>1.2</v>
      </c>
      <c r="S132" s="377">
        <f>SUMIFS(Таблица14[часы],Таблица14[коэф],"1,2",Таблица14[р/р],"5/16",Таблица14[Ф. И. О.],B132)</f>
        <v>0</v>
      </c>
      <c r="T132" s="520">
        <f t="shared" si="56"/>
        <v>0</v>
      </c>
      <c r="U132" s="449">
        <f>база!$M$6</f>
        <v>279.0496</v>
      </c>
      <c r="V132" s="367">
        <v>1.2</v>
      </c>
      <c r="W132" s="389">
        <f>SUMIFS(Таблица14[часы],Таблица14[коэф],"1,2",Таблица14[р/р],"5/24",Таблица14[Ф. И. О.],B132)</f>
        <v>0</v>
      </c>
      <c r="X132" s="521">
        <f t="shared" si="57"/>
        <v>0</v>
      </c>
      <c r="Y132" s="748"/>
      <c r="Z132" s="750"/>
      <c r="AA132" s="740"/>
    </row>
    <row r="133" spans="1:27" ht="18.75">
      <c r="A133" s="740"/>
      <c r="B133" s="201"/>
      <c r="C133" s="743"/>
      <c r="D133" s="746"/>
      <c r="E133" s="370"/>
      <c r="F133" s="367"/>
      <c r="G133" s="377"/>
      <c r="H133" s="520">
        <f t="shared" si="54"/>
        <v>0</v>
      </c>
      <c r="I133" s="366"/>
      <c r="J133" s="367"/>
      <c r="K133" s="411"/>
      <c r="L133" s="411">
        <f t="shared" si="55"/>
        <v>0</v>
      </c>
      <c r="M133" s="411"/>
      <c r="N133" s="411"/>
      <c r="O133" s="411"/>
      <c r="P133" s="372"/>
      <c r="Q133" s="366">
        <f>IF(D127&lt;=3,база!$L$4,
IF(D127=4,база!$L$5,
IF(D127=5,база!$L$6)))</f>
        <v>210.57480000000001</v>
      </c>
      <c r="R133" s="367">
        <v>1.3</v>
      </c>
      <c r="S133" s="377">
        <f>SUMIFS(Таблица14[часы],Таблица14[коэф],"1,3",Таблица14[р/р],"3/16",Таблица14[Ф. И. О.],B132)</f>
        <v>0</v>
      </c>
      <c r="T133" s="520">
        <f t="shared" si="56"/>
        <v>0</v>
      </c>
      <c r="U133" s="449">
        <f>IF(D127&lt;=3,база!$M$4,
IF(D127=4,база!$M$5,
IF(D127=5,база!$M$6)))</f>
        <v>225.09719999999999</v>
      </c>
      <c r="V133" s="367">
        <v>1.3</v>
      </c>
      <c r="W133" s="389">
        <f>SUMIFS(Таблица14[часы],Таблица14[коэф],"1,3",Таблица14[р/р],"3/24",Таблица14[Ф. И. О.],B132)</f>
        <v>0</v>
      </c>
      <c r="X133" s="521">
        <f t="shared" si="57"/>
        <v>0</v>
      </c>
      <c r="Y133" s="748"/>
      <c r="Z133" s="750"/>
      <c r="AA133" s="740"/>
    </row>
    <row r="134" spans="1:27" ht="18.75">
      <c r="A134" s="740"/>
      <c r="B134" s="201"/>
      <c r="C134" s="743"/>
      <c r="D134" s="746"/>
      <c r="E134" s="370"/>
      <c r="F134" s="367"/>
      <c r="G134" s="377"/>
      <c r="H134" s="520">
        <f t="shared" si="54"/>
        <v>0</v>
      </c>
      <c r="I134" s="366"/>
      <c r="J134" s="367"/>
      <c r="K134" s="411"/>
      <c r="L134" s="411">
        <f t="shared" si="55"/>
        <v>0</v>
      </c>
      <c r="M134" s="411"/>
      <c r="N134" s="411"/>
      <c r="O134" s="411"/>
      <c r="P134" s="372"/>
      <c r="Q134" s="366">
        <f>база!$L$5</f>
        <v>231.45480000000001</v>
      </c>
      <c r="R134" s="367">
        <v>1.3</v>
      </c>
      <c r="S134" s="377">
        <f>SUMIFS(Таблица14[часы],Таблица14[коэф],"1,3",Таблица14[р/р],"4/16",Таблица14[Ф. И. О.],B132)</f>
        <v>0</v>
      </c>
      <c r="T134" s="520">
        <f t="shared" si="56"/>
        <v>0</v>
      </c>
      <c r="U134" s="449">
        <f>база!$M$5</f>
        <v>247.41720000000001</v>
      </c>
      <c r="V134" s="367">
        <v>1.3</v>
      </c>
      <c r="W134" s="389">
        <f>SUMIFS(Таблица14[часы],Таблица14[коэф],"1,3",Таблица14[р/р],"4/24",Таблица14[Ф. И. О.],B132)</f>
        <v>0</v>
      </c>
      <c r="X134" s="521">
        <f t="shared" si="57"/>
        <v>0</v>
      </c>
      <c r="Y134" s="748"/>
      <c r="Z134" s="750"/>
      <c r="AA134" s="740"/>
    </row>
    <row r="135" spans="1:27" ht="18.75">
      <c r="A135" s="740"/>
      <c r="B135" s="201"/>
      <c r="C135" s="743"/>
      <c r="D135" s="746"/>
      <c r="E135" s="370"/>
      <c r="F135" s="367"/>
      <c r="G135" s="377"/>
      <c r="H135" s="520">
        <f t="shared" si="54"/>
        <v>0</v>
      </c>
      <c r="I135" s="366"/>
      <c r="J135" s="367"/>
      <c r="K135" s="411"/>
      <c r="L135" s="411">
        <f t="shared" si="55"/>
        <v>0</v>
      </c>
      <c r="M135" s="411"/>
      <c r="N135" s="411"/>
      <c r="O135" s="411"/>
      <c r="P135" s="372"/>
      <c r="Q135" s="366">
        <f>IF(D127&lt;=3,база!$L$4,
IF(D127=4,база!$L$5,
IF(D127=5,база!$L$6)))</f>
        <v>210.57480000000001</v>
      </c>
      <c r="R135" s="367">
        <v>1.4</v>
      </c>
      <c r="S135" s="377">
        <f>SUMIFS(Таблица14[часы],Таблица14[коэф],"1,4",Таблица14[р/р],"3/16",Таблица14[Ф. И. О.],B132)</f>
        <v>0</v>
      </c>
      <c r="T135" s="520">
        <f t="shared" si="56"/>
        <v>0</v>
      </c>
      <c r="U135" s="449">
        <f>IF(D127&lt;=3,база!$M$4,
IF(D127=4,база!$M$5,
IF(D127=5,база!$M$6)))</f>
        <v>225.09719999999999</v>
      </c>
      <c r="V135" s="367">
        <v>1.4</v>
      </c>
      <c r="W135" s="389">
        <f>SUMIFS(Таблица14[часы],Таблица14[коэф],"1,4",Таблица14[р/р],"3/24",Таблица14[Ф. И. О.],B132)</f>
        <v>0</v>
      </c>
      <c r="X135" s="521">
        <f t="shared" si="57"/>
        <v>0</v>
      </c>
      <c r="Y135" s="748"/>
      <c r="Z135" s="750"/>
      <c r="AA135" s="740"/>
    </row>
    <row r="136" spans="1:27" ht="18.75">
      <c r="A136" s="740"/>
      <c r="B136" s="201"/>
      <c r="C136" s="743"/>
      <c r="D136" s="746"/>
      <c r="E136" s="370"/>
      <c r="F136" s="367"/>
      <c r="G136" s="377"/>
      <c r="H136" s="520">
        <f t="shared" si="54"/>
        <v>0</v>
      </c>
      <c r="I136" s="366"/>
      <c r="J136" s="367"/>
      <c r="K136" s="411"/>
      <c r="L136" s="411">
        <f t="shared" si="55"/>
        <v>0</v>
      </c>
      <c r="M136" s="411"/>
      <c r="N136" s="411"/>
      <c r="O136" s="411"/>
      <c r="P136" s="372"/>
      <c r="Q136" s="366">
        <f>база!$L$5</f>
        <v>231.45480000000001</v>
      </c>
      <c r="R136" s="367">
        <v>1.4</v>
      </c>
      <c r="S136" s="377">
        <f>SUMIFS(Таблица14[часы],Таблица14[коэф],"1,4",Таблица14[р/р],"4/16",Таблица14[Ф. И. О.],B132)</f>
        <v>0</v>
      </c>
      <c r="T136" s="520">
        <f t="shared" si="56"/>
        <v>0</v>
      </c>
      <c r="U136" s="449">
        <f>база!$M$5</f>
        <v>247.41720000000001</v>
      </c>
      <c r="V136" s="367">
        <v>1.4</v>
      </c>
      <c r="W136" s="389">
        <f>SUMIFS(Таблица14[часы],Таблица14[коэф],"1,4",Таблица14[р/р],"4/24",Таблица14[Ф. И. О.],B132)</f>
        <v>0</v>
      </c>
      <c r="X136" s="521">
        <f t="shared" si="57"/>
        <v>0</v>
      </c>
      <c r="Y136" s="748"/>
      <c r="Z136" s="750"/>
      <c r="AA136" s="740"/>
    </row>
    <row r="137" spans="1:27" ht="19.5" thickBot="1">
      <c r="A137" s="741"/>
      <c r="B137" s="188"/>
      <c r="C137" s="744"/>
      <c r="D137" s="747"/>
      <c r="E137" s="440"/>
      <c r="F137" s="441"/>
      <c r="G137" s="442"/>
      <c r="H137" s="525">
        <f t="shared" si="54"/>
        <v>0</v>
      </c>
      <c r="I137" s="450"/>
      <c r="J137" s="441"/>
      <c r="K137" s="434"/>
      <c r="L137" s="434">
        <f t="shared" si="55"/>
        <v>0</v>
      </c>
      <c r="M137" s="434"/>
      <c r="N137" s="434"/>
      <c r="O137" s="434"/>
      <c r="P137" s="435"/>
      <c r="Q137" s="450">
        <f>база!$L$6</f>
        <v>261.04640000000001</v>
      </c>
      <c r="R137" s="441">
        <v>1.4</v>
      </c>
      <c r="S137" s="442">
        <f>SUMIFS(Таблица14[часы],Таблица14[коэф],"1,4",Таблица14[р/р],"5/16",Таблица14[Ф. И. О.],B132)</f>
        <v>0</v>
      </c>
      <c r="T137" s="525">
        <f t="shared" si="56"/>
        <v>0</v>
      </c>
      <c r="U137" s="451">
        <f>база!$M$6</f>
        <v>279.0496</v>
      </c>
      <c r="V137" s="441">
        <v>1.4</v>
      </c>
      <c r="W137" s="447">
        <f>SUMIFS(Таблица14[часы],Таблица14[коэф],"1,4",Таблица14[р/р],"5/24",Таблица14[Ф. И. О.],B132)</f>
        <v>0</v>
      </c>
      <c r="X137" s="523">
        <f t="shared" si="57"/>
        <v>0</v>
      </c>
      <c r="Y137" s="749"/>
      <c r="Z137" s="751"/>
      <c r="AA137" s="741"/>
    </row>
    <row r="138" spans="1:27" ht="18.75">
      <c r="A138" s="739">
        <v>13</v>
      </c>
      <c r="B138" s="201"/>
      <c r="C138" s="742">
        <f>INDEX(база!$E$2:$E$81, MATCH(B143,база!$B$2:$B$50,0))</f>
        <v>17198</v>
      </c>
      <c r="D138" s="745">
        <f>INDEX(база!$D$2:$D$89, MATCH(B143,база!$B$2:$B$50,0))</f>
        <v>3</v>
      </c>
      <c r="E138" s="354">
        <f>IF(D138&lt;=3,база!$I$4,
IF(D138=4,база!$I$5,
IF(D138=5,база!$I$6)))</f>
        <v>188.7912</v>
      </c>
      <c r="F138" s="355">
        <v>1</v>
      </c>
      <c r="G138" s="364">
        <f>SUMIFS(Таблица14[часы],Таблица14[коэф],"1",Таблица14[р/р],"2/4",Таблица14[Ф. И. О.],B143)</f>
        <v>0</v>
      </c>
      <c r="H138" s="357">
        <f>ROUND(E138*F138*G138*2,2)</f>
        <v>0</v>
      </c>
      <c r="I138" s="428">
        <f>IF(D138&lt;=3,база!$J$4,
IF(D138=4,база!$J$5,
IF(D138=5,база!$J$6)))</f>
        <v>196.05240000000001</v>
      </c>
      <c r="J138" s="394">
        <v>1</v>
      </c>
      <c r="K138" s="430">
        <f>SUMIFS(Таблица14[часы],Таблица14[коэф],"1",Таблица14[р/р],"2/8",Таблица14[Ф. И. О.],B143)</f>
        <v>0</v>
      </c>
      <c r="L138" s="430">
        <f>ROUND(I138*J138*K138*2,2)</f>
        <v>0</v>
      </c>
      <c r="M138" s="430"/>
      <c r="N138" s="430">
        <v>1</v>
      </c>
      <c r="O138" s="430">
        <f>SUMIFS(Data_Tech!$AM$3:$AM$67,Data_Tech!$E$3:$E$67,"1",Data_Tech!$G$3:$G$67,"3/12",Data_Tech!$F$3:$F$67,B143)</f>
        <v>0</v>
      </c>
      <c r="P138" s="375">
        <f>ROUND(M138*N138*O138,2)</f>
        <v>0</v>
      </c>
      <c r="Q138" s="354">
        <f>IF(D138&lt;=3,база!$L$4,
IF(D138=4,база!$L$5,
IF(D138=5,база!$L$6)))</f>
        <v>210.57480000000001</v>
      </c>
      <c r="R138" s="355">
        <v>1</v>
      </c>
      <c r="S138" s="364">
        <f>SUMIFS(Таблица14[часы],Таблица14[коэф],"1",Таблица14[р/р],"3/16",Таблица14[Ф. И. О.],B143)</f>
        <v>0</v>
      </c>
      <c r="T138" s="357">
        <f>ROUND(Q138*R138*S138*2,2)</f>
        <v>0</v>
      </c>
      <c r="U138" s="439">
        <f>IF(D138&lt;=3,база!$M$4,
IF(D138=4,база!$M$5,
IF(D138=5,база!$M$6)))</f>
        <v>225.09719999999999</v>
      </c>
      <c r="V138" s="355">
        <v>1</v>
      </c>
      <c r="W138" s="460">
        <f>SUMIFS(Таблица14[часы],Таблица14[коэф],"1",Таблица14[р/р],"3/24",Таблица14[Ф. И. О.],B143)</f>
        <v>0</v>
      </c>
      <c r="X138" s="519">
        <f>ROUND(U138*V138*W138*2,2)</f>
        <v>0</v>
      </c>
      <c r="Y138" s="748">
        <f t="shared" ref="Y138" si="58">SUM(G138:G148,K138:K148,O138:O148,S138:S148,W138:W148)</f>
        <v>0</v>
      </c>
      <c r="Z138" s="750">
        <f t="shared" ref="Z138" si="59">IFERROR(SUM(H138:H148,L138:L148,T138:T148,X138:X148),"")</f>
        <v>0</v>
      </c>
      <c r="AA138" s="740"/>
    </row>
    <row r="139" spans="1:27" ht="18.75">
      <c r="A139" s="740"/>
      <c r="B139" s="201"/>
      <c r="C139" s="743"/>
      <c r="D139" s="746"/>
      <c r="E139" s="366">
        <f>IF(D138&lt;=3,база!$I$4,
IF(D138=4,база!$I$5,
IF(D138=5,база!$I$6)))</f>
        <v>188.7912</v>
      </c>
      <c r="F139" s="367">
        <v>1</v>
      </c>
      <c r="G139" s="377">
        <f>SUMIFS(Таблица14[часы],Таблица14[коэф],"1",Таблица14[р/р],"3/4",Таблица14[Ф. И. О.],B143)</f>
        <v>0</v>
      </c>
      <c r="H139" s="369">
        <f t="shared" ref="H139:H148" si="60">ROUND(E139*F139*G139*2,2)</f>
        <v>0</v>
      </c>
      <c r="I139" s="370">
        <f>IF(D138&lt;=3,база!$J$4,
IF(D138=4,база!$J$5,
IF(D138=5,база!$J$6)))</f>
        <v>196.05240000000001</v>
      </c>
      <c r="J139" s="367">
        <v>1</v>
      </c>
      <c r="K139" s="411">
        <f>SUMIFS(Таблица14[часы],Таблица14[коэф],"1",Таблица14[р/р],"3/8",Таблица14[Ф. И. О.],B143)</f>
        <v>0</v>
      </c>
      <c r="L139" s="411">
        <f t="shared" ref="L139:L148" si="61">ROUND(I139*J139*K139*2,2)</f>
        <v>0</v>
      </c>
      <c r="M139" s="411"/>
      <c r="N139" s="411">
        <v>1</v>
      </c>
      <c r="O139" s="411">
        <f>SUMIFS(Data_Tech!$AM$3:$AM$67,Data_Tech!$E$3:$E$67,"1",Data_Tech!$G$3:$G$67,"4/12",Data_Tech!$F$3:$F$67,B143)</f>
        <v>0</v>
      </c>
      <c r="P139" s="383">
        <f>ROUND(M139*O139,2)</f>
        <v>0</v>
      </c>
      <c r="Q139" s="366">
        <f>база!$L$5</f>
        <v>231.45480000000001</v>
      </c>
      <c r="R139" s="367">
        <v>1</v>
      </c>
      <c r="S139" s="377">
        <f>SUMIFS(Таблица14[часы],Таблица14[коэф],"1",Таблица14[р/р],"4/16",Таблица14[Ф. И. О.],B143)</f>
        <v>0</v>
      </c>
      <c r="T139" s="369">
        <f t="shared" ref="T139:T148" si="62">ROUND(Q139*R139*S139*2,2)</f>
        <v>0</v>
      </c>
      <c r="U139" s="387">
        <f>база!$M$5</f>
        <v>247.41720000000001</v>
      </c>
      <c r="V139" s="367">
        <v>1</v>
      </c>
      <c r="W139" s="455">
        <f>SUMIFS(Таблица14[часы],Таблица14[коэф],"1",Таблица14[р/р],"4/24",Таблица14[Ф. И. О.],B143)</f>
        <v>0</v>
      </c>
      <c r="X139" s="521">
        <f t="shared" ref="X139:X148" si="63">ROUND(U139*V139*W139*2,2)</f>
        <v>0</v>
      </c>
      <c r="Y139" s="748"/>
      <c r="Z139" s="750"/>
      <c r="AA139" s="740"/>
    </row>
    <row r="140" spans="1:27" ht="18.75">
      <c r="A140" s="740"/>
      <c r="B140" s="201"/>
      <c r="C140" s="743"/>
      <c r="D140" s="746"/>
      <c r="E140" s="366"/>
      <c r="F140" s="367"/>
      <c r="G140" s="377"/>
      <c r="H140" s="369">
        <f t="shared" si="60"/>
        <v>0</v>
      </c>
      <c r="I140" s="370"/>
      <c r="J140" s="367"/>
      <c r="K140" s="411"/>
      <c r="L140" s="411">
        <f t="shared" si="61"/>
        <v>0</v>
      </c>
      <c r="M140" s="411"/>
      <c r="N140" s="411"/>
      <c r="O140" s="411"/>
      <c r="P140" s="383"/>
      <c r="Q140" s="366">
        <f>база!$L$6</f>
        <v>261.04640000000001</v>
      </c>
      <c r="R140" s="367">
        <v>1</v>
      </c>
      <c r="S140" s="377">
        <f>SUMIFS(Таблица14[часы],Таблица14[коэф],"1",Таблица14[р/р],"5/16",Таблица14[Ф. И. О.],B143)</f>
        <v>0</v>
      </c>
      <c r="T140" s="369">
        <f t="shared" si="62"/>
        <v>0</v>
      </c>
      <c r="U140" s="387">
        <f>база!$M$6</f>
        <v>279.0496</v>
      </c>
      <c r="V140" s="367">
        <v>1</v>
      </c>
      <c r="W140" s="455">
        <f>SUMIFS(Таблица14[часы],Таблица14[коэф],"1",Таблица14[р/р],"5/24",Таблица14[Ф. И. О.],B143)</f>
        <v>0</v>
      </c>
      <c r="X140" s="521">
        <f t="shared" si="63"/>
        <v>0</v>
      </c>
      <c r="Y140" s="748"/>
      <c r="Z140" s="750"/>
      <c r="AA140" s="740"/>
    </row>
    <row r="141" spans="1:27" ht="18.75">
      <c r="A141" s="740"/>
      <c r="B141" s="201"/>
      <c r="C141" s="743"/>
      <c r="D141" s="746"/>
      <c r="E141" s="366"/>
      <c r="F141" s="367"/>
      <c r="G141" s="377"/>
      <c r="H141" s="369">
        <f t="shared" si="60"/>
        <v>0</v>
      </c>
      <c r="I141" s="370">
        <f>база!$J$5</f>
        <v>215.4924</v>
      </c>
      <c r="J141" s="367">
        <v>1.5</v>
      </c>
      <c r="K141" s="411">
        <f>SUMIFS(Таблица14[часы],Таблица14[коэф],"1,5",Таблица14[р/р],"4/8",Таблица14[Ф. И. О.],B143)</f>
        <v>0</v>
      </c>
      <c r="L141" s="411">
        <f t="shared" si="61"/>
        <v>0</v>
      </c>
      <c r="M141" s="411"/>
      <c r="N141" s="411"/>
      <c r="O141" s="411"/>
      <c r="P141" s="383"/>
      <c r="Q141" s="366">
        <f>IF(D138&lt;=3,база!$L$4,
IF(D138=4,база!$L$5,
IF(D138=5,база!$L$6)))</f>
        <v>210.57480000000001</v>
      </c>
      <c r="R141" s="367">
        <v>1.2</v>
      </c>
      <c r="S141" s="377">
        <f>SUMIFS(Таблица14[часы],Таблица14[коэф],"1,2",Таблица14[р/р],"3/16",Таблица14[Ф. И. О.],B143)</f>
        <v>0</v>
      </c>
      <c r="T141" s="369">
        <f t="shared" si="62"/>
        <v>0</v>
      </c>
      <c r="U141" s="387">
        <f>IF(D138&lt;=3,база!$M$4,
IF(D138=4,база!$M$5,
IF(D138=5,база!$M$6)))</f>
        <v>225.09719999999999</v>
      </c>
      <c r="V141" s="367">
        <v>1.2</v>
      </c>
      <c r="W141" s="455">
        <f>SUMIFS(Таблица14[часы],Таблица14[коэф],"1,2",Таблица14[р/р],"3/24",Таблица14[Ф. И. О.],B143)</f>
        <v>0</v>
      </c>
      <c r="X141" s="521">
        <f t="shared" si="63"/>
        <v>0</v>
      </c>
      <c r="Y141" s="748"/>
      <c r="Z141" s="750"/>
      <c r="AA141" s="740"/>
    </row>
    <row r="142" spans="1:27" ht="18.75">
      <c r="A142" s="740"/>
      <c r="B142" s="201"/>
      <c r="C142" s="743"/>
      <c r="D142" s="746"/>
      <c r="E142" s="366"/>
      <c r="F142" s="367"/>
      <c r="G142" s="377"/>
      <c r="H142" s="369">
        <f t="shared" si="60"/>
        <v>0</v>
      </c>
      <c r="I142" s="370">
        <f>база!$J$6</f>
        <v>243.04319999999998</v>
      </c>
      <c r="J142" s="367">
        <v>1.5</v>
      </c>
      <c r="K142" s="411">
        <f>SUMIFS(Таблица14[часы],Таблица14[коэф],"1,5",Таблица14[р/р],"5/8",Таблица14[Ф. И. О.],B143)</f>
        <v>0</v>
      </c>
      <c r="L142" s="411">
        <f t="shared" si="61"/>
        <v>0</v>
      </c>
      <c r="M142" s="411"/>
      <c r="N142" s="411"/>
      <c r="O142" s="411"/>
      <c r="P142" s="383"/>
      <c r="Q142" s="366">
        <f>база!$L$5</f>
        <v>231.45480000000001</v>
      </c>
      <c r="R142" s="367">
        <v>1.2</v>
      </c>
      <c r="S142" s="377">
        <f>SUMIFS(Таблица14[часы],Таблица14[коэф],"1,2",Таблица14[р/р],"4/16",Таблица14[Ф. И. О.],B143)</f>
        <v>0</v>
      </c>
      <c r="T142" s="369">
        <f t="shared" si="62"/>
        <v>0</v>
      </c>
      <c r="U142" s="387">
        <f>база!$M$5</f>
        <v>247.41720000000001</v>
      </c>
      <c r="V142" s="367">
        <v>1.2</v>
      </c>
      <c r="W142" s="455">
        <f>SUMIFS(Таблица14[часы],Таблица14[коэф],"1,2",Таблица14[р/р],"4/24",Таблица14[Ф. И. О.],B143)</f>
        <v>0</v>
      </c>
      <c r="X142" s="521">
        <f t="shared" si="63"/>
        <v>0</v>
      </c>
      <c r="Y142" s="748"/>
      <c r="Z142" s="750"/>
      <c r="AA142" s="740"/>
    </row>
    <row r="143" spans="1:27" ht="18.75">
      <c r="A143" s="740"/>
      <c r="B143" s="201" t="str">
        <f>база!B14</f>
        <v>Волошина Светлана Владимировна</v>
      </c>
      <c r="C143" s="743"/>
      <c r="D143" s="746"/>
      <c r="E143" s="366"/>
      <c r="F143" s="367"/>
      <c r="G143" s="377"/>
      <c r="H143" s="369">
        <f t="shared" si="60"/>
        <v>0</v>
      </c>
      <c r="I143" s="370"/>
      <c r="J143" s="367"/>
      <c r="K143" s="411"/>
      <c r="L143" s="411">
        <f t="shared" si="61"/>
        <v>0</v>
      </c>
      <c r="M143" s="411"/>
      <c r="N143" s="411"/>
      <c r="O143" s="411"/>
      <c r="P143" s="383"/>
      <c r="Q143" s="366">
        <f>база!$L$6</f>
        <v>261.04640000000001</v>
      </c>
      <c r="R143" s="367">
        <v>1.2</v>
      </c>
      <c r="S143" s="377">
        <f>SUMIFS(Таблица14[часы],Таблица14[коэф],"1,2",Таблица14[р/р],"5/16",Таблица14[Ф. И. О.],B143)</f>
        <v>0</v>
      </c>
      <c r="T143" s="369">
        <f t="shared" si="62"/>
        <v>0</v>
      </c>
      <c r="U143" s="387">
        <f>база!$M$6</f>
        <v>279.0496</v>
      </c>
      <c r="V143" s="367">
        <v>1.2</v>
      </c>
      <c r="W143" s="455">
        <f>SUMIFS(Таблица14[часы],Таблица14[коэф],"1,2",Таблица14[р/р],"5/24",Таблица14[Ф. И. О.],B143)</f>
        <v>0</v>
      </c>
      <c r="X143" s="521">
        <f t="shared" si="63"/>
        <v>0</v>
      </c>
      <c r="Y143" s="748"/>
      <c r="Z143" s="750"/>
      <c r="AA143" s="740"/>
    </row>
    <row r="144" spans="1:27" ht="18.75">
      <c r="A144" s="740"/>
      <c r="B144" s="201"/>
      <c r="C144" s="743"/>
      <c r="D144" s="746"/>
      <c r="E144" s="366"/>
      <c r="F144" s="367"/>
      <c r="G144" s="377"/>
      <c r="H144" s="369">
        <f t="shared" si="60"/>
        <v>0</v>
      </c>
      <c r="I144" s="370"/>
      <c r="J144" s="367"/>
      <c r="K144" s="411"/>
      <c r="L144" s="411">
        <f t="shared" si="61"/>
        <v>0</v>
      </c>
      <c r="M144" s="411"/>
      <c r="N144" s="411"/>
      <c r="O144" s="411"/>
      <c r="P144" s="383"/>
      <c r="Q144" s="366">
        <f>IF(D138&lt;=3,база!$L$4,
IF(D138=4,база!$L$5,
IF(D138=5,база!$L$6)))</f>
        <v>210.57480000000001</v>
      </c>
      <c r="R144" s="367">
        <v>1.3</v>
      </c>
      <c r="S144" s="377">
        <f>SUMIFS(Таблица14[часы],Таблица14[коэф],"1,3",Таблица14[р/р],"3/16",Таблица14[Ф. И. О.],B143)</f>
        <v>0</v>
      </c>
      <c r="T144" s="369">
        <f t="shared" si="62"/>
        <v>0</v>
      </c>
      <c r="U144" s="387">
        <f>IF(D138&lt;=3,база!$M$4,
IF(D138=4,база!$M$5,
IF(D138=5,база!$M$6)))</f>
        <v>225.09719999999999</v>
      </c>
      <c r="V144" s="367">
        <v>1.3</v>
      </c>
      <c r="W144" s="455">
        <f>SUMIFS(Таблица14[часы],Таблица14[коэф],"1,3",Таблица14[р/р],"3/24",Таблица14[Ф. И. О.],B143)</f>
        <v>0</v>
      </c>
      <c r="X144" s="521">
        <f t="shared" si="63"/>
        <v>0</v>
      </c>
      <c r="Y144" s="748"/>
      <c r="Z144" s="750"/>
      <c r="AA144" s="740"/>
    </row>
    <row r="145" spans="1:27" ht="18.75">
      <c r="A145" s="740"/>
      <c r="B145" s="201"/>
      <c r="C145" s="743"/>
      <c r="D145" s="746"/>
      <c r="E145" s="366"/>
      <c r="F145" s="367"/>
      <c r="G145" s="377"/>
      <c r="H145" s="369">
        <f t="shared" si="60"/>
        <v>0</v>
      </c>
      <c r="I145" s="370"/>
      <c r="J145" s="367"/>
      <c r="K145" s="411"/>
      <c r="L145" s="411">
        <f t="shared" si="61"/>
        <v>0</v>
      </c>
      <c r="M145" s="411"/>
      <c r="N145" s="411"/>
      <c r="O145" s="411"/>
      <c r="P145" s="383"/>
      <c r="Q145" s="366">
        <f>база!$L$5</f>
        <v>231.45480000000001</v>
      </c>
      <c r="R145" s="367">
        <v>1.3</v>
      </c>
      <c r="S145" s="377">
        <f>SUMIFS(Таблица14[часы],Таблица14[коэф],"1,3",Таблица14[р/р],"4/16",Таблица14[Ф. И. О.],B143)</f>
        <v>0</v>
      </c>
      <c r="T145" s="369">
        <f t="shared" si="62"/>
        <v>0</v>
      </c>
      <c r="U145" s="387">
        <f>база!$M$5</f>
        <v>247.41720000000001</v>
      </c>
      <c r="V145" s="367">
        <v>1.3</v>
      </c>
      <c r="W145" s="455">
        <f>SUMIFS(Таблица14[часы],Таблица14[коэф],"1,3",Таблица14[р/р],"4/24",Таблица14[Ф. И. О.],B143)</f>
        <v>0</v>
      </c>
      <c r="X145" s="521">
        <f t="shared" si="63"/>
        <v>0</v>
      </c>
      <c r="Y145" s="748"/>
      <c r="Z145" s="750"/>
      <c r="AA145" s="740"/>
    </row>
    <row r="146" spans="1:27" ht="18.75">
      <c r="A146" s="740"/>
      <c r="B146" s="201"/>
      <c r="C146" s="743"/>
      <c r="D146" s="746"/>
      <c r="E146" s="366"/>
      <c r="F146" s="367"/>
      <c r="G146" s="377"/>
      <c r="H146" s="369">
        <f t="shared" si="60"/>
        <v>0</v>
      </c>
      <c r="I146" s="370"/>
      <c r="J146" s="367"/>
      <c r="K146" s="411"/>
      <c r="L146" s="411">
        <f t="shared" si="61"/>
        <v>0</v>
      </c>
      <c r="M146" s="411"/>
      <c r="N146" s="411"/>
      <c r="O146" s="411"/>
      <c r="P146" s="383"/>
      <c r="Q146" s="366">
        <f>IF(D138&lt;=3,база!$L$4,
IF(D138=4,база!$L$5,
IF(D138=5,база!$L$6)))</f>
        <v>210.57480000000001</v>
      </c>
      <c r="R146" s="367">
        <v>1.4</v>
      </c>
      <c r="S146" s="377">
        <f>SUMIFS(Таблица14[часы],Таблица14[коэф],"1,4",Таблица14[р/р],"3/16",Таблица14[Ф. И. О.],B143)</f>
        <v>0</v>
      </c>
      <c r="T146" s="369">
        <f t="shared" si="62"/>
        <v>0</v>
      </c>
      <c r="U146" s="387">
        <f>IF(D138&lt;=3,база!$M$4,
IF(D138=4,база!$M$5,
IF(D138=5,база!$M$6)))</f>
        <v>225.09719999999999</v>
      </c>
      <c r="V146" s="367">
        <v>1.4</v>
      </c>
      <c r="W146" s="455">
        <f>SUMIFS(Таблица14[часы],Таблица14[коэф],"1,4",Таблица14[р/р],"3/24",Таблица14[Ф. И. О.],B143)</f>
        <v>0</v>
      </c>
      <c r="X146" s="521">
        <f t="shared" si="63"/>
        <v>0</v>
      </c>
      <c r="Y146" s="748"/>
      <c r="Z146" s="750"/>
      <c r="AA146" s="740"/>
    </row>
    <row r="147" spans="1:27" ht="18.75">
      <c r="A147" s="740"/>
      <c r="B147" s="201"/>
      <c r="C147" s="743"/>
      <c r="D147" s="746"/>
      <c r="E147" s="366"/>
      <c r="F147" s="367"/>
      <c r="G147" s="377"/>
      <c r="H147" s="369">
        <f t="shared" si="60"/>
        <v>0</v>
      </c>
      <c r="I147" s="370"/>
      <c r="J147" s="367"/>
      <c r="K147" s="411"/>
      <c r="L147" s="411">
        <f t="shared" si="61"/>
        <v>0</v>
      </c>
      <c r="M147" s="411"/>
      <c r="N147" s="411"/>
      <c r="O147" s="411"/>
      <c r="P147" s="383"/>
      <c r="Q147" s="366">
        <f>база!$L$5</f>
        <v>231.45480000000001</v>
      </c>
      <c r="R147" s="367">
        <v>1.4</v>
      </c>
      <c r="S147" s="377">
        <f>SUMIFS(Таблица14[часы],Таблица14[коэф],"1,4",Таблица14[р/р],"4/16",Таблица14[Ф. И. О.],B143)</f>
        <v>0</v>
      </c>
      <c r="T147" s="369">
        <f t="shared" si="62"/>
        <v>0</v>
      </c>
      <c r="U147" s="387">
        <f>база!$M$5</f>
        <v>247.41720000000001</v>
      </c>
      <c r="V147" s="367">
        <v>1.4</v>
      </c>
      <c r="W147" s="455">
        <f>SUMIFS(Таблица14[часы],Таблица14[коэф],"1,4",Таблица14[р/р],"4/24",Таблица14[Ф. И. О.],B143)</f>
        <v>0</v>
      </c>
      <c r="X147" s="521">
        <f t="shared" si="63"/>
        <v>0</v>
      </c>
      <c r="Y147" s="748"/>
      <c r="Z147" s="750"/>
      <c r="AA147" s="740"/>
    </row>
    <row r="148" spans="1:27" ht="19.5" thickBot="1">
      <c r="A148" s="741"/>
      <c r="B148" s="201"/>
      <c r="C148" s="744"/>
      <c r="D148" s="747"/>
      <c r="E148" s="397"/>
      <c r="F148" s="380"/>
      <c r="G148" s="385"/>
      <c r="H148" s="386">
        <f t="shared" si="60"/>
        <v>0</v>
      </c>
      <c r="I148" s="399"/>
      <c r="J148" s="380"/>
      <c r="K148" s="437"/>
      <c r="L148" s="437">
        <f t="shared" si="61"/>
        <v>0</v>
      </c>
      <c r="M148" s="437"/>
      <c r="N148" s="437"/>
      <c r="O148" s="437"/>
      <c r="P148" s="456"/>
      <c r="Q148" s="397">
        <f>база!$L$6</f>
        <v>261.04640000000001</v>
      </c>
      <c r="R148" s="380">
        <v>1.4</v>
      </c>
      <c r="S148" s="385">
        <f>SUMIFS(Таблица14[часы],Таблица14[коэф],"1,4",Таблица14[р/р],"5/16",Таблица14[Ф. И. О.],B143)</f>
        <v>0</v>
      </c>
      <c r="T148" s="386">
        <f t="shared" si="62"/>
        <v>0</v>
      </c>
      <c r="U148" s="438">
        <f>база!$M$6</f>
        <v>279.0496</v>
      </c>
      <c r="V148" s="380">
        <v>1.4</v>
      </c>
      <c r="W148" s="527">
        <f>SUMIFS(Таблица14[часы],Таблица14[коэф],"1,4",Таблица14[р/р],"5/24",Таблица14[Ф. И. О.],B143)</f>
        <v>0</v>
      </c>
      <c r="X148" s="526">
        <f t="shared" si="63"/>
        <v>0</v>
      </c>
      <c r="Y148" s="749"/>
      <c r="Z148" s="751"/>
      <c r="AA148" s="741"/>
    </row>
    <row r="149" spans="1:27" ht="18.75">
      <c r="A149" s="739">
        <v>14</v>
      </c>
      <c r="B149" s="219"/>
      <c r="C149" s="742">
        <f>INDEX(база!$E$2:$E$81, MATCH(B154,база!$B$2:$B$50,0))</f>
        <v>17115</v>
      </c>
      <c r="D149" s="745">
        <f>INDEX(база!$D$2:$D$89, MATCH(B154,база!$B$2:$B$50,0))</f>
        <v>3</v>
      </c>
      <c r="E149" s="354">
        <f>IF(D149&lt;=3,база!$I$4,
IF(D149=4,база!$I$5,
IF(D149=5,база!$I$6)))</f>
        <v>188.7912</v>
      </c>
      <c r="F149" s="355">
        <v>1</v>
      </c>
      <c r="G149" s="364">
        <f>SUMIFS(Таблица14[часы],Таблица14[коэф],"1",Таблица14[р/р],"2/4",Таблица14[Ф. И. О.],B154)</f>
        <v>0</v>
      </c>
      <c r="H149" s="357">
        <f>ROUND(E149*F149*G149*2,2)</f>
        <v>0</v>
      </c>
      <c r="I149" s="358">
        <f>IF(D149&lt;=3,база!$J$4,
IF(D149=4,база!$J$5,
IF(D149=5,база!$J$6)))</f>
        <v>196.05240000000001</v>
      </c>
      <c r="J149" s="355">
        <v>1</v>
      </c>
      <c r="K149" s="405">
        <f>SUMIFS(Таблица14[часы],Таблица14[коэф],"1",Таблица14[р/р],"2/8",Таблица14[Ф. И. О.],B154)</f>
        <v>0</v>
      </c>
      <c r="L149" s="405">
        <f>ROUND(I149*J149*K149*2,2)</f>
        <v>0</v>
      </c>
      <c r="M149" s="405"/>
      <c r="N149" s="405">
        <v>1</v>
      </c>
      <c r="O149" s="405">
        <f>SUMIFS(Data_Tech!$AM$3:$AM$67,Data_Tech!$E$3:$E$67,"1",Data_Tech!$G$3:$G$67,"3/12",Data_Tech!$F$3:$F$67,B154)</f>
        <v>0</v>
      </c>
      <c r="P149" s="362">
        <f>ROUND(M149*N149*O149,2)</f>
        <v>0</v>
      </c>
      <c r="Q149" s="354">
        <f>IF(D149&lt;=3,база!$L$4,
IF(D149=4,база!$L$5,
IF(D149=5,база!$L$6)))</f>
        <v>210.57480000000001</v>
      </c>
      <c r="R149" s="355">
        <v>1</v>
      </c>
      <c r="S149" s="364">
        <f>SUMIFS(Таблица14[часы],Таблица14[коэф],"1",Таблица14[р/р],"3/16",Таблица14[Ф. И. О.],B154)</f>
        <v>0</v>
      </c>
      <c r="T149" s="357">
        <f>ROUND(Q149*R149*S149*2,2)</f>
        <v>0</v>
      </c>
      <c r="U149" s="439">
        <f>IF(D149&lt;=3,база!$M$4,
IF(D149=4,база!$M$5,
IF(D149=5,база!$M$6)))</f>
        <v>225.09719999999999</v>
      </c>
      <c r="V149" s="355">
        <v>1</v>
      </c>
      <c r="W149" s="454">
        <f>SUMIFS(Таблица14[часы],Таблица14[коэф],"1",Таблица14[р/р],"3/24",Таблица14[Ф. И. О.],B154)</f>
        <v>0</v>
      </c>
      <c r="X149" s="519">
        <f>ROUND(U149*V149*W149*2,2)</f>
        <v>0</v>
      </c>
      <c r="Y149" s="748">
        <f t="shared" ref="Y149" si="64">SUM(G149:G159,K149:K159,O149:O159,S149:S159,W149:W159)</f>
        <v>0</v>
      </c>
      <c r="Z149" s="750">
        <f t="shared" ref="Z149" si="65">IFERROR(SUM(H149:H159,L149:L159,T149:T159,X149:X159),"")</f>
        <v>0</v>
      </c>
      <c r="AA149" s="740"/>
    </row>
    <row r="150" spans="1:27" ht="18.75">
      <c r="A150" s="740"/>
      <c r="B150" s="201"/>
      <c r="C150" s="743"/>
      <c r="D150" s="746"/>
      <c r="E150" s="366">
        <f>IF(D149&lt;=3,база!$I$4,
IF(D149=4,база!$I$5,
IF(D149=5,база!$I$6)))</f>
        <v>188.7912</v>
      </c>
      <c r="F150" s="367">
        <v>1</v>
      </c>
      <c r="G150" s="377">
        <f>SUMIFS(Таблица14[часы],Таблица14[коэф],"1",Таблица14[р/р],"3/4",Таблица14[Ф. И. О.],B154)</f>
        <v>0</v>
      </c>
      <c r="H150" s="369">
        <f t="shared" ref="H150:H159" si="66">ROUND(E150*F150*G150*2,2)</f>
        <v>0</v>
      </c>
      <c r="I150" s="370">
        <f>IF(D149&lt;=3,база!$J$4,
IF(D149=4,база!$J$5,
IF(D149=5,база!$J$6)))</f>
        <v>196.05240000000001</v>
      </c>
      <c r="J150" s="367">
        <v>1</v>
      </c>
      <c r="K150" s="411">
        <f>SUMIFS(Таблица14[часы],Таблица14[коэф],"1",Таблица14[р/р],"3/8",Таблица14[Ф. И. О.],B154)</f>
        <v>0</v>
      </c>
      <c r="L150" s="411">
        <f t="shared" ref="L150:L159" si="67">ROUND(I150*J150*K150*2,2)</f>
        <v>0</v>
      </c>
      <c r="M150" s="411"/>
      <c r="N150" s="411">
        <v>1</v>
      </c>
      <c r="O150" s="411">
        <f>SUMIFS(Data_Tech!$AM$3:$AM$67,Data_Tech!$E$3:$E$67,"1",Data_Tech!$G$3:$G$67,"4/12",Data_Tech!$F$3:$F$67,B154)</f>
        <v>0</v>
      </c>
      <c r="P150" s="383">
        <f>ROUND(M150*O150,2)</f>
        <v>0</v>
      </c>
      <c r="Q150" s="366">
        <f>база!$L$5</f>
        <v>231.45480000000001</v>
      </c>
      <c r="R150" s="367">
        <v>1</v>
      </c>
      <c r="S150" s="377">
        <f>SUMIFS(Таблица14[часы],Таблица14[коэф],"1",Таблица14[р/р],"4/16",Таблица14[Ф. И. О.],B154)</f>
        <v>0</v>
      </c>
      <c r="T150" s="369">
        <f t="shared" ref="T150:T159" si="68">ROUND(Q150*R150*S150*2,2)</f>
        <v>0</v>
      </c>
      <c r="U150" s="387">
        <f>база!$M$5</f>
        <v>247.41720000000001</v>
      </c>
      <c r="V150" s="367">
        <v>1</v>
      </c>
      <c r="W150" s="455">
        <f>SUMIFS(Таблица14[часы],Таблица14[коэф],"1",Таблица14[р/р],"4/24",Таблица14[Ф. И. О.],B154)</f>
        <v>0</v>
      </c>
      <c r="X150" s="521">
        <f t="shared" ref="X150:X159" si="69">ROUND(U150*V150*W150*2,2)</f>
        <v>0</v>
      </c>
      <c r="Y150" s="748"/>
      <c r="Z150" s="750"/>
      <c r="AA150" s="740"/>
    </row>
    <row r="151" spans="1:27" ht="18.75">
      <c r="A151" s="740"/>
      <c r="B151" s="201"/>
      <c r="C151" s="743"/>
      <c r="D151" s="746"/>
      <c r="E151" s="366"/>
      <c r="F151" s="367"/>
      <c r="G151" s="377"/>
      <c r="H151" s="369">
        <f t="shared" si="66"/>
        <v>0</v>
      </c>
      <c r="I151" s="370"/>
      <c r="J151" s="367"/>
      <c r="K151" s="411"/>
      <c r="L151" s="411">
        <f t="shared" si="67"/>
        <v>0</v>
      </c>
      <c r="M151" s="411"/>
      <c r="N151" s="411"/>
      <c r="O151" s="411"/>
      <c r="P151" s="383"/>
      <c r="Q151" s="366">
        <f>база!$L$6</f>
        <v>261.04640000000001</v>
      </c>
      <c r="R151" s="367">
        <v>1</v>
      </c>
      <c r="S151" s="377">
        <f>SUMIFS(Таблица14[часы],Таблица14[коэф],"1",Таблица14[р/р],"5/16",Таблица14[Ф. И. О.],B154)</f>
        <v>0</v>
      </c>
      <c r="T151" s="369">
        <f t="shared" si="68"/>
        <v>0</v>
      </c>
      <c r="U151" s="387">
        <f>база!$M$6</f>
        <v>279.0496</v>
      </c>
      <c r="V151" s="367">
        <v>1</v>
      </c>
      <c r="W151" s="455">
        <f>SUMIFS(Таблица14[часы],Таблица14[коэф],"1",Таблица14[р/р],"5/24",Таблица14[Ф. И. О.],B154)</f>
        <v>0</v>
      </c>
      <c r="X151" s="521">
        <f t="shared" si="69"/>
        <v>0</v>
      </c>
      <c r="Y151" s="748"/>
      <c r="Z151" s="750"/>
      <c r="AA151" s="740"/>
    </row>
    <row r="152" spans="1:27" ht="18.75">
      <c r="A152" s="740"/>
      <c r="B152" s="201"/>
      <c r="C152" s="743"/>
      <c r="D152" s="746"/>
      <c r="E152" s="366"/>
      <c r="F152" s="367"/>
      <c r="G152" s="377"/>
      <c r="H152" s="369">
        <f t="shared" si="66"/>
        <v>0</v>
      </c>
      <c r="I152" s="370">
        <f>база!$J$5</f>
        <v>215.4924</v>
      </c>
      <c r="J152" s="367">
        <v>1.5</v>
      </c>
      <c r="K152" s="411">
        <f>SUMIFS(Таблица14[часы],Таблица14[коэф],"1,5",Таблица14[р/р],"4/8",Таблица14[Ф. И. О.],B154)</f>
        <v>0</v>
      </c>
      <c r="L152" s="411">
        <f t="shared" si="67"/>
        <v>0</v>
      </c>
      <c r="M152" s="411"/>
      <c r="N152" s="411"/>
      <c r="O152" s="411"/>
      <c r="P152" s="383"/>
      <c r="Q152" s="366">
        <f>IF(D149&lt;=3,база!$L$4,
IF(D149=4,база!$L$5,
IF(D149=5,база!$L$6)))</f>
        <v>210.57480000000001</v>
      </c>
      <c r="R152" s="367">
        <v>1.2</v>
      </c>
      <c r="S152" s="377">
        <f>SUMIFS(Таблица14[часы],Таблица14[коэф],"1,2",Таблица14[р/р],"3/16",Таблица14[Ф. И. О.],B154)</f>
        <v>0</v>
      </c>
      <c r="T152" s="369">
        <f t="shared" si="68"/>
        <v>0</v>
      </c>
      <c r="U152" s="387">
        <f>IF(D149&lt;=3,база!$M$4,
IF(D149=4,база!$M$5,
IF(D149=5,база!$M$6)))</f>
        <v>225.09719999999999</v>
      </c>
      <c r="V152" s="367">
        <v>1.2</v>
      </c>
      <c r="W152" s="455">
        <f>SUMIFS(Таблица14[часы],Таблица14[коэф],"1,2",Таблица14[р/р],"3/24",Таблица14[Ф. И. О.],B154)</f>
        <v>0</v>
      </c>
      <c r="X152" s="521">
        <f t="shared" si="69"/>
        <v>0</v>
      </c>
      <c r="Y152" s="748"/>
      <c r="Z152" s="750"/>
      <c r="AA152" s="740"/>
    </row>
    <row r="153" spans="1:27" ht="18.75">
      <c r="A153" s="740"/>
      <c r="B153" s="201"/>
      <c r="C153" s="743"/>
      <c r="D153" s="746"/>
      <c r="E153" s="366"/>
      <c r="F153" s="367"/>
      <c r="G153" s="377"/>
      <c r="H153" s="369">
        <f t="shared" si="66"/>
        <v>0</v>
      </c>
      <c r="I153" s="370">
        <f>база!$J$6</f>
        <v>243.04319999999998</v>
      </c>
      <c r="J153" s="367">
        <v>1.5</v>
      </c>
      <c r="K153" s="411">
        <f>SUMIFS(Таблица14[часы],Таблица14[коэф],"1,5",Таблица14[р/р],"5/8",Таблица14[Ф. И. О.],B154)</f>
        <v>0</v>
      </c>
      <c r="L153" s="411">
        <f t="shared" si="67"/>
        <v>0</v>
      </c>
      <c r="M153" s="411"/>
      <c r="N153" s="411"/>
      <c r="O153" s="411"/>
      <c r="P153" s="383"/>
      <c r="Q153" s="366">
        <f>база!$L$5</f>
        <v>231.45480000000001</v>
      </c>
      <c r="R153" s="367">
        <v>1.2</v>
      </c>
      <c r="S153" s="377">
        <f>SUMIFS(Таблица14[часы],Таблица14[коэф],"1,2",Таблица14[р/р],"4/16",Таблица14[Ф. И. О.],B154)</f>
        <v>0</v>
      </c>
      <c r="T153" s="369">
        <f t="shared" si="68"/>
        <v>0</v>
      </c>
      <c r="U153" s="387">
        <f>база!$M$5</f>
        <v>247.41720000000001</v>
      </c>
      <c r="V153" s="367">
        <v>1.2</v>
      </c>
      <c r="W153" s="455">
        <f>SUMIFS(Таблица14[часы],Таблица14[коэф],"1,2",Таблица14[р/р],"4/24",Таблица14[Ф. И. О.],B154)</f>
        <v>0</v>
      </c>
      <c r="X153" s="521">
        <f t="shared" si="69"/>
        <v>0</v>
      </c>
      <c r="Y153" s="748"/>
      <c r="Z153" s="750"/>
      <c r="AA153" s="740"/>
    </row>
    <row r="154" spans="1:27" ht="18.75">
      <c r="A154" s="740"/>
      <c r="B154" s="201" t="str">
        <f>база!B15</f>
        <v>Глинка Екатерина Юрьевна</v>
      </c>
      <c r="C154" s="743"/>
      <c r="D154" s="746"/>
      <c r="E154" s="366"/>
      <c r="F154" s="367"/>
      <c r="G154" s="377"/>
      <c r="H154" s="369">
        <f t="shared" si="66"/>
        <v>0</v>
      </c>
      <c r="I154" s="370"/>
      <c r="J154" s="367"/>
      <c r="K154" s="411"/>
      <c r="L154" s="411">
        <f t="shared" si="67"/>
        <v>0</v>
      </c>
      <c r="M154" s="411"/>
      <c r="N154" s="411"/>
      <c r="O154" s="411"/>
      <c r="P154" s="383"/>
      <c r="Q154" s="366">
        <f>база!$L$6</f>
        <v>261.04640000000001</v>
      </c>
      <c r="R154" s="367">
        <v>1.2</v>
      </c>
      <c r="S154" s="377">
        <f>SUMIFS(Таблица14[часы],Таблица14[коэф],"1,2",Таблица14[р/р],"5/16",Таблица14[Ф. И. О.],B154)</f>
        <v>0</v>
      </c>
      <c r="T154" s="369">
        <f t="shared" si="68"/>
        <v>0</v>
      </c>
      <c r="U154" s="387">
        <f>база!$M$6</f>
        <v>279.0496</v>
      </c>
      <c r="V154" s="367">
        <v>1.2</v>
      </c>
      <c r="W154" s="455">
        <f>SUMIFS(Таблица14[часы],Таблица14[коэф],"1,2",Таблица14[р/р],"5/24",Таблица14[Ф. И. О.],B154)</f>
        <v>0</v>
      </c>
      <c r="X154" s="521">
        <f t="shared" si="69"/>
        <v>0</v>
      </c>
      <c r="Y154" s="748"/>
      <c r="Z154" s="750"/>
      <c r="AA154" s="740"/>
    </row>
    <row r="155" spans="1:27" ht="18.75">
      <c r="A155" s="740"/>
      <c r="B155" s="201"/>
      <c r="C155" s="743"/>
      <c r="D155" s="746"/>
      <c r="E155" s="366"/>
      <c r="F155" s="367"/>
      <c r="G155" s="377"/>
      <c r="H155" s="369">
        <f t="shared" si="66"/>
        <v>0</v>
      </c>
      <c r="I155" s="370"/>
      <c r="J155" s="367"/>
      <c r="K155" s="411"/>
      <c r="L155" s="411">
        <f t="shared" si="67"/>
        <v>0</v>
      </c>
      <c r="M155" s="411"/>
      <c r="N155" s="411"/>
      <c r="O155" s="411"/>
      <c r="P155" s="383"/>
      <c r="Q155" s="366">
        <f>IF(D149&lt;=3,база!$L$4,
IF(D149=4,база!$L$5,
IF(D149=5,база!$L$6)))</f>
        <v>210.57480000000001</v>
      </c>
      <c r="R155" s="367">
        <v>1.3</v>
      </c>
      <c r="S155" s="377">
        <f>SUMIFS(Таблица14[часы],Таблица14[коэф],"1,3",Таблица14[р/р],"3/16",Таблица14[Ф. И. О.],B154)</f>
        <v>0</v>
      </c>
      <c r="T155" s="369">
        <f t="shared" si="68"/>
        <v>0</v>
      </c>
      <c r="U155" s="387">
        <f>IF(D149&lt;=3,база!$M$4,
IF(D149=4,база!$M$5,
IF(D149=5,база!$M$6)))</f>
        <v>225.09719999999999</v>
      </c>
      <c r="V155" s="367">
        <v>1.3</v>
      </c>
      <c r="W155" s="455">
        <f>SUMIFS(Таблица14[часы],Таблица14[коэф],"1,3",Таблица14[р/р],"3/24",Таблица14[Ф. И. О.],B154)</f>
        <v>0</v>
      </c>
      <c r="X155" s="521">
        <f t="shared" si="69"/>
        <v>0</v>
      </c>
      <c r="Y155" s="748"/>
      <c r="Z155" s="750"/>
      <c r="AA155" s="740"/>
    </row>
    <row r="156" spans="1:27" ht="18.75">
      <c r="A156" s="740"/>
      <c r="B156" s="201"/>
      <c r="C156" s="743"/>
      <c r="D156" s="746"/>
      <c r="E156" s="366"/>
      <c r="F156" s="367"/>
      <c r="G156" s="377"/>
      <c r="H156" s="369">
        <f t="shared" si="66"/>
        <v>0</v>
      </c>
      <c r="I156" s="370"/>
      <c r="J156" s="367"/>
      <c r="K156" s="411"/>
      <c r="L156" s="411">
        <f t="shared" si="67"/>
        <v>0</v>
      </c>
      <c r="M156" s="411"/>
      <c r="N156" s="411"/>
      <c r="O156" s="411"/>
      <c r="P156" s="383"/>
      <c r="Q156" s="366">
        <f>база!$L$5</f>
        <v>231.45480000000001</v>
      </c>
      <c r="R156" s="367">
        <v>1.3</v>
      </c>
      <c r="S156" s="377">
        <f>SUMIFS(Таблица14[часы],Таблица14[коэф],"1,3",Таблица14[р/р],"4/16",Таблица14[Ф. И. О.],B154)</f>
        <v>0</v>
      </c>
      <c r="T156" s="369">
        <f t="shared" si="68"/>
        <v>0</v>
      </c>
      <c r="U156" s="387">
        <f>база!$M$5</f>
        <v>247.41720000000001</v>
      </c>
      <c r="V156" s="367">
        <v>1.3</v>
      </c>
      <c r="W156" s="455">
        <f>SUMIFS(Таблица14[часы],Таблица14[коэф],"1,3",Таблица14[р/р],"4/24",Таблица14[Ф. И. О.],B154)</f>
        <v>0</v>
      </c>
      <c r="X156" s="521">
        <f t="shared" si="69"/>
        <v>0</v>
      </c>
      <c r="Y156" s="748"/>
      <c r="Z156" s="750"/>
      <c r="AA156" s="740"/>
    </row>
    <row r="157" spans="1:27" ht="18.75">
      <c r="A157" s="740"/>
      <c r="B157" s="201"/>
      <c r="C157" s="743"/>
      <c r="D157" s="746"/>
      <c r="E157" s="366"/>
      <c r="F157" s="367"/>
      <c r="G157" s="377"/>
      <c r="H157" s="369">
        <f t="shared" si="66"/>
        <v>0</v>
      </c>
      <c r="I157" s="370"/>
      <c r="J157" s="367"/>
      <c r="K157" s="411"/>
      <c r="L157" s="411">
        <f t="shared" si="67"/>
        <v>0</v>
      </c>
      <c r="M157" s="411"/>
      <c r="N157" s="411"/>
      <c r="O157" s="411"/>
      <c r="P157" s="383"/>
      <c r="Q157" s="366">
        <f>IF(D149&lt;=3,база!$L$4,
IF(D149=4,база!$L$5,
IF(D149=5,база!$L$6)))</f>
        <v>210.57480000000001</v>
      </c>
      <c r="R157" s="367">
        <v>1.4</v>
      </c>
      <c r="S157" s="377">
        <f>SUMIFS(Таблица14[часы],Таблица14[коэф],"1,4",Таблица14[р/р],"3/16",Таблица14[Ф. И. О.],B154)</f>
        <v>0</v>
      </c>
      <c r="T157" s="369">
        <f t="shared" si="68"/>
        <v>0</v>
      </c>
      <c r="U157" s="387">
        <f>IF(D149&lt;=3,база!$M$4,
IF(D149=4,база!$M$5,
IF(D149=5,база!$M$6)))</f>
        <v>225.09719999999999</v>
      </c>
      <c r="V157" s="367">
        <v>1.4</v>
      </c>
      <c r="W157" s="455">
        <f>SUMIFS(Таблица14[часы],Таблица14[коэф],"1,4",Таблица14[р/р],"3/24",Таблица14[Ф. И. О.],B154)</f>
        <v>0</v>
      </c>
      <c r="X157" s="521">
        <f t="shared" si="69"/>
        <v>0</v>
      </c>
      <c r="Y157" s="748"/>
      <c r="Z157" s="750"/>
      <c r="AA157" s="740"/>
    </row>
    <row r="158" spans="1:27" ht="18.75">
      <c r="A158" s="740"/>
      <c r="B158" s="201"/>
      <c r="C158" s="743"/>
      <c r="D158" s="746"/>
      <c r="E158" s="366"/>
      <c r="F158" s="367"/>
      <c r="G158" s="377"/>
      <c r="H158" s="369">
        <f t="shared" si="66"/>
        <v>0</v>
      </c>
      <c r="I158" s="370"/>
      <c r="J158" s="367"/>
      <c r="K158" s="411"/>
      <c r="L158" s="411">
        <f t="shared" si="67"/>
        <v>0</v>
      </c>
      <c r="M158" s="411"/>
      <c r="N158" s="411"/>
      <c r="O158" s="411"/>
      <c r="P158" s="383"/>
      <c r="Q158" s="366">
        <f>база!$L$5</f>
        <v>231.45480000000001</v>
      </c>
      <c r="R158" s="367">
        <v>1.4</v>
      </c>
      <c r="S158" s="377">
        <f>SUMIFS(Таблица14[часы],Таблица14[коэф],"1,4",Таблица14[р/р],"4/16",Таблица14[Ф. И. О.],B154)</f>
        <v>0</v>
      </c>
      <c r="T158" s="369">
        <f t="shared" si="68"/>
        <v>0</v>
      </c>
      <c r="U158" s="387">
        <f>база!$M$5</f>
        <v>247.41720000000001</v>
      </c>
      <c r="V158" s="367">
        <v>1.4</v>
      </c>
      <c r="W158" s="455">
        <f>SUMIFS(Таблица14[часы],Таблица14[коэф],"1,4",Таблица14[р/р],"4/24",Таблица14[Ф. И. О.],B154)</f>
        <v>0</v>
      </c>
      <c r="X158" s="521">
        <f t="shared" si="69"/>
        <v>0</v>
      </c>
      <c r="Y158" s="748"/>
      <c r="Z158" s="750"/>
      <c r="AA158" s="740"/>
    </row>
    <row r="159" spans="1:27" ht="19.5" thickBot="1">
      <c r="A159" s="741"/>
      <c r="B159" s="188"/>
      <c r="C159" s="744"/>
      <c r="D159" s="747"/>
      <c r="E159" s="450"/>
      <c r="F159" s="441"/>
      <c r="G159" s="442"/>
      <c r="H159" s="445">
        <f t="shared" si="66"/>
        <v>0</v>
      </c>
      <c r="I159" s="440"/>
      <c r="J159" s="441"/>
      <c r="K159" s="434"/>
      <c r="L159" s="434">
        <f t="shared" si="67"/>
        <v>0</v>
      </c>
      <c r="M159" s="434"/>
      <c r="N159" s="434"/>
      <c r="O159" s="434"/>
      <c r="P159" s="453"/>
      <c r="Q159" s="450">
        <f>база!$L$6</f>
        <v>261.04640000000001</v>
      </c>
      <c r="R159" s="441">
        <v>1.4</v>
      </c>
      <c r="S159" s="442">
        <f>SUMIFS(Таблица14[часы],Таблица14[коэф],"1,4",Таблица14[р/р],"5/16",Таблица14[Ф. И. О.],B154)</f>
        <v>0</v>
      </c>
      <c r="T159" s="445">
        <f t="shared" si="68"/>
        <v>0</v>
      </c>
      <c r="U159" s="446">
        <f>база!$M$6</f>
        <v>279.0496</v>
      </c>
      <c r="V159" s="441">
        <v>1.4</v>
      </c>
      <c r="W159" s="457">
        <f>SUMIFS(Таблица14[часы],Таблица14[коэф],"1,4",Таблица14[р/р],"5/24",Таблица14[Ф. И. О.],B154)</f>
        <v>0</v>
      </c>
      <c r="X159" s="523">
        <f t="shared" si="69"/>
        <v>0</v>
      </c>
      <c r="Y159" s="749"/>
      <c r="Z159" s="751"/>
      <c r="AA159" s="741"/>
    </row>
    <row r="160" spans="1:27" ht="18.75">
      <c r="A160" s="739">
        <v>15</v>
      </c>
      <c r="B160" s="201"/>
      <c r="C160" s="742">
        <f>INDEX(база!$E$2:$E$81, MATCH(B165,база!$B$2:$B$50,0))</f>
        <v>15880</v>
      </c>
      <c r="D160" s="745">
        <f>INDEX(база!$D$2:$D$89, MATCH(B165,база!$B$2:$B$50,0))</f>
        <v>3</v>
      </c>
      <c r="E160" s="428">
        <f>IF(D160&lt;=3,база!$I$4,
IF(D160=4,база!$I$5,
IF(D160=5,база!$I$6)))</f>
        <v>188.7912</v>
      </c>
      <c r="F160" s="394">
        <v>1</v>
      </c>
      <c r="G160" s="395">
        <f>SUMIFS(Таблица14[часы],Таблица14[коэф],"1",Таблица14[р/р],"2/4",Таблица14[Ф. И. О.],B165)</f>
        <v>0</v>
      </c>
      <c r="H160" s="518">
        <f>ROUND(E160*F160*G160*2,2)</f>
        <v>0</v>
      </c>
      <c r="I160" s="354">
        <f>IF(D160&lt;=3,база!$J$4,
IF(D160=4,база!$J$5,
IF(D160=5,база!$J$6)))</f>
        <v>196.05240000000001</v>
      </c>
      <c r="J160" s="355">
        <v>1</v>
      </c>
      <c r="K160" s="405">
        <f>SUMIFS(Таблица14[часы],Таблица14[коэф],"1",Таблица14[р/р],"2/8",Таблица14[Ф. И. О.],B165)</f>
        <v>0</v>
      </c>
      <c r="L160" s="405">
        <f>ROUND(I160*J160*K160*2,2)</f>
        <v>0</v>
      </c>
      <c r="M160" s="405"/>
      <c r="N160" s="405">
        <v>1</v>
      </c>
      <c r="O160" s="405">
        <f>SUMIFS(Data_Tech!$AM$3:$AM$67,Data_Tech!$E$3:$E$67,"1",Data_Tech!$G$3:$G$67,"3/12",Data_Tech!$F$3:$F$67,B165)</f>
        <v>0</v>
      </c>
      <c r="P160" s="360">
        <f>ROUND(M160*N160*O160,2)</f>
        <v>0</v>
      </c>
      <c r="Q160" s="354">
        <f>IF(D160&lt;=3,база!$L$4,
IF(D160=4,база!$L$5,
IF(D160=5,база!$L$6)))</f>
        <v>210.57480000000001</v>
      </c>
      <c r="R160" s="394">
        <v>1</v>
      </c>
      <c r="S160" s="395">
        <f>SUMIFS(Таблица14[часы],Таблица14[коэф],"1",Таблица14[р/р],"3/16",Таблица14[Ф. И. О.],B165)</f>
        <v>0</v>
      </c>
      <c r="T160" s="518">
        <f>ROUND(Q160*R160*S160*2,2)</f>
        <v>0</v>
      </c>
      <c r="U160" s="448">
        <f>IF(D160&lt;=3,база!$M$4,
IF(D160=4,база!$M$5,
IF(D160=5,база!$M$6)))</f>
        <v>225.09719999999999</v>
      </c>
      <c r="V160" s="355">
        <v>1</v>
      </c>
      <c r="W160" s="407">
        <f>SUMIFS(Таблица14[часы],Таблица14[коэф],"1",Таблица14[р/р],"3/24",Таблица14[Ф. И. О.],B165)</f>
        <v>0</v>
      </c>
      <c r="X160" s="519">
        <f>ROUND(U160*V160*W160*2,2)</f>
        <v>0</v>
      </c>
      <c r="Y160" s="748">
        <f t="shared" ref="Y160" si="70">SUM(G160:G170,K160:K170,O160:O170,S160:S170,W160:W170)</f>
        <v>0</v>
      </c>
      <c r="Z160" s="750">
        <f t="shared" ref="Z160" si="71">IFERROR(SUM(H160:H170,L160:L170,T160:T170,X160:X170),"")</f>
        <v>0</v>
      </c>
      <c r="AA160" s="740"/>
    </row>
    <row r="161" spans="1:27" ht="18.75">
      <c r="A161" s="740"/>
      <c r="B161" s="201"/>
      <c r="C161" s="743"/>
      <c r="D161" s="746"/>
      <c r="E161" s="370">
        <f>IF(D160&lt;=3,база!$I$4,
IF(D160=4,база!$I$5,
IF(D160=5,база!$I$6)))</f>
        <v>188.7912</v>
      </c>
      <c r="F161" s="367">
        <v>1</v>
      </c>
      <c r="G161" s="377">
        <f>SUMIFS(Таблица14[часы],Таблица14[коэф],"1",Таблица14[р/р],"3/4",Таблица14[Ф. И. О.],B165)</f>
        <v>0</v>
      </c>
      <c r="H161" s="520">
        <f t="shared" ref="H161:H170" si="72">ROUND(E161*F161*G161*2,2)</f>
        <v>0</v>
      </c>
      <c r="I161" s="366">
        <f>IF(D160&lt;=3,база!$J$4,
IF(D160=4,база!$J$5,
IF(D160=5,база!$J$6)))</f>
        <v>196.05240000000001</v>
      </c>
      <c r="J161" s="367">
        <v>1</v>
      </c>
      <c r="K161" s="411">
        <f>SUMIFS(Таблица14[часы],Таблица14[коэф],"1",Таблица14[р/р],"3/8",Таблица14[Ф. И. О.],B165)</f>
        <v>0</v>
      </c>
      <c r="L161" s="411">
        <f t="shared" ref="L161:L170" si="73">ROUND(I161*J161*K161*2,2)</f>
        <v>0</v>
      </c>
      <c r="M161" s="411"/>
      <c r="N161" s="411">
        <v>1</v>
      </c>
      <c r="O161" s="411">
        <f>SUMIFS(Data_Tech!$AM$3:$AM$67,Data_Tech!$E$3:$E$67,"1",Data_Tech!$G$3:$G$67,"4/12",Data_Tech!$F$3:$F$67,B165)</f>
        <v>0</v>
      </c>
      <c r="P161" s="372">
        <f>ROUND(M161*O161,2)</f>
        <v>0</v>
      </c>
      <c r="Q161" s="366">
        <f>база!$L$5</f>
        <v>231.45480000000001</v>
      </c>
      <c r="R161" s="367">
        <v>1</v>
      </c>
      <c r="S161" s="377">
        <f>SUMIFS(Таблица14[часы],Таблица14[коэф],"1",Таблица14[р/р],"4/16",Таблица14[Ф. И. О.],B165)</f>
        <v>0</v>
      </c>
      <c r="T161" s="520">
        <f t="shared" ref="T161:T170" si="74">ROUND(Q161*R161*S161*2,2)</f>
        <v>0</v>
      </c>
      <c r="U161" s="449">
        <f>база!$M$5</f>
        <v>247.41720000000001</v>
      </c>
      <c r="V161" s="367">
        <v>1</v>
      </c>
      <c r="W161" s="389">
        <f>SUMIFS(Таблица14[часы],Таблица14[коэф],"1",Таблица14[р/р],"4/24",Таблица14[Ф. И. О.],B165)</f>
        <v>0</v>
      </c>
      <c r="X161" s="521">
        <f t="shared" ref="X161:X170" si="75">ROUND(U161*V161*W161*2,2)</f>
        <v>0</v>
      </c>
      <c r="Y161" s="748"/>
      <c r="Z161" s="750"/>
      <c r="AA161" s="740"/>
    </row>
    <row r="162" spans="1:27" ht="18.75">
      <c r="A162" s="740"/>
      <c r="B162" s="201"/>
      <c r="C162" s="743"/>
      <c r="D162" s="746"/>
      <c r="E162" s="370"/>
      <c r="F162" s="367"/>
      <c r="G162" s="377"/>
      <c r="H162" s="520">
        <f t="shared" si="72"/>
        <v>0</v>
      </c>
      <c r="I162" s="366"/>
      <c r="J162" s="367"/>
      <c r="K162" s="411"/>
      <c r="L162" s="411">
        <f t="shared" si="73"/>
        <v>0</v>
      </c>
      <c r="M162" s="411"/>
      <c r="N162" s="411"/>
      <c r="O162" s="411"/>
      <c r="P162" s="372"/>
      <c r="Q162" s="366">
        <f>база!$L$6</f>
        <v>261.04640000000001</v>
      </c>
      <c r="R162" s="367">
        <v>1</v>
      </c>
      <c r="S162" s="377">
        <f>SUMIFS(Таблица14[часы],Таблица14[коэф],"1",Таблица14[р/р],"5/16",Таблица14[Ф. И. О.],B165)</f>
        <v>0</v>
      </c>
      <c r="T162" s="520">
        <f t="shared" si="74"/>
        <v>0</v>
      </c>
      <c r="U162" s="449">
        <f>база!$M$6</f>
        <v>279.0496</v>
      </c>
      <c r="V162" s="367">
        <v>1</v>
      </c>
      <c r="W162" s="389">
        <f>SUMIFS(Таблица14[часы],Таблица14[коэф],"1",Таблица14[р/р],"5/24",Таблица14[Ф. И. О.],B165)</f>
        <v>0</v>
      </c>
      <c r="X162" s="521">
        <f t="shared" si="75"/>
        <v>0</v>
      </c>
      <c r="Y162" s="748"/>
      <c r="Z162" s="750"/>
      <c r="AA162" s="740"/>
    </row>
    <row r="163" spans="1:27" ht="18.75">
      <c r="A163" s="740"/>
      <c r="B163" s="201"/>
      <c r="C163" s="743"/>
      <c r="D163" s="746"/>
      <c r="E163" s="370"/>
      <c r="F163" s="367"/>
      <c r="G163" s="377"/>
      <c r="H163" s="520">
        <f t="shared" si="72"/>
        <v>0</v>
      </c>
      <c r="I163" s="366">
        <f>база!$J$5</f>
        <v>215.4924</v>
      </c>
      <c r="J163" s="367">
        <v>1.5</v>
      </c>
      <c r="K163" s="411">
        <f>SUMIFS(Таблица14[часы],Таблица14[коэф],"1,5",Таблица14[р/р],"4/8",Таблица14[Ф. И. О.],B165)</f>
        <v>0</v>
      </c>
      <c r="L163" s="411">
        <f t="shared" si="73"/>
        <v>0</v>
      </c>
      <c r="M163" s="411"/>
      <c r="N163" s="411"/>
      <c r="O163" s="411"/>
      <c r="P163" s="372"/>
      <c r="Q163" s="366">
        <f>IF(D160&lt;=3,база!$L$4,
IF(D160=4,база!$L$5,
IF(D160=5,база!$L$6)))</f>
        <v>210.57480000000001</v>
      </c>
      <c r="R163" s="367">
        <v>1.2</v>
      </c>
      <c r="S163" s="377">
        <f>SUMIFS(Таблица14[часы],Таблица14[коэф],"1,2",Таблица14[р/р],"3/16",Таблица14[Ф. И. О.],B165)</f>
        <v>0</v>
      </c>
      <c r="T163" s="520">
        <f t="shared" si="74"/>
        <v>0</v>
      </c>
      <c r="U163" s="449">
        <f>IF(D160&lt;=3,база!$M$4,
IF(D160=4,база!$M$5,
IF(D160=5,база!$M$6)))</f>
        <v>225.09719999999999</v>
      </c>
      <c r="V163" s="367">
        <v>1.2</v>
      </c>
      <c r="W163" s="389">
        <f>SUMIFS(Таблица14[часы],Таблица14[коэф],"1,2",Таблица14[р/р],"3/24",Таблица14[Ф. И. О.],B165)</f>
        <v>0</v>
      </c>
      <c r="X163" s="521">
        <f t="shared" si="75"/>
        <v>0</v>
      </c>
      <c r="Y163" s="748"/>
      <c r="Z163" s="750"/>
      <c r="AA163" s="740"/>
    </row>
    <row r="164" spans="1:27" ht="18.75">
      <c r="A164" s="740"/>
      <c r="B164" s="201"/>
      <c r="C164" s="743"/>
      <c r="D164" s="746"/>
      <c r="E164" s="370"/>
      <c r="F164" s="367"/>
      <c r="G164" s="377"/>
      <c r="H164" s="520">
        <f t="shared" si="72"/>
        <v>0</v>
      </c>
      <c r="I164" s="366">
        <f>база!$J$6</f>
        <v>243.04319999999998</v>
      </c>
      <c r="J164" s="367">
        <v>1.5</v>
      </c>
      <c r="K164" s="411">
        <f>SUMIFS(Таблица14[часы],Таблица14[коэф],"1,5",Таблица14[р/р],"5/8",Таблица14[Ф. И. О.],B165)</f>
        <v>0</v>
      </c>
      <c r="L164" s="411">
        <f t="shared" si="73"/>
        <v>0</v>
      </c>
      <c r="M164" s="411"/>
      <c r="N164" s="411"/>
      <c r="O164" s="411"/>
      <c r="P164" s="372"/>
      <c r="Q164" s="366">
        <f>база!$L$5</f>
        <v>231.45480000000001</v>
      </c>
      <c r="R164" s="367">
        <v>1.2</v>
      </c>
      <c r="S164" s="377">
        <f>SUMIFS(Таблица14[часы],Таблица14[коэф],"1,2",Таблица14[р/р],"4/16",Таблица14[Ф. И. О.],B165)</f>
        <v>0</v>
      </c>
      <c r="T164" s="520">
        <f t="shared" si="74"/>
        <v>0</v>
      </c>
      <c r="U164" s="449">
        <f>база!$M$5</f>
        <v>247.41720000000001</v>
      </c>
      <c r="V164" s="367">
        <v>1.2</v>
      </c>
      <c r="W164" s="389">
        <f>SUMIFS(Таблица14[часы],Таблица14[коэф],"1,2",Таблица14[р/р],"4/24",Таблица14[Ф. И. О.],B165)</f>
        <v>0</v>
      </c>
      <c r="X164" s="521">
        <f t="shared" si="75"/>
        <v>0</v>
      </c>
      <c r="Y164" s="748"/>
      <c r="Z164" s="750"/>
      <c r="AA164" s="740"/>
    </row>
    <row r="165" spans="1:27" ht="18.75">
      <c r="A165" s="740"/>
      <c r="B165" s="201" t="str">
        <f>база!B16</f>
        <v>Грешнова Ольга Викторовна</v>
      </c>
      <c r="C165" s="743"/>
      <c r="D165" s="746"/>
      <c r="E165" s="370"/>
      <c r="F165" s="367"/>
      <c r="G165" s="377"/>
      <c r="H165" s="520">
        <f t="shared" si="72"/>
        <v>0</v>
      </c>
      <c r="I165" s="366"/>
      <c r="J165" s="367"/>
      <c r="K165" s="411"/>
      <c r="L165" s="411">
        <f t="shared" si="73"/>
        <v>0</v>
      </c>
      <c r="M165" s="411"/>
      <c r="N165" s="411"/>
      <c r="O165" s="411"/>
      <c r="P165" s="372"/>
      <c r="Q165" s="366">
        <f>база!$L$6</f>
        <v>261.04640000000001</v>
      </c>
      <c r="R165" s="367">
        <v>1.2</v>
      </c>
      <c r="S165" s="377">
        <f>SUMIFS(Таблица14[часы],Таблица14[коэф],"1,2",Таблица14[р/р],"5/16",Таблица14[Ф. И. О.],B165)</f>
        <v>0</v>
      </c>
      <c r="T165" s="520">
        <f t="shared" si="74"/>
        <v>0</v>
      </c>
      <c r="U165" s="449">
        <f>база!$M$6</f>
        <v>279.0496</v>
      </c>
      <c r="V165" s="367">
        <v>1.2</v>
      </c>
      <c r="W165" s="389">
        <f>SUMIFS(Таблица14[часы],Таблица14[коэф],"1,2",Таблица14[р/р],"5/24",Таблица14[Ф. И. О.],B165)</f>
        <v>0</v>
      </c>
      <c r="X165" s="521">
        <f t="shared" si="75"/>
        <v>0</v>
      </c>
      <c r="Y165" s="748"/>
      <c r="Z165" s="750"/>
      <c r="AA165" s="740"/>
    </row>
    <row r="166" spans="1:27" ht="18.75">
      <c r="A166" s="740"/>
      <c r="B166" s="201"/>
      <c r="C166" s="743"/>
      <c r="D166" s="746"/>
      <c r="E166" s="370"/>
      <c r="F166" s="367"/>
      <c r="G166" s="377"/>
      <c r="H166" s="520">
        <f t="shared" si="72"/>
        <v>0</v>
      </c>
      <c r="I166" s="366"/>
      <c r="J166" s="367"/>
      <c r="K166" s="411"/>
      <c r="L166" s="411">
        <f t="shared" si="73"/>
        <v>0</v>
      </c>
      <c r="M166" s="411"/>
      <c r="N166" s="411"/>
      <c r="O166" s="411"/>
      <c r="P166" s="372"/>
      <c r="Q166" s="366">
        <f>IF(D160&lt;=3,база!$L$4,
IF(D160=4,база!$L$5,
IF(D160=5,база!$L$6)))</f>
        <v>210.57480000000001</v>
      </c>
      <c r="R166" s="367">
        <v>1.3</v>
      </c>
      <c r="S166" s="377">
        <f>SUMIFS(Таблица14[часы],Таблица14[коэф],"1,3",Таблица14[р/р],"3/16",Таблица14[Ф. И. О.],B165)</f>
        <v>0</v>
      </c>
      <c r="T166" s="520">
        <f t="shared" si="74"/>
        <v>0</v>
      </c>
      <c r="U166" s="449">
        <f>IF(D160&lt;=3,база!$M$4,
IF(D160=4,база!$M$5,
IF(D160=5,база!$M$6)))</f>
        <v>225.09719999999999</v>
      </c>
      <c r="V166" s="367">
        <v>1.3</v>
      </c>
      <c r="W166" s="389">
        <f>SUMIFS(Таблица14[часы],Таблица14[коэф],"1,3",Таблица14[р/р],"3/24",Таблица14[Ф. И. О.],B165)</f>
        <v>0</v>
      </c>
      <c r="X166" s="521">
        <f t="shared" si="75"/>
        <v>0</v>
      </c>
      <c r="Y166" s="748"/>
      <c r="Z166" s="750"/>
      <c r="AA166" s="740"/>
    </row>
    <row r="167" spans="1:27" ht="18.75">
      <c r="A167" s="740"/>
      <c r="B167" s="201"/>
      <c r="C167" s="743"/>
      <c r="D167" s="746"/>
      <c r="E167" s="370"/>
      <c r="F167" s="367"/>
      <c r="G167" s="377"/>
      <c r="H167" s="520">
        <f t="shared" si="72"/>
        <v>0</v>
      </c>
      <c r="I167" s="366"/>
      <c r="J167" s="367"/>
      <c r="K167" s="411"/>
      <c r="L167" s="411">
        <f t="shared" si="73"/>
        <v>0</v>
      </c>
      <c r="M167" s="411"/>
      <c r="N167" s="411"/>
      <c r="O167" s="411"/>
      <c r="P167" s="372"/>
      <c r="Q167" s="366">
        <f>база!$L$5</f>
        <v>231.45480000000001</v>
      </c>
      <c r="R167" s="367">
        <v>1.3</v>
      </c>
      <c r="S167" s="377">
        <f>SUMIFS(Таблица14[часы],Таблица14[коэф],"1,3",Таблица14[р/р],"4/16",Таблица14[Ф. И. О.],B165)</f>
        <v>0</v>
      </c>
      <c r="T167" s="520">
        <f t="shared" si="74"/>
        <v>0</v>
      </c>
      <c r="U167" s="449">
        <f>база!$M$5</f>
        <v>247.41720000000001</v>
      </c>
      <c r="V167" s="367">
        <v>1.3</v>
      </c>
      <c r="W167" s="389">
        <f>SUMIFS(Таблица14[часы],Таблица14[коэф],"1,3",Таблица14[р/р],"4/24",Таблица14[Ф. И. О.],B165)</f>
        <v>0</v>
      </c>
      <c r="X167" s="521">
        <f t="shared" si="75"/>
        <v>0</v>
      </c>
      <c r="Y167" s="748"/>
      <c r="Z167" s="750"/>
      <c r="AA167" s="740"/>
    </row>
    <row r="168" spans="1:27" ht="18.75">
      <c r="A168" s="740"/>
      <c r="B168" s="201"/>
      <c r="C168" s="743"/>
      <c r="D168" s="746"/>
      <c r="E168" s="370"/>
      <c r="F168" s="367"/>
      <c r="G168" s="377"/>
      <c r="H168" s="520">
        <f t="shared" si="72"/>
        <v>0</v>
      </c>
      <c r="I168" s="366"/>
      <c r="J168" s="367"/>
      <c r="K168" s="411"/>
      <c r="L168" s="411">
        <f t="shared" si="73"/>
        <v>0</v>
      </c>
      <c r="M168" s="411"/>
      <c r="N168" s="411"/>
      <c r="O168" s="411"/>
      <c r="P168" s="372"/>
      <c r="Q168" s="366">
        <f>IF(D160&lt;=3,база!$L$4,
IF(D160=4,база!$L$5,
IF(D160=5,база!$L$6)))</f>
        <v>210.57480000000001</v>
      </c>
      <c r="R168" s="367">
        <v>1.4</v>
      </c>
      <c r="S168" s="377">
        <f>SUMIFS(Таблица14[часы],Таблица14[коэф],"1,4",Таблица14[р/р],"3/16",Таблица14[Ф. И. О.],B165)</f>
        <v>0</v>
      </c>
      <c r="T168" s="520">
        <f t="shared" si="74"/>
        <v>0</v>
      </c>
      <c r="U168" s="449">
        <f>IF(D160&lt;=3,база!$M$4,
IF(D160=4,база!$M$5,
IF(D160=5,база!$M$6)))</f>
        <v>225.09719999999999</v>
      </c>
      <c r="V168" s="367">
        <v>1.4</v>
      </c>
      <c r="W168" s="389">
        <f>SUMIFS(Таблица14[часы],Таблица14[коэф],"1,4",Таблица14[р/р],"3/24",Таблица14[Ф. И. О.],B165)</f>
        <v>0</v>
      </c>
      <c r="X168" s="521">
        <f t="shared" si="75"/>
        <v>0</v>
      </c>
      <c r="Y168" s="748"/>
      <c r="Z168" s="750"/>
      <c r="AA168" s="740"/>
    </row>
    <row r="169" spans="1:27" ht="18.75">
      <c r="A169" s="740"/>
      <c r="B169" s="201"/>
      <c r="C169" s="743"/>
      <c r="D169" s="746"/>
      <c r="E169" s="370"/>
      <c r="F169" s="367"/>
      <c r="G169" s="377"/>
      <c r="H169" s="520">
        <f t="shared" si="72"/>
        <v>0</v>
      </c>
      <c r="I169" s="366"/>
      <c r="J169" s="367"/>
      <c r="K169" s="411"/>
      <c r="L169" s="411">
        <f t="shared" si="73"/>
        <v>0</v>
      </c>
      <c r="M169" s="411"/>
      <c r="N169" s="411"/>
      <c r="O169" s="411"/>
      <c r="P169" s="372"/>
      <c r="Q169" s="366">
        <f>база!$L$5</f>
        <v>231.45480000000001</v>
      </c>
      <c r="R169" s="367">
        <v>1.4</v>
      </c>
      <c r="S169" s="377">
        <f>SUMIFS(Таблица14[часы],Таблица14[коэф],"1,4",Таблица14[р/р],"4/16",Таблица14[Ф. И. О.],B165)</f>
        <v>0</v>
      </c>
      <c r="T169" s="520">
        <f t="shared" si="74"/>
        <v>0</v>
      </c>
      <c r="U169" s="449">
        <f>база!$M$5</f>
        <v>247.41720000000001</v>
      </c>
      <c r="V169" s="367">
        <v>1.4</v>
      </c>
      <c r="W169" s="389">
        <f>SUMIFS(Таблица14[часы],Таблица14[коэф],"1,4",Таблица14[р/р],"4/24",Таблица14[Ф. И. О.],B165)</f>
        <v>0</v>
      </c>
      <c r="X169" s="521">
        <f t="shared" si="75"/>
        <v>0</v>
      </c>
      <c r="Y169" s="748"/>
      <c r="Z169" s="750"/>
      <c r="AA169" s="740"/>
    </row>
    <row r="170" spans="1:27" ht="19.5" thickBot="1">
      <c r="A170" s="741"/>
      <c r="B170" s="201"/>
      <c r="C170" s="744"/>
      <c r="D170" s="747"/>
      <c r="E170" s="399"/>
      <c r="F170" s="380"/>
      <c r="G170" s="385"/>
      <c r="H170" s="522">
        <f t="shared" si="72"/>
        <v>0</v>
      </c>
      <c r="I170" s="397"/>
      <c r="J170" s="380"/>
      <c r="K170" s="437"/>
      <c r="L170" s="437">
        <f t="shared" si="73"/>
        <v>0</v>
      </c>
      <c r="M170" s="437"/>
      <c r="N170" s="437"/>
      <c r="O170" s="437"/>
      <c r="P170" s="401"/>
      <c r="Q170" s="397">
        <f>база!$L$6</f>
        <v>261.04640000000001</v>
      </c>
      <c r="R170" s="380">
        <v>1.4</v>
      </c>
      <c r="S170" s="385">
        <f>SUMIFS(Таблица14[часы],Таблица14[коэф],"1,4",Таблица14[р/р],"5/16",Таблица14[Ф. И. О.],B165)</f>
        <v>0</v>
      </c>
      <c r="T170" s="522">
        <f t="shared" si="74"/>
        <v>0</v>
      </c>
      <c r="U170" s="459">
        <f>база!$M$6</f>
        <v>279.0496</v>
      </c>
      <c r="V170" s="380">
        <v>1.4</v>
      </c>
      <c r="W170" s="503">
        <f>SUMIFS(Таблица14[часы],Таблица14[коэф],"1,4",Таблица14[р/р],"5/24",Таблица14[Ф. И. О.],B165)</f>
        <v>0</v>
      </c>
      <c r="X170" s="526">
        <f t="shared" si="75"/>
        <v>0</v>
      </c>
      <c r="Y170" s="749"/>
      <c r="Z170" s="751"/>
      <c r="AA170" s="741"/>
    </row>
    <row r="171" spans="1:27" ht="18.75">
      <c r="A171" s="739">
        <v>16</v>
      </c>
      <c r="B171" s="219"/>
      <c r="C171" s="742">
        <f>INDEX(база!$E$2:$E$81, MATCH(B176,база!$B$2:$B$50,0))</f>
        <v>15894</v>
      </c>
      <c r="D171" s="745">
        <f>INDEX(база!$D$2:$D$89, MATCH(B176,база!$B$2:$B$50,0))</f>
        <v>3</v>
      </c>
      <c r="E171" s="358">
        <f>IF(D171&lt;=3,база!$I$4,
IF(D171=4,база!$I$5,
IF(D171=5,база!$I$6)))</f>
        <v>188.7912</v>
      </c>
      <c r="F171" s="355">
        <v>1</v>
      </c>
      <c r="G171" s="364">
        <f>SUMIFS(Таблица14[часы],Таблица14[коэф],"1",Таблица14[р/р],"2/4",Таблица14[Ф. И. О.],B176)</f>
        <v>0</v>
      </c>
      <c r="H171" s="524">
        <f>ROUND(E171*F171*G171*2,2)</f>
        <v>0</v>
      </c>
      <c r="I171" s="354">
        <f>IF(D171&lt;=3,база!$J$4,
IF(D171=4,база!$J$5,
IF(D171=5,база!$J$6)))</f>
        <v>196.05240000000001</v>
      </c>
      <c r="J171" s="355">
        <v>1</v>
      </c>
      <c r="K171" s="405">
        <f>SUMIFS(Таблица14[часы],Таблица14[коэф],"1",Таблица14[р/р],"2/8",Таблица14[Ф. И. О.],B176)</f>
        <v>0</v>
      </c>
      <c r="L171" s="405">
        <f>ROUND(I171*J171*K171*2,2)</f>
        <v>0</v>
      </c>
      <c r="M171" s="405"/>
      <c r="N171" s="405">
        <v>1</v>
      </c>
      <c r="O171" s="405">
        <f>SUMIFS(Data_Tech!$AM$3:$AM$67,Data_Tech!$E$3:$E$67,"1",Data_Tech!$G$3:$G$67,"3/12",Data_Tech!$F$3:$F$67,B176)</f>
        <v>0</v>
      </c>
      <c r="P171" s="360">
        <f>ROUND(M171*N171*O171,2)</f>
        <v>0</v>
      </c>
      <c r="Q171" s="354">
        <f>IF(D171&lt;=3,база!$L$4,
IF(D171=4,база!$L$5,
IF(D171=5,база!$L$6)))</f>
        <v>210.57480000000001</v>
      </c>
      <c r="R171" s="355">
        <v>1</v>
      </c>
      <c r="S171" s="364">
        <f>SUMIFS(Таблица14[часы],Таблица14[коэф],"1",Таблица14[р/р],"3/16",Таблица14[Ф. И. О.],B176)</f>
        <v>0</v>
      </c>
      <c r="T171" s="524">
        <f>ROUND(Q171*R171*S171*2,2)</f>
        <v>0</v>
      </c>
      <c r="U171" s="448">
        <f>IF(D171&lt;=3,база!$M$4,
IF(D171=4,база!$M$5,
IF(D171=5,база!$M$6)))</f>
        <v>225.09719999999999</v>
      </c>
      <c r="V171" s="355">
        <v>1</v>
      </c>
      <c r="W171" s="407">
        <f>SUMIFS(Таблица14[часы],Таблица14[коэф],"1",Таблица14[р/р],"3/24",Таблица14[Ф. И. О.],B176)</f>
        <v>0</v>
      </c>
      <c r="X171" s="519">
        <f>ROUND(U171*V171*W171*2,2)</f>
        <v>0</v>
      </c>
      <c r="Y171" s="748">
        <f t="shared" ref="Y171" si="76">SUM(G171:G181,K171:K181,O171:O181,S171:S181,W171:W181)</f>
        <v>0</v>
      </c>
      <c r="Z171" s="750">
        <f t="shared" ref="Z171" si="77">IFERROR(SUM(H171:H181,L171:L181,T171:T181,X171:X181),"")</f>
        <v>0</v>
      </c>
      <c r="AA171" s="740"/>
    </row>
    <row r="172" spans="1:27" ht="18.75">
      <c r="A172" s="740"/>
      <c r="B172" s="201"/>
      <c r="C172" s="743"/>
      <c r="D172" s="746"/>
      <c r="E172" s="370">
        <f>IF(D171&lt;=3,база!$I$4,
IF(D171=4,база!$I$5,
IF(D171=5,база!$I$6)))</f>
        <v>188.7912</v>
      </c>
      <c r="F172" s="367">
        <v>1</v>
      </c>
      <c r="G172" s="377">
        <f>SUMIFS(Таблица14[часы],Таблица14[коэф],"1",Таблица14[р/р],"3/4",Таблица14[Ф. И. О.],B176)</f>
        <v>0</v>
      </c>
      <c r="H172" s="520">
        <f t="shared" ref="H172:H181" si="78">ROUND(E172*F172*G172*2,2)</f>
        <v>0</v>
      </c>
      <c r="I172" s="366">
        <f>IF(D171&lt;=3,база!$J$4,
IF(D171=4,база!$J$5,
IF(D171=5,база!$J$6)))</f>
        <v>196.05240000000001</v>
      </c>
      <c r="J172" s="367">
        <v>1</v>
      </c>
      <c r="K172" s="411">
        <f>SUMIFS(Таблица14[часы],Таблица14[коэф],"1",Таблица14[р/р],"3/8",Таблица14[Ф. И. О.],B176)</f>
        <v>0</v>
      </c>
      <c r="L172" s="411">
        <f t="shared" ref="L172:L181" si="79">ROUND(I172*J172*K172*2,2)</f>
        <v>0</v>
      </c>
      <c r="M172" s="411"/>
      <c r="N172" s="411">
        <v>1</v>
      </c>
      <c r="O172" s="411">
        <f>SUMIFS(Data_Tech!$AM$3:$AM$67,Data_Tech!$E$3:$E$67,"1",Data_Tech!$G$3:$G$67,"4/12",Data_Tech!$F$3:$F$67,B176)</f>
        <v>0</v>
      </c>
      <c r="P172" s="372">
        <f>ROUND(M172*O172,2)</f>
        <v>0</v>
      </c>
      <c r="Q172" s="366">
        <f>база!$L$5</f>
        <v>231.45480000000001</v>
      </c>
      <c r="R172" s="367">
        <v>1</v>
      </c>
      <c r="S172" s="377">
        <f>SUMIFS(Таблица14[часы],Таблица14[коэф],"1",Таблица14[р/р],"4/16",Таблица14[Ф. И. О.],B176)</f>
        <v>0</v>
      </c>
      <c r="T172" s="520">
        <f t="shared" ref="T172:T181" si="80">ROUND(Q172*R172*S172*2,2)</f>
        <v>0</v>
      </c>
      <c r="U172" s="449">
        <f>база!$M$5</f>
        <v>247.41720000000001</v>
      </c>
      <c r="V172" s="367">
        <v>1</v>
      </c>
      <c r="W172" s="389">
        <f>SUMIFS(Таблица14[часы],Таблица14[коэф],"1",Таблица14[р/р],"4/24",Таблица14[Ф. И. О.],B176)</f>
        <v>0</v>
      </c>
      <c r="X172" s="521">
        <f t="shared" ref="X172:X181" si="81">ROUND(U172*V172*W172*2,2)</f>
        <v>0</v>
      </c>
      <c r="Y172" s="748"/>
      <c r="Z172" s="750"/>
      <c r="AA172" s="740"/>
    </row>
    <row r="173" spans="1:27" ht="18.75">
      <c r="A173" s="740"/>
      <c r="B173" s="201"/>
      <c r="C173" s="743"/>
      <c r="D173" s="746"/>
      <c r="E173" s="370"/>
      <c r="F173" s="367"/>
      <c r="G173" s="377"/>
      <c r="H173" s="520">
        <f t="shared" si="78"/>
        <v>0</v>
      </c>
      <c r="I173" s="366"/>
      <c r="J173" s="367"/>
      <c r="K173" s="411"/>
      <c r="L173" s="411">
        <f t="shared" si="79"/>
        <v>0</v>
      </c>
      <c r="M173" s="411"/>
      <c r="N173" s="411"/>
      <c r="O173" s="411"/>
      <c r="P173" s="372"/>
      <c r="Q173" s="366">
        <f>база!$L$6</f>
        <v>261.04640000000001</v>
      </c>
      <c r="R173" s="367">
        <v>1</v>
      </c>
      <c r="S173" s="377">
        <f>SUMIFS(Таблица14[часы],Таблица14[коэф],"1",Таблица14[р/р],"5/16",Таблица14[Ф. И. О.],B176)</f>
        <v>0</v>
      </c>
      <c r="T173" s="520">
        <f t="shared" si="80"/>
        <v>0</v>
      </c>
      <c r="U173" s="449">
        <f>база!$M$6</f>
        <v>279.0496</v>
      </c>
      <c r="V173" s="367">
        <v>1</v>
      </c>
      <c r="W173" s="389">
        <f>SUMIFS(Таблица14[часы],Таблица14[коэф],"1",Таблица14[р/р],"5/24",Таблица14[Ф. И. О.],B176)</f>
        <v>0</v>
      </c>
      <c r="X173" s="521">
        <f t="shared" si="81"/>
        <v>0</v>
      </c>
      <c r="Y173" s="748"/>
      <c r="Z173" s="750"/>
      <c r="AA173" s="740"/>
    </row>
    <row r="174" spans="1:27" ht="18.75">
      <c r="A174" s="740"/>
      <c r="B174" s="201"/>
      <c r="C174" s="743"/>
      <c r="D174" s="746"/>
      <c r="E174" s="370"/>
      <c r="F174" s="367"/>
      <c r="G174" s="377"/>
      <c r="H174" s="520">
        <f t="shared" si="78"/>
        <v>0</v>
      </c>
      <c r="I174" s="366">
        <f>база!$J$5</f>
        <v>215.4924</v>
      </c>
      <c r="J174" s="367">
        <v>1.5</v>
      </c>
      <c r="K174" s="411">
        <f>SUMIFS(Таблица14[часы],Таблица14[коэф],"1,5",Таблица14[р/р],"4/8",Таблица14[Ф. И. О.],B176)</f>
        <v>0</v>
      </c>
      <c r="L174" s="411">
        <f t="shared" si="79"/>
        <v>0</v>
      </c>
      <c r="M174" s="411"/>
      <c r="N174" s="411"/>
      <c r="O174" s="411"/>
      <c r="P174" s="372"/>
      <c r="Q174" s="366">
        <f>IF(D171&lt;=3,база!$L$4,
IF(D171=4,база!$L$5,
IF(D171=5,база!$L$6)))</f>
        <v>210.57480000000001</v>
      </c>
      <c r="R174" s="367">
        <v>1.2</v>
      </c>
      <c r="S174" s="377">
        <f>SUMIFS(Таблица14[часы],Таблица14[коэф],"1,2",Таблица14[р/р],"3/16",Таблица14[Ф. И. О.],B176)</f>
        <v>0</v>
      </c>
      <c r="T174" s="520">
        <f t="shared" si="80"/>
        <v>0</v>
      </c>
      <c r="U174" s="449">
        <f>IF(D171&lt;=3,база!$M$4,
IF(D171=4,база!$M$5,
IF(D171=5,база!$M$6)))</f>
        <v>225.09719999999999</v>
      </c>
      <c r="V174" s="367">
        <v>1.2</v>
      </c>
      <c r="W174" s="389">
        <f>SUMIFS(Таблица14[часы],Таблица14[коэф],"1,2",Таблица14[р/р],"3/24",Таблица14[Ф. И. О.],B176)</f>
        <v>0</v>
      </c>
      <c r="X174" s="521">
        <f t="shared" si="81"/>
        <v>0</v>
      </c>
      <c r="Y174" s="748"/>
      <c r="Z174" s="750"/>
      <c r="AA174" s="740"/>
    </row>
    <row r="175" spans="1:27" ht="18.75">
      <c r="A175" s="740"/>
      <c r="B175" s="201"/>
      <c r="C175" s="743"/>
      <c r="D175" s="746"/>
      <c r="E175" s="370"/>
      <c r="F175" s="367"/>
      <c r="G175" s="377"/>
      <c r="H175" s="520">
        <f t="shared" si="78"/>
        <v>0</v>
      </c>
      <c r="I175" s="366">
        <f>база!$J$6</f>
        <v>243.04319999999998</v>
      </c>
      <c r="J175" s="367">
        <v>1.5</v>
      </c>
      <c r="K175" s="411">
        <f>SUMIFS(Таблица14[часы],Таблица14[коэф],"1,5",Таблица14[р/р],"5/8",Таблица14[Ф. И. О.],B176)</f>
        <v>0</v>
      </c>
      <c r="L175" s="411">
        <f t="shared" si="79"/>
        <v>0</v>
      </c>
      <c r="M175" s="411"/>
      <c r="N175" s="411"/>
      <c r="O175" s="411"/>
      <c r="P175" s="372"/>
      <c r="Q175" s="366">
        <f>база!$L$5</f>
        <v>231.45480000000001</v>
      </c>
      <c r="R175" s="367">
        <v>1.2</v>
      </c>
      <c r="S175" s="377">
        <f>SUMIFS(Таблица14[часы],Таблица14[коэф],"1,2",Таблица14[р/р],"4/16",Таблица14[Ф. И. О.],B176)</f>
        <v>0</v>
      </c>
      <c r="T175" s="520">
        <f t="shared" si="80"/>
        <v>0</v>
      </c>
      <c r="U175" s="449">
        <f>база!$M$5</f>
        <v>247.41720000000001</v>
      </c>
      <c r="V175" s="367">
        <v>1.2</v>
      </c>
      <c r="W175" s="389">
        <f>SUMIFS(Таблица14[часы],Таблица14[коэф],"1,2",Таблица14[р/р],"4/24",Таблица14[Ф. И. О.],B176)</f>
        <v>0</v>
      </c>
      <c r="X175" s="521">
        <f t="shared" si="81"/>
        <v>0</v>
      </c>
      <c r="Y175" s="748"/>
      <c r="Z175" s="750"/>
      <c r="AA175" s="740"/>
    </row>
    <row r="176" spans="1:27" ht="18.75">
      <c r="A176" s="740"/>
      <c r="B176" s="201" t="str">
        <f>база!B17</f>
        <v>Груздева Олеся Изидоровна</v>
      </c>
      <c r="C176" s="743"/>
      <c r="D176" s="746"/>
      <c r="E176" s="370"/>
      <c r="F176" s="367"/>
      <c r="G176" s="377"/>
      <c r="H176" s="520">
        <f t="shared" si="78"/>
        <v>0</v>
      </c>
      <c r="I176" s="366"/>
      <c r="J176" s="367"/>
      <c r="K176" s="411"/>
      <c r="L176" s="411">
        <f t="shared" si="79"/>
        <v>0</v>
      </c>
      <c r="M176" s="411"/>
      <c r="N176" s="411"/>
      <c r="O176" s="411"/>
      <c r="P176" s="372"/>
      <c r="Q176" s="366">
        <f>база!$L$6</f>
        <v>261.04640000000001</v>
      </c>
      <c r="R176" s="367">
        <v>1.2</v>
      </c>
      <c r="S176" s="377">
        <f>SUMIFS(Таблица14[часы],Таблица14[коэф],"1,2",Таблица14[р/р],"5/16",Таблица14[Ф. И. О.],B176)</f>
        <v>0</v>
      </c>
      <c r="T176" s="520">
        <f t="shared" si="80"/>
        <v>0</v>
      </c>
      <c r="U176" s="449">
        <f>база!$M$6</f>
        <v>279.0496</v>
      </c>
      <c r="V176" s="367">
        <v>1.2</v>
      </c>
      <c r="W176" s="389">
        <f>SUMIFS(Таблица14[часы],Таблица14[коэф],"1,2",Таблица14[р/р],"5/24",Таблица14[Ф. И. О.],B176)</f>
        <v>0</v>
      </c>
      <c r="X176" s="521">
        <f t="shared" si="81"/>
        <v>0</v>
      </c>
      <c r="Y176" s="748"/>
      <c r="Z176" s="750"/>
      <c r="AA176" s="740"/>
    </row>
    <row r="177" spans="1:27" ht="18.75">
      <c r="A177" s="740"/>
      <c r="B177" s="201"/>
      <c r="C177" s="743"/>
      <c r="D177" s="746"/>
      <c r="E177" s="370"/>
      <c r="F177" s="367"/>
      <c r="G177" s="377"/>
      <c r="H177" s="520">
        <f t="shared" si="78"/>
        <v>0</v>
      </c>
      <c r="I177" s="366"/>
      <c r="J177" s="367"/>
      <c r="K177" s="411"/>
      <c r="L177" s="411">
        <f t="shared" si="79"/>
        <v>0</v>
      </c>
      <c r="M177" s="411"/>
      <c r="N177" s="411"/>
      <c r="O177" s="411"/>
      <c r="P177" s="372"/>
      <c r="Q177" s="366">
        <f>IF(D171&lt;=3,база!$L$4,
IF(D171=4,база!$L$5,
IF(D171=5,база!$L$6)))</f>
        <v>210.57480000000001</v>
      </c>
      <c r="R177" s="367">
        <v>1.3</v>
      </c>
      <c r="S177" s="377">
        <f>SUMIFS(Таблица14[часы],Таблица14[коэф],"1,3",Таблица14[р/р],"3/16",Таблица14[Ф. И. О.],B176)</f>
        <v>0</v>
      </c>
      <c r="T177" s="520">
        <f t="shared" si="80"/>
        <v>0</v>
      </c>
      <c r="U177" s="449">
        <f>IF(D171&lt;=3,база!$M$4,
IF(D171=4,база!$M$5,
IF(D171=5,база!$M$6)))</f>
        <v>225.09719999999999</v>
      </c>
      <c r="V177" s="367">
        <v>1.3</v>
      </c>
      <c r="W177" s="389">
        <f>SUMIFS(Таблица14[часы],Таблица14[коэф],"1,3",Таблица14[р/р],"3/24",Таблица14[Ф. И. О.],B176)</f>
        <v>0</v>
      </c>
      <c r="X177" s="521">
        <f t="shared" si="81"/>
        <v>0</v>
      </c>
      <c r="Y177" s="748"/>
      <c r="Z177" s="750"/>
      <c r="AA177" s="740"/>
    </row>
    <row r="178" spans="1:27" ht="18.75">
      <c r="A178" s="740"/>
      <c r="B178" s="201"/>
      <c r="C178" s="743"/>
      <c r="D178" s="746"/>
      <c r="E178" s="370"/>
      <c r="F178" s="367"/>
      <c r="G178" s="377"/>
      <c r="H178" s="520">
        <f t="shared" si="78"/>
        <v>0</v>
      </c>
      <c r="I178" s="366"/>
      <c r="J178" s="367"/>
      <c r="K178" s="411"/>
      <c r="L178" s="411">
        <f t="shared" si="79"/>
        <v>0</v>
      </c>
      <c r="M178" s="411"/>
      <c r="N178" s="411"/>
      <c r="O178" s="411"/>
      <c r="P178" s="372"/>
      <c r="Q178" s="366">
        <f>база!$L$5</f>
        <v>231.45480000000001</v>
      </c>
      <c r="R178" s="367">
        <v>1.3</v>
      </c>
      <c r="S178" s="377">
        <f>SUMIFS(Таблица14[часы],Таблица14[коэф],"1,3",Таблица14[р/р],"4/16",Таблица14[Ф. И. О.],B176)</f>
        <v>0</v>
      </c>
      <c r="T178" s="520">
        <f t="shared" si="80"/>
        <v>0</v>
      </c>
      <c r="U178" s="449">
        <f>база!$M$5</f>
        <v>247.41720000000001</v>
      </c>
      <c r="V178" s="367">
        <v>1.3</v>
      </c>
      <c r="W178" s="389">
        <f>SUMIFS(Таблица14[часы],Таблица14[коэф],"1,3",Таблица14[р/р],"4/24",Таблица14[Ф. И. О.],B176)</f>
        <v>0</v>
      </c>
      <c r="X178" s="521">
        <f t="shared" si="81"/>
        <v>0</v>
      </c>
      <c r="Y178" s="748"/>
      <c r="Z178" s="750"/>
      <c r="AA178" s="740"/>
    </row>
    <row r="179" spans="1:27" ht="18.75">
      <c r="A179" s="740"/>
      <c r="B179" s="201"/>
      <c r="C179" s="743"/>
      <c r="D179" s="746"/>
      <c r="E179" s="370"/>
      <c r="F179" s="367"/>
      <c r="G179" s="377"/>
      <c r="H179" s="520">
        <f t="shared" si="78"/>
        <v>0</v>
      </c>
      <c r="I179" s="366"/>
      <c r="J179" s="367"/>
      <c r="K179" s="411"/>
      <c r="L179" s="411">
        <f t="shared" si="79"/>
        <v>0</v>
      </c>
      <c r="M179" s="411"/>
      <c r="N179" s="411"/>
      <c r="O179" s="411"/>
      <c r="P179" s="372"/>
      <c r="Q179" s="366">
        <f>IF(D171&lt;=3,база!$L$4,
IF(D171=4,база!$L$5,
IF(D171=5,база!$L$6)))</f>
        <v>210.57480000000001</v>
      </c>
      <c r="R179" s="367">
        <v>1.4</v>
      </c>
      <c r="S179" s="377">
        <f>SUMIFS(Таблица14[часы],Таблица14[коэф],"1,4",Таблица14[р/р],"3/16",Таблица14[Ф. И. О.],B176)</f>
        <v>0</v>
      </c>
      <c r="T179" s="520">
        <f t="shared" si="80"/>
        <v>0</v>
      </c>
      <c r="U179" s="449">
        <f>IF(D171&lt;=3,база!$M$4,
IF(D171=4,база!$M$5,
IF(D171=5,база!$M$6)))</f>
        <v>225.09719999999999</v>
      </c>
      <c r="V179" s="367">
        <v>1.4</v>
      </c>
      <c r="W179" s="389">
        <f>SUMIFS(Таблица14[часы],Таблица14[коэф],"1,4",Таблица14[р/р],"3/24",Таблица14[Ф. И. О.],B176)</f>
        <v>0</v>
      </c>
      <c r="X179" s="521">
        <f t="shared" si="81"/>
        <v>0</v>
      </c>
      <c r="Y179" s="748"/>
      <c r="Z179" s="750"/>
      <c r="AA179" s="740"/>
    </row>
    <row r="180" spans="1:27" ht="18.75">
      <c r="A180" s="740"/>
      <c r="B180" s="201"/>
      <c r="C180" s="743"/>
      <c r="D180" s="746"/>
      <c r="E180" s="370"/>
      <c r="F180" s="367"/>
      <c r="G180" s="377"/>
      <c r="H180" s="520">
        <f t="shared" si="78"/>
        <v>0</v>
      </c>
      <c r="I180" s="366"/>
      <c r="J180" s="367"/>
      <c r="K180" s="411"/>
      <c r="L180" s="411">
        <f t="shared" si="79"/>
        <v>0</v>
      </c>
      <c r="M180" s="411"/>
      <c r="N180" s="411"/>
      <c r="O180" s="411"/>
      <c r="P180" s="372"/>
      <c r="Q180" s="366">
        <f>база!$L$5</f>
        <v>231.45480000000001</v>
      </c>
      <c r="R180" s="367">
        <v>1.4</v>
      </c>
      <c r="S180" s="377">
        <f>SUMIFS(Таблица14[часы],Таблица14[коэф],"1,4",Таблица14[р/р],"4/16",Таблица14[Ф. И. О.],B176)</f>
        <v>0</v>
      </c>
      <c r="T180" s="520">
        <f t="shared" si="80"/>
        <v>0</v>
      </c>
      <c r="U180" s="449">
        <f>база!$M$5</f>
        <v>247.41720000000001</v>
      </c>
      <c r="V180" s="367">
        <v>1.4</v>
      </c>
      <c r="W180" s="389">
        <f>SUMIFS(Таблица14[часы],Таблица14[коэф],"1,4",Таблица14[р/р],"4/24",Таблица14[Ф. И. О.],B176)</f>
        <v>0</v>
      </c>
      <c r="X180" s="521">
        <f t="shared" si="81"/>
        <v>0</v>
      </c>
      <c r="Y180" s="748"/>
      <c r="Z180" s="750"/>
      <c r="AA180" s="740"/>
    </row>
    <row r="181" spans="1:27" ht="19.5" thickBot="1">
      <c r="A181" s="741"/>
      <c r="B181" s="188"/>
      <c r="C181" s="744"/>
      <c r="D181" s="747"/>
      <c r="E181" s="440"/>
      <c r="F181" s="441"/>
      <c r="G181" s="442"/>
      <c r="H181" s="525">
        <f t="shared" si="78"/>
        <v>0</v>
      </c>
      <c r="I181" s="450"/>
      <c r="J181" s="441"/>
      <c r="K181" s="434"/>
      <c r="L181" s="434">
        <f t="shared" si="79"/>
        <v>0</v>
      </c>
      <c r="M181" s="434"/>
      <c r="N181" s="434"/>
      <c r="O181" s="434"/>
      <c r="P181" s="435"/>
      <c r="Q181" s="450">
        <f>база!$L$6</f>
        <v>261.04640000000001</v>
      </c>
      <c r="R181" s="441">
        <v>1.4</v>
      </c>
      <c r="S181" s="442">
        <f>SUMIFS(Таблица14[часы],Таблица14[коэф],"1,4",Таблица14[р/р],"5/16",Таблица14[Ф. И. О.],B176)</f>
        <v>0</v>
      </c>
      <c r="T181" s="525">
        <f t="shared" si="80"/>
        <v>0</v>
      </c>
      <c r="U181" s="451">
        <f>база!$M$6</f>
        <v>279.0496</v>
      </c>
      <c r="V181" s="441">
        <v>1.4</v>
      </c>
      <c r="W181" s="447">
        <f>SUMIFS(Таблица14[часы],Таблица14[коэф],"1,4",Таблица14[р/р],"5/24",Таблица14[Ф. И. О.],B176)</f>
        <v>0</v>
      </c>
      <c r="X181" s="523">
        <f t="shared" si="81"/>
        <v>0</v>
      </c>
      <c r="Y181" s="749"/>
      <c r="Z181" s="751"/>
      <c r="AA181" s="741"/>
    </row>
    <row r="182" spans="1:27" ht="18.75">
      <c r="A182" s="739">
        <v>17</v>
      </c>
      <c r="B182" s="201"/>
      <c r="C182" s="742">
        <f>INDEX(база!$E$2:$E$81, MATCH(B187,база!$B$2:$B$50,0))</f>
        <v>17160</v>
      </c>
      <c r="D182" s="745">
        <f>INDEX(база!$D$2:$D$89, MATCH(B187,база!$B$2:$B$50,0))</f>
        <v>3</v>
      </c>
      <c r="E182" s="354">
        <f>IF(D182&lt;=3,база!$I$4,
IF(D182=4,база!$I$5,
IF(D182=5,база!$I$6)))</f>
        <v>188.7912</v>
      </c>
      <c r="F182" s="355">
        <v>1</v>
      </c>
      <c r="G182" s="364">
        <f>SUMIFS(Таблица14[часы],Таблица14[коэф],"1",Таблица14[р/р],"2/4",Таблица14[Ф. И. О.],B187)</f>
        <v>0</v>
      </c>
      <c r="H182" s="357">
        <f>ROUND(E182*F182*G182*2,2)</f>
        <v>0</v>
      </c>
      <c r="I182" s="428">
        <f>IF(D182&lt;=3,база!$J$4,
IF(D182=4,база!$J$5,
IF(D182=5,база!$J$6)))</f>
        <v>196.05240000000001</v>
      </c>
      <c r="J182" s="394">
        <v>1</v>
      </c>
      <c r="K182" s="430">
        <f>SUMIFS(Таблица14[часы],Таблица14[коэф],"1",Таблица14[р/р],"2/8",Таблица14[Ф. И. О.],B187)</f>
        <v>0</v>
      </c>
      <c r="L182" s="430">
        <f>ROUND(I182*J182*K182*2,2)</f>
        <v>0</v>
      </c>
      <c r="M182" s="430"/>
      <c r="N182" s="430">
        <v>1</v>
      </c>
      <c r="O182" s="430">
        <f>SUMIFS(Data_Tech!$AM$3:$AM$67,Data_Tech!$E$3:$E$67,"1",Data_Tech!$G$3:$G$67,"3/12",Data_Tech!$F$3:$F$67,B187)</f>
        <v>0</v>
      </c>
      <c r="P182" s="375">
        <f>ROUND(M182*N182*O182,2)</f>
        <v>0</v>
      </c>
      <c r="Q182" s="354">
        <f>IF(D182&lt;=3,база!$L$4,
IF(D182=4,база!$L$5,
IF(D182=5,база!$L$6)))</f>
        <v>210.57480000000001</v>
      </c>
      <c r="R182" s="355">
        <v>1</v>
      </c>
      <c r="S182" s="364">
        <f>SUMIFS(Таблица14[часы],Таблица14[коэф],"1",Таблица14[р/р],"3/16",Таблица14[Ф. И. О.],B187)</f>
        <v>0</v>
      </c>
      <c r="T182" s="357">
        <f>ROUND(Q182*R182*S182*2,2)</f>
        <v>0</v>
      </c>
      <c r="U182" s="431">
        <f>IF(D182&lt;=3,база!$M$4,
IF(D182=4,база!$M$5,
IF(D182=5,база!$M$6)))</f>
        <v>225.09719999999999</v>
      </c>
      <c r="V182" s="394">
        <v>1</v>
      </c>
      <c r="W182" s="432">
        <f>SUMIFS(Таблица14[часы],Таблица14[коэф],"1",Таблица14[р/р],"3/24",Таблица14[Ф. И. О.],B187)</f>
        <v>0</v>
      </c>
      <c r="X182" s="519">
        <f>ROUND(U182*V182*W182*2,2)</f>
        <v>0</v>
      </c>
      <c r="Y182" s="748">
        <f>SUM(G182:G192,K182:K192,O182:O192,S182:S192,W182:W192)</f>
        <v>0</v>
      </c>
      <c r="Z182" s="750">
        <f t="shared" ref="Z182" si="82">IFERROR(SUM(H182:H192,L182:L192,T182:T192,X182:X192),"")</f>
        <v>0</v>
      </c>
      <c r="AA182" s="740"/>
    </row>
    <row r="183" spans="1:27" ht="18.75">
      <c r="A183" s="740"/>
      <c r="B183" s="201"/>
      <c r="C183" s="743"/>
      <c r="D183" s="746"/>
      <c r="E183" s="366">
        <f>IF(D182&lt;=3,база!$I$4,
IF(D182=4,база!$I$5,
IF(D182=5,база!$I$6)))</f>
        <v>188.7912</v>
      </c>
      <c r="F183" s="367">
        <v>1</v>
      </c>
      <c r="G183" s="377">
        <f>SUMIFS(Таблица14[часы],Таблица14[коэф],"1",Таблица14[р/р],"3/4",Таблица14[Ф. И. О.],B187)</f>
        <v>0</v>
      </c>
      <c r="H183" s="369">
        <f t="shared" ref="H183:H192" si="83">ROUND(E183*F183*G183*2,2)</f>
        <v>0</v>
      </c>
      <c r="I183" s="370">
        <f>IF(D182&lt;=3,база!$J$4,
IF(D182=4,база!$J$5,
IF(D182=5,база!$J$6)))</f>
        <v>196.05240000000001</v>
      </c>
      <c r="J183" s="367">
        <v>1</v>
      </c>
      <c r="K183" s="411">
        <f>SUMIFS(Таблица14[часы],Таблица14[коэф],"1",Таблица14[р/р],"3/8",Таблица14[Ф. И. О.],B187)</f>
        <v>0</v>
      </c>
      <c r="L183" s="411">
        <f t="shared" ref="L183:L192" si="84">ROUND(I183*J183*K183*2,2)</f>
        <v>0</v>
      </c>
      <c r="M183" s="411"/>
      <c r="N183" s="411">
        <v>1</v>
      </c>
      <c r="O183" s="411">
        <f>SUMIFS(Data_Tech!$AM$3:$AM$67,Data_Tech!$E$3:$E$67,"1",Data_Tech!$G$3:$G$67,"4/12",Data_Tech!$F$3:$F$67,B187)</f>
        <v>0</v>
      </c>
      <c r="P183" s="383">
        <f>ROUND(M183*O183,2)</f>
        <v>0</v>
      </c>
      <c r="Q183" s="366">
        <f>база!$L$5</f>
        <v>231.45480000000001</v>
      </c>
      <c r="R183" s="367">
        <v>1</v>
      </c>
      <c r="S183" s="377">
        <f>SUMIFS(Таблица14[часы],Таблица14[коэф],"1",Таблица14[р/р],"4/16",Таблица14[Ф. И. О.],B187)</f>
        <v>0</v>
      </c>
      <c r="T183" s="369">
        <f t="shared" ref="T183:T192" si="85">ROUND(Q183*R183*S183*2,2)</f>
        <v>0</v>
      </c>
      <c r="U183" s="387">
        <f>база!$M$5</f>
        <v>247.41720000000001</v>
      </c>
      <c r="V183" s="367">
        <v>1</v>
      </c>
      <c r="W183" s="389">
        <f>SUMIFS(Таблица14[часы],Таблица14[коэф],"1",Таблица14[р/р],"4/24",Таблица14[Ф. И. О.],B187)</f>
        <v>0</v>
      </c>
      <c r="X183" s="521">
        <f t="shared" ref="X183:X192" si="86">ROUND(U183*V183*W183*2,2)</f>
        <v>0</v>
      </c>
      <c r="Y183" s="748"/>
      <c r="Z183" s="750"/>
      <c r="AA183" s="740"/>
    </row>
    <row r="184" spans="1:27" ht="18.75">
      <c r="A184" s="740"/>
      <c r="B184" s="201"/>
      <c r="C184" s="743"/>
      <c r="D184" s="746"/>
      <c r="E184" s="366"/>
      <c r="F184" s="367"/>
      <c r="G184" s="377"/>
      <c r="H184" s="369">
        <f t="shared" si="83"/>
        <v>0</v>
      </c>
      <c r="I184" s="370"/>
      <c r="J184" s="367"/>
      <c r="K184" s="411"/>
      <c r="L184" s="411">
        <f t="shared" si="84"/>
        <v>0</v>
      </c>
      <c r="M184" s="411"/>
      <c r="N184" s="411"/>
      <c r="O184" s="411"/>
      <c r="P184" s="383"/>
      <c r="Q184" s="366">
        <f>база!$L$6</f>
        <v>261.04640000000001</v>
      </c>
      <c r="R184" s="367">
        <v>1</v>
      </c>
      <c r="S184" s="377">
        <f>SUMIFS(Таблица14[часы],Таблица14[коэф],"1",Таблица14[р/р],"5/16",Таблица14[Ф. И. О.],B187)</f>
        <v>0</v>
      </c>
      <c r="T184" s="369">
        <f t="shared" si="85"/>
        <v>0</v>
      </c>
      <c r="U184" s="387">
        <f>база!$M$6</f>
        <v>279.0496</v>
      </c>
      <c r="V184" s="367">
        <v>1</v>
      </c>
      <c r="W184" s="389">
        <f>SUMIFS(Таблица14[часы],Таблица14[коэф],"1",Таблица14[р/р],"5/24",Таблица14[Ф. И. О.],B187)</f>
        <v>0</v>
      </c>
      <c r="X184" s="521">
        <f t="shared" si="86"/>
        <v>0</v>
      </c>
      <c r="Y184" s="748"/>
      <c r="Z184" s="750"/>
      <c r="AA184" s="740"/>
    </row>
    <row r="185" spans="1:27" ht="18.75">
      <c r="A185" s="740"/>
      <c r="B185" s="201"/>
      <c r="C185" s="743"/>
      <c r="D185" s="746"/>
      <c r="E185" s="366"/>
      <c r="F185" s="367"/>
      <c r="G185" s="377"/>
      <c r="H185" s="369">
        <f t="shared" si="83"/>
        <v>0</v>
      </c>
      <c r="I185" s="370">
        <f>база!$J$5</f>
        <v>215.4924</v>
      </c>
      <c r="J185" s="367">
        <v>1.5</v>
      </c>
      <c r="K185" s="411">
        <f>SUMIFS(Таблица14[часы],Таблица14[коэф],"1,5",Таблица14[р/р],"4/8",Таблица14[Ф. И. О.],B187)</f>
        <v>0</v>
      </c>
      <c r="L185" s="411">
        <f t="shared" si="84"/>
        <v>0</v>
      </c>
      <c r="M185" s="411"/>
      <c r="N185" s="411"/>
      <c r="O185" s="411"/>
      <c r="P185" s="383"/>
      <c r="Q185" s="366">
        <f>IF(D182&lt;=3,база!$L$4,
IF(D182=4,база!$L$5,
IF(D182=5,база!$L$6)))</f>
        <v>210.57480000000001</v>
      </c>
      <c r="R185" s="367">
        <v>1.2</v>
      </c>
      <c r="S185" s="377">
        <f>SUMIFS(Таблица14[часы],Таблица14[коэф],"1,2",Таблица14[р/р],"3/16",Таблица14[Ф. И. О.],B187)</f>
        <v>0</v>
      </c>
      <c r="T185" s="369">
        <f t="shared" si="85"/>
        <v>0</v>
      </c>
      <c r="U185" s="387">
        <f>IF(D182&lt;=3,база!$M$4,
IF(D182=4,база!$M$5,
IF(D182=5,база!$M$6)))</f>
        <v>225.09719999999999</v>
      </c>
      <c r="V185" s="367">
        <v>1.2</v>
      </c>
      <c r="W185" s="389">
        <f>SUMIFS(Таблица14[часы],Таблица14[коэф],"1,2",Таблица14[р/р],"3/24",Таблица14[Ф. И. О.],B187)</f>
        <v>0</v>
      </c>
      <c r="X185" s="521">
        <f t="shared" si="86"/>
        <v>0</v>
      </c>
      <c r="Y185" s="748"/>
      <c r="Z185" s="750"/>
      <c r="AA185" s="740"/>
    </row>
    <row r="186" spans="1:27" ht="18.75">
      <c r="A186" s="740"/>
      <c r="B186" s="201"/>
      <c r="C186" s="743"/>
      <c r="D186" s="746"/>
      <c r="E186" s="366"/>
      <c r="F186" s="367"/>
      <c r="G186" s="377"/>
      <c r="H186" s="369">
        <f t="shared" si="83"/>
        <v>0</v>
      </c>
      <c r="I186" s="370">
        <f>база!$J$6</f>
        <v>243.04319999999998</v>
      </c>
      <c r="J186" s="367">
        <v>1.5</v>
      </c>
      <c r="K186" s="411">
        <f>SUMIFS(Таблица14[часы],Таблица14[коэф],"1,5",Таблица14[р/р],"5/8",Таблица14[Ф. И. О.],B187)</f>
        <v>0</v>
      </c>
      <c r="L186" s="411">
        <f t="shared" si="84"/>
        <v>0</v>
      </c>
      <c r="M186" s="411"/>
      <c r="N186" s="411"/>
      <c r="O186" s="411"/>
      <c r="P186" s="383"/>
      <c r="Q186" s="366">
        <f>база!$L$5</f>
        <v>231.45480000000001</v>
      </c>
      <c r="R186" s="367">
        <v>1.2</v>
      </c>
      <c r="S186" s="377">
        <f>SUMIFS(Таблица14[часы],Таблица14[коэф],"1,2",Таблица14[р/р],"4/16",Таблица14[Ф. И. О.],B187)</f>
        <v>0</v>
      </c>
      <c r="T186" s="369">
        <f t="shared" si="85"/>
        <v>0</v>
      </c>
      <c r="U186" s="387">
        <f>база!$M$5</f>
        <v>247.41720000000001</v>
      </c>
      <c r="V186" s="367">
        <v>1.2</v>
      </c>
      <c r="W186" s="389">
        <f>SUMIFS(Таблица14[часы],Таблица14[коэф],"1,2",Таблица14[р/р],"4/24",Таблица14[Ф. И. О.],B187)</f>
        <v>0</v>
      </c>
      <c r="X186" s="521">
        <f t="shared" si="86"/>
        <v>0</v>
      </c>
      <c r="Y186" s="748"/>
      <c r="Z186" s="750"/>
      <c r="AA186" s="740"/>
    </row>
    <row r="187" spans="1:27" ht="18.75">
      <c r="A187" s="740"/>
      <c r="B187" s="201" t="str">
        <f>база!B18</f>
        <v>Дорофеева Юлия Николаевна</v>
      </c>
      <c r="C187" s="743"/>
      <c r="D187" s="746"/>
      <c r="E187" s="366"/>
      <c r="F187" s="367"/>
      <c r="G187" s="377"/>
      <c r="H187" s="369">
        <f t="shared" si="83"/>
        <v>0</v>
      </c>
      <c r="I187" s="370"/>
      <c r="J187" s="367"/>
      <c r="K187" s="411"/>
      <c r="L187" s="411">
        <f t="shared" si="84"/>
        <v>0</v>
      </c>
      <c r="M187" s="411"/>
      <c r="N187" s="411"/>
      <c r="O187" s="411"/>
      <c r="P187" s="383"/>
      <c r="Q187" s="366">
        <f>база!$L$6</f>
        <v>261.04640000000001</v>
      </c>
      <c r="R187" s="367">
        <v>1.2</v>
      </c>
      <c r="S187" s="377">
        <f>SUMIFS(Таблица14[часы],Таблица14[коэф],"1,2",Таблица14[р/р],"5/16",Таблица14[Ф. И. О.],B187)</f>
        <v>0</v>
      </c>
      <c r="T187" s="369">
        <f t="shared" si="85"/>
        <v>0</v>
      </c>
      <c r="U187" s="387">
        <f>база!$M$6</f>
        <v>279.0496</v>
      </c>
      <c r="V187" s="367">
        <v>1.2</v>
      </c>
      <c r="W187" s="389">
        <f>SUMIFS(Таблица14[часы],Таблица14[коэф],"1,2",Таблица14[р/р],"5/24",Таблица14[Ф. И. О.],B187)</f>
        <v>0</v>
      </c>
      <c r="X187" s="521">
        <f t="shared" si="86"/>
        <v>0</v>
      </c>
      <c r="Y187" s="748"/>
      <c r="Z187" s="750"/>
      <c r="AA187" s="740"/>
    </row>
    <row r="188" spans="1:27" ht="18.75">
      <c r="A188" s="740"/>
      <c r="B188" s="201"/>
      <c r="C188" s="743"/>
      <c r="D188" s="746"/>
      <c r="E188" s="366"/>
      <c r="F188" s="367"/>
      <c r="G188" s="377"/>
      <c r="H188" s="369">
        <f t="shared" si="83"/>
        <v>0</v>
      </c>
      <c r="I188" s="370"/>
      <c r="J188" s="367"/>
      <c r="K188" s="411"/>
      <c r="L188" s="411">
        <f t="shared" si="84"/>
        <v>0</v>
      </c>
      <c r="M188" s="411"/>
      <c r="N188" s="411"/>
      <c r="O188" s="411"/>
      <c r="P188" s="383"/>
      <c r="Q188" s="366">
        <f>IF(D182&lt;=3,база!$L$4,
IF(D182=4,база!$L$5,
IF(D182=5,база!$L$6)))</f>
        <v>210.57480000000001</v>
      </c>
      <c r="R188" s="367">
        <v>1.3</v>
      </c>
      <c r="S188" s="377">
        <f>SUMIFS(Таблица14[часы],Таблица14[коэф],"1,3",Таблица14[р/р],"3/16",Таблица14[Ф. И. О.],B187)</f>
        <v>0</v>
      </c>
      <c r="T188" s="369">
        <f t="shared" si="85"/>
        <v>0</v>
      </c>
      <c r="U188" s="387">
        <f>IF(D182&lt;=3,база!$M$4,
IF(D182=4,база!$M$5,
IF(D182=5,база!$M$6)))</f>
        <v>225.09719999999999</v>
      </c>
      <c r="V188" s="367">
        <v>1.3</v>
      </c>
      <c r="W188" s="389">
        <f>SUMIFS(Таблица14[часы],Таблица14[коэф],"1,3",Таблица14[р/р],"3/24",Таблица14[Ф. И. О.],B187)</f>
        <v>0</v>
      </c>
      <c r="X188" s="521">
        <f t="shared" si="86"/>
        <v>0</v>
      </c>
      <c r="Y188" s="748"/>
      <c r="Z188" s="750"/>
      <c r="AA188" s="740"/>
    </row>
    <row r="189" spans="1:27" ht="18.75">
      <c r="A189" s="740"/>
      <c r="B189" s="201"/>
      <c r="C189" s="743"/>
      <c r="D189" s="746"/>
      <c r="E189" s="366"/>
      <c r="F189" s="367"/>
      <c r="G189" s="377"/>
      <c r="H189" s="369">
        <f t="shared" si="83"/>
        <v>0</v>
      </c>
      <c r="I189" s="370"/>
      <c r="J189" s="367"/>
      <c r="K189" s="411"/>
      <c r="L189" s="411">
        <f t="shared" si="84"/>
        <v>0</v>
      </c>
      <c r="M189" s="411"/>
      <c r="N189" s="411"/>
      <c r="O189" s="411"/>
      <c r="P189" s="383"/>
      <c r="Q189" s="366">
        <f>база!$L$5</f>
        <v>231.45480000000001</v>
      </c>
      <c r="R189" s="367">
        <v>1.3</v>
      </c>
      <c r="S189" s="377">
        <f>SUMIFS(Таблица14[часы],Таблица14[коэф],"1,3",Таблица14[р/р],"4/16",Таблица14[Ф. И. О.],B187)</f>
        <v>0</v>
      </c>
      <c r="T189" s="369">
        <f t="shared" si="85"/>
        <v>0</v>
      </c>
      <c r="U189" s="387">
        <f>база!$M$5</f>
        <v>247.41720000000001</v>
      </c>
      <c r="V189" s="367">
        <v>1.3</v>
      </c>
      <c r="W189" s="389">
        <f>SUMIFS(Таблица14[часы],Таблица14[коэф],"1,3",Таблица14[р/р],"4/24",Таблица14[Ф. И. О.],B187)</f>
        <v>0</v>
      </c>
      <c r="X189" s="521">
        <f t="shared" si="86"/>
        <v>0</v>
      </c>
      <c r="Y189" s="748"/>
      <c r="Z189" s="750"/>
      <c r="AA189" s="740"/>
    </row>
    <row r="190" spans="1:27" ht="18.75">
      <c r="A190" s="740"/>
      <c r="B190" s="201"/>
      <c r="C190" s="743"/>
      <c r="D190" s="746"/>
      <c r="E190" s="366"/>
      <c r="F190" s="367"/>
      <c r="G190" s="377"/>
      <c r="H190" s="369">
        <f t="shared" si="83"/>
        <v>0</v>
      </c>
      <c r="I190" s="370"/>
      <c r="J190" s="367"/>
      <c r="K190" s="411"/>
      <c r="L190" s="411">
        <f t="shared" si="84"/>
        <v>0</v>
      </c>
      <c r="M190" s="411"/>
      <c r="N190" s="411"/>
      <c r="O190" s="411"/>
      <c r="P190" s="383"/>
      <c r="Q190" s="366">
        <f>IF(D182&lt;=3,база!$L$4,
IF(D182=4,база!$L$5,
IF(D182=5,база!$L$6)))</f>
        <v>210.57480000000001</v>
      </c>
      <c r="R190" s="367">
        <v>1.4</v>
      </c>
      <c r="S190" s="377">
        <f>SUMIFS(Таблица14[часы],Таблица14[коэф],"1,4",Таблица14[р/р],"3/16",Таблица14[Ф. И. О.],B187)</f>
        <v>0</v>
      </c>
      <c r="T190" s="369">
        <f t="shared" si="85"/>
        <v>0</v>
      </c>
      <c r="U190" s="387">
        <f>IF(D182&lt;=3,база!$M$4,
IF(D182=4,база!$M$5,
IF(D182=5,база!$M$6)))</f>
        <v>225.09719999999999</v>
      </c>
      <c r="V190" s="367">
        <v>1.4</v>
      </c>
      <c r="W190" s="389">
        <f>SUMIFS(Таблица14[часы],Таблица14[коэф],"1,4",Таблица14[р/р],"3/24",Таблица14[Ф. И. О.],B187)</f>
        <v>0</v>
      </c>
      <c r="X190" s="521">
        <f t="shared" si="86"/>
        <v>0</v>
      </c>
      <c r="Y190" s="748"/>
      <c r="Z190" s="750"/>
      <c r="AA190" s="740"/>
    </row>
    <row r="191" spans="1:27" ht="18.75">
      <c r="A191" s="740"/>
      <c r="B191" s="201"/>
      <c r="C191" s="743"/>
      <c r="D191" s="746"/>
      <c r="E191" s="366"/>
      <c r="F191" s="367"/>
      <c r="G191" s="377"/>
      <c r="H191" s="369">
        <f t="shared" si="83"/>
        <v>0</v>
      </c>
      <c r="I191" s="370"/>
      <c r="J191" s="367"/>
      <c r="K191" s="411"/>
      <c r="L191" s="411">
        <f t="shared" si="84"/>
        <v>0</v>
      </c>
      <c r="M191" s="411"/>
      <c r="N191" s="411"/>
      <c r="O191" s="411"/>
      <c r="P191" s="383"/>
      <c r="Q191" s="366">
        <f>база!$L$5</f>
        <v>231.45480000000001</v>
      </c>
      <c r="R191" s="367">
        <v>1.4</v>
      </c>
      <c r="S191" s="377">
        <f>SUMIFS(Таблица14[часы],Таблица14[коэф],"1,4",Таблица14[р/р],"4/16",Таблица14[Ф. И. О.],B187)</f>
        <v>0</v>
      </c>
      <c r="T191" s="369">
        <f t="shared" si="85"/>
        <v>0</v>
      </c>
      <c r="U191" s="387">
        <f>база!$M$5</f>
        <v>247.41720000000001</v>
      </c>
      <c r="V191" s="367">
        <v>1.4</v>
      </c>
      <c r="W191" s="389">
        <f>SUMIFS(Таблица14[часы],Таблица14[коэф],"1,4",Таблица14[р/р],"4/24",Таблица14[Ф. И. О.],B187)</f>
        <v>0</v>
      </c>
      <c r="X191" s="521">
        <f t="shared" si="86"/>
        <v>0</v>
      </c>
      <c r="Y191" s="748"/>
      <c r="Z191" s="750"/>
      <c r="AA191" s="740"/>
    </row>
    <row r="192" spans="1:27" ht="19.5" thickBot="1">
      <c r="A192" s="741"/>
      <c r="B192" s="201"/>
      <c r="C192" s="744"/>
      <c r="D192" s="747"/>
      <c r="E192" s="397"/>
      <c r="F192" s="380"/>
      <c r="G192" s="385"/>
      <c r="H192" s="386">
        <f t="shared" si="83"/>
        <v>0</v>
      </c>
      <c r="I192" s="399"/>
      <c r="J192" s="380"/>
      <c r="K192" s="437"/>
      <c r="L192" s="437">
        <f t="shared" si="84"/>
        <v>0</v>
      </c>
      <c r="M192" s="437"/>
      <c r="N192" s="437"/>
      <c r="O192" s="437"/>
      <c r="P192" s="456"/>
      <c r="Q192" s="397">
        <f>база!$L$6</f>
        <v>261.04640000000001</v>
      </c>
      <c r="R192" s="380">
        <v>1.4</v>
      </c>
      <c r="S192" s="385">
        <f>SUMIFS(Таблица14[часы],Таблица14[коэф],"1,4",Таблица14[р/р],"5/16",Таблица14[Ф. И. О.],B187)</f>
        <v>0</v>
      </c>
      <c r="T192" s="386">
        <f t="shared" si="85"/>
        <v>0</v>
      </c>
      <c r="U192" s="438">
        <f>база!$M$6</f>
        <v>279.0496</v>
      </c>
      <c r="V192" s="380">
        <v>1.4</v>
      </c>
      <c r="W192" s="503">
        <f>SUMIFS(Таблица14[часы],Таблица14[коэф],"1,4",Таблица14[р/р],"5/24",Таблица14[Ф. И. О.],B187)</f>
        <v>0</v>
      </c>
      <c r="X192" s="526">
        <f t="shared" si="86"/>
        <v>0</v>
      </c>
      <c r="Y192" s="749"/>
      <c r="Z192" s="751"/>
      <c r="AA192" s="741"/>
    </row>
    <row r="193" spans="1:27" ht="18.75">
      <c r="A193" s="739">
        <v>18</v>
      </c>
      <c r="B193" s="219"/>
      <c r="C193" s="742">
        <f>INDEX(база!$E$2:$E$81, MATCH(B198,база!$B$2:$B$50,0))</f>
        <v>16860</v>
      </c>
      <c r="D193" s="745">
        <f>INDEX(база!$D$2:$D$89, MATCH(B198,база!$B$2:$B$50,0))</f>
        <v>3</v>
      </c>
      <c r="E193" s="354">
        <f>IF(D193&lt;=3,база!$I$4,
IF(D193=4,база!$I$5,
IF(D193=5,база!$I$6)))</f>
        <v>188.7912</v>
      </c>
      <c r="F193" s="355">
        <v>1</v>
      </c>
      <c r="G193" s="364">
        <f>SUMIFS(Таблица14[часы],Таблица14[коэф],"1",Таблица14[р/р],"2/4",Таблица14[Ф. И. О.],B198)</f>
        <v>0</v>
      </c>
      <c r="H193" s="357">
        <f>ROUND(E193*F193*G193*2,2)</f>
        <v>0</v>
      </c>
      <c r="I193" s="358">
        <f>IF(D193&lt;=3,база!$J$4,
IF(D193=4,база!$J$5,
IF(D193=5,база!$J$6)))</f>
        <v>196.05240000000001</v>
      </c>
      <c r="J193" s="355">
        <v>1</v>
      </c>
      <c r="K193" s="405">
        <f>SUMIFS(Таблица14[часы],Таблица14[коэф],"1",Таблица14[р/р],"2/8",Таблица14[Ф. И. О.],B198)</f>
        <v>0</v>
      </c>
      <c r="L193" s="405">
        <f>ROUND(I193*J193*K193*2,2)</f>
        <v>0</v>
      </c>
      <c r="M193" s="405"/>
      <c r="N193" s="405">
        <v>1</v>
      </c>
      <c r="O193" s="405">
        <f>SUMIFS(Data_Tech!$AM$3:$AM$67,Data_Tech!$E$3:$E$67,"1",Data_Tech!$G$3:$G$67,"3/12",Data_Tech!$F$3:$F$67,B198)</f>
        <v>0</v>
      </c>
      <c r="P193" s="362">
        <f>ROUND(M193*N193*O193,2)</f>
        <v>0</v>
      </c>
      <c r="Q193" s="354">
        <f>IF(D193&lt;=3,база!$L$4,
IF(D193=4,база!$L$5,
IF(D193=5,база!$L$6)))</f>
        <v>210.57480000000001</v>
      </c>
      <c r="R193" s="355">
        <v>1</v>
      </c>
      <c r="S193" s="364">
        <f>SUMIFS(Таблица14[часы],Таблица14[коэф],"1",Таблица14[р/р],"3/16",Таблица14[Ф. И. О.],B198)</f>
        <v>0</v>
      </c>
      <c r="T193" s="357">
        <f>ROUND(Q193*R193*S193*2,2)</f>
        <v>0</v>
      </c>
      <c r="U193" s="439">
        <f>IF(D193&lt;=3,база!$M$4,
IF(D193=4,база!$M$5,
IF(D193=5,база!$M$6)))</f>
        <v>225.09719999999999</v>
      </c>
      <c r="V193" s="355">
        <v>1</v>
      </c>
      <c r="W193" s="407">
        <f>SUMIFS(Таблица14[часы],Таблица14[коэф],"1",Таблица14[р/р],"3/24",Таблица14[Ф. И. О.],B198)</f>
        <v>0</v>
      </c>
      <c r="X193" s="519">
        <f>ROUND(U193*V193*W193*2,2)</f>
        <v>0</v>
      </c>
      <c r="Y193" s="748">
        <f t="shared" ref="Y193" si="87">SUM(G193:G203,K193:K203,O193:O203,S193:S203,W193:W203)</f>
        <v>0</v>
      </c>
      <c r="Z193" s="750">
        <f t="shared" ref="Z193" si="88">IFERROR(SUM(H193:H203,L193:L203,T193:T203,X193:X203),"")</f>
        <v>0</v>
      </c>
      <c r="AA193" s="740"/>
    </row>
    <row r="194" spans="1:27" ht="18.75">
      <c r="A194" s="740"/>
      <c r="B194" s="201"/>
      <c r="C194" s="743"/>
      <c r="D194" s="746"/>
      <c r="E194" s="366">
        <f>IF(D193&lt;=3,база!$I$4,
IF(D193=4,база!$I$5,
IF(D193=5,база!$I$6)))</f>
        <v>188.7912</v>
      </c>
      <c r="F194" s="367">
        <v>1</v>
      </c>
      <c r="G194" s="377">
        <f>SUMIFS(Таблица14[часы],Таблица14[коэф],"1",Таблица14[р/р],"3/4",Таблица14[Ф. И. О.],B198)</f>
        <v>0</v>
      </c>
      <c r="H194" s="369">
        <f t="shared" ref="H194:H203" si="89">ROUND(E194*F194*G194*2,2)</f>
        <v>0</v>
      </c>
      <c r="I194" s="370">
        <f>IF(D193&lt;=3,база!$J$4,
IF(D193=4,база!$J$5,
IF(D193=5,база!$J$6)))</f>
        <v>196.05240000000001</v>
      </c>
      <c r="J194" s="367">
        <v>1</v>
      </c>
      <c r="K194" s="411">
        <f>SUMIFS(Таблица14[часы],Таблица14[коэф],"1",Таблица14[р/р],"3/8",Таблица14[Ф. И. О.],B198)</f>
        <v>0</v>
      </c>
      <c r="L194" s="411">
        <f t="shared" ref="L194:L203" si="90">ROUND(I194*J194*K194*2,2)</f>
        <v>0</v>
      </c>
      <c r="M194" s="411"/>
      <c r="N194" s="411">
        <v>1</v>
      </c>
      <c r="O194" s="411">
        <f>SUMIFS(Data_Tech!$AM$3:$AM$67,Data_Tech!$E$3:$E$67,"1",Data_Tech!$G$3:$G$67,"4/12",Data_Tech!$F$3:$F$67,B198)</f>
        <v>0</v>
      </c>
      <c r="P194" s="383">
        <f>ROUND(M194*O194,2)</f>
        <v>0</v>
      </c>
      <c r="Q194" s="366">
        <f>база!$L$5</f>
        <v>231.45480000000001</v>
      </c>
      <c r="R194" s="367">
        <v>1</v>
      </c>
      <c r="S194" s="377">
        <f>SUMIFS(Таблица14[часы],Таблица14[коэф],"1",Таблица14[р/р],"4/16",Таблица14[Ф. И. О.],B198)</f>
        <v>0</v>
      </c>
      <c r="T194" s="369">
        <f t="shared" ref="T194:T203" si="91">ROUND(Q194*R194*S194*2,2)</f>
        <v>0</v>
      </c>
      <c r="U194" s="387">
        <f>база!$M$5</f>
        <v>247.41720000000001</v>
      </c>
      <c r="V194" s="367">
        <v>1</v>
      </c>
      <c r="W194" s="389">
        <f>SUMIFS(Таблица14[часы],Таблица14[коэф],"1",Таблица14[р/р],"4/24",Таблица14[Ф. И. О.],B198)</f>
        <v>0</v>
      </c>
      <c r="X194" s="521">
        <f t="shared" ref="X194:X203" si="92">ROUND(U194*V194*W194*2,2)</f>
        <v>0</v>
      </c>
      <c r="Y194" s="748"/>
      <c r="Z194" s="750"/>
      <c r="AA194" s="740"/>
    </row>
    <row r="195" spans="1:27" ht="18.75">
      <c r="A195" s="740"/>
      <c r="B195" s="201"/>
      <c r="C195" s="743"/>
      <c r="D195" s="746"/>
      <c r="E195" s="366"/>
      <c r="F195" s="367"/>
      <c r="G195" s="377"/>
      <c r="H195" s="369">
        <f t="shared" si="89"/>
        <v>0</v>
      </c>
      <c r="I195" s="370"/>
      <c r="J195" s="367"/>
      <c r="K195" s="411"/>
      <c r="L195" s="411">
        <f t="shared" si="90"/>
        <v>0</v>
      </c>
      <c r="M195" s="411"/>
      <c r="N195" s="411"/>
      <c r="O195" s="411"/>
      <c r="P195" s="383"/>
      <c r="Q195" s="366">
        <f>база!$L$6</f>
        <v>261.04640000000001</v>
      </c>
      <c r="R195" s="367">
        <v>1</v>
      </c>
      <c r="S195" s="377">
        <f>SUMIFS(Таблица14[часы],Таблица14[коэф],"1",Таблица14[р/р],"5/16",Таблица14[Ф. И. О.],B198)</f>
        <v>0</v>
      </c>
      <c r="T195" s="369">
        <f t="shared" si="91"/>
        <v>0</v>
      </c>
      <c r="U195" s="387">
        <f>база!$M$6</f>
        <v>279.0496</v>
      </c>
      <c r="V195" s="367">
        <v>1</v>
      </c>
      <c r="W195" s="389">
        <f>SUMIFS(Таблица14[часы],Таблица14[коэф],"1",Таблица14[р/р],"5/24",Таблица14[Ф. И. О.],B198)</f>
        <v>0</v>
      </c>
      <c r="X195" s="521">
        <f t="shared" si="92"/>
        <v>0</v>
      </c>
      <c r="Y195" s="748"/>
      <c r="Z195" s="750"/>
      <c r="AA195" s="740"/>
    </row>
    <row r="196" spans="1:27" ht="18.75">
      <c r="A196" s="740"/>
      <c r="B196" s="201"/>
      <c r="C196" s="743"/>
      <c r="D196" s="746"/>
      <c r="E196" s="366"/>
      <c r="F196" s="367"/>
      <c r="G196" s="377"/>
      <c r="H196" s="369">
        <f t="shared" si="89"/>
        <v>0</v>
      </c>
      <c r="I196" s="370">
        <f>база!$J$5</f>
        <v>215.4924</v>
      </c>
      <c r="J196" s="367">
        <v>1.5</v>
      </c>
      <c r="K196" s="411">
        <f>SUMIFS(Таблица14[часы],Таблица14[коэф],"1,5",Таблица14[р/р],"4/8",Таблица14[Ф. И. О.],B198)</f>
        <v>0</v>
      </c>
      <c r="L196" s="411">
        <f t="shared" si="90"/>
        <v>0</v>
      </c>
      <c r="M196" s="411"/>
      <c r="N196" s="411"/>
      <c r="O196" s="411"/>
      <c r="P196" s="383"/>
      <c r="Q196" s="366">
        <f>IF(D193&lt;=3,база!$L$4,
IF(D193=4,база!$L$5,
IF(D193=5,база!$L$6)))</f>
        <v>210.57480000000001</v>
      </c>
      <c r="R196" s="367">
        <v>1.2</v>
      </c>
      <c r="S196" s="377">
        <f>SUMIFS(Таблица14[часы],Таблица14[коэф],"1,2",Таблица14[р/р],"3/16",Таблица14[Ф. И. О.],B198)</f>
        <v>0</v>
      </c>
      <c r="T196" s="369">
        <f t="shared" si="91"/>
        <v>0</v>
      </c>
      <c r="U196" s="387">
        <f>IF(D193&lt;=3,база!$M$4,
IF(D193=4,база!$M$5,
IF(D193=5,база!$M$6)))</f>
        <v>225.09719999999999</v>
      </c>
      <c r="V196" s="367">
        <v>1.2</v>
      </c>
      <c r="W196" s="389">
        <f>SUMIFS(Таблица14[часы],Таблица14[коэф],"1,2",Таблица14[р/р],"3/24",Таблица14[Ф. И. О.],B198)</f>
        <v>0</v>
      </c>
      <c r="X196" s="521">
        <f t="shared" si="92"/>
        <v>0</v>
      </c>
      <c r="Y196" s="748"/>
      <c r="Z196" s="750"/>
      <c r="AA196" s="740"/>
    </row>
    <row r="197" spans="1:27" ht="18.75">
      <c r="A197" s="740"/>
      <c r="B197" s="201"/>
      <c r="C197" s="743"/>
      <c r="D197" s="746"/>
      <c r="E197" s="366"/>
      <c r="F197" s="367"/>
      <c r="G197" s="377"/>
      <c r="H197" s="369">
        <f t="shared" si="89"/>
        <v>0</v>
      </c>
      <c r="I197" s="370">
        <f>база!$J$6</f>
        <v>243.04319999999998</v>
      </c>
      <c r="J197" s="367">
        <v>1.5</v>
      </c>
      <c r="K197" s="411">
        <f>SUMIFS(Таблица14[часы],Таблица14[коэф],"1,5",Таблица14[р/р],"5/8",Таблица14[Ф. И. О.],B198)</f>
        <v>0</v>
      </c>
      <c r="L197" s="411">
        <f t="shared" si="90"/>
        <v>0</v>
      </c>
      <c r="M197" s="411"/>
      <c r="N197" s="411"/>
      <c r="O197" s="411"/>
      <c r="P197" s="383"/>
      <c r="Q197" s="366">
        <f>база!$L$5</f>
        <v>231.45480000000001</v>
      </c>
      <c r="R197" s="367">
        <v>1.2</v>
      </c>
      <c r="S197" s="377">
        <f>SUMIFS(Таблица14[часы],Таблица14[коэф],"1,2",Таблица14[р/р],"4/16",Таблица14[Ф. И. О.],B198)</f>
        <v>0</v>
      </c>
      <c r="T197" s="369">
        <f t="shared" si="91"/>
        <v>0</v>
      </c>
      <c r="U197" s="387">
        <f>база!$M$5</f>
        <v>247.41720000000001</v>
      </c>
      <c r="V197" s="367">
        <v>1.2</v>
      </c>
      <c r="W197" s="389">
        <f>SUMIFS(Таблица14[часы],Таблица14[коэф],"1,2",Таблица14[р/р],"4/24",Таблица14[Ф. И. О.],B198)</f>
        <v>0</v>
      </c>
      <c r="X197" s="521">
        <f t="shared" si="92"/>
        <v>0</v>
      </c>
      <c r="Y197" s="748"/>
      <c r="Z197" s="750"/>
      <c r="AA197" s="740"/>
    </row>
    <row r="198" spans="1:27" ht="15.75" customHeight="1">
      <c r="A198" s="740"/>
      <c r="B198" s="201" t="str">
        <f>база!B19</f>
        <v>Егоров Дмитрий Геннадьевич</v>
      </c>
      <c r="C198" s="743"/>
      <c r="D198" s="746"/>
      <c r="E198" s="366"/>
      <c r="F198" s="367"/>
      <c r="G198" s="377"/>
      <c r="H198" s="369">
        <f t="shared" si="89"/>
        <v>0</v>
      </c>
      <c r="I198" s="370"/>
      <c r="J198" s="367"/>
      <c r="K198" s="411"/>
      <c r="L198" s="411">
        <f t="shared" si="90"/>
        <v>0</v>
      </c>
      <c r="M198" s="411"/>
      <c r="N198" s="411"/>
      <c r="O198" s="411"/>
      <c r="P198" s="383"/>
      <c r="Q198" s="366">
        <f>база!$L$6</f>
        <v>261.04640000000001</v>
      </c>
      <c r="R198" s="367">
        <v>1.2</v>
      </c>
      <c r="S198" s="377">
        <f>SUMIFS(Таблица14[часы],Таблица14[коэф],"1,2",Таблица14[р/р],"5/16",Таблица14[Ф. И. О.],B198)</f>
        <v>0</v>
      </c>
      <c r="T198" s="369">
        <f t="shared" si="91"/>
        <v>0</v>
      </c>
      <c r="U198" s="387">
        <f>база!$M$6</f>
        <v>279.0496</v>
      </c>
      <c r="V198" s="367">
        <v>1.2</v>
      </c>
      <c r="W198" s="389">
        <f>SUMIFS(Таблица14[часы],Таблица14[коэф],"1,2",Таблица14[р/р],"5/24",Таблица14[Ф. И. О.],B198)</f>
        <v>0</v>
      </c>
      <c r="X198" s="521">
        <f t="shared" si="92"/>
        <v>0</v>
      </c>
      <c r="Y198" s="748"/>
      <c r="Z198" s="750"/>
      <c r="AA198" s="740"/>
    </row>
    <row r="199" spans="1:27" ht="18.75">
      <c r="A199" s="740"/>
      <c r="B199" s="201"/>
      <c r="C199" s="743"/>
      <c r="D199" s="746"/>
      <c r="E199" s="366"/>
      <c r="F199" s="367"/>
      <c r="G199" s="377"/>
      <c r="H199" s="369">
        <f t="shared" si="89"/>
        <v>0</v>
      </c>
      <c r="I199" s="370"/>
      <c r="J199" s="367"/>
      <c r="K199" s="411"/>
      <c r="L199" s="411">
        <f t="shared" si="90"/>
        <v>0</v>
      </c>
      <c r="M199" s="411"/>
      <c r="N199" s="411"/>
      <c r="O199" s="411"/>
      <c r="P199" s="383"/>
      <c r="Q199" s="366">
        <f>IF(D193&lt;=3,база!$L$4,
IF(D193=4,база!$L$5,
IF(D193=5,база!$L$6)))</f>
        <v>210.57480000000001</v>
      </c>
      <c r="R199" s="367">
        <v>1.3</v>
      </c>
      <c r="S199" s="377">
        <f>SUMIFS(Таблица14[часы],Таблица14[коэф],"1,3",Таблица14[р/р],"3/16",Таблица14[Ф. И. О.],B198)</f>
        <v>0</v>
      </c>
      <c r="T199" s="369">
        <f t="shared" si="91"/>
        <v>0</v>
      </c>
      <c r="U199" s="387">
        <f>IF(D193&lt;=3,база!$M$4,
IF(D193=4,база!$M$5,
IF(D193=5,база!$M$6)))</f>
        <v>225.09719999999999</v>
      </c>
      <c r="V199" s="367">
        <v>1.3</v>
      </c>
      <c r="W199" s="389">
        <f>SUMIFS(Таблица14[часы],Таблица14[коэф],"1,3",Таблица14[р/р],"3/24",Таблица14[Ф. И. О.],B198)</f>
        <v>0</v>
      </c>
      <c r="X199" s="521">
        <f t="shared" si="92"/>
        <v>0</v>
      </c>
      <c r="Y199" s="748"/>
      <c r="Z199" s="750"/>
      <c r="AA199" s="740"/>
    </row>
    <row r="200" spans="1:27" ht="18.75">
      <c r="A200" s="740"/>
      <c r="B200" s="201"/>
      <c r="C200" s="743"/>
      <c r="D200" s="746"/>
      <c r="E200" s="366"/>
      <c r="F200" s="367"/>
      <c r="G200" s="377"/>
      <c r="H200" s="369">
        <f t="shared" si="89"/>
        <v>0</v>
      </c>
      <c r="I200" s="370"/>
      <c r="J200" s="367"/>
      <c r="K200" s="411"/>
      <c r="L200" s="411">
        <f t="shared" si="90"/>
        <v>0</v>
      </c>
      <c r="M200" s="411"/>
      <c r="N200" s="411"/>
      <c r="O200" s="411"/>
      <c r="P200" s="383"/>
      <c r="Q200" s="366">
        <f>база!$L$5</f>
        <v>231.45480000000001</v>
      </c>
      <c r="R200" s="367">
        <v>1.3</v>
      </c>
      <c r="S200" s="377">
        <f>SUMIFS(Таблица14[часы],Таблица14[коэф],"1,3",Таблица14[р/р],"4/16",Таблица14[Ф. И. О.],B198)</f>
        <v>0</v>
      </c>
      <c r="T200" s="369">
        <f t="shared" si="91"/>
        <v>0</v>
      </c>
      <c r="U200" s="387">
        <f>база!$M$5</f>
        <v>247.41720000000001</v>
      </c>
      <c r="V200" s="367">
        <v>1.3</v>
      </c>
      <c r="W200" s="389">
        <f>SUMIFS(Таблица14[часы],Таблица14[коэф],"1,3",Таблица14[р/р],"4/24",Таблица14[Ф. И. О.],B198)</f>
        <v>0</v>
      </c>
      <c r="X200" s="521">
        <f t="shared" si="92"/>
        <v>0</v>
      </c>
      <c r="Y200" s="748"/>
      <c r="Z200" s="750"/>
      <c r="AA200" s="740"/>
    </row>
    <row r="201" spans="1:27" ht="18.75">
      <c r="A201" s="740"/>
      <c r="B201" s="201"/>
      <c r="C201" s="743"/>
      <c r="D201" s="746"/>
      <c r="E201" s="366"/>
      <c r="F201" s="367"/>
      <c r="G201" s="377"/>
      <c r="H201" s="369">
        <f t="shared" si="89"/>
        <v>0</v>
      </c>
      <c r="I201" s="370"/>
      <c r="J201" s="367"/>
      <c r="K201" s="411"/>
      <c r="L201" s="411">
        <f t="shared" si="90"/>
        <v>0</v>
      </c>
      <c r="M201" s="411"/>
      <c r="N201" s="411"/>
      <c r="O201" s="411"/>
      <c r="P201" s="383"/>
      <c r="Q201" s="366">
        <f>IF(D193&lt;=3,база!$L$4,
IF(D193=4,база!$L$5,
IF(D193=5,база!$L$6)))</f>
        <v>210.57480000000001</v>
      </c>
      <c r="R201" s="367">
        <v>1.4</v>
      </c>
      <c r="S201" s="377">
        <f>SUMIFS(Таблица14[часы],Таблица14[коэф],"1,4",Таблица14[р/р],"3/16",Таблица14[Ф. И. О.],B198)</f>
        <v>0</v>
      </c>
      <c r="T201" s="369">
        <f t="shared" si="91"/>
        <v>0</v>
      </c>
      <c r="U201" s="387">
        <f>IF(D193&lt;=3,база!$M$4,
IF(D193=4,база!$M$5,
IF(D193=5,база!$M$6)))</f>
        <v>225.09719999999999</v>
      </c>
      <c r="V201" s="367">
        <v>1.4</v>
      </c>
      <c r="W201" s="389">
        <f>SUMIFS(Таблица14[часы],Таблица14[коэф],"1,4",Таблица14[р/р],"3/24",Таблица14[Ф. И. О.],B198)</f>
        <v>0</v>
      </c>
      <c r="X201" s="521">
        <f t="shared" si="92"/>
        <v>0</v>
      </c>
      <c r="Y201" s="748"/>
      <c r="Z201" s="750"/>
      <c r="AA201" s="740"/>
    </row>
    <row r="202" spans="1:27" ht="18.75">
      <c r="A202" s="740"/>
      <c r="B202" s="201"/>
      <c r="C202" s="743"/>
      <c r="D202" s="746"/>
      <c r="E202" s="366"/>
      <c r="F202" s="367"/>
      <c r="G202" s="377"/>
      <c r="H202" s="369">
        <f t="shared" si="89"/>
        <v>0</v>
      </c>
      <c r="I202" s="370"/>
      <c r="J202" s="367"/>
      <c r="K202" s="411"/>
      <c r="L202" s="411">
        <f t="shared" si="90"/>
        <v>0</v>
      </c>
      <c r="M202" s="411"/>
      <c r="N202" s="411"/>
      <c r="O202" s="411"/>
      <c r="P202" s="383"/>
      <c r="Q202" s="366">
        <f>база!$L$5</f>
        <v>231.45480000000001</v>
      </c>
      <c r="R202" s="367">
        <v>1.4</v>
      </c>
      <c r="S202" s="377">
        <f>SUMIFS(Таблица14[часы],Таблица14[коэф],"1,4",Таблица14[р/р],"4/16",Таблица14[Ф. И. О.],B198)</f>
        <v>0</v>
      </c>
      <c r="T202" s="369">
        <f t="shared" si="91"/>
        <v>0</v>
      </c>
      <c r="U202" s="387">
        <f>база!$M$5</f>
        <v>247.41720000000001</v>
      </c>
      <c r="V202" s="367">
        <v>1.4</v>
      </c>
      <c r="W202" s="389">
        <f>SUMIFS(Таблица14[часы],Таблица14[коэф],"1,4",Таблица14[р/р],"4/24",Таблица14[Ф. И. О.],B198)</f>
        <v>0</v>
      </c>
      <c r="X202" s="521">
        <f t="shared" si="92"/>
        <v>0</v>
      </c>
      <c r="Y202" s="748"/>
      <c r="Z202" s="750"/>
      <c r="AA202" s="740"/>
    </row>
    <row r="203" spans="1:27" ht="19.5" thickBot="1">
      <c r="A203" s="741"/>
      <c r="B203" s="188"/>
      <c r="C203" s="744"/>
      <c r="D203" s="747"/>
      <c r="E203" s="450"/>
      <c r="F203" s="441"/>
      <c r="G203" s="442"/>
      <c r="H203" s="445">
        <f t="shared" si="89"/>
        <v>0</v>
      </c>
      <c r="I203" s="440"/>
      <c r="J203" s="441"/>
      <c r="K203" s="434"/>
      <c r="L203" s="434">
        <f t="shared" si="90"/>
        <v>0</v>
      </c>
      <c r="M203" s="434"/>
      <c r="N203" s="434"/>
      <c r="O203" s="434"/>
      <c r="P203" s="453"/>
      <c r="Q203" s="450">
        <f>база!$L$6</f>
        <v>261.04640000000001</v>
      </c>
      <c r="R203" s="441">
        <v>1.4</v>
      </c>
      <c r="S203" s="442">
        <f>SUMIFS(Таблица14[часы],Таблица14[коэф],"1,4",Таблица14[р/р],"5/16",Таблица14[Ф. И. О.],B198)</f>
        <v>0</v>
      </c>
      <c r="T203" s="445">
        <f t="shared" si="91"/>
        <v>0</v>
      </c>
      <c r="U203" s="446">
        <f>база!$M$6</f>
        <v>279.0496</v>
      </c>
      <c r="V203" s="441">
        <v>1.4</v>
      </c>
      <c r="W203" s="447">
        <f>SUMIFS(Таблица14[часы],Таблица14[коэф],"1,4",Таблица14[р/р],"5/24",Таблица14[Ф. И. О.],B198)</f>
        <v>0</v>
      </c>
      <c r="X203" s="523">
        <f t="shared" si="92"/>
        <v>0</v>
      </c>
      <c r="Y203" s="749"/>
      <c r="Z203" s="751"/>
      <c r="AA203" s="741"/>
    </row>
    <row r="204" spans="1:27" ht="18.75">
      <c r="A204" s="739">
        <v>19</v>
      </c>
      <c r="B204" s="201"/>
      <c r="C204" s="742">
        <f>INDEX(база!$E$2:$E$81, MATCH(B209,база!$B$2:$B$50,0))</f>
        <v>15590</v>
      </c>
      <c r="D204" s="745">
        <f>INDEX(база!$D$2:$D$89, MATCH(B209,база!$B$2:$B$50,0))</f>
        <v>3</v>
      </c>
      <c r="E204" s="428">
        <f>IF(D204&lt;=3,база!$I$4,
IF(D204=4,база!$I$5,
IF(D204=5,база!$I$6)))</f>
        <v>188.7912</v>
      </c>
      <c r="F204" s="394">
        <v>1</v>
      </c>
      <c r="G204" s="395">
        <f>SUMIFS(Таблица14[часы],Таблица14[коэф],"1",Таблица14[р/р],"2/4",Таблица14[Ф. И. О.],B209)</f>
        <v>0</v>
      </c>
      <c r="H204" s="518">
        <f>ROUND(E204*F204*G204*2,2)</f>
        <v>0</v>
      </c>
      <c r="I204" s="354">
        <f>IF(D204&lt;=3,база!$J$4,
IF(D204=4,база!$J$5,
IF(D204=5,база!$J$6)))</f>
        <v>196.05240000000001</v>
      </c>
      <c r="J204" s="355">
        <v>1</v>
      </c>
      <c r="K204" s="405">
        <f>SUMIFS(Таблица14[часы],Таблица14[коэф],"1",Таблица14[р/р],"2/8",Таблица14[Ф. И. О.],B209)</f>
        <v>0</v>
      </c>
      <c r="L204" s="360">
        <f>ROUND(I204*J204*K204*2,2)</f>
        <v>0</v>
      </c>
      <c r="M204" s="429"/>
      <c r="N204" s="430">
        <v>1</v>
      </c>
      <c r="O204" s="430">
        <f>SUMIFS(Data_Tech!$AM$3:$AM$67,Data_Tech!$E$3:$E$67,"1",Data_Tech!$G$3:$G$67,"3/12",Data_Tech!$F$3:$F$67,B209)</f>
        <v>0</v>
      </c>
      <c r="P204" s="430">
        <f>ROUND(M204*N204*O204,2)</f>
        <v>0</v>
      </c>
      <c r="Q204" s="393">
        <f>IF(D204&lt;=3,база!$L$4,
IF(D204=4,база!$L$5,
IF(D204=5,база!$L$6)))</f>
        <v>210.57480000000001</v>
      </c>
      <c r="R204" s="394">
        <v>1</v>
      </c>
      <c r="S204" s="395">
        <f>SUMIFS(Таблица14[часы],Таблица14[коэф],"1",Таблица14[р/р],"3/16",Таблица14[Ф. И. О.],B209)</f>
        <v>0</v>
      </c>
      <c r="T204" s="518">
        <f>ROUND(Q204*R204*S204*2,2)</f>
        <v>0</v>
      </c>
      <c r="U204" s="448">
        <f>IF(D204&lt;=3,база!$M$4,
IF(D204=4,база!$M$5,
IF(D204=5,база!$M$6)))</f>
        <v>225.09719999999999</v>
      </c>
      <c r="V204" s="355">
        <v>1</v>
      </c>
      <c r="W204" s="407">
        <f>SUMIFS(Таблица14[часы],Таблица14[коэф],"1",Таблица14[р/р],"3/24",Таблица14[Ф. И. О.],B209)</f>
        <v>0</v>
      </c>
      <c r="X204" s="519">
        <f>ROUND(U204*V204*W204*2,2)</f>
        <v>0</v>
      </c>
      <c r="Y204" s="748">
        <f t="shared" ref="Y204" si="93">SUM(G204:G214,K204:K214,O204:O214,S204:S214,W204:W214)</f>
        <v>0</v>
      </c>
      <c r="Z204" s="750">
        <f t="shared" ref="Z204" si="94">IFERROR(SUM(H204:H214,L204:L214,T204:T214,X204:X214),"")</f>
        <v>0</v>
      </c>
      <c r="AA204" s="740"/>
    </row>
    <row r="205" spans="1:27" ht="18.75">
      <c r="A205" s="740"/>
      <c r="B205" s="201"/>
      <c r="C205" s="743"/>
      <c r="D205" s="746"/>
      <c r="E205" s="370">
        <f>IF(D204&lt;=3,база!$I$4,
IF(D204=4,база!$I$5,
IF(D204=5,база!$I$6)))</f>
        <v>188.7912</v>
      </c>
      <c r="F205" s="367">
        <v>1</v>
      </c>
      <c r="G205" s="377">
        <f>SUMIFS(Таблица14[часы],Таблица14[коэф],"1",Таблица14[р/р],"3/4",Таблица14[Ф. И. О.],B209)</f>
        <v>0</v>
      </c>
      <c r="H205" s="520">
        <f t="shared" ref="H205:H214" si="95">ROUND(E205*F205*G205*2,2)</f>
        <v>0</v>
      </c>
      <c r="I205" s="366">
        <f>IF(D204&lt;=3,база!$J$4,
IF(D204=4,база!$J$5,
IF(D204=5,база!$J$6)))</f>
        <v>196.05240000000001</v>
      </c>
      <c r="J205" s="367">
        <v>1</v>
      </c>
      <c r="K205" s="411">
        <f>SUMIFS(Таблица14[часы],Таблица14[коэф],"1",Таблица14[р/р],"3/8",Таблица14[Ф. И. О.],B209)</f>
        <v>0</v>
      </c>
      <c r="L205" s="372">
        <f t="shared" ref="L205:L214" si="96">ROUND(I205*J205*K205*2,2)</f>
        <v>0</v>
      </c>
      <c r="M205" s="409"/>
      <c r="N205" s="411">
        <v>1</v>
      </c>
      <c r="O205" s="411">
        <f>SUMIFS(Data_Tech!$AM$3:$AM$67,Data_Tech!$E$3:$E$67,"1",Data_Tech!$G$3:$G$67,"4/12",Data_Tech!$F$3:$F$67,B209)</f>
        <v>0</v>
      </c>
      <c r="P205" s="411">
        <f>ROUND(M205*O205,2)</f>
        <v>0</v>
      </c>
      <c r="Q205" s="376">
        <f>база!$L$5</f>
        <v>231.45480000000001</v>
      </c>
      <c r="R205" s="367">
        <v>1</v>
      </c>
      <c r="S205" s="377">
        <f>SUMIFS(Таблица14[часы],Таблица14[коэф],"1",Таблица14[р/р],"4/16",Таблица14[Ф. И. О.],B209)</f>
        <v>0</v>
      </c>
      <c r="T205" s="520">
        <f t="shared" ref="T205:T214" si="97">ROUND(Q205*R205*S205*2,2)</f>
        <v>0</v>
      </c>
      <c r="U205" s="449">
        <f>база!$M$5</f>
        <v>247.41720000000001</v>
      </c>
      <c r="V205" s="367">
        <v>1</v>
      </c>
      <c r="W205" s="389">
        <f>SUMIFS(Таблица14[часы],Таблица14[коэф],"1",Таблица14[р/р],"4/24",Таблица14[Ф. И. О.],B209)</f>
        <v>0</v>
      </c>
      <c r="X205" s="521">
        <f t="shared" ref="X205:X214" si="98">ROUND(U205*V205*W205*2,2)</f>
        <v>0</v>
      </c>
      <c r="Y205" s="748"/>
      <c r="Z205" s="750"/>
      <c r="AA205" s="740"/>
    </row>
    <row r="206" spans="1:27" ht="18.75">
      <c r="A206" s="740"/>
      <c r="B206" s="201"/>
      <c r="C206" s="743"/>
      <c r="D206" s="746"/>
      <c r="E206" s="370"/>
      <c r="F206" s="367"/>
      <c r="G206" s="377"/>
      <c r="H206" s="520">
        <f t="shared" si="95"/>
        <v>0</v>
      </c>
      <c r="I206" s="366"/>
      <c r="J206" s="367"/>
      <c r="K206" s="411"/>
      <c r="L206" s="372">
        <f t="shared" si="96"/>
        <v>0</v>
      </c>
      <c r="M206" s="409"/>
      <c r="N206" s="411"/>
      <c r="O206" s="411"/>
      <c r="P206" s="411"/>
      <c r="Q206" s="376">
        <f>база!$L$6</f>
        <v>261.04640000000001</v>
      </c>
      <c r="R206" s="367">
        <v>1</v>
      </c>
      <c r="S206" s="377">
        <f>SUMIFS(Таблица14[часы],Таблица14[коэф],"1",Таблица14[р/р],"5/16",Таблица14[Ф. И. О.],B209)</f>
        <v>0</v>
      </c>
      <c r="T206" s="520">
        <f t="shared" si="97"/>
        <v>0</v>
      </c>
      <c r="U206" s="449">
        <f>база!$M$6</f>
        <v>279.0496</v>
      </c>
      <c r="V206" s="367">
        <v>1</v>
      </c>
      <c r="W206" s="389">
        <f>SUMIFS(Таблица14[часы],Таблица14[коэф],"1",Таблица14[р/р],"5/24",Таблица14[Ф. И. О.],B209)</f>
        <v>0</v>
      </c>
      <c r="X206" s="521">
        <f t="shared" si="98"/>
        <v>0</v>
      </c>
      <c r="Y206" s="748"/>
      <c r="Z206" s="750"/>
      <c r="AA206" s="740"/>
    </row>
    <row r="207" spans="1:27" ht="18.75">
      <c r="A207" s="740"/>
      <c r="B207" s="201"/>
      <c r="C207" s="743"/>
      <c r="D207" s="746"/>
      <c r="E207" s="370"/>
      <c r="F207" s="367"/>
      <c r="G207" s="377"/>
      <c r="H207" s="520">
        <f t="shared" si="95"/>
        <v>0</v>
      </c>
      <c r="I207" s="366">
        <f>база!$J$5</f>
        <v>215.4924</v>
      </c>
      <c r="J207" s="367">
        <v>1.5</v>
      </c>
      <c r="K207" s="411">
        <f>SUMIFS(Таблица14[часы],Таблица14[коэф],"1,5",Таблица14[р/р],"4/8",Таблица14[Ф. И. О.],B209)</f>
        <v>0</v>
      </c>
      <c r="L207" s="372">
        <f t="shared" si="96"/>
        <v>0</v>
      </c>
      <c r="M207" s="409"/>
      <c r="N207" s="411"/>
      <c r="O207" s="411"/>
      <c r="P207" s="411"/>
      <c r="Q207" s="376">
        <f>IF(D204&lt;=3,база!$L$4,
IF(D204=4,база!$L$5,
IF(D204=5,база!$L$6)))</f>
        <v>210.57480000000001</v>
      </c>
      <c r="R207" s="367">
        <v>1.2</v>
      </c>
      <c r="S207" s="377">
        <f>SUMIFS(Таблица14[часы],Таблица14[коэф],"1,2",Таблица14[р/р],"3/16",Таблица14[Ф. И. О.],B209)</f>
        <v>0</v>
      </c>
      <c r="T207" s="520">
        <f t="shared" si="97"/>
        <v>0</v>
      </c>
      <c r="U207" s="449">
        <f>IF(D204&lt;=3,база!$M$4,
IF(D204=4,база!$M$5,
IF(D204=5,база!$M$6)))</f>
        <v>225.09719999999999</v>
      </c>
      <c r="V207" s="367">
        <v>1.2</v>
      </c>
      <c r="W207" s="389">
        <f>SUMIFS(Таблица14[часы],Таблица14[коэф],"1,2",Таблица14[р/р],"3/24",Таблица14[Ф. И. О.],B209)</f>
        <v>0</v>
      </c>
      <c r="X207" s="521">
        <f t="shared" si="98"/>
        <v>0</v>
      </c>
      <c r="Y207" s="748"/>
      <c r="Z207" s="750"/>
      <c r="AA207" s="740"/>
    </row>
    <row r="208" spans="1:27" ht="18.75">
      <c r="A208" s="740"/>
      <c r="B208" s="201"/>
      <c r="C208" s="743"/>
      <c r="D208" s="746"/>
      <c r="E208" s="370"/>
      <c r="F208" s="367"/>
      <c r="G208" s="377"/>
      <c r="H208" s="520">
        <f t="shared" si="95"/>
        <v>0</v>
      </c>
      <c r="I208" s="366">
        <f>база!$J$6</f>
        <v>243.04319999999998</v>
      </c>
      <c r="J208" s="367">
        <v>1.5</v>
      </c>
      <c r="K208" s="411">
        <f>SUMIFS(Таблица14[часы],Таблица14[коэф],"1,5",Таблица14[р/р],"5/8",Таблица14[Ф. И. О.],B209)</f>
        <v>0</v>
      </c>
      <c r="L208" s="372">
        <f t="shared" si="96"/>
        <v>0</v>
      </c>
      <c r="M208" s="409"/>
      <c r="N208" s="411"/>
      <c r="O208" s="411"/>
      <c r="P208" s="411"/>
      <c r="Q208" s="376">
        <f>база!$L$5</f>
        <v>231.45480000000001</v>
      </c>
      <c r="R208" s="367">
        <v>1.2</v>
      </c>
      <c r="S208" s="377">
        <f>SUMIFS(Таблица14[часы],Таблица14[коэф],"1,2",Таблица14[р/р],"4/16",Таблица14[Ф. И. О.],B209)</f>
        <v>0</v>
      </c>
      <c r="T208" s="520">
        <f t="shared" si="97"/>
        <v>0</v>
      </c>
      <c r="U208" s="449">
        <f>база!$M$5</f>
        <v>247.41720000000001</v>
      </c>
      <c r="V208" s="367">
        <v>1.2</v>
      </c>
      <c r="W208" s="389">
        <f>SUMIFS(Таблица14[часы],Таблица14[коэф],"1,2",Таблица14[р/р],"4/24",Таблица14[Ф. И. О.],B209)</f>
        <v>0</v>
      </c>
      <c r="X208" s="521">
        <f t="shared" si="98"/>
        <v>0</v>
      </c>
      <c r="Y208" s="748"/>
      <c r="Z208" s="750"/>
      <c r="AA208" s="740"/>
    </row>
    <row r="209" spans="1:27" ht="18" customHeight="1">
      <c r="A209" s="740"/>
      <c r="B209" s="201" t="str">
        <f>база!B20</f>
        <v>Егорова Татьяна Владимировна</v>
      </c>
      <c r="C209" s="743"/>
      <c r="D209" s="746"/>
      <c r="E209" s="370"/>
      <c r="F209" s="367"/>
      <c r="G209" s="377"/>
      <c r="H209" s="520">
        <f t="shared" si="95"/>
        <v>0</v>
      </c>
      <c r="I209" s="366"/>
      <c r="J209" s="367"/>
      <c r="K209" s="411"/>
      <c r="L209" s="372">
        <f t="shared" si="96"/>
        <v>0</v>
      </c>
      <c r="M209" s="409"/>
      <c r="N209" s="411"/>
      <c r="O209" s="411"/>
      <c r="P209" s="411"/>
      <c r="Q209" s="376">
        <f>база!$L$6</f>
        <v>261.04640000000001</v>
      </c>
      <c r="R209" s="367">
        <v>1.2</v>
      </c>
      <c r="S209" s="377">
        <f>SUMIFS(Таблица14[часы],Таблица14[коэф],"1,2",Таблица14[р/р],"5/16",Таблица14[Ф. И. О.],B209)</f>
        <v>0</v>
      </c>
      <c r="T209" s="520">
        <f t="shared" si="97"/>
        <v>0</v>
      </c>
      <c r="U209" s="449">
        <f>база!$M$6</f>
        <v>279.0496</v>
      </c>
      <c r="V209" s="367">
        <v>1.2</v>
      </c>
      <c r="W209" s="389">
        <f>SUMIFS(Таблица14[часы],Таблица14[коэф],"1,2",Таблица14[р/р],"5/24",Таблица14[Ф. И. О.],B209)</f>
        <v>0</v>
      </c>
      <c r="X209" s="521">
        <f t="shared" si="98"/>
        <v>0</v>
      </c>
      <c r="Y209" s="748"/>
      <c r="Z209" s="750"/>
      <c r="AA209" s="740"/>
    </row>
    <row r="210" spans="1:27" ht="18.75">
      <c r="A210" s="740"/>
      <c r="B210" s="201"/>
      <c r="C210" s="743"/>
      <c r="D210" s="746"/>
      <c r="E210" s="370"/>
      <c r="F210" s="367"/>
      <c r="G210" s="377"/>
      <c r="H210" s="520">
        <f t="shared" si="95"/>
        <v>0</v>
      </c>
      <c r="I210" s="366"/>
      <c r="J210" s="367"/>
      <c r="K210" s="411"/>
      <c r="L210" s="372">
        <f t="shared" si="96"/>
        <v>0</v>
      </c>
      <c r="M210" s="409"/>
      <c r="N210" s="411"/>
      <c r="O210" s="411"/>
      <c r="P210" s="411"/>
      <c r="Q210" s="376">
        <f>IF(D204&lt;=3,база!$L$4,
IF(D204=4,база!$L$5,
IF(D204=5,база!$L$6)))</f>
        <v>210.57480000000001</v>
      </c>
      <c r="R210" s="367">
        <v>1.3</v>
      </c>
      <c r="S210" s="377">
        <f>SUMIFS(Таблица14[часы],Таблица14[коэф],"1,3",Таблица14[р/р],"3/16",Таблица14[Ф. И. О.],B209)</f>
        <v>0</v>
      </c>
      <c r="T210" s="520">
        <f t="shared" si="97"/>
        <v>0</v>
      </c>
      <c r="U210" s="449">
        <f>IF(D204&lt;=3,база!$M$4,
IF(D204=4,база!$M$5,
IF(D204=5,база!$M$6)))</f>
        <v>225.09719999999999</v>
      </c>
      <c r="V210" s="367">
        <v>1.3</v>
      </c>
      <c r="W210" s="389">
        <f>SUMIFS(Таблица14[часы],Таблица14[коэф],"1,3",Таблица14[р/р],"3/24",Таблица14[Ф. И. О.],B209)</f>
        <v>0</v>
      </c>
      <c r="X210" s="521">
        <f t="shared" si="98"/>
        <v>0</v>
      </c>
      <c r="Y210" s="748"/>
      <c r="Z210" s="750"/>
      <c r="AA210" s="740"/>
    </row>
    <row r="211" spans="1:27" ht="18.75">
      <c r="A211" s="740"/>
      <c r="B211" s="201"/>
      <c r="C211" s="743"/>
      <c r="D211" s="746"/>
      <c r="E211" s="370"/>
      <c r="F211" s="367"/>
      <c r="G211" s="377"/>
      <c r="H211" s="520">
        <f t="shared" si="95"/>
        <v>0</v>
      </c>
      <c r="I211" s="366"/>
      <c r="J211" s="367"/>
      <c r="K211" s="411"/>
      <c r="L211" s="372">
        <f t="shared" si="96"/>
        <v>0</v>
      </c>
      <c r="M211" s="409"/>
      <c r="N211" s="411"/>
      <c r="O211" s="411"/>
      <c r="P211" s="411"/>
      <c r="Q211" s="376">
        <f>база!$L$5</f>
        <v>231.45480000000001</v>
      </c>
      <c r="R211" s="367">
        <v>1.3</v>
      </c>
      <c r="S211" s="377">
        <f>SUMIFS(Таблица14[часы],Таблица14[коэф],"1,3",Таблица14[р/р],"4/16",Таблица14[Ф. И. О.],B209)</f>
        <v>0</v>
      </c>
      <c r="T211" s="520">
        <f t="shared" si="97"/>
        <v>0</v>
      </c>
      <c r="U211" s="449">
        <f>база!$M$5</f>
        <v>247.41720000000001</v>
      </c>
      <c r="V211" s="367">
        <v>1.3</v>
      </c>
      <c r="W211" s="389">
        <f>SUMIFS(Таблица14[часы],Таблица14[коэф],"1,3",Таблица14[р/р],"4/24",Таблица14[Ф. И. О.],B209)</f>
        <v>0</v>
      </c>
      <c r="X211" s="521">
        <f t="shared" si="98"/>
        <v>0</v>
      </c>
      <c r="Y211" s="748"/>
      <c r="Z211" s="750"/>
      <c r="AA211" s="740"/>
    </row>
    <row r="212" spans="1:27" ht="18.75">
      <c r="A212" s="740"/>
      <c r="B212" s="201"/>
      <c r="C212" s="743"/>
      <c r="D212" s="746"/>
      <c r="E212" s="370"/>
      <c r="F212" s="367"/>
      <c r="G212" s="377"/>
      <c r="H212" s="520">
        <f t="shared" si="95"/>
        <v>0</v>
      </c>
      <c r="I212" s="366"/>
      <c r="J212" s="367"/>
      <c r="K212" s="411"/>
      <c r="L212" s="372">
        <f t="shared" si="96"/>
        <v>0</v>
      </c>
      <c r="M212" s="409"/>
      <c r="N212" s="411"/>
      <c r="O212" s="411"/>
      <c r="P212" s="411"/>
      <c r="Q212" s="376">
        <f>IF(D204&lt;=3,база!$L$4,
IF(D204=4,база!$L$5,
IF(D204=5,база!$L$6)))</f>
        <v>210.57480000000001</v>
      </c>
      <c r="R212" s="367">
        <v>1.4</v>
      </c>
      <c r="S212" s="377">
        <f>SUMIFS(Таблица14[часы],Таблица14[коэф],"1,4",Таблица14[р/р],"3/16",Таблица14[Ф. И. О.],B209)</f>
        <v>0</v>
      </c>
      <c r="T212" s="520">
        <f t="shared" si="97"/>
        <v>0</v>
      </c>
      <c r="U212" s="449">
        <f>IF(D204&lt;=3,база!$M$4,
IF(D204=4,база!$M$5,
IF(D204=5,база!$M$6)))</f>
        <v>225.09719999999999</v>
      </c>
      <c r="V212" s="367">
        <v>1.4</v>
      </c>
      <c r="W212" s="389">
        <f>SUMIFS(Таблица14[часы],Таблица14[коэф],"1,4",Таблица14[р/р],"3/24",Таблица14[Ф. И. О.],B209)</f>
        <v>0</v>
      </c>
      <c r="X212" s="521">
        <f t="shared" si="98"/>
        <v>0</v>
      </c>
      <c r="Y212" s="748"/>
      <c r="Z212" s="750"/>
      <c r="AA212" s="740"/>
    </row>
    <row r="213" spans="1:27" ht="18.75">
      <c r="A213" s="740"/>
      <c r="B213" s="201"/>
      <c r="C213" s="743"/>
      <c r="D213" s="746"/>
      <c r="E213" s="370"/>
      <c r="F213" s="367"/>
      <c r="G213" s="377"/>
      <c r="H213" s="520">
        <f t="shared" si="95"/>
        <v>0</v>
      </c>
      <c r="I213" s="366"/>
      <c r="J213" s="367"/>
      <c r="K213" s="411"/>
      <c r="L213" s="372">
        <f t="shared" si="96"/>
        <v>0</v>
      </c>
      <c r="M213" s="409"/>
      <c r="N213" s="411"/>
      <c r="O213" s="411"/>
      <c r="P213" s="411"/>
      <c r="Q213" s="376">
        <f>база!$L$5</f>
        <v>231.45480000000001</v>
      </c>
      <c r="R213" s="367">
        <v>1.4</v>
      </c>
      <c r="S213" s="377">
        <f>SUMIFS(Таблица14[часы],Таблица14[коэф],"1,4",Таблица14[р/р],"4/16",Таблица14[Ф. И. О.],B209)</f>
        <v>0</v>
      </c>
      <c r="T213" s="520">
        <f t="shared" si="97"/>
        <v>0</v>
      </c>
      <c r="U213" s="449">
        <f>база!$M$5</f>
        <v>247.41720000000001</v>
      </c>
      <c r="V213" s="367">
        <v>1.4</v>
      </c>
      <c r="W213" s="389">
        <f>SUMIFS(Таблица14[часы],Таблица14[коэф],"1,4",Таблица14[р/р],"4/24",Таблица14[Ф. И. О.],B209)</f>
        <v>0</v>
      </c>
      <c r="X213" s="521">
        <f t="shared" si="98"/>
        <v>0</v>
      </c>
      <c r="Y213" s="748"/>
      <c r="Z213" s="750"/>
      <c r="AA213" s="740"/>
    </row>
    <row r="214" spans="1:27" ht="19.5" thickBot="1">
      <c r="A214" s="741"/>
      <c r="B214" s="188"/>
      <c r="C214" s="744"/>
      <c r="D214" s="747"/>
      <c r="E214" s="440"/>
      <c r="F214" s="441"/>
      <c r="G214" s="442"/>
      <c r="H214" s="525">
        <f t="shared" si="95"/>
        <v>0</v>
      </c>
      <c r="I214" s="450"/>
      <c r="J214" s="441"/>
      <c r="K214" s="434"/>
      <c r="L214" s="435">
        <f t="shared" si="96"/>
        <v>0</v>
      </c>
      <c r="M214" s="443"/>
      <c r="N214" s="434"/>
      <c r="O214" s="434"/>
      <c r="P214" s="434"/>
      <c r="Q214" s="444">
        <f>база!$L$6</f>
        <v>261.04640000000001</v>
      </c>
      <c r="R214" s="441">
        <v>1.4</v>
      </c>
      <c r="S214" s="442">
        <f>SUMIFS(Таблица14[часы],Таблица14[коэф],"1,4",Таблица14[р/р],"5/16",Таблица14[Ф. И. О.],B209)</f>
        <v>0</v>
      </c>
      <c r="T214" s="525">
        <f t="shared" si="97"/>
        <v>0</v>
      </c>
      <c r="U214" s="451">
        <f>база!$M$6</f>
        <v>279.0496</v>
      </c>
      <c r="V214" s="441">
        <v>1.4</v>
      </c>
      <c r="W214" s="447">
        <f>SUMIFS(Таблица14[часы],Таблица14[коэф],"1,4",Таблица14[р/р],"5/24",Таблица14[Ф. И. О.],B209)</f>
        <v>0</v>
      </c>
      <c r="X214" s="523">
        <f t="shared" si="98"/>
        <v>0</v>
      </c>
      <c r="Y214" s="749"/>
      <c r="Z214" s="751"/>
      <c r="AA214" s="741"/>
    </row>
    <row r="215" spans="1:27" ht="18.75">
      <c r="A215" s="739">
        <v>20</v>
      </c>
      <c r="B215" s="201"/>
      <c r="C215" s="742">
        <f>INDEX(база!$E$2:$E$81, MATCH(B220,база!$B$2:$B$50,0))</f>
        <v>16771</v>
      </c>
      <c r="D215" s="745">
        <f>INDEX(база!$D$2:$D$89, MATCH(B220,база!$B$2:$B$50,0))</f>
        <v>3</v>
      </c>
      <c r="E215" s="428">
        <f>IF(D215&lt;=3,база!$I$4,
IF(D215=4,база!$I$5,
IF(D215=5,база!$I$6)))</f>
        <v>188.7912</v>
      </c>
      <c r="F215" s="394">
        <v>1</v>
      </c>
      <c r="G215" s="395">
        <f>SUMIFS(Таблица14[часы],Таблица14[коэф],"1",Таблица14[р/р],"2/4",Таблица14[Ф. И. О.],B220)</f>
        <v>0</v>
      </c>
      <c r="H215" s="518">
        <f>ROUND(E215*F215*G215*2,2)</f>
        <v>0</v>
      </c>
      <c r="I215" s="458">
        <f>IF(D215&lt;=3,база!$J$4,
IF(D215=4,база!$J$5,
IF(D215=5,база!$J$6)))</f>
        <v>196.05240000000001</v>
      </c>
      <c r="J215" s="394">
        <v>1</v>
      </c>
      <c r="K215" s="430">
        <f>SUMIFS(Таблица14[часы],Таблица14[коэф],"1",Таблица14[р/р],"2/8",Таблица14[Ф. И. О.],B220)</f>
        <v>0</v>
      </c>
      <c r="L215" s="461">
        <f>ROUND(I215*J215*K215*2,2)</f>
        <v>0</v>
      </c>
      <c r="M215" s="429"/>
      <c r="N215" s="430">
        <v>1</v>
      </c>
      <c r="O215" s="430">
        <f>SUMIFS(Data_Tech!$AM$3:$AM$67,Data_Tech!$E$3:$E$67,"1",Data_Tech!$G$3:$G$67,"3/12",Data_Tech!$F$3:$F$67,B220)</f>
        <v>0</v>
      </c>
      <c r="P215" s="430">
        <f>ROUND(M215*N215*O215,2)</f>
        <v>0</v>
      </c>
      <c r="Q215" s="393">
        <f>IF(D215&lt;=3,база!$L$4,
IF(D215=4,база!$L$5,
IF(D215=5,база!$L$6)))</f>
        <v>210.57480000000001</v>
      </c>
      <c r="R215" s="394">
        <v>1</v>
      </c>
      <c r="S215" s="395">
        <f>SUMIFS(Таблица14[часы],Таблица14[коэф],"1",Таблица14[р/р],"3/16",Таблица14[Ф. И. О.],B220)</f>
        <v>0</v>
      </c>
      <c r="T215" s="518">
        <f>ROUND(Q215*R215*S215*2,2)</f>
        <v>0</v>
      </c>
      <c r="U215" s="462">
        <f>IF(D215&lt;=3,база!$M$4,
IF(D215=4,база!$M$5,
IF(D215=5,база!$M$6)))</f>
        <v>225.09719999999999</v>
      </c>
      <c r="V215" s="394">
        <v>1</v>
      </c>
      <c r="W215" s="432">
        <f>SUMIFS(Таблица14[часы],Таблица14[коэф],"1",Таблица14[р/р],"3/24",Таблица14[Ф. И. О.],B220)</f>
        <v>0</v>
      </c>
      <c r="X215" s="528">
        <f>ROUND(U215*V215*W215*2,2)</f>
        <v>0</v>
      </c>
      <c r="Y215" s="748">
        <f>SUM(G215:G225,K215:K225,O215:O225,S215:S225,W215:W225)</f>
        <v>0</v>
      </c>
      <c r="Z215" s="750">
        <f t="shared" ref="Z215" si="99">IFERROR(SUM(H215:H225,L215:L225,T215:T225,X215:X225),"")</f>
        <v>0</v>
      </c>
      <c r="AA215" s="740"/>
    </row>
    <row r="216" spans="1:27" ht="18.75">
      <c r="A216" s="740"/>
      <c r="B216" s="201"/>
      <c r="C216" s="743"/>
      <c r="D216" s="746"/>
      <c r="E216" s="370">
        <f>IF(D215&lt;=3,база!$I$4,
IF(D215=4,база!$I$5,
IF(D215=5,база!$I$6)))</f>
        <v>188.7912</v>
      </c>
      <c r="F216" s="367">
        <v>1</v>
      </c>
      <c r="G216" s="377">
        <f>SUMIFS(Таблица14[часы],Таблица14[коэф],"1",Таблица14[р/р],"3/4",Таблица14[Ф. И. О.],B220)</f>
        <v>0</v>
      </c>
      <c r="H216" s="520">
        <f t="shared" ref="H216:H225" si="100">ROUND(E216*F216*G216*2,2)</f>
        <v>0</v>
      </c>
      <c r="I216" s="366">
        <f>IF(D215&lt;=3,база!$J$4,
IF(D215=4,база!$J$5,
IF(D215=5,база!$J$6)))</f>
        <v>196.05240000000001</v>
      </c>
      <c r="J216" s="367">
        <v>1</v>
      </c>
      <c r="K216" s="411">
        <f>SUMIFS(Таблица14[часы],Таблица14[коэф],"1",Таблица14[р/р],"3/8",Таблица14[Ф. И. О.],B220)</f>
        <v>0</v>
      </c>
      <c r="L216" s="372">
        <f t="shared" ref="L216:L225" si="101">ROUND(I216*J216*K216*2,2)</f>
        <v>0</v>
      </c>
      <c r="M216" s="409"/>
      <c r="N216" s="411">
        <v>1</v>
      </c>
      <c r="O216" s="411">
        <f>SUMIFS(Data_Tech!$AM$3:$AM$67,Data_Tech!$E$3:$E$67,"1",Data_Tech!$G$3:$G$67,"4/12",Data_Tech!$F$3:$F$67,B220)</f>
        <v>0</v>
      </c>
      <c r="P216" s="411">
        <f>ROUND(M216*O216,2)</f>
        <v>0</v>
      </c>
      <c r="Q216" s="376">
        <f>база!$L$5</f>
        <v>231.45480000000001</v>
      </c>
      <c r="R216" s="367">
        <v>1</v>
      </c>
      <c r="S216" s="377">
        <f>SUMIFS(Таблица14[часы],Таблица14[коэф],"1",Таблица14[р/р],"4/16",Таблица14[Ф. И. О.],B220)</f>
        <v>0</v>
      </c>
      <c r="T216" s="520">
        <f t="shared" ref="T216:T225" si="102">ROUND(Q216*R216*S216*2,2)</f>
        <v>0</v>
      </c>
      <c r="U216" s="449">
        <f>база!$M$5</f>
        <v>247.41720000000001</v>
      </c>
      <c r="V216" s="367">
        <v>1</v>
      </c>
      <c r="W216" s="389">
        <f>SUMIFS(Таблица14[часы],Таблица14[коэф],"1",Таблица14[р/р],"4/24",Таблица14[Ф. И. О.],B220)</f>
        <v>0</v>
      </c>
      <c r="X216" s="521">
        <f t="shared" ref="X216:X225" si="103">ROUND(U216*V216*W216*2,2)</f>
        <v>0</v>
      </c>
      <c r="Y216" s="748"/>
      <c r="Z216" s="750"/>
      <c r="AA216" s="740"/>
    </row>
    <row r="217" spans="1:27" ht="18.75">
      <c r="A217" s="740"/>
      <c r="B217" s="201"/>
      <c r="C217" s="743"/>
      <c r="D217" s="746"/>
      <c r="E217" s="370"/>
      <c r="F217" s="367"/>
      <c r="G217" s="377"/>
      <c r="H217" s="520">
        <f t="shared" si="100"/>
        <v>0</v>
      </c>
      <c r="I217" s="366"/>
      <c r="J217" s="367"/>
      <c r="K217" s="411"/>
      <c r="L217" s="372">
        <f t="shared" si="101"/>
        <v>0</v>
      </c>
      <c r="M217" s="409"/>
      <c r="N217" s="411"/>
      <c r="O217" s="411"/>
      <c r="P217" s="411"/>
      <c r="Q217" s="376">
        <f>база!$L$6</f>
        <v>261.04640000000001</v>
      </c>
      <c r="R217" s="367">
        <v>1</v>
      </c>
      <c r="S217" s="377">
        <f>SUMIFS(Таблица14[часы],Таблица14[коэф],"1",Таблица14[р/р],"5/16",Таблица14[Ф. И. О.],B220)</f>
        <v>0</v>
      </c>
      <c r="T217" s="520">
        <f t="shared" si="102"/>
        <v>0</v>
      </c>
      <c r="U217" s="449">
        <f>база!$M$6</f>
        <v>279.0496</v>
      </c>
      <c r="V217" s="367">
        <v>1</v>
      </c>
      <c r="W217" s="389">
        <f>SUMIFS(Таблица14[часы],Таблица14[коэф],"1",Таблица14[р/р],"5/24",Таблица14[Ф. И. О.],B220)</f>
        <v>0</v>
      </c>
      <c r="X217" s="521">
        <f t="shared" si="103"/>
        <v>0</v>
      </c>
      <c r="Y217" s="748"/>
      <c r="Z217" s="750"/>
      <c r="AA217" s="740"/>
    </row>
    <row r="218" spans="1:27" ht="18.75">
      <c r="A218" s="740"/>
      <c r="B218" s="201"/>
      <c r="C218" s="743"/>
      <c r="D218" s="746"/>
      <c r="E218" s="370"/>
      <c r="F218" s="367"/>
      <c r="G218" s="377"/>
      <c r="H218" s="520">
        <f t="shared" si="100"/>
        <v>0</v>
      </c>
      <c r="I218" s="366">
        <f>база!$J$5</f>
        <v>215.4924</v>
      </c>
      <c r="J218" s="367">
        <v>1.5</v>
      </c>
      <c r="K218" s="411">
        <f>SUMIFS(Таблица14[часы],Таблица14[коэф],"1,5",Таблица14[р/р],"4/8",Таблица14[Ф. И. О.],B220)</f>
        <v>0</v>
      </c>
      <c r="L218" s="372">
        <f t="shared" si="101"/>
        <v>0</v>
      </c>
      <c r="M218" s="409"/>
      <c r="N218" s="411"/>
      <c r="O218" s="411"/>
      <c r="P218" s="411"/>
      <c r="Q218" s="376">
        <f>IF(D215&lt;=3,база!$L$4,
IF(D215=4,база!$L$5,
IF(D215=5,база!$L$6)))</f>
        <v>210.57480000000001</v>
      </c>
      <c r="R218" s="367">
        <v>1.2</v>
      </c>
      <c r="S218" s="377">
        <f>SUMIFS(Таблица14[часы],Таблица14[коэф],"1,2",Таблица14[р/р],"3/16",Таблица14[Ф. И. О.],B220)</f>
        <v>0</v>
      </c>
      <c r="T218" s="520">
        <f t="shared" si="102"/>
        <v>0</v>
      </c>
      <c r="U218" s="449">
        <f>IF(D215&lt;=3,база!$M$4,
IF(D215=4,база!$M$5,
IF(D215=5,база!$M$6)))</f>
        <v>225.09719999999999</v>
      </c>
      <c r="V218" s="367">
        <v>1.2</v>
      </c>
      <c r="W218" s="389">
        <f>SUMIFS(Таблица14[часы],Таблица14[коэф],"1,2",Таблица14[р/р],"3/24",Таблица14[Ф. И. О.],B220)</f>
        <v>0</v>
      </c>
      <c r="X218" s="521">
        <f t="shared" si="103"/>
        <v>0</v>
      </c>
      <c r="Y218" s="748"/>
      <c r="Z218" s="750"/>
      <c r="AA218" s="740"/>
    </row>
    <row r="219" spans="1:27" ht="18.75">
      <c r="A219" s="740"/>
      <c r="B219" s="201"/>
      <c r="C219" s="743"/>
      <c r="D219" s="746"/>
      <c r="E219" s="370"/>
      <c r="F219" s="367"/>
      <c r="G219" s="377"/>
      <c r="H219" s="520">
        <f t="shared" si="100"/>
        <v>0</v>
      </c>
      <c r="I219" s="366">
        <f>база!$J$6</f>
        <v>243.04319999999998</v>
      </c>
      <c r="J219" s="367">
        <v>1.5</v>
      </c>
      <c r="K219" s="411">
        <f>SUMIFS(Таблица14[часы],Таблица14[коэф],"1,5",Таблица14[р/р],"5/8",Таблица14[Ф. И. О.],B220)</f>
        <v>0</v>
      </c>
      <c r="L219" s="372">
        <f t="shared" si="101"/>
        <v>0</v>
      </c>
      <c r="M219" s="409"/>
      <c r="N219" s="411"/>
      <c r="O219" s="411"/>
      <c r="P219" s="411"/>
      <c r="Q219" s="376">
        <f>база!$L$5</f>
        <v>231.45480000000001</v>
      </c>
      <c r="R219" s="367">
        <v>1.2</v>
      </c>
      <c r="S219" s="377">
        <f>SUMIFS(Таблица14[часы],Таблица14[коэф],"1,2",Таблица14[р/р],"4/16",Таблица14[Ф. И. О.],B220)</f>
        <v>0</v>
      </c>
      <c r="T219" s="520">
        <f t="shared" si="102"/>
        <v>0</v>
      </c>
      <c r="U219" s="449">
        <f>база!$M$5</f>
        <v>247.41720000000001</v>
      </c>
      <c r="V219" s="367">
        <v>1.2</v>
      </c>
      <c r="W219" s="389">
        <f>SUMIFS(Таблица14[часы],Таблица14[коэф],"1,2",Таблица14[р/р],"4/24",Таблица14[Ф. И. О.],B220)</f>
        <v>0</v>
      </c>
      <c r="X219" s="521">
        <f t="shared" si="103"/>
        <v>0</v>
      </c>
      <c r="Y219" s="748"/>
      <c r="Z219" s="750"/>
      <c r="AA219" s="740"/>
    </row>
    <row r="220" spans="1:27" ht="22.5" customHeight="1">
      <c r="A220" s="740"/>
      <c r="B220" s="201" t="str">
        <f>база!B21</f>
        <v>Елькина Татьяна Владимировна</v>
      </c>
      <c r="C220" s="743"/>
      <c r="D220" s="746"/>
      <c r="E220" s="370"/>
      <c r="F220" s="367"/>
      <c r="G220" s="377"/>
      <c r="H220" s="520">
        <f t="shared" si="100"/>
        <v>0</v>
      </c>
      <c r="I220" s="366"/>
      <c r="J220" s="367"/>
      <c r="K220" s="411"/>
      <c r="L220" s="372">
        <f t="shared" si="101"/>
        <v>0</v>
      </c>
      <c r="M220" s="409"/>
      <c r="N220" s="411"/>
      <c r="O220" s="411"/>
      <c r="P220" s="411"/>
      <c r="Q220" s="376">
        <f>база!$L$6</f>
        <v>261.04640000000001</v>
      </c>
      <c r="R220" s="367">
        <v>1.2</v>
      </c>
      <c r="S220" s="377">
        <f>SUMIFS(Таблица14[часы],Таблица14[коэф],"1,2",Таблица14[р/р],"5/16",Таблица14[Ф. И. О.],B220)</f>
        <v>0</v>
      </c>
      <c r="T220" s="520">
        <f t="shared" si="102"/>
        <v>0</v>
      </c>
      <c r="U220" s="449">
        <f>база!$M$6</f>
        <v>279.0496</v>
      </c>
      <c r="V220" s="367">
        <v>1.2</v>
      </c>
      <c r="W220" s="389">
        <f>SUMIFS(Таблица14[часы],Таблица14[коэф],"1,2",Таблица14[р/р],"5/24",Таблица14[Ф. И. О.],B220)</f>
        <v>0</v>
      </c>
      <c r="X220" s="521">
        <f t="shared" si="103"/>
        <v>0</v>
      </c>
      <c r="Y220" s="748"/>
      <c r="Z220" s="750"/>
      <c r="AA220" s="740"/>
    </row>
    <row r="221" spans="1:27" ht="18.75">
      <c r="A221" s="740"/>
      <c r="B221" s="201"/>
      <c r="C221" s="743"/>
      <c r="D221" s="746"/>
      <c r="E221" s="370"/>
      <c r="F221" s="367"/>
      <c r="G221" s="377"/>
      <c r="H221" s="520">
        <f t="shared" si="100"/>
        <v>0</v>
      </c>
      <c r="I221" s="366"/>
      <c r="J221" s="367"/>
      <c r="K221" s="411"/>
      <c r="L221" s="372">
        <f t="shared" si="101"/>
        <v>0</v>
      </c>
      <c r="M221" s="409"/>
      <c r="N221" s="411"/>
      <c r="O221" s="411"/>
      <c r="P221" s="411"/>
      <c r="Q221" s="376">
        <f>IF(D215&lt;=3,база!$L$4,
IF(D215=4,база!$L$5,
IF(D215=5,база!$L$6)))</f>
        <v>210.57480000000001</v>
      </c>
      <c r="R221" s="367">
        <v>1.3</v>
      </c>
      <c r="S221" s="377">
        <f>SUMIFS(Таблица14[часы],Таблица14[коэф],"1,3",Таблица14[р/р],"3/16",Таблица14[Ф. И. О.],B220)</f>
        <v>0</v>
      </c>
      <c r="T221" s="520">
        <f t="shared" si="102"/>
        <v>0</v>
      </c>
      <c r="U221" s="449">
        <f>IF(D215&lt;=3,база!$M$4,
IF(D215=4,база!$M$5,
IF(D215=5,база!$M$6)))</f>
        <v>225.09719999999999</v>
      </c>
      <c r="V221" s="367">
        <v>1.3</v>
      </c>
      <c r="W221" s="389">
        <f>SUMIFS(Таблица14[часы],Таблица14[коэф],"1,3",Таблица14[р/р],"3/24",Таблица14[Ф. И. О.],B220)</f>
        <v>0</v>
      </c>
      <c r="X221" s="521">
        <f t="shared" si="103"/>
        <v>0</v>
      </c>
      <c r="Y221" s="748"/>
      <c r="Z221" s="750"/>
      <c r="AA221" s="740"/>
    </row>
    <row r="222" spans="1:27" ht="18.75">
      <c r="A222" s="740"/>
      <c r="B222" s="201"/>
      <c r="C222" s="743"/>
      <c r="D222" s="746"/>
      <c r="E222" s="370"/>
      <c r="F222" s="367"/>
      <c r="G222" s="377"/>
      <c r="H222" s="520">
        <f t="shared" si="100"/>
        <v>0</v>
      </c>
      <c r="I222" s="366"/>
      <c r="J222" s="367"/>
      <c r="K222" s="411"/>
      <c r="L222" s="372">
        <f t="shared" si="101"/>
        <v>0</v>
      </c>
      <c r="M222" s="409"/>
      <c r="N222" s="411"/>
      <c r="O222" s="411"/>
      <c r="P222" s="411"/>
      <c r="Q222" s="376">
        <f>база!$L$5</f>
        <v>231.45480000000001</v>
      </c>
      <c r="R222" s="367">
        <v>1.3</v>
      </c>
      <c r="S222" s="377">
        <f>SUMIFS(Таблица14[часы],Таблица14[коэф],"1,3",Таблица14[р/р],"4/16",Таблица14[Ф. И. О.],B220)</f>
        <v>0</v>
      </c>
      <c r="T222" s="520">
        <f t="shared" si="102"/>
        <v>0</v>
      </c>
      <c r="U222" s="449">
        <f>база!$M$5</f>
        <v>247.41720000000001</v>
      </c>
      <c r="V222" s="367">
        <v>1.3</v>
      </c>
      <c r="W222" s="389">
        <f>SUMIFS(Таблица14[часы],Таблица14[коэф],"1,3",Таблица14[р/р],"4/24",Таблица14[Ф. И. О.],B220)</f>
        <v>0</v>
      </c>
      <c r="X222" s="521">
        <f t="shared" si="103"/>
        <v>0</v>
      </c>
      <c r="Y222" s="748"/>
      <c r="Z222" s="750"/>
      <c r="AA222" s="740"/>
    </row>
    <row r="223" spans="1:27" ht="18.75">
      <c r="A223" s="740"/>
      <c r="B223" s="201"/>
      <c r="C223" s="743"/>
      <c r="D223" s="746"/>
      <c r="E223" s="370"/>
      <c r="F223" s="367"/>
      <c r="G223" s="377"/>
      <c r="H223" s="520">
        <f t="shared" si="100"/>
        <v>0</v>
      </c>
      <c r="I223" s="366"/>
      <c r="J223" s="367"/>
      <c r="K223" s="411"/>
      <c r="L223" s="372">
        <f t="shared" si="101"/>
        <v>0</v>
      </c>
      <c r="M223" s="409"/>
      <c r="N223" s="411"/>
      <c r="O223" s="411"/>
      <c r="P223" s="411"/>
      <c r="Q223" s="376">
        <f>IF(D215&lt;=3,база!$L$4,
IF(D215=4,база!$L$5,
IF(D215=5,база!$L$6)))</f>
        <v>210.57480000000001</v>
      </c>
      <c r="R223" s="367">
        <v>1.4</v>
      </c>
      <c r="S223" s="377">
        <f>SUMIFS(Таблица14[часы],Таблица14[коэф],"1,4",Таблица14[р/р],"3/16",Таблица14[Ф. И. О.],B220)</f>
        <v>0</v>
      </c>
      <c r="T223" s="520">
        <f t="shared" si="102"/>
        <v>0</v>
      </c>
      <c r="U223" s="449">
        <f>IF(D215&lt;=3,база!$M$4,
IF(D215=4,база!$M$5,
IF(D215=5,база!$M$6)))</f>
        <v>225.09719999999999</v>
      </c>
      <c r="V223" s="367">
        <v>1.4</v>
      </c>
      <c r="W223" s="389">
        <f>SUMIFS(Таблица14[часы],Таблица14[коэф],"1,4",Таблица14[р/р],"3/24",Таблица14[Ф. И. О.],B220)</f>
        <v>0</v>
      </c>
      <c r="X223" s="521">
        <f t="shared" si="103"/>
        <v>0</v>
      </c>
      <c r="Y223" s="748"/>
      <c r="Z223" s="750"/>
      <c r="AA223" s="740"/>
    </row>
    <row r="224" spans="1:27" ht="18.75">
      <c r="A224" s="740"/>
      <c r="B224" s="201"/>
      <c r="C224" s="743"/>
      <c r="D224" s="746"/>
      <c r="E224" s="370"/>
      <c r="F224" s="367"/>
      <c r="G224" s="377"/>
      <c r="H224" s="520">
        <f t="shared" si="100"/>
        <v>0</v>
      </c>
      <c r="I224" s="366"/>
      <c r="J224" s="367"/>
      <c r="K224" s="411"/>
      <c r="L224" s="372">
        <f t="shared" si="101"/>
        <v>0</v>
      </c>
      <c r="M224" s="409"/>
      <c r="N224" s="411"/>
      <c r="O224" s="411"/>
      <c r="P224" s="411"/>
      <c r="Q224" s="376">
        <f>база!$L$5</f>
        <v>231.45480000000001</v>
      </c>
      <c r="R224" s="367">
        <v>1.4</v>
      </c>
      <c r="S224" s="377">
        <f>SUMIFS(Таблица14[часы],Таблица14[коэф],"1,4",Таблица14[р/р],"4/16",Таблица14[Ф. И. О.],B220)</f>
        <v>0</v>
      </c>
      <c r="T224" s="520">
        <f t="shared" si="102"/>
        <v>0</v>
      </c>
      <c r="U224" s="449">
        <f>база!$M$5</f>
        <v>247.41720000000001</v>
      </c>
      <c r="V224" s="367">
        <v>1.4</v>
      </c>
      <c r="W224" s="389">
        <f>SUMIFS(Таблица14[часы],Таблица14[коэф],"1,4",Таблица14[р/р],"4/24",Таблица14[Ф. И. О.],B220)</f>
        <v>0</v>
      </c>
      <c r="X224" s="521">
        <f t="shared" si="103"/>
        <v>0</v>
      </c>
      <c r="Y224" s="748"/>
      <c r="Z224" s="750"/>
      <c r="AA224" s="740"/>
    </row>
    <row r="225" spans="1:27" ht="19.5" thickBot="1">
      <c r="A225" s="741"/>
      <c r="B225" s="201"/>
      <c r="C225" s="744"/>
      <c r="D225" s="747"/>
      <c r="E225" s="399"/>
      <c r="F225" s="380"/>
      <c r="G225" s="385"/>
      <c r="H225" s="522">
        <f t="shared" si="100"/>
        <v>0</v>
      </c>
      <c r="I225" s="397"/>
      <c r="J225" s="380"/>
      <c r="K225" s="437"/>
      <c r="L225" s="401">
        <f t="shared" si="101"/>
        <v>0</v>
      </c>
      <c r="M225" s="436"/>
      <c r="N225" s="437"/>
      <c r="O225" s="437"/>
      <c r="P225" s="437"/>
      <c r="Q225" s="384">
        <f>база!$L$6</f>
        <v>261.04640000000001</v>
      </c>
      <c r="R225" s="380">
        <v>1.4</v>
      </c>
      <c r="S225" s="385">
        <f>SUMIFS(Таблица14[часы],Таблица14[коэф],"1,4",Таблица14[р/р],"5/16",Таблица14[Ф. И. О.],B220)</f>
        <v>0</v>
      </c>
      <c r="T225" s="522">
        <f t="shared" si="102"/>
        <v>0</v>
      </c>
      <c r="U225" s="459">
        <f>база!$M$6</f>
        <v>279.0496</v>
      </c>
      <c r="V225" s="380">
        <v>1.4</v>
      </c>
      <c r="W225" s="503">
        <f>SUMIFS(Таблица14[часы],Таблица14[коэф],"1,4",Таблица14[р/р],"5/24",Таблица14[Ф. И. О.],B220)</f>
        <v>0</v>
      </c>
      <c r="X225" s="526">
        <f t="shared" si="103"/>
        <v>0</v>
      </c>
      <c r="Y225" s="749"/>
      <c r="Z225" s="751"/>
      <c r="AA225" s="741"/>
    </row>
    <row r="226" spans="1:27" ht="18.75">
      <c r="A226" s="739">
        <v>21</v>
      </c>
      <c r="B226" s="219"/>
      <c r="C226" s="742">
        <f>INDEX(база!$E$2:$E$81, MATCH(B231,база!$B$2:$B$50,0))</f>
        <v>15340</v>
      </c>
      <c r="D226" s="745">
        <f>INDEX(база!$D$2:$D$89, MATCH(B231,база!$B$2:$B$50,0))</f>
        <v>3</v>
      </c>
      <c r="E226" s="358">
        <f>IF(D226&lt;=3,база!$I$4,
IF(D226=4,база!$I$5,
IF(D226=5,база!$I$6)))</f>
        <v>188.7912</v>
      </c>
      <c r="F226" s="355">
        <v>1</v>
      </c>
      <c r="G226" s="364">
        <f>SUMIFS(Таблица14[часы],Таблица14[коэф],"1",Таблица14[р/р],"2/4",Таблица14[Ф. И. О.],B231)</f>
        <v>0</v>
      </c>
      <c r="H226" s="357">
        <f>ROUND(E226*F226*G226*2,2)</f>
        <v>0</v>
      </c>
      <c r="I226" s="354">
        <f>IF(D226&lt;=3,база!$J$4,
IF(D226=4,база!$J$5,
IF(D226=5,база!$J$6)))</f>
        <v>196.05240000000001</v>
      </c>
      <c r="J226" s="355">
        <v>1</v>
      </c>
      <c r="K226" s="405">
        <f>SUMIFS(Таблица14[часы],Таблица14[коэф],"1",Таблица14[р/р],"2/8",Таблица14[Ф. И. О.],B231)</f>
        <v>0</v>
      </c>
      <c r="L226" s="360">
        <f>ROUND(I226*J226*K226*2,2)</f>
        <v>0</v>
      </c>
      <c r="M226" s="403"/>
      <c r="N226" s="405">
        <v>1</v>
      </c>
      <c r="O226" s="405">
        <f>SUMIFS(Data_Tech!$AM$3:$AM$67,Data_Tech!$E$3:$E$67,"1",Data_Tech!$G$3:$G$67,"3/12",Data_Tech!$F$3:$F$67,B231)</f>
        <v>0</v>
      </c>
      <c r="P226" s="405">
        <f>ROUND(M226*N226*O226,2)</f>
        <v>0</v>
      </c>
      <c r="Q226" s="363">
        <f>IF(D226&lt;=3,база!$L$4,
IF(D226=4,база!$L$5,
IF(D226=5,база!$L$6)))</f>
        <v>210.57480000000001</v>
      </c>
      <c r="R226" s="355">
        <v>1</v>
      </c>
      <c r="S226" s="364">
        <f>SUMIFS(Таблица14[часы],Таблица14[коэф],"1",Таблица14[р/р],"3/16",Таблица14[Ф. И. О.],B231)</f>
        <v>0</v>
      </c>
      <c r="T226" s="524">
        <f>ROUND(Q226*R226*S226*2,2)</f>
        <v>0</v>
      </c>
      <c r="U226" s="448">
        <f>IF(D226&lt;=3,база!$M$4,
IF(D226=4,база!$M$5,
IF(D226=5,база!$M$6)))</f>
        <v>225.09719999999999</v>
      </c>
      <c r="V226" s="355">
        <v>1</v>
      </c>
      <c r="W226" s="407">
        <f>SUMIFS(Таблица14[часы],Таблица14[коэф],"1",Таблица14[р/р],"3/24",Таблица14[Ф. И. О.],B231)</f>
        <v>0</v>
      </c>
      <c r="X226" s="519">
        <f>ROUND(U226*V226*W226*2,2)</f>
        <v>0</v>
      </c>
      <c r="Y226" s="748">
        <f t="shared" ref="Y226" si="104">SUM(G226:G236,K226:K236,O226:O236,S226:S236,W226:W236)</f>
        <v>0</v>
      </c>
      <c r="Z226" s="750">
        <f t="shared" ref="Z226" si="105">IFERROR(SUM(H226:H236,L226:L236,T226:T236,X226:X236),"")</f>
        <v>0</v>
      </c>
      <c r="AA226" s="740"/>
    </row>
    <row r="227" spans="1:27" ht="18.75">
      <c r="A227" s="740"/>
      <c r="B227" s="201"/>
      <c r="C227" s="743"/>
      <c r="D227" s="746"/>
      <c r="E227" s="370">
        <f>IF(D226&lt;=3,база!$I$4,
IF(D226=4,база!$I$5,
IF(D226=5,база!$I$6)))</f>
        <v>188.7912</v>
      </c>
      <c r="F227" s="367">
        <v>1</v>
      </c>
      <c r="G227" s="377">
        <f>SUMIFS(Таблица14[часы],Таблица14[коэф],"1",Таблица14[р/р],"3/4",Таблица14[Ф. И. О.],B231)</f>
        <v>0</v>
      </c>
      <c r="H227" s="518">
        <f t="shared" ref="H227:H236" si="106">ROUND(E227*F227*G227*2,2)</f>
        <v>0</v>
      </c>
      <c r="I227" s="366">
        <f>IF(D226&lt;=3,база!$J$4,
IF(D226=4,база!$J$5,
IF(D226=5,база!$J$6)))</f>
        <v>196.05240000000001</v>
      </c>
      <c r="J227" s="367">
        <v>1</v>
      </c>
      <c r="K227" s="411">
        <f>SUMIFS(Таблица14[часы],Таблица14[коэф],"1",Таблица14[р/р],"3/8",Таблица14[Ф. И. О.],B231)</f>
        <v>0</v>
      </c>
      <c r="L227" s="372">
        <f t="shared" ref="L227:L236" si="107">ROUND(I227*J227*K227*2,2)</f>
        <v>0</v>
      </c>
      <c r="M227" s="409"/>
      <c r="N227" s="411">
        <v>1</v>
      </c>
      <c r="O227" s="411">
        <f>SUMIFS(Data_Tech!$AM$3:$AM$67,Data_Tech!$E$3:$E$67,"1",Data_Tech!$G$3:$G$67,"4/12",Data_Tech!$F$3:$F$67,B231)</f>
        <v>0</v>
      </c>
      <c r="P227" s="411">
        <f>ROUND(M227*O227,2)</f>
        <v>0</v>
      </c>
      <c r="Q227" s="376">
        <f>база!$L$5</f>
        <v>231.45480000000001</v>
      </c>
      <c r="R227" s="367">
        <v>1</v>
      </c>
      <c r="S227" s="377">
        <f>SUMIFS(Таблица14[часы],Таблица14[коэф],"1",Таблица14[р/р],"4/16",Таблица14[Ф. И. О.],B231)</f>
        <v>0</v>
      </c>
      <c r="T227" s="520">
        <f t="shared" ref="T227:T236" si="108">ROUND(Q227*R227*S227*2,2)</f>
        <v>0</v>
      </c>
      <c r="U227" s="449">
        <f>база!$M$5</f>
        <v>247.41720000000001</v>
      </c>
      <c r="V227" s="367">
        <v>1</v>
      </c>
      <c r="W227" s="389">
        <f>SUMIFS(Таблица14[часы],Таблица14[коэф],"1",Таблица14[р/р],"4/24",Таблица14[Ф. И. О.],B231)</f>
        <v>0</v>
      </c>
      <c r="X227" s="521">
        <f t="shared" ref="X227:X236" si="109">ROUND(U227*V227*W227*2,2)</f>
        <v>0</v>
      </c>
      <c r="Y227" s="748"/>
      <c r="Z227" s="750"/>
      <c r="AA227" s="740"/>
    </row>
    <row r="228" spans="1:27" ht="18.75">
      <c r="A228" s="740"/>
      <c r="B228" s="201"/>
      <c r="C228" s="743"/>
      <c r="D228" s="746"/>
      <c r="E228" s="370"/>
      <c r="F228" s="367"/>
      <c r="G228" s="377"/>
      <c r="H228" s="520">
        <f t="shared" si="106"/>
        <v>0</v>
      </c>
      <c r="I228" s="366"/>
      <c r="J228" s="367"/>
      <c r="K228" s="411"/>
      <c r="L228" s="372">
        <f t="shared" si="107"/>
        <v>0</v>
      </c>
      <c r="M228" s="409"/>
      <c r="N228" s="411"/>
      <c r="O228" s="411"/>
      <c r="P228" s="411"/>
      <c r="Q228" s="376">
        <f>база!$L$6</f>
        <v>261.04640000000001</v>
      </c>
      <c r="R228" s="367">
        <v>1</v>
      </c>
      <c r="S228" s="377">
        <f>SUMIFS(Таблица14[часы],Таблица14[коэф],"1",Таблица14[р/р],"5/16",Таблица14[Ф. И. О.],B231)</f>
        <v>0</v>
      </c>
      <c r="T228" s="520">
        <f t="shared" si="108"/>
        <v>0</v>
      </c>
      <c r="U228" s="449">
        <f>база!$M$6</f>
        <v>279.0496</v>
      </c>
      <c r="V228" s="367">
        <v>1</v>
      </c>
      <c r="W228" s="389">
        <f>SUMIFS(Таблица14[часы],Таблица14[коэф],"1",Таблица14[р/р],"5/24",Таблица14[Ф. И. О.],B231)</f>
        <v>0</v>
      </c>
      <c r="X228" s="521">
        <f t="shared" si="109"/>
        <v>0</v>
      </c>
      <c r="Y228" s="748"/>
      <c r="Z228" s="750"/>
      <c r="AA228" s="740"/>
    </row>
    <row r="229" spans="1:27" ht="18.75">
      <c r="A229" s="740"/>
      <c r="B229" s="201"/>
      <c r="C229" s="743"/>
      <c r="D229" s="746"/>
      <c r="E229" s="370"/>
      <c r="F229" s="367"/>
      <c r="G229" s="377"/>
      <c r="H229" s="520">
        <f t="shared" si="106"/>
        <v>0</v>
      </c>
      <c r="I229" s="366">
        <f>база!$J$5</f>
        <v>215.4924</v>
      </c>
      <c r="J229" s="367">
        <v>1.5</v>
      </c>
      <c r="K229" s="411">
        <f>SUMIFS(Таблица14[часы],Таблица14[коэф],"1,5",Таблица14[р/р],"4/8",Таблица14[Ф. И. О.],B231)</f>
        <v>0</v>
      </c>
      <c r="L229" s="372">
        <f t="shared" si="107"/>
        <v>0</v>
      </c>
      <c r="M229" s="409"/>
      <c r="N229" s="411"/>
      <c r="O229" s="411"/>
      <c r="P229" s="411"/>
      <c r="Q229" s="376">
        <f>IF(D226&lt;=3,база!$L$4,
IF(D226=4,база!$L$5,
IF(D226=5,база!$L$6)))</f>
        <v>210.57480000000001</v>
      </c>
      <c r="R229" s="367">
        <v>1.2</v>
      </c>
      <c r="S229" s="377">
        <f>SUMIFS(Таблица14[часы],Таблица14[коэф],"1,2",Таблица14[р/р],"3/16",Таблица14[Ф. И. О.],B231)</f>
        <v>0</v>
      </c>
      <c r="T229" s="520">
        <f t="shared" si="108"/>
        <v>0</v>
      </c>
      <c r="U229" s="449">
        <f>IF(D226&lt;=3,база!$M$4,
IF(D226=4,база!$M$5,
IF(D226=5,база!$M$6)))</f>
        <v>225.09719999999999</v>
      </c>
      <c r="V229" s="367">
        <v>1.2</v>
      </c>
      <c r="W229" s="389">
        <f>SUMIFS(Таблица14[часы],Таблица14[коэф],"1,2",Таблица14[р/р],"3/24",Таблица14[Ф. И. О.],B231)</f>
        <v>0</v>
      </c>
      <c r="X229" s="521">
        <f t="shared" si="109"/>
        <v>0</v>
      </c>
      <c r="Y229" s="748"/>
      <c r="Z229" s="750"/>
      <c r="AA229" s="740"/>
    </row>
    <row r="230" spans="1:27" ht="18.75">
      <c r="A230" s="740"/>
      <c r="B230" s="201"/>
      <c r="C230" s="743"/>
      <c r="D230" s="746"/>
      <c r="E230" s="370"/>
      <c r="F230" s="367"/>
      <c r="G230" s="377"/>
      <c r="H230" s="520">
        <f t="shared" si="106"/>
        <v>0</v>
      </c>
      <c r="I230" s="366">
        <f>база!$J$6</f>
        <v>243.04319999999998</v>
      </c>
      <c r="J230" s="367">
        <v>1.5</v>
      </c>
      <c r="K230" s="411">
        <f>SUMIFS(Таблица14[часы],Таблица14[коэф],"1,5",Таблица14[р/р],"5/8",Таблица14[Ф. И. О.],B231)</f>
        <v>0</v>
      </c>
      <c r="L230" s="372">
        <f t="shared" si="107"/>
        <v>0</v>
      </c>
      <c r="M230" s="409"/>
      <c r="N230" s="411"/>
      <c r="O230" s="411"/>
      <c r="P230" s="411"/>
      <c r="Q230" s="376">
        <f>база!$L$5</f>
        <v>231.45480000000001</v>
      </c>
      <c r="R230" s="367">
        <v>1.2</v>
      </c>
      <c r="S230" s="377">
        <f>SUMIFS(Таблица14[часы],Таблица14[коэф],"1,2",Таблица14[р/р],"4/16",Таблица14[Ф. И. О.],B231)</f>
        <v>0</v>
      </c>
      <c r="T230" s="520">
        <f t="shared" si="108"/>
        <v>0</v>
      </c>
      <c r="U230" s="449">
        <f>база!$M$5</f>
        <v>247.41720000000001</v>
      </c>
      <c r="V230" s="367">
        <v>1.2</v>
      </c>
      <c r="W230" s="389">
        <f>SUMIFS(Таблица14[часы],Таблица14[коэф],"1,2",Таблица14[р/р],"4/24",Таблица14[Ф. И. О.],B231)</f>
        <v>0</v>
      </c>
      <c r="X230" s="521">
        <f t="shared" si="109"/>
        <v>0</v>
      </c>
      <c r="Y230" s="748"/>
      <c r="Z230" s="750"/>
      <c r="AA230" s="740"/>
    </row>
    <row r="231" spans="1:27" ht="18.75">
      <c r="A231" s="740"/>
      <c r="B231" s="201" t="str">
        <f>база!B22</f>
        <v>Ерошина Ирина Павловна</v>
      </c>
      <c r="C231" s="743"/>
      <c r="D231" s="746"/>
      <c r="E231" s="370"/>
      <c r="F231" s="367"/>
      <c r="G231" s="377"/>
      <c r="H231" s="520">
        <f t="shared" si="106"/>
        <v>0</v>
      </c>
      <c r="I231" s="366"/>
      <c r="J231" s="367"/>
      <c r="K231" s="411"/>
      <c r="L231" s="372">
        <f t="shared" si="107"/>
        <v>0</v>
      </c>
      <c r="M231" s="409"/>
      <c r="N231" s="411"/>
      <c r="O231" s="411"/>
      <c r="P231" s="411"/>
      <c r="Q231" s="376">
        <f>база!$L$6</f>
        <v>261.04640000000001</v>
      </c>
      <c r="R231" s="367">
        <v>1.2</v>
      </c>
      <c r="S231" s="377">
        <f>SUMIFS(Таблица14[часы],Таблица14[коэф],"1,2",Таблица14[р/р],"5/16",Таблица14[Ф. И. О.],B231)</f>
        <v>0</v>
      </c>
      <c r="T231" s="520">
        <f t="shared" si="108"/>
        <v>0</v>
      </c>
      <c r="U231" s="449">
        <f>база!$M$6</f>
        <v>279.0496</v>
      </c>
      <c r="V231" s="367">
        <v>1.2</v>
      </c>
      <c r="W231" s="389">
        <f>SUMIFS(Таблица14[часы],Таблица14[коэф],"1,2",Таблица14[р/р],"5/24",Таблица14[Ф. И. О.],B231)</f>
        <v>0</v>
      </c>
      <c r="X231" s="521">
        <f t="shared" si="109"/>
        <v>0</v>
      </c>
      <c r="Y231" s="748"/>
      <c r="Z231" s="750"/>
      <c r="AA231" s="740"/>
    </row>
    <row r="232" spans="1:27" ht="18.75">
      <c r="A232" s="740"/>
      <c r="B232" s="201"/>
      <c r="C232" s="743"/>
      <c r="D232" s="746"/>
      <c r="E232" s="370"/>
      <c r="F232" s="367"/>
      <c r="G232" s="377"/>
      <c r="H232" s="520">
        <f t="shared" si="106"/>
        <v>0</v>
      </c>
      <c r="I232" s="366"/>
      <c r="J232" s="367"/>
      <c r="K232" s="411"/>
      <c r="L232" s="372">
        <f t="shared" si="107"/>
        <v>0</v>
      </c>
      <c r="M232" s="409"/>
      <c r="N232" s="411"/>
      <c r="O232" s="411"/>
      <c r="P232" s="411"/>
      <c r="Q232" s="376">
        <f>IF(D226&lt;=3,база!$L$4,
IF(D226=4,база!$L$5,
IF(D226=5,база!$L$6)))</f>
        <v>210.57480000000001</v>
      </c>
      <c r="R232" s="367">
        <v>1.3</v>
      </c>
      <c r="S232" s="377">
        <f>SUMIFS(Таблица14[часы],Таблица14[коэф],"1,3",Таблица14[р/р],"3/16",Таблица14[Ф. И. О.],B231)</f>
        <v>0</v>
      </c>
      <c r="T232" s="520">
        <f t="shared" si="108"/>
        <v>0</v>
      </c>
      <c r="U232" s="449">
        <f>IF(D226&lt;=3,база!$M$4,
IF(D226=4,база!$M$5,
IF(D226=5,база!$M$6)))</f>
        <v>225.09719999999999</v>
      </c>
      <c r="V232" s="367">
        <v>1.3</v>
      </c>
      <c r="W232" s="389">
        <f>SUMIFS(Таблица14[часы],Таблица14[коэф],"1,3",Таблица14[р/р],"3/24",Таблица14[Ф. И. О.],B231)</f>
        <v>0</v>
      </c>
      <c r="X232" s="521">
        <f t="shared" si="109"/>
        <v>0</v>
      </c>
      <c r="Y232" s="748"/>
      <c r="Z232" s="750"/>
      <c r="AA232" s="740"/>
    </row>
    <row r="233" spans="1:27" ht="18.75">
      <c r="A233" s="740"/>
      <c r="B233" s="201"/>
      <c r="C233" s="743"/>
      <c r="D233" s="746"/>
      <c r="E233" s="370"/>
      <c r="F233" s="367"/>
      <c r="G233" s="377"/>
      <c r="H233" s="520">
        <f t="shared" si="106"/>
        <v>0</v>
      </c>
      <c r="I233" s="366"/>
      <c r="J233" s="367"/>
      <c r="K233" s="411"/>
      <c r="L233" s="372">
        <f t="shared" si="107"/>
        <v>0</v>
      </c>
      <c r="M233" s="409"/>
      <c r="N233" s="411"/>
      <c r="O233" s="411"/>
      <c r="P233" s="411"/>
      <c r="Q233" s="376">
        <f>база!$L$5</f>
        <v>231.45480000000001</v>
      </c>
      <c r="R233" s="367">
        <v>1.3</v>
      </c>
      <c r="S233" s="377">
        <f>SUMIFS(Таблица14[часы],Таблица14[коэф],"1,3",Таблица14[р/р],"4/16",Таблица14[Ф. И. О.],B231)</f>
        <v>0</v>
      </c>
      <c r="T233" s="520">
        <f t="shared" si="108"/>
        <v>0</v>
      </c>
      <c r="U233" s="449">
        <f>база!$M$5</f>
        <v>247.41720000000001</v>
      </c>
      <c r="V233" s="367">
        <v>1.3</v>
      </c>
      <c r="W233" s="389">
        <f>SUMIFS(Таблица14[часы],Таблица14[коэф],"1,3",Таблица14[р/р],"4/24",Таблица14[Ф. И. О.],B231)</f>
        <v>0</v>
      </c>
      <c r="X233" s="521">
        <f t="shared" si="109"/>
        <v>0</v>
      </c>
      <c r="Y233" s="748"/>
      <c r="Z233" s="750"/>
      <c r="AA233" s="740"/>
    </row>
    <row r="234" spans="1:27" ht="18.75">
      <c r="A234" s="740"/>
      <c r="B234" s="201"/>
      <c r="C234" s="743"/>
      <c r="D234" s="746"/>
      <c r="E234" s="370"/>
      <c r="F234" s="367"/>
      <c r="G234" s="377"/>
      <c r="H234" s="520">
        <f t="shared" si="106"/>
        <v>0</v>
      </c>
      <c r="I234" s="366"/>
      <c r="J234" s="367"/>
      <c r="K234" s="411"/>
      <c r="L234" s="372">
        <f t="shared" si="107"/>
        <v>0</v>
      </c>
      <c r="M234" s="409"/>
      <c r="N234" s="411"/>
      <c r="O234" s="411"/>
      <c r="P234" s="411"/>
      <c r="Q234" s="376">
        <f>IF(D226&lt;=3,база!$L$4,
IF(D226=4,база!$L$5,
IF(D226=5,база!$L$6)))</f>
        <v>210.57480000000001</v>
      </c>
      <c r="R234" s="367">
        <v>1.4</v>
      </c>
      <c r="S234" s="377">
        <f>SUMIFS(Таблица14[часы],Таблица14[коэф],"1,4",Таблица14[р/р],"3/16",Таблица14[Ф. И. О.],B231)</f>
        <v>0</v>
      </c>
      <c r="T234" s="520">
        <f t="shared" si="108"/>
        <v>0</v>
      </c>
      <c r="U234" s="449">
        <f>IF(D226&lt;=3,база!$M$4,
IF(D226=4,база!$M$5,
IF(D226=5,база!$M$6)))</f>
        <v>225.09719999999999</v>
      </c>
      <c r="V234" s="367">
        <v>1.4</v>
      </c>
      <c r="W234" s="389">
        <f>SUMIFS(Таблица14[часы],Таблица14[коэф],"1,4",Таблица14[р/р],"3/24",Таблица14[Ф. И. О.],B231)</f>
        <v>0</v>
      </c>
      <c r="X234" s="521">
        <f t="shared" si="109"/>
        <v>0</v>
      </c>
      <c r="Y234" s="748"/>
      <c r="Z234" s="750"/>
      <c r="AA234" s="740"/>
    </row>
    <row r="235" spans="1:27" ht="18.75">
      <c r="A235" s="740"/>
      <c r="B235" s="201"/>
      <c r="C235" s="743"/>
      <c r="D235" s="746"/>
      <c r="E235" s="370"/>
      <c r="F235" s="367"/>
      <c r="G235" s="377"/>
      <c r="H235" s="520">
        <f t="shared" si="106"/>
        <v>0</v>
      </c>
      <c r="I235" s="366"/>
      <c r="J235" s="367"/>
      <c r="K235" s="411"/>
      <c r="L235" s="372">
        <f t="shared" si="107"/>
        <v>0</v>
      </c>
      <c r="M235" s="409"/>
      <c r="N235" s="411"/>
      <c r="O235" s="411"/>
      <c r="P235" s="411"/>
      <c r="Q235" s="376">
        <f>база!$L$5</f>
        <v>231.45480000000001</v>
      </c>
      <c r="R235" s="367">
        <v>1.4</v>
      </c>
      <c r="S235" s="377">
        <f>SUMIFS(Таблица14[часы],Таблица14[коэф],"1,4",Таблица14[р/р],"4/16",Таблица14[Ф. И. О.],B231)</f>
        <v>0</v>
      </c>
      <c r="T235" s="520">
        <f t="shared" si="108"/>
        <v>0</v>
      </c>
      <c r="U235" s="449">
        <f>база!$M$5</f>
        <v>247.41720000000001</v>
      </c>
      <c r="V235" s="367">
        <v>1.4</v>
      </c>
      <c r="W235" s="389">
        <f>SUMIFS(Таблица14[часы],Таблица14[коэф],"1,4",Таблица14[р/р],"4/24",Таблица14[Ф. И. О.],B231)</f>
        <v>0</v>
      </c>
      <c r="X235" s="521">
        <f t="shared" si="109"/>
        <v>0</v>
      </c>
      <c r="Y235" s="748"/>
      <c r="Z235" s="750"/>
      <c r="AA235" s="740"/>
    </row>
    <row r="236" spans="1:27" ht="19.5" thickBot="1">
      <c r="A236" s="741"/>
      <c r="B236" s="188"/>
      <c r="C236" s="744"/>
      <c r="D236" s="747"/>
      <c r="E236" s="440"/>
      <c r="F236" s="441"/>
      <c r="G236" s="442"/>
      <c r="H236" s="525">
        <f t="shared" si="106"/>
        <v>0</v>
      </c>
      <c r="I236" s="450"/>
      <c r="J236" s="441"/>
      <c r="K236" s="434"/>
      <c r="L236" s="435">
        <f t="shared" si="107"/>
        <v>0</v>
      </c>
      <c r="M236" s="443"/>
      <c r="N236" s="434"/>
      <c r="O236" s="434"/>
      <c r="P236" s="434"/>
      <c r="Q236" s="444">
        <f>база!$L$6</f>
        <v>261.04640000000001</v>
      </c>
      <c r="R236" s="441">
        <v>1.4</v>
      </c>
      <c r="S236" s="442">
        <f>SUMIFS(Таблица14[часы],Таблица14[коэф],"1,4",Таблица14[р/р],"5/16",Таблица14[Ф. И. О.],B231)</f>
        <v>0</v>
      </c>
      <c r="T236" s="525">
        <f t="shared" si="108"/>
        <v>0</v>
      </c>
      <c r="U236" s="451">
        <f>база!$M$6</f>
        <v>279.0496</v>
      </c>
      <c r="V236" s="441">
        <v>1.4</v>
      </c>
      <c r="W236" s="447">
        <f>SUMIFS(Таблица14[часы],Таблица14[коэф],"1,4",Таблица14[р/р],"5/24",Таблица14[Ф. И. О.],B231)</f>
        <v>0</v>
      </c>
      <c r="X236" s="523">
        <f t="shared" si="109"/>
        <v>0</v>
      </c>
      <c r="Y236" s="749"/>
      <c r="Z236" s="751"/>
      <c r="AA236" s="741"/>
    </row>
    <row r="237" spans="1:27" ht="18.75">
      <c r="A237" s="739">
        <v>22</v>
      </c>
      <c r="B237" s="219"/>
      <c r="C237" s="742">
        <f>INDEX(база!$E$2:$E$81, MATCH(B242,база!$B$2:$B$50,0))</f>
        <v>17309</v>
      </c>
      <c r="D237" s="745">
        <f>INDEX(база!$D$2:$D$89, MATCH(B242,база!$B$2:$B$50,0))</f>
        <v>3</v>
      </c>
      <c r="E237" s="358">
        <f>IF(D237&lt;=3,база!$I$4,
IF(D237=4,база!$I$5,
IF(D237=5,база!$I$6)))</f>
        <v>188.7912</v>
      </c>
      <c r="F237" s="355">
        <v>1</v>
      </c>
      <c r="G237" s="364">
        <f>SUMIFS(Таблица14[часы],Таблица14[коэф],"1",Таблица14[р/р],"2/4",Таблица14[Ф. И. О.],B242)</f>
        <v>0</v>
      </c>
      <c r="H237" s="357">
        <f>ROUND(E237*F237*G237*2,2)</f>
        <v>0</v>
      </c>
      <c r="I237" s="354">
        <f>IF(D237&lt;=3,база!$J$4,
IF(D237=4,база!$J$5,
IF(D237=5,база!$J$6)))</f>
        <v>196.05240000000001</v>
      </c>
      <c r="J237" s="355">
        <v>1</v>
      </c>
      <c r="K237" s="405">
        <f>SUMIFS(Таблица14[часы],Таблица14[коэф],"1",Таблица14[р/р],"2/8",Таблица14[Ф. И. О.],B242)</f>
        <v>0</v>
      </c>
      <c r="L237" s="360">
        <f>ROUND(I237*J237*K237*2,2)</f>
        <v>0</v>
      </c>
      <c r="M237" s="403"/>
      <c r="N237" s="405">
        <v>1</v>
      </c>
      <c r="O237" s="405">
        <f>SUMIFS(Data_Tech!$AM$3:$AM$67,Data_Tech!$E$3:$E$67,"1",Data_Tech!$G$3:$G$67,"3/12",Data_Tech!$F$3:$F$67,B242)</f>
        <v>0</v>
      </c>
      <c r="P237" s="405">
        <f>ROUND(M237*N237*O237,2)</f>
        <v>0</v>
      </c>
      <c r="Q237" s="363">
        <f>IF(D237&lt;=3,база!$L$4,
IF(D237=4,база!$L$5,
IF(D237=5,база!$L$6)))</f>
        <v>210.57480000000001</v>
      </c>
      <c r="R237" s="355">
        <v>1</v>
      </c>
      <c r="S237" s="364">
        <f>SUMIFS(Таблица14[часы],Таблица14[коэф],"1",Таблица14[р/р],"3/16",Таблица14[Ф. И. О.],B242)</f>
        <v>0</v>
      </c>
      <c r="T237" s="524">
        <f>ROUND(Q237*R237*S237*2,2)</f>
        <v>0</v>
      </c>
      <c r="U237" s="448">
        <f>IF(D237&lt;=3,база!$M$4,
IF(D237=4,база!$M$5,
IF(D237=5,база!$M$6)))</f>
        <v>225.09719999999999</v>
      </c>
      <c r="V237" s="355">
        <v>1</v>
      </c>
      <c r="W237" s="407">
        <f>SUMIFS(Таблица14[часы],Таблица14[коэф],"1",Таблица14[р/р],"3/24",Таблица14[Ф. И. О.],B242)</f>
        <v>0</v>
      </c>
      <c r="X237" s="519">
        <f>ROUND(U237*V237*W237*2,2)</f>
        <v>0</v>
      </c>
      <c r="Y237" s="748">
        <f t="shared" ref="Y237" si="110">SUM(G237:G247,K237:K247,O237:O247,S237:S247,W237:W247)</f>
        <v>0</v>
      </c>
      <c r="Z237" s="750">
        <f t="shared" ref="Z237" si="111">IFERROR(SUM(H237:H247,L237:L247,T237:T247,X237:X247),"")</f>
        <v>0</v>
      </c>
      <c r="AA237" s="740"/>
    </row>
    <row r="238" spans="1:27" ht="18.75">
      <c r="A238" s="740"/>
      <c r="B238" s="201"/>
      <c r="C238" s="743"/>
      <c r="D238" s="746"/>
      <c r="E238" s="370">
        <f>IF(D237&lt;=3,база!$I$4,
IF(D237=4,база!$I$5,
IF(D237=5,база!$I$6)))</f>
        <v>188.7912</v>
      </c>
      <c r="F238" s="367">
        <v>1</v>
      </c>
      <c r="G238" s="377">
        <f>SUMIFS(Таблица14[часы],Таблица14[коэф],"1",Таблица14[р/р],"3/4",Таблица14[Ф. И. О.],B242)</f>
        <v>0</v>
      </c>
      <c r="H238" s="518">
        <f t="shared" ref="H238:H247" si="112">ROUND(E238*F238*G238*2,2)</f>
        <v>0</v>
      </c>
      <c r="I238" s="366">
        <f>IF(D237&lt;=3,база!$J$4,
IF(D237=4,база!$J$5,
IF(D237=5,база!$J$6)))</f>
        <v>196.05240000000001</v>
      </c>
      <c r="J238" s="367">
        <v>1</v>
      </c>
      <c r="K238" s="411">
        <f>SUMIFS(Таблица14[часы],Таблица14[коэф],"1",Таблица14[р/р],"3/8",Таблица14[Ф. И. О.],B242)</f>
        <v>0</v>
      </c>
      <c r="L238" s="372">
        <f t="shared" ref="L238:L247" si="113">ROUND(I238*J238*K238*2,2)</f>
        <v>0</v>
      </c>
      <c r="M238" s="409"/>
      <c r="N238" s="411">
        <v>1</v>
      </c>
      <c r="O238" s="411">
        <f>SUMIFS(Data_Tech!$AM$3:$AM$67,Data_Tech!$E$3:$E$67,"1",Data_Tech!$G$3:$G$67,"4/12",Data_Tech!$F$3:$F$67,B242)</f>
        <v>0</v>
      </c>
      <c r="P238" s="411">
        <f>ROUND(M238*O238,2)</f>
        <v>0</v>
      </c>
      <c r="Q238" s="376">
        <f>база!$L$5</f>
        <v>231.45480000000001</v>
      </c>
      <c r="R238" s="367">
        <v>1</v>
      </c>
      <c r="S238" s="377">
        <f>SUMIFS(Таблица14[часы],Таблица14[коэф],"1",Таблица14[р/р],"4/16",Таблица14[Ф. И. О.],B242)</f>
        <v>0</v>
      </c>
      <c r="T238" s="520">
        <f t="shared" ref="T238:T247" si="114">ROUND(Q238*R238*S238*2,2)</f>
        <v>0</v>
      </c>
      <c r="U238" s="449">
        <f>база!$M$5</f>
        <v>247.41720000000001</v>
      </c>
      <c r="V238" s="367">
        <v>1</v>
      </c>
      <c r="W238" s="389">
        <f>SUMIFS(Таблица14[часы],Таблица14[коэф],"1",Таблица14[р/р],"4/24",Таблица14[Ф. И. О.],B242)</f>
        <v>0</v>
      </c>
      <c r="X238" s="521">
        <f t="shared" ref="X238:X247" si="115">ROUND(U238*V238*W238*2,2)</f>
        <v>0</v>
      </c>
      <c r="Y238" s="748"/>
      <c r="Z238" s="750"/>
      <c r="AA238" s="740"/>
    </row>
    <row r="239" spans="1:27" ht="18.75">
      <c r="A239" s="740"/>
      <c r="B239" s="201"/>
      <c r="C239" s="743"/>
      <c r="D239" s="746"/>
      <c r="E239" s="370"/>
      <c r="F239" s="367"/>
      <c r="G239" s="377"/>
      <c r="H239" s="520">
        <f t="shared" si="112"/>
        <v>0</v>
      </c>
      <c r="I239" s="366"/>
      <c r="J239" s="367"/>
      <c r="K239" s="411"/>
      <c r="L239" s="372">
        <f t="shared" si="113"/>
        <v>0</v>
      </c>
      <c r="M239" s="409"/>
      <c r="N239" s="411"/>
      <c r="O239" s="411"/>
      <c r="P239" s="411"/>
      <c r="Q239" s="376">
        <f>база!$L$6</f>
        <v>261.04640000000001</v>
      </c>
      <c r="R239" s="367">
        <v>1</v>
      </c>
      <c r="S239" s="377">
        <f>SUMIFS(Таблица14[часы],Таблица14[коэф],"1",Таблица14[р/р],"5/16",Таблица14[Ф. И. О.],B242)</f>
        <v>0</v>
      </c>
      <c r="T239" s="520">
        <f t="shared" si="114"/>
        <v>0</v>
      </c>
      <c r="U239" s="449">
        <f>база!$M$6</f>
        <v>279.0496</v>
      </c>
      <c r="V239" s="367">
        <v>1</v>
      </c>
      <c r="W239" s="389">
        <f>SUMIFS(Таблица14[часы],Таблица14[коэф],"1",Таблица14[р/р],"5/24",Таблица14[Ф. И. О.],B242)</f>
        <v>0</v>
      </c>
      <c r="X239" s="521">
        <f t="shared" si="115"/>
        <v>0</v>
      </c>
      <c r="Y239" s="748"/>
      <c r="Z239" s="750"/>
      <c r="AA239" s="740"/>
    </row>
    <row r="240" spans="1:27" ht="18.75">
      <c r="A240" s="740"/>
      <c r="B240" s="201"/>
      <c r="C240" s="743"/>
      <c r="D240" s="746"/>
      <c r="E240" s="370"/>
      <c r="F240" s="367"/>
      <c r="G240" s="377"/>
      <c r="H240" s="520">
        <f t="shared" si="112"/>
        <v>0</v>
      </c>
      <c r="I240" s="366">
        <f>база!$J$5</f>
        <v>215.4924</v>
      </c>
      <c r="J240" s="367">
        <v>1.5</v>
      </c>
      <c r="K240" s="411">
        <f>SUMIFS(Таблица14[часы],Таблица14[коэф],"1,5",Таблица14[р/р],"4/8",Таблица14[Ф. И. О.],B242)</f>
        <v>0</v>
      </c>
      <c r="L240" s="372">
        <f t="shared" si="113"/>
        <v>0</v>
      </c>
      <c r="M240" s="409"/>
      <c r="N240" s="411"/>
      <c r="O240" s="411"/>
      <c r="P240" s="411"/>
      <c r="Q240" s="376">
        <f>IF(D237&lt;=3,база!$L$4,
IF(D237=4,база!$L$5,
IF(D237=5,база!$L$6)))</f>
        <v>210.57480000000001</v>
      </c>
      <c r="R240" s="367">
        <v>1.2</v>
      </c>
      <c r="S240" s="377">
        <f>SUMIFS(Таблица14[часы],Таблица14[коэф],"1,2",Таблица14[р/р],"3/16",Таблица14[Ф. И. О.],B242)</f>
        <v>0</v>
      </c>
      <c r="T240" s="520">
        <f t="shared" si="114"/>
        <v>0</v>
      </c>
      <c r="U240" s="449">
        <f>IF(D237&lt;=3,база!$M$4,
IF(D237=4,база!$M$5,
IF(D237=5,база!$M$6)))</f>
        <v>225.09719999999999</v>
      </c>
      <c r="V240" s="367">
        <v>1.2</v>
      </c>
      <c r="W240" s="389">
        <f>SUMIFS(Таблица14[часы],Таблица14[коэф],"1,2",Таблица14[р/р],"3/24",Таблица14[Ф. И. О.],B242)</f>
        <v>0</v>
      </c>
      <c r="X240" s="521">
        <f t="shared" si="115"/>
        <v>0</v>
      </c>
      <c r="Y240" s="748"/>
      <c r="Z240" s="750"/>
      <c r="AA240" s="740"/>
    </row>
    <row r="241" spans="1:27" ht="18.75">
      <c r="A241" s="740"/>
      <c r="B241" s="201"/>
      <c r="C241" s="743"/>
      <c r="D241" s="746"/>
      <c r="E241" s="370"/>
      <c r="F241" s="367"/>
      <c r="G241" s="377"/>
      <c r="H241" s="520">
        <f t="shared" si="112"/>
        <v>0</v>
      </c>
      <c r="I241" s="366">
        <f>база!$J$6</f>
        <v>243.04319999999998</v>
      </c>
      <c r="J241" s="367">
        <v>1.5</v>
      </c>
      <c r="K241" s="411">
        <f>SUMIFS(Таблица14[часы],Таблица14[коэф],"1,5",Таблица14[р/р],"5/8",Таблица14[Ф. И. О.],B242)</f>
        <v>0</v>
      </c>
      <c r="L241" s="372">
        <f t="shared" si="113"/>
        <v>0</v>
      </c>
      <c r="M241" s="409"/>
      <c r="N241" s="411"/>
      <c r="O241" s="411"/>
      <c r="P241" s="411"/>
      <c r="Q241" s="376">
        <f>база!$L$5</f>
        <v>231.45480000000001</v>
      </c>
      <c r="R241" s="367">
        <v>1.2</v>
      </c>
      <c r="S241" s="377">
        <f>SUMIFS(Таблица14[часы],Таблица14[коэф],"1,2",Таблица14[р/р],"4/16",Таблица14[Ф. И. О.],B242)</f>
        <v>0</v>
      </c>
      <c r="T241" s="520">
        <f t="shared" si="114"/>
        <v>0</v>
      </c>
      <c r="U241" s="449">
        <f>база!$M$5</f>
        <v>247.41720000000001</v>
      </c>
      <c r="V241" s="367">
        <v>1.2</v>
      </c>
      <c r="W241" s="389">
        <f>SUMIFS(Таблица14[часы],Таблица14[коэф],"1,2",Таблица14[р/р],"4/24",Таблица14[Ф. И. О.],B242)</f>
        <v>0</v>
      </c>
      <c r="X241" s="521">
        <f t="shared" si="115"/>
        <v>0</v>
      </c>
      <c r="Y241" s="748"/>
      <c r="Z241" s="750"/>
      <c r="AA241" s="740"/>
    </row>
    <row r="242" spans="1:27" ht="18.75">
      <c r="A242" s="740"/>
      <c r="B242" s="201" t="str">
        <f>база!B23</f>
        <v>Ескина Ксения Анатольевна</v>
      </c>
      <c r="C242" s="743"/>
      <c r="D242" s="746"/>
      <c r="E242" s="370"/>
      <c r="F242" s="367"/>
      <c r="G242" s="377"/>
      <c r="H242" s="520">
        <f t="shared" si="112"/>
        <v>0</v>
      </c>
      <c r="I242" s="366"/>
      <c r="J242" s="367"/>
      <c r="K242" s="411"/>
      <c r="L242" s="372">
        <f t="shared" si="113"/>
        <v>0</v>
      </c>
      <c r="M242" s="409"/>
      <c r="N242" s="411"/>
      <c r="O242" s="411"/>
      <c r="P242" s="411"/>
      <c r="Q242" s="376">
        <f>база!$L$6</f>
        <v>261.04640000000001</v>
      </c>
      <c r="R242" s="367">
        <v>1.2</v>
      </c>
      <c r="S242" s="377">
        <f>SUMIFS(Таблица14[часы],Таблица14[коэф],"1,2",Таблица14[р/р],"5/16",Таблица14[Ф. И. О.],B242)</f>
        <v>0</v>
      </c>
      <c r="T242" s="520">
        <f t="shared" si="114"/>
        <v>0</v>
      </c>
      <c r="U242" s="449">
        <f>база!$M$6</f>
        <v>279.0496</v>
      </c>
      <c r="V242" s="367">
        <v>1.2</v>
      </c>
      <c r="W242" s="389">
        <f>SUMIFS(Таблица14[часы],Таблица14[коэф],"1,2",Таблица14[р/р],"5/24",Таблица14[Ф. И. О.],B242)</f>
        <v>0</v>
      </c>
      <c r="X242" s="521">
        <f t="shared" si="115"/>
        <v>0</v>
      </c>
      <c r="Y242" s="748"/>
      <c r="Z242" s="750"/>
      <c r="AA242" s="740"/>
    </row>
    <row r="243" spans="1:27" ht="18.75">
      <c r="A243" s="740"/>
      <c r="B243" s="201"/>
      <c r="C243" s="743"/>
      <c r="D243" s="746"/>
      <c r="E243" s="370"/>
      <c r="F243" s="367"/>
      <c r="G243" s="377"/>
      <c r="H243" s="520">
        <f t="shared" si="112"/>
        <v>0</v>
      </c>
      <c r="I243" s="366"/>
      <c r="J243" s="367"/>
      <c r="K243" s="411"/>
      <c r="L243" s="372">
        <f t="shared" si="113"/>
        <v>0</v>
      </c>
      <c r="M243" s="409"/>
      <c r="N243" s="411"/>
      <c r="O243" s="411"/>
      <c r="P243" s="411"/>
      <c r="Q243" s="376">
        <f>IF(D237&lt;=3,база!$L$4,
IF(D237=4,база!$L$5,
IF(D237=5,база!$L$6)))</f>
        <v>210.57480000000001</v>
      </c>
      <c r="R243" s="367">
        <v>1.3</v>
      </c>
      <c r="S243" s="377">
        <f>SUMIFS(Таблица14[часы],Таблица14[коэф],"1,3",Таблица14[р/р],"3/16",Таблица14[Ф. И. О.],B242)</f>
        <v>0</v>
      </c>
      <c r="T243" s="520">
        <f t="shared" si="114"/>
        <v>0</v>
      </c>
      <c r="U243" s="449">
        <f>IF(D237&lt;=3,база!$M$4,
IF(D237=4,база!$M$5,
IF(D237=5,база!$M$6)))</f>
        <v>225.09719999999999</v>
      </c>
      <c r="V243" s="367">
        <v>1.3</v>
      </c>
      <c r="W243" s="389">
        <f>SUMIFS(Таблица14[часы],Таблица14[коэф],"1,3",Таблица14[р/р],"3/24",Таблица14[Ф. И. О.],B242)</f>
        <v>0</v>
      </c>
      <c r="X243" s="521">
        <f t="shared" si="115"/>
        <v>0</v>
      </c>
      <c r="Y243" s="748"/>
      <c r="Z243" s="750"/>
      <c r="AA243" s="740"/>
    </row>
    <row r="244" spans="1:27" ht="18.75">
      <c r="A244" s="740"/>
      <c r="B244" s="201"/>
      <c r="C244" s="743"/>
      <c r="D244" s="746"/>
      <c r="E244" s="370"/>
      <c r="F244" s="367"/>
      <c r="G244" s="377"/>
      <c r="H244" s="520">
        <f t="shared" si="112"/>
        <v>0</v>
      </c>
      <c r="I244" s="366"/>
      <c r="J244" s="367"/>
      <c r="K244" s="411"/>
      <c r="L244" s="372">
        <f t="shared" si="113"/>
        <v>0</v>
      </c>
      <c r="M244" s="409"/>
      <c r="N244" s="411"/>
      <c r="O244" s="411"/>
      <c r="P244" s="411"/>
      <c r="Q244" s="376">
        <f>база!$L$5</f>
        <v>231.45480000000001</v>
      </c>
      <c r="R244" s="367">
        <v>1.3</v>
      </c>
      <c r="S244" s="377">
        <f>SUMIFS(Таблица14[часы],Таблица14[коэф],"1,3",Таблица14[р/р],"4/16",Таблица14[Ф. И. О.],B242)</f>
        <v>0</v>
      </c>
      <c r="T244" s="520">
        <f t="shared" si="114"/>
        <v>0</v>
      </c>
      <c r="U244" s="449">
        <f>база!$M$5</f>
        <v>247.41720000000001</v>
      </c>
      <c r="V244" s="367">
        <v>1.3</v>
      </c>
      <c r="W244" s="389">
        <f>SUMIFS(Таблица14[часы],Таблица14[коэф],"1,3",Таблица14[р/р],"4/24",Таблица14[Ф. И. О.],B242)</f>
        <v>0</v>
      </c>
      <c r="X244" s="521">
        <f t="shared" si="115"/>
        <v>0</v>
      </c>
      <c r="Y244" s="748"/>
      <c r="Z244" s="750"/>
      <c r="AA244" s="740"/>
    </row>
    <row r="245" spans="1:27" ht="18.75">
      <c r="A245" s="740"/>
      <c r="B245" s="201"/>
      <c r="C245" s="743"/>
      <c r="D245" s="746"/>
      <c r="E245" s="370"/>
      <c r="F245" s="367"/>
      <c r="G245" s="377"/>
      <c r="H245" s="520">
        <f t="shared" si="112"/>
        <v>0</v>
      </c>
      <c r="I245" s="366"/>
      <c r="J245" s="367"/>
      <c r="K245" s="411"/>
      <c r="L245" s="372">
        <f t="shared" si="113"/>
        <v>0</v>
      </c>
      <c r="M245" s="409"/>
      <c r="N245" s="411"/>
      <c r="O245" s="411"/>
      <c r="P245" s="411"/>
      <c r="Q245" s="376">
        <f>IF(D237&lt;=3,база!$L$4,
IF(D237=4,база!$L$5,
IF(D237=5,база!$L$6)))</f>
        <v>210.57480000000001</v>
      </c>
      <c r="R245" s="367">
        <v>1.4</v>
      </c>
      <c r="S245" s="377">
        <f>SUMIFS(Таблица14[часы],Таблица14[коэф],"1,4",Таблица14[р/р],"3/16",Таблица14[Ф. И. О.],B242)</f>
        <v>0</v>
      </c>
      <c r="T245" s="520">
        <f t="shared" si="114"/>
        <v>0</v>
      </c>
      <c r="U245" s="449">
        <f>IF(D237&lt;=3,база!$M$4,
IF(D237=4,база!$M$5,
IF(D237=5,база!$M$6)))</f>
        <v>225.09719999999999</v>
      </c>
      <c r="V245" s="367">
        <v>1.4</v>
      </c>
      <c r="W245" s="389">
        <f>SUMIFS(Таблица14[часы],Таблица14[коэф],"1,4",Таблица14[р/р],"3/24",Таблица14[Ф. И. О.],B242)</f>
        <v>0</v>
      </c>
      <c r="X245" s="521">
        <f t="shared" si="115"/>
        <v>0</v>
      </c>
      <c r="Y245" s="748"/>
      <c r="Z245" s="750"/>
      <c r="AA245" s="740"/>
    </row>
    <row r="246" spans="1:27" ht="18.75">
      <c r="A246" s="740"/>
      <c r="B246" s="201"/>
      <c r="C246" s="743"/>
      <c r="D246" s="746"/>
      <c r="E246" s="370"/>
      <c r="F246" s="367"/>
      <c r="G246" s="377"/>
      <c r="H246" s="520">
        <f t="shared" si="112"/>
        <v>0</v>
      </c>
      <c r="I246" s="366"/>
      <c r="J246" s="367"/>
      <c r="K246" s="411"/>
      <c r="L246" s="372">
        <f t="shared" si="113"/>
        <v>0</v>
      </c>
      <c r="M246" s="409"/>
      <c r="N246" s="411"/>
      <c r="O246" s="411"/>
      <c r="P246" s="411"/>
      <c r="Q246" s="376">
        <f>база!$L$5</f>
        <v>231.45480000000001</v>
      </c>
      <c r="R246" s="367">
        <v>1.4</v>
      </c>
      <c r="S246" s="377">
        <f>SUMIFS(Таблица14[часы],Таблица14[коэф],"1,4",Таблица14[р/р],"4/16",Таблица14[Ф. И. О.],B242)</f>
        <v>0</v>
      </c>
      <c r="T246" s="520">
        <f t="shared" si="114"/>
        <v>0</v>
      </c>
      <c r="U246" s="449">
        <f>база!$M$5</f>
        <v>247.41720000000001</v>
      </c>
      <c r="V246" s="367">
        <v>1.4</v>
      </c>
      <c r="W246" s="389">
        <f>SUMIFS(Таблица14[часы],Таблица14[коэф],"1,4",Таблица14[р/р],"4/24",Таблица14[Ф. И. О.],B242)</f>
        <v>0</v>
      </c>
      <c r="X246" s="521">
        <f t="shared" si="115"/>
        <v>0</v>
      </c>
      <c r="Y246" s="748"/>
      <c r="Z246" s="750"/>
      <c r="AA246" s="740"/>
    </row>
    <row r="247" spans="1:27" ht="19.5" thickBot="1">
      <c r="A247" s="741"/>
      <c r="B247" s="188"/>
      <c r="C247" s="744"/>
      <c r="D247" s="747"/>
      <c r="E247" s="440"/>
      <c r="F247" s="441"/>
      <c r="G247" s="442"/>
      <c r="H247" s="525">
        <f t="shared" si="112"/>
        <v>0</v>
      </c>
      <c r="I247" s="450"/>
      <c r="J247" s="441"/>
      <c r="K247" s="434"/>
      <c r="L247" s="435">
        <f t="shared" si="113"/>
        <v>0</v>
      </c>
      <c r="M247" s="443"/>
      <c r="N247" s="434"/>
      <c r="O247" s="434"/>
      <c r="P247" s="434"/>
      <c r="Q247" s="444">
        <f>база!$L$6</f>
        <v>261.04640000000001</v>
      </c>
      <c r="R247" s="441">
        <v>1.4</v>
      </c>
      <c r="S247" s="442">
        <f>SUMIFS(Таблица14[часы],Таблица14[коэф],"1,4",Таблица14[р/р],"5/16",Таблица14[Ф. И. О.],B242)</f>
        <v>0</v>
      </c>
      <c r="T247" s="525">
        <f t="shared" si="114"/>
        <v>0</v>
      </c>
      <c r="U247" s="451">
        <f>база!$M$6</f>
        <v>279.0496</v>
      </c>
      <c r="V247" s="441">
        <v>1.4</v>
      </c>
      <c r="W247" s="447">
        <f>SUMIFS(Таблица14[часы],Таблица14[коэф],"1,4",Таблица14[р/р],"5/24",Таблица14[Ф. И. О.],B242)</f>
        <v>0</v>
      </c>
      <c r="X247" s="523">
        <f t="shared" si="115"/>
        <v>0</v>
      </c>
      <c r="Y247" s="749"/>
      <c r="Z247" s="751"/>
      <c r="AA247" s="741"/>
    </row>
    <row r="248" spans="1:27" ht="18.75">
      <c r="A248" s="739">
        <v>23</v>
      </c>
      <c r="B248" s="219"/>
      <c r="C248" s="742">
        <f>INDEX(база!$E$2:$E$81, MATCH(B253,база!$B$2:$B$50,0))</f>
        <v>15608</v>
      </c>
      <c r="D248" s="745">
        <f>INDEX(база!$D$2:$D$89, MATCH(B253,база!$B$2:$B$50,0))</f>
        <v>3</v>
      </c>
      <c r="E248" s="358">
        <f>IF(D248&lt;=3,база!$I$4,
IF(D248=4,база!$I$5,
IF(D248=5,база!$I$6)))</f>
        <v>188.7912</v>
      </c>
      <c r="F248" s="355">
        <v>1</v>
      </c>
      <c r="G248" s="364">
        <f>SUMIFS(Таблица14[часы],Таблица14[коэф],"1",Таблица14[р/р],"2/4",Таблица14[Ф. И. О.],B253)</f>
        <v>0</v>
      </c>
      <c r="H248" s="357">
        <f>ROUND(E248*F248*G248*2,2)</f>
        <v>0</v>
      </c>
      <c r="I248" s="354">
        <f>IF(D248&lt;=3,база!$J$4,
IF(D248=4,база!$J$5,
IF(D248=5,база!$J$6)))</f>
        <v>196.05240000000001</v>
      </c>
      <c r="J248" s="355">
        <v>1</v>
      </c>
      <c r="K248" s="405">
        <f>SUMIFS(Таблица14[часы],Таблица14[коэф],"1",Таблица14[р/р],"2/8",Таблица14[Ф. И. О.],B253)</f>
        <v>0</v>
      </c>
      <c r="L248" s="360">
        <f>ROUND(I248*J248*K248*2,2)</f>
        <v>0</v>
      </c>
      <c r="M248" s="403"/>
      <c r="N248" s="405">
        <v>1</v>
      </c>
      <c r="O248" s="405">
        <f>SUMIFS(Data_Tech!$AM$3:$AM$67,Data_Tech!$E$3:$E$67,"1",Data_Tech!$G$3:$G$67,"3/12",Data_Tech!$F$3:$F$67,B253)</f>
        <v>0</v>
      </c>
      <c r="P248" s="405">
        <f>ROUND(M248*N248*O248,2)</f>
        <v>0</v>
      </c>
      <c r="Q248" s="363">
        <f>IF(D248&lt;=3,база!$L$4,
IF(D248=4,база!$L$5,
IF(D248=5,база!$L$6)))</f>
        <v>210.57480000000001</v>
      </c>
      <c r="R248" s="355">
        <v>1</v>
      </c>
      <c r="S248" s="364">
        <f>SUMIFS(Таблица14[часы],Таблица14[коэф],"1",Таблица14[р/р],"3/16",Таблица14[Ф. И. О.],B253)</f>
        <v>0</v>
      </c>
      <c r="T248" s="524">
        <f>ROUND(Q248*R248*S248*2,2)</f>
        <v>0</v>
      </c>
      <c r="U248" s="448">
        <f>IF(D248&lt;=3,база!$M$4,
IF(D248=4,база!$M$5,
IF(D248=5,база!$M$6)))</f>
        <v>225.09719999999999</v>
      </c>
      <c r="V248" s="355">
        <v>1</v>
      </c>
      <c r="W248" s="407">
        <f>SUMIFS(Таблица14[часы],Таблица14[коэф],"1",Таблица14[р/р],"3/24",Таблица14[Ф. И. О.],B253)</f>
        <v>0</v>
      </c>
      <c r="X248" s="519">
        <f>ROUND(U248*V248*W248*2,2)</f>
        <v>0</v>
      </c>
      <c r="Y248" s="748">
        <f t="shared" ref="Y248" si="116">SUM(G248:G258,K248:K258,O248:O258,S248:S258,W248:W258)</f>
        <v>0</v>
      </c>
      <c r="Z248" s="750">
        <f t="shared" ref="Z248" si="117">IFERROR(SUM(H248:H258,L248:L258,T248:T258,X248:X258),"")</f>
        <v>0</v>
      </c>
      <c r="AA248" s="740"/>
    </row>
    <row r="249" spans="1:27" ht="18.75">
      <c r="A249" s="740"/>
      <c r="B249" s="201"/>
      <c r="C249" s="743"/>
      <c r="D249" s="746"/>
      <c r="E249" s="370">
        <f>IF(D248&lt;=3,база!$I$4,
IF(D248=4,база!$I$5,
IF(D248=5,база!$I$6)))</f>
        <v>188.7912</v>
      </c>
      <c r="F249" s="367">
        <v>1</v>
      </c>
      <c r="G249" s="377">
        <f>SUMIFS(Таблица14[часы],Таблица14[коэф],"1",Таблица14[р/р],"3/4",Таблица14[Ф. И. О.],B253)</f>
        <v>0</v>
      </c>
      <c r="H249" s="518">
        <f t="shared" ref="H249:H258" si="118">ROUND(E249*F249*G249*2,2)</f>
        <v>0</v>
      </c>
      <c r="I249" s="366">
        <f>IF(D248&lt;=3,база!$J$4,
IF(D248=4,база!$J$5,
IF(D248=5,база!$J$6)))</f>
        <v>196.05240000000001</v>
      </c>
      <c r="J249" s="367">
        <v>1</v>
      </c>
      <c r="K249" s="411">
        <f>SUMIFS(Таблица14[часы],Таблица14[коэф],"1",Таблица14[р/р],"3/8",Таблица14[Ф. И. О.],B253)</f>
        <v>0</v>
      </c>
      <c r="L249" s="372">
        <f t="shared" ref="L249:L258" si="119">ROUND(I249*J249*K249*2,2)</f>
        <v>0</v>
      </c>
      <c r="M249" s="409"/>
      <c r="N249" s="411">
        <v>1</v>
      </c>
      <c r="O249" s="411">
        <f>SUMIFS(Data_Tech!$AM$3:$AM$67,Data_Tech!$E$3:$E$67,"1",Data_Tech!$G$3:$G$67,"4/12",Data_Tech!$F$3:$F$67,B253)</f>
        <v>0</v>
      </c>
      <c r="P249" s="411">
        <f>ROUND(M249*O249,2)</f>
        <v>0</v>
      </c>
      <c r="Q249" s="376">
        <f>база!$L$5</f>
        <v>231.45480000000001</v>
      </c>
      <c r="R249" s="367">
        <v>1</v>
      </c>
      <c r="S249" s="377">
        <f>SUMIFS(Таблица14[часы],Таблица14[коэф],"1",Таблица14[р/р],"4/16",Таблица14[Ф. И. О.],B253)</f>
        <v>0</v>
      </c>
      <c r="T249" s="520">
        <f t="shared" ref="T249:T258" si="120">ROUND(Q249*R249*S249*2,2)</f>
        <v>0</v>
      </c>
      <c r="U249" s="449">
        <f>база!$M$5</f>
        <v>247.41720000000001</v>
      </c>
      <c r="V249" s="367">
        <v>1</v>
      </c>
      <c r="W249" s="389">
        <f>SUMIFS(Таблица14[часы],Таблица14[коэф],"1",Таблица14[р/р],"4/24",Таблица14[Ф. И. О.],B253)</f>
        <v>0</v>
      </c>
      <c r="X249" s="521">
        <f t="shared" ref="X249:X258" si="121">ROUND(U249*V249*W249*2,2)</f>
        <v>0</v>
      </c>
      <c r="Y249" s="748"/>
      <c r="Z249" s="750"/>
      <c r="AA249" s="740"/>
    </row>
    <row r="250" spans="1:27" ht="18.75">
      <c r="A250" s="740"/>
      <c r="B250" s="201"/>
      <c r="C250" s="743"/>
      <c r="D250" s="746"/>
      <c r="E250" s="370"/>
      <c r="F250" s="367"/>
      <c r="G250" s="377"/>
      <c r="H250" s="520">
        <f t="shared" si="118"/>
        <v>0</v>
      </c>
      <c r="I250" s="366"/>
      <c r="J250" s="367"/>
      <c r="K250" s="411"/>
      <c r="L250" s="372">
        <f t="shared" si="119"/>
        <v>0</v>
      </c>
      <c r="M250" s="409"/>
      <c r="N250" s="411"/>
      <c r="O250" s="411"/>
      <c r="P250" s="411"/>
      <c r="Q250" s="376">
        <f>база!$L$6</f>
        <v>261.04640000000001</v>
      </c>
      <c r="R250" s="367">
        <v>1</v>
      </c>
      <c r="S250" s="377">
        <f>SUMIFS(Таблица14[часы],Таблица14[коэф],"1",Таблица14[р/р],"5/16",Таблица14[Ф. И. О.],B253)</f>
        <v>0</v>
      </c>
      <c r="T250" s="520">
        <f t="shared" si="120"/>
        <v>0</v>
      </c>
      <c r="U250" s="449">
        <f>база!$M$6</f>
        <v>279.0496</v>
      </c>
      <c r="V250" s="367">
        <v>1</v>
      </c>
      <c r="W250" s="389">
        <f>SUMIFS(Таблица14[часы],Таблица14[коэф],"1",Таблица14[р/р],"5/24",Таблица14[Ф. И. О.],B253)</f>
        <v>0</v>
      </c>
      <c r="X250" s="521">
        <f t="shared" si="121"/>
        <v>0</v>
      </c>
      <c r="Y250" s="748"/>
      <c r="Z250" s="750"/>
      <c r="AA250" s="740"/>
    </row>
    <row r="251" spans="1:27" ht="18.75">
      <c r="A251" s="740"/>
      <c r="B251" s="201"/>
      <c r="C251" s="743"/>
      <c r="D251" s="746"/>
      <c r="E251" s="370"/>
      <c r="F251" s="367"/>
      <c r="G251" s="377"/>
      <c r="H251" s="520">
        <f t="shared" si="118"/>
        <v>0</v>
      </c>
      <c r="I251" s="366">
        <f>база!$J$5</f>
        <v>215.4924</v>
      </c>
      <c r="J251" s="367">
        <v>1.5</v>
      </c>
      <c r="K251" s="411">
        <f>SUMIFS(Таблица14[часы],Таблица14[коэф],"1,5",Таблица14[р/р],"4/8",Таблица14[Ф. И. О.],B253)</f>
        <v>0</v>
      </c>
      <c r="L251" s="372">
        <f t="shared" si="119"/>
        <v>0</v>
      </c>
      <c r="M251" s="409"/>
      <c r="N251" s="411"/>
      <c r="O251" s="411"/>
      <c r="P251" s="411"/>
      <c r="Q251" s="376">
        <f>IF(D248&lt;=3,база!$L$4,
IF(D248=4,база!$L$5,
IF(D248=5,база!$L$6)))</f>
        <v>210.57480000000001</v>
      </c>
      <c r="R251" s="367">
        <v>1.2</v>
      </c>
      <c r="S251" s="377">
        <f>SUMIFS(Таблица14[часы],Таблица14[коэф],"1,2",Таблица14[р/р],"3/16",Таблица14[Ф. И. О.],B253)</f>
        <v>0</v>
      </c>
      <c r="T251" s="520">
        <f t="shared" si="120"/>
        <v>0</v>
      </c>
      <c r="U251" s="449">
        <f>IF(D248&lt;=3,база!$M$4,
IF(D248=4,база!$M$5,
IF(D248=5,база!$M$6)))</f>
        <v>225.09719999999999</v>
      </c>
      <c r="V251" s="367">
        <v>1.2</v>
      </c>
      <c r="W251" s="389">
        <f>SUMIFS(Таблица14[часы],Таблица14[коэф],"1,2",Таблица14[р/р],"3/24",Таблица14[Ф. И. О.],B253)</f>
        <v>0</v>
      </c>
      <c r="X251" s="521">
        <f t="shared" si="121"/>
        <v>0</v>
      </c>
      <c r="Y251" s="748"/>
      <c r="Z251" s="750"/>
      <c r="AA251" s="740"/>
    </row>
    <row r="252" spans="1:27" ht="18.75">
      <c r="A252" s="740"/>
      <c r="B252" s="201"/>
      <c r="C252" s="743"/>
      <c r="D252" s="746"/>
      <c r="E252" s="370"/>
      <c r="F252" s="367"/>
      <c r="G252" s="377"/>
      <c r="H252" s="520">
        <f t="shared" si="118"/>
        <v>0</v>
      </c>
      <c r="I252" s="366">
        <f>база!$J$6</f>
        <v>243.04319999999998</v>
      </c>
      <c r="J252" s="367">
        <v>1.5</v>
      </c>
      <c r="K252" s="411">
        <f>SUMIFS(Таблица14[часы],Таблица14[коэф],"1,5",Таблица14[р/р],"5/8",Таблица14[Ф. И. О.],B253)</f>
        <v>0</v>
      </c>
      <c r="L252" s="372">
        <f t="shared" si="119"/>
        <v>0</v>
      </c>
      <c r="M252" s="409"/>
      <c r="N252" s="411"/>
      <c r="O252" s="411"/>
      <c r="P252" s="411"/>
      <c r="Q252" s="376">
        <f>база!$L$5</f>
        <v>231.45480000000001</v>
      </c>
      <c r="R252" s="367">
        <v>1.2</v>
      </c>
      <c r="S252" s="377">
        <f>SUMIFS(Таблица14[часы],Таблица14[коэф],"1,2",Таблица14[р/р],"4/16",Таблица14[Ф. И. О.],B253)</f>
        <v>0</v>
      </c>
      <c r="T252" s="520">
        <f t="shared" si="120"/>
        <v>0</v>
      </c>
      <c r="U252" s="449">
        <f>база!$M$5</f>
        <v>247.41720000000001</v>
      </c>
      <c r="V252" s="367">
        <v>1.2</v>
      </c>
      <c r="W252" s="389">
        <f>SUMIFS(Таблица14[часы],Таблица14[коэф],"1,2",Таблица14[р/р],"4/24",Таблица14[Ф. И. О.],B253)</f>
        <v>0</v>
      </c>
      <c r="X252" s="521">
        <f t="shared" si="121"/>
        <v>0</v>
      </c>
      <c r="Y252" s="748"/>
      <c r="Z252" s="750"/>
      <c r="AA252" s="740"/>
    </row>
    <row r="253" spans="1:27" ht="18.75">
      <c r="A253" s="740"/>
      <c r="B253" s="201" t="str">
        <f>база!B24</f>
        <v>Журавлева Мария Валентиновна</v>
      </c>
      <c r="C253" s="743"/>
      <c r="D253" s="746"/>
      <c r="E253" s="370"/>
      <c r="F253" s="367"/>
      <c r="G253" s="377"/>
      <c r="H253" s="520">
        <f t="shared" si="118"/>
        <v>0</v>
      </c>
      <c r="I253" s="366"/>
      <c r="J253" s="367"/>
      <c r="K253" s="411"/>
      <c r="L253" s="372">
        <f t="shared" si="119"/>
        <v>0</v>
      </c>
      <c r="M253" s="409"/>
      <c r="N253" s="411"/>
      <c r="O253" s="411"/>
      <c r="P253" s="411"/>
      <c r="Q253" s="376">
        <f>база!$L$6</f>
        <v>261.04640000000001</v>
      </c>
      <c r="R253" s="367">
        <v>1.2</v>
      </c>
      <c r="S253" s="377">
        <f>SUMIFS(Таблица14[часы],Таблица14[коэф],"1,2",Таблица14[р/р],"5/16",Таблица14[Ф. И. О.],B253)</f>
        <v>0</v>
      </c>
      <c r="T253" s="520">
        <f t="shared" si="120"/>
        <v>0</v>
      </c>
      <c r="U253" s="449">
        <f>база!$M$6</f>
        <v>279.0496</v>
      </c>
      <c r="V253" s="367">
        <v>1.2</v>
      </c>
      <c r="W253" s="389">
        <f>SUMIFS(Таблица14[часы],Таблица14[коэф],"1,2",Таблица14[р/р],"5/24",Таблица14[Ф. И. О.],B253)</f>
        <v>0</v>
      </c>
      <c r="X253" s="521">
        <f t="shared" si="121"/>
        <v>0</v>
      </c>
      <c r="Y253" s="748"/>
      <c r="Z253" s="750"/>
      <c r="AA253" s="740"/>
    </row>
    <row r="254" spans="1:27" ht="18.75">
      <c r="A254" s="740"/>
      <c r="B254" s="201"/>
      <c r="C254" s="743"/>
      <c r="D254" s="746"/>
      <c r="E254" s="370"/>
      <c r="F254" s="367"/>
      <c r="G254" s="377"/>
      <c r="H254" s="520">
        <f t="shared" si="118"/>
        <v>0</v>
      </c>
      <c r="I254" s="366"/>
      <c r="J254" s="367"/>
      <c r="K254" s="411"/>
      <c r="L254" s="372">
        <f t="shared" si="119"/>
        <v>0</v>
      </c>
      <c r="M254" s="409"/>
      <c r="N254" s="411"/>
      <c r="O254" s="411"/>
      <c r="P254" s="411"/>
      <c r="Q254" s="376">
        <f>IF(D248&lt;=3,база!$L$4,
IF(D248=4,база!$L$5,
IF(D248=5,база!$L$6)))</f>
        <v>210.57480000000001</v>
      </c>
      <c r="R254" s="367">
        <v>1.3</v>
      </c>
      <c r="S254" s="377">
        <f>SUMIFS(Таблица14[часы],Таблица14[коэф],"1,3",Таблица14[р/р],"3/16",Таблица14[Ф. И. О.],B253)</f>
        <v>0</v>
      </c>
      <c r="T254" s="520">
        <f t="shared" si="120"/>
        <v>0</v>
      </c>
      <c r="U254" s="449">
        <f>IF(D248&lt;=3,база!$M$4,
IF(D248=4,база!$M$5,
IF(D248=5,база!$M$6)))</f>
        <v>225.09719999999999</v>
      </c>
      <c r="V254" s="367">
        <v>1.3</v>
      </c>
      <c r="W254" s="389">
        <f>SUMIFS(Таблица14[часы],Таблица14[коэф],"1,3",Таблица14[р/р],"3/24",Таблица14[Ф. И. О.],B253)</f>
        <v>0</v>
      </c>
      <c r="X254" s="521">
        <f t="shared" si="121"/>
        <v>0</v>
      </c>
      <c r="Y254" s="748"/>
      <c r="Z254" s="750"/>
      <c r="AA254" s="740"/>
    </row>
    <row r="255" spans="1:27" ht="18.75">
      <c r="A255" s="740"/>
      <c r="B255" s="201"/>
      <c r="C255" s="743"/>
      <c r="D255" s="746"/>
      <c r="E255" s="370"/>
      <c r="F255" s="367"/>
      <c r="G255" s="377"/>
      <c r="H255" s="520">
        <f t="shared" si="118"/>
        <v>0</v>
      </c>
      <c r="I255" s="366"/>
      <c r="J255" s="367"/>
      <c r="K255" s="411"/>
      <c r="L255" s="372">
        <f t="shared" si="119"/>
        <v>0</v>
      </c>
      <c r="M255" s="409"/>
      <c r="N255" s="411"/>
      <c r="O255" s="411"/>
      <c r="P255" s="411"/>
      <c r="Q255" s="376">
        <f>база!$L$5</f>
        <v>231.45480000000001</v>
      </c>
      <c r="R255" s="367">
        <v>1.3</v>
      </c>
      <c r="S255" s="377">
        <f>SUMIFS(Таблица14[часы],Таблица14[коэф],"1,3",Таблица14[р/р],"4/16",Таблица14[Ф. И. О.],B253)</f>
        <v>0</v>
      </c>
      <c r="T255" s="520">
        <f t="shared" si="120"/>
        <v>0</v>
      </c>
      <c r="U255" s="449">
        <f>база!$M$5</f>
        <v>247.41720000000001</v>
      </c>
      <c r="V255" s="367">
        <v>1.3</v>
      </c>
      <c r="W255" s="389">
        <f>SUMIFS(Таблица14[часы],Таблица14[коэф],"1,3",Таблица14[р/р],"4/24",Таблица14[Ф. И. О.],B253)</f>
        <v>0</v>
      </c>
      <c r="X255" s="521">
        <f t="shared" si="121"/>
        <v>0</v>
      </c>
      <c r="Y255" s="748"/>
      <c r="Z255" s="750"/>
      <c r="AA255" s="740"/>
    </row>
    <row r="256" spans="1:27" ht="18.75">
      <c r="A256" s="740"/>
      <c r="B256" s="201"/>
      <c r="C256" s="743"/>
      <c r="D256" s="746"/>
      <c r="E256" s="370"/>
      <c r="F256" s="367"/>
      <c r="G256" s="377"/>
      <c r="H256" s="520">
        <f t="shared" si="118"/>
        <v>0</v>
      </c>
      <c r="I256" s="366"/>
      <c r="J256" s="367"/>
      <c r="K256" s="411"/>
      <c r="L256" s="372">
        <f t="shared" si="119"/>
        <v>0</v>
      </c>
      <c r="M256" s="409"/>
      <c r="N256" s="411"/>
      <c r="O256" s="411"/>
      <c r="P256" s="411"/>
      <c r="Q256" s="376">
        <f>IF(D248&lt;=3,база!$L$4,
IF(D248=4,база!$L$5,
IF(D248=5,база!$L$6)))</f>
        <v>210.57480000000001</v>
      </c>
      <c r="R256" s="367">
        <v>1.4</v>
      </c>
      <c r="S256" s="377">
        <f>SUMIFS(Таблица14[часы],Таблица14[коэф],"1,4",Таблица14[р/р],"3/16",Таблица14[Ф. И. О.],B253)</f>
        <v>0</v>
      </c>
      <c r="T256" s="520">
        <f t="shared" si="120"/>
        <v>0</v>
      </c>
      <c r="U256" s="449">
        <f>IF(D248&lt;=3,база!$M$4,
IF(D248=4,база!$M$5,
IF(D248=5,база!$M$6)))</f>
        <v>225.09719999999999</v>
      </c>
      <c r="V256" s="367">
        <v>1.4</v>
      </c>
      <c r="W256" s="389">
        <f>SUMIFS(Таблица14[часы],Таблица14[коэф],"1,4",Таблица14[р/р],"3/24",Таблица14[Ф. И. О.],B253)</f>
        <v>0</v>
      </c>
      <c r="X256" s="521">
        <f t="shared" si="121"/>
        <v>0</v>
      </c>
      <c r="Y256" s="748"/>
      <c r="Z256" s="750"/>
      <c r="AA256" s="740"/>
    </row>
    <row r="257" spans="1:27" ht="18.75">
      <c r="A257" s="740"/>
      <c r="B257" s="201"/>
      <c r="C257" s="743"/>
      <c r="D257" s="746"/>
      <c r="E257" s="370"/>
      <c r="F257" s="367"/>
      <c r="G257" s="377"/>
      <c r="H257" s="520">
        <f t="shared" si="118"/>
        <v>0</v>
      </c>
      <c r="I257" s="366"/>
      <c r="J257" s="367"/>
      <c r="K257" s="411"/>
      <c r="L257" s="372">
        <f t="shared" si="119"/>
        <v>0</v>
      </c>
      <c r="M257" s="409"/>
      <c r="N257" s="411"/>
      <c r="O257" s="411"/>
      <c r="P257" s="411"/>
      <c r="Q257" s="376">
        <f>база!$L$5</f>
        <v>231.45480000000001</v>
      </c>
      <c r="R257" s="367">
        <v>1.4</v>
      </c>
      <c r="S257" s="377">
        <f>SUMIFS(Таблица14[часы],Таблица14[коэф],"1,4",Таблица14[р/р],"4/16",Таблица14[Ф. И. О.],B253)</f>
        <v>0</v>
      </c>
      <c r="T257" s="520">
        <f t="shared" si="120"/>
        <v>0</v>
      </c>
      <c r="U257" s="449">
        <f>база!$M$5</f>
        <v>247.41720000000001</v>
      </c>
      <c r="V257" s="367">
        <v>1.4</v>
      </c>
      <c r="W257" s="389">
        <f>SUMIFS(Таблица14[часы],Таблица14[коэф],"1,4",Таблица14[р/р],"4/24",Таблица14[Ф. И. О.],B253)</f>
        <v>0</v>
      </c>
      <c r="X257" s="521">
        <f t="shared" si="121"/>
        <v>0</v>
      </c>
      <c r="Y257" s="748"/>
      <c r="Z257" s="750"/>
      <c r="AA257" s="740"/>
    </row>
    <row r="258" spans="1:27" ht="19.5" thickBot="1">
      <c r="A258" s="741"/>
      <c r="B258" s="188"/>
      <c r="C258" s="744"/>
      <c r="D258" s="747"/>
      <c r="E258" s="440"/>
      <c r="F258" s="441"/>
      <c r="G258" s="442"/>
      <c r="H258" s="525">
        <f t="shared" si="118"/>
        <v>0</v>
      </c>
      <c r="I258" s="450"/>
      <c r="J258" s="441"/>
      <c r="K258" s="434"/>
      <c r="L258" s="435">
        <f t="shared" si="119"/>
        <v>0</v>
      </c>
      <c r="M258" s="443"/>
      <c r="N258" s="434"/>
      <c r="O258" s="434"/>
      <c r="P258" s="434"/>
      <c r="Q258" s="444">
        <f>база!$L$6</f>
        <v>261.04640000000001</v>
      </c>
      <c r="R258" s="441">
        <v>1.4</v>
      </c>
      <c r="S258" s="442">
        <f>SUMIFS(Таблица14[часы],Таблица14[коэф],"1,4",Таблица14[р/р],"5/16",Таблица14[Ф. И. О.],B253)</f>
        <v>0</v>
      </c>
      <c r="T258" s="525">
        <f t="shared" si="120"/>
        <v>0</v>
      </c>
      <c r="U258" s="451">
        <f>база!$M$6</f>
        <v>279.0496</v>
      </c>
      <c r="V258" s="441">
        <v>1.4</v>
      </c>
      <c r="W258" s="447">
        <f>SUMIFS(Таблица14[часы],Таблица14[коэф],"1,4",Таблица14[р/р],"5/24",Таблица14[Ф. И. О.],B253)</f>
        <v>0</v>
      </c>
      <c r="X258" s="523">
        <f t="shared" si="121"/>
        <v>0</v>
      </c>
      <c r="Y258" s="749"/>
      <c r="Z258" s="751"/>
      <c r="AA258" s="741"/>
    </row>
    <row r="259" spans="1:27" ht="18.75">
      <c r="A259" s="739">
        <v>24</v>
      </c>
      <c r="B259" s="219"/>
      <c r="C259" s="742">
        <f>INDEX(база!$E$2:$E$81, MATCH(B264,база!$B$2:$B$50,0))</f>
        <v>17129</v>
      </c>
      <c r="D259" s="745">
        <f>INDEX(база!$D$2:$D$89, MATCH(B264,база!$B$2:$B$50,0))</f>
        <v>3</v>
      </c>
      <c r="E259" s="358">
        <f>IF(D259&lt;=3,база!$I$4,
IF(D259=4,база!$I$5,
IF(D259=5,база!$I$6)))</f>
        <v>188.7912</v>
      </c>
      <c r="F259" s="355">
        <v>1</v>
      </c>
      <c r="G259" s="364">
        <f>SUMIFS(Таблица14[часы],Таблица14[коэф],"1",Таблица14[р/р],"2/4",Таблица14[Ф. И. О.],B264)</f>
        <v>0</v>
      </c>
      <c r="H259" s="357">
        <f>ROUND(E259*F259*G259*2,2)</f>
        <v>0</v>
      </c>
      <c r="I259" s="354">
        <f>IF(D259&lt;=3,база!$J$4,
IF(D259=4,база!$J$5,
IF(D259=5,база!$J$6)))</f>
        <v>196.05240000000001</v>
      </c>
      <c r="J259" s="355">
        <v>1</v>
      </c>
      <c r="K259" s="405">
        <f>SUMIFS(Таблица14[часы],Таблица14[коэф],"1",Таблица14[р/р],"2/8",Таблица14[Ф. И. О.],B264)</f>
        <v>0</v>
      </c>
      <c r="L259" s="360">
        <f>ROUND(I259*J259*K259*2,2)</f>
        <v>0</v>
      </c>
      <c r="M259" s="403"/>
      <c r="N259" s="405">
        <v>1</v>
      </c>
      <c r="O259" s="405">
        <f>SUMIFS(Data_Tech!$AM$3:$AM$67,Data_Tech!$E$3:$E$67,"1",Data_Tech!$G$3:$G$67,"3/12",Data_Tech!$F$3:$F$67,B264)</f>
        <v>0</v>
      </c>
      <c r="P259" s="405">
        <f>ROUND(M259*N259*O259,2)</f>
        <v>0</v>
      </c>
      <c r="Q259" s="363">
        <f>IF(D259&lt;=3,база!$L$4,
IF(D259=4,база!$L$5,
IF(D259=5,база!$L$6)))</f>
        <v>210.57480000000001</v>
      </c>
      <c r="R259" s="355">
        <v>1</v>
      </c>
      <c r="S259" s="364">
        <f>SUMIFS(Таблица14[часы],Таблица14[коэф],"1",Таблица14[р/р],"3/16",Таблица14[Ф. И. О.],B264)</f>
        <v>0</v>
      </c>
      <c r="T259" s="524">
        <f>ROUND(Q259*R259*S259*2,2)</f>
        <v>0</v>
      </c>
      <c r="U259" s="448">
        <f>IF(D259&lt;=3,база!$M$4,
IF(D259=4,база!$M$5,
IF(D259=5,база!$M$6)))</f>
        <v>225.09719999999999</v>
      </c>
      <c r="V259" s="355">
        <v>1</v>
      </c>
      <c r="W259" s="407">
        <f>SUMIFS(Таблица14[часы],Таблица14[коэф],"1",Таблица14[р/р],"3/24",Таблица14[Ф. И. О.],B264)</f>
        <v>0</v>
      </c>
      <c r="X259" s="519">
        <f>ROUND(U259*V259*W259*2,2)</f>
        <v>0</v>
      </c>
      <c r="Y259" s="748">
        <f t="shared" ref="Y259" si="122">SUM(G259:G269,K259:K269,O259:O269,S259:S269,W259:W269)</f>
        <v>0</v>
      </c>
      <c r="Z259" s="750">
        <f t="shared" ref="Z259" si="123">IFERROR(SUM(H259:H269,L259:L269,T259:T269,X259:X269),"")</f>
        <v>0</v>
      </c>
      <c r="AA259" s="740"/>
    </row>
    <row r="260" spans="1:27" ht="18.75">
      <c r="A260" s="740"/>
      <c r="B260" s="201"/>
      <c r="C260" s="743"/>
      <c r="D260" s="746"/>
      <c r="E260" s="370">
        <f>IF(D259&lt;=3,база!$I$4,
IF(D259=4,база!$I$5,
IF(D259=5,база!$I$6)))</f>
        <v>188.7912</v>
      </c>
      <c r="F260" s="367">
        <v>1</v>
      </c>
      <c r="G260" s="377">
        <f>SUMIFS(Таблица14[часы],Таблица14[коэф],"1",Таблица14[р/р],"3/4",Таблица14[Ф. И. О.],B264)</f>
        <v>0</v>
      </c>
      <c r="H260" s="518">
        <f t="shared" ref="H260:H269" si="124">ROUND(E260*F260*G260*2,2)</f>
        <v>0</v>
      </c>
      <c r="I260" s="366">
        <f>IF(D259&lt;=3,база!$J$4,
IF(D259=4,база!$J$5,
IF(D259=5,база!$J$6)))</f>
        <v>196.05240000000001</v>
      </c>
      <c r="J260" s="367">
        <v>1</v>
      </c>
      <c r="K260" s="411">
        <f>SUMIFS(Таблица14[часы],Таблица14[коэф],"1",Таблица14[р/р],"3/8",Таблица14[Ф. И. О.],B264)</f>
        <v>0</v>
      </c>
      <c r="L260" s="372">
        <f t="shared" ref="L260:L269" si="125">ROUND(I260*J260*K260*2,2)</f>
        <v>0</v>
      </c>
      <c r="M260" s="409"/>
      <c r="N260" s="411">
        <v>1</v>
      </c>
      <c r="O260" s="411">
        <f>SUMIFS(Data_Tech!$AM$3:$AM$67,Data_Tech!$E$3:$E$67,"1",Data_Tech!$G$3:$G$67,"4/12",Data_Tech!$F$3:$F$67,B264)</f>
        <v>0</v>
      </c>
      <c r="P260" s="411">
        <f>ROUND(M260*O260,2)</f>
        <v>0</v>
      </c>
      <c r="Q260" s="376">
        <f>база!$L$5</f>
        <v>231.45480000000001</v>
      </c>
      <c r="R260" s="367">
        <v>1</v>
      </c>
      <c r="S260" s="377">
        <f>SUMIFS(Таблица14[часы],Таблица14[коэф],"1",Таблица14[р/р],"4/16",Таблица14[Ф. И. О.],B264)</f>
        <v>0</v>
      </c>
      <c r="T260" s="520">
        <f t="shared" ref="T260:T269" si="126">ROUND(Q260*R260*S260*2,2)</f>
        <v>0</v>
      </c>
      <c r="U260" s="449">
        <f>база!$M$5</f>
        <v>247.41720000000001</v>
      </c>
      <c r="V260" s="367">
        <v>1</v>
      </c>
      <c r="W260" s="389">
        <f>SUMIFS(Таблица14[часы],Таблица14[коэф],"1",Таблица14[р/р],"4/24",Таблица14[Ф. И. О.],B264)</f>
        <v>0</v>
      </c>
      <c r="X260" s="521">
        <f t="shared" ref="X260:X269" si="127">ROUND(U260*V260*W260*2,2)</f>
        <v>0</v>
      </c>
      <c r="Y260" s="748"/>
      <c r="Z260" s="750"/>
      <c r="AA260" s="740"/>
    </row>
    <row r="261" spans="1:27" ht="18.75">
      <c r="A261" s="740"/>
      <c r="B261" s="201"/>
      <c r="C261" s="743"/>
      <c r="D261" s="746"/>
      <c r="E261" s="370"/>
      <c r="F261" s="367"/>
      <c r="G261" s="377"/>
      <c r="H261" s="520">
        <f t="shared" si="124"/>
        <v>0</v>
      </c>
      <c r="I261" s="366"/>
      <c r="J261" s="367"/>
      <c r="K261" s="411"/>
      <c r="L261" s="372">
        <f t="shared" si="125"/>
        <v>0</v>
      </c>
      <c r="M261" s="409"/>
      <c r="N261" s="411"/>
      <c r="O261" s="411"/>
      <c r="P261" s="411"/>
      <c r="Q261" s="376">
        <f>база!$L$6</f>
        <v>261.04640000000001</v>
      </c>
      <c r="R261" s="367">
        <v>1</v>
      </c>
      <c r="S261" s="377">
        <f>SUMIFS(Таблица14[часы],Таблица14[коэф],"1",Таблица14[р/р],"5/16",Таблица14[Ф. И. О.],B264)</f>
        <v>0</v>
      </c>
      <c r="T261" s="520">
        <f t="shared" si="126"/>
        <v>0</v>
      </c>
      <c r="U261" s="449">
        <f>база!$M$6</f>
        <v>279.0496</v>
      </c>
      <c r="V261" s="367">
        <v>1</v>
      </c>
      <c r="W261" s="389">
        <f>SUMIFS(Таблица14[часы],Таблица14[коэф],"1",Таблица14[р/р],"5/24",Таблица14[Ф. И. О.],B264)</f>
        <v>0</v>
      </c>
      <c r="X261" s="521">
        <f t="shared" si="127"/>
        <v>0</v>
      </c>
      <c r="Y261" s="748"/>
      <c r="Z261" s="750"/>
      <c r="AA261" s="740"/>
    </row>
    <row r="262" spans="1:27" ht="18.75">
      <c r="A262" s="740"/>
      <c r="B262" s="201"/>
      <c r="C262" s="743"/>
      <c r="D262" s="746"/>
      <c r="E262" s="370"/>
      <c r="F262" s="367"/>
      <c r="G262" s="377"/>
      <c r="H262" s="520">
        <f t="shared" si="124"/>
        <v>0</v>
      </c>
      <c r="I262" s="366">
        <f>база!$J$5</f>
        <v>215.4924</v>
      </c>
      <c r="J262" s="367">
        <v>1.5</v>
      </c>
      <c r="K262" s="411">
        <f>SUMIFS(Таблица14[часы],Таблица14[коэф],"1,5",Таблица14[р/р],"4/8",Таблица14[Ф. И. О.],B264)</f>
        <v>0</v>
      </c>
      <c r="L262" s="372">
        <f t="shared" si="125"/>
        <v>0</v>
      </c>
      <c r="M262" s="409"/>
      <c r="N262" s="411"/>
      <c r="O262" s="411"/>
      <c r="P262" s="411"/>
      <c r="Q262" s="376">
        <f>IF(D259&lt;=3,база!$L$4,
IF(D259=4,база!$L$5,
IF(D259=5,база!$L$6)))</f>
        <v>210.57480000000001</v>
      </c>
      <c r="R262" s="367">
        <v>1.2</v>
      </c>
      <c r="S262" s="377">
        <f>SUMIFS(Таблица14[часы],Таблица14[коэф],"1,2",Таблица14[р/р],"3/16",Таблица14[Ф. И. О.],B264)</f>
        <v>0</v>
      </c>
      <c r="T262" s="520">
        <f t="shared" si="126"/>
        <v>0</v>
      </c>
      <c r="U262" s="449">
        <f>IF(D259&lt;=3,база!$M$4,
IF(D259=4,база!$M$5,
IF(D259=5,база!$M$6)))</f>
        <v>225.09719999999999</v>
      </c>
      <c r="V262" s="367">
        <v>1.2</v>
      </c>
      <c r="W262" s="389">
        <f>SUMIFS(Таблица14[часы],Таблица14[коэф],"1,2",Таблица14[р/р],"3/24",Таблица14[Ф. И. О.],B264)</f>
        <v>0</v>
      </c>
      <c r="X262" s="521">
        <f t="shared" si="127"/>
        <v>0</v>
      </c>
      <c r="Y262" s="748"/>
      <c r="Z262" s="750"/>
      <c r="AA262" s="740"/>
    </row>
    <row r="263" spans="1:27" ht="18.75">
      <c r="A263" s="740"/>
      <c r="B263" s="201"/>
      <c r="C263" s="743"/>
      <c r="D263" s="746"/>
      <c r="E263" s="370"/>
      <c r="F263" s="367"/>
      <c r="G263" s="377"/>
      <c r="H263" s="520">
        <f t="shared" si="124"/>
        <v>0</v>
      </c>
      <c r="I263" s="366">
        <f>база!$J$6</f>
        <v>243.04319999999998</v>
      </c>
      <c r="J263" s="367">
        <v>1.5</v>
      </c>
      <c r="K263" s="411">
        <f>SUMIFS(Таблица14[часы],Таблица14[коэф],"1,5",Таблица14[р/р],"5/8",Таблица14[Ф. И. О.],B264)</f>
        <v>0</v>
      </c>
      <c r="L263" s="372">
        <f t="shared" si="125"/>
        <v>0</v>
      </c>
      <c r="M263" s="409"/>
      <c r="N263" s="411"/>
      <c r="O263" s="411"/>
      <c r="P263" s="411"/>
      <c r="Q263" s="376">
        <f>база!$L$5</f>
        <v>231.45480000000001</v>
      </c>
      <c r="R263" s="367">
        <v>1.2</v>
      </c>
      <c r="S263" s="377">
        <f>SUMIFS(Таблица14[часы],Таблица14[коэф],"1,2",Таблица14[р/р],"4/16",Таблица14[Ф. И. О.],B264)</f>
        <v>0</v>
      </c>
      <c r="T263" s="520">
        <f t="shared" si="126"/>
        <v>0</v>
      </c>
      <c r="U263" s="449">
        <f>база!$M$5</f>
        <v>247.41720000000001</v>
      </c>
      <c r="V263" s="367">
        <v>1.2</v>
      </c>
      <c r="W263" s="389">
        <f>SUMIFS(Таблица14[часы],Таблица14[коэф],"1,2",Таблица14[р/р],"4/24",Таблица14[Ф. И. О.],B264)</f>
        <v>0</v>
      </c>
      <c r="X263" s="521">
        <f t="shared" si="127"/>
        <v>0</v>
      </c>
      <c r="Y263" s="748"/>
      <c r="Z263" s="750"/>
      <c r="AA263" s="740"/>
    </row>
    <row r="264" spans="1:27" ht="18.75">
      <c r="A264" s="740"/>
      <c r="B264" s="201" t="str">
        <f>база!B25</f>
        <v>Зинина Екатерина Олеговна</v>
      </c>
      <c r="C264" s="743"/>
      <c r="D264" s="746"/>
      <c r="E264" s="370"/>
      <c r="F264" s="367"/>
      <c r="G264" s="377"/>
      <c r="H264" s="520">
        <f t="shared" si="124"/>
        <v>0</v>
      </c>
      <c r="I264" s="366"/>
      <c r="J264" s="367"/>
      <c r="K264" s="411"/>
      <c r="L264" s="372">
        <f t="shared" si="125"/>
        <v>0</v>
      </c>
      <c r="M264" s="409"/>
      <c r="N264" s="411"/>
      <c r="O264" s="411"/>
      <c r="P264" s="411"/>
      <c r="Q264" s="376">
        <f>база!$L$6</f>
        <v>261.04640000000001</v>
      </c>
      <c r="R264" s="367">
        <v>1.2</v>
      </c>
      <c r="S264" s="377">
        <f>SUMIFS(Таблица14[часы],Таблица14[коэф],"1,2",Таблица14[р/р],"5/16",Таблица14[Ф. И. О.],B264)</f>
        <v>0</v>
      </c>
      <c r="T264" s="520">
        <f t="shared" si="126"/>
        <v>0</v>
      </c>
      <c r="U264" s="449">
        <f>база!$M$6</f>
        <v>279.0496</v>
      </c>
      <c r="V264" s="367">
        <v>1.2</v>
      </c>
      <c r="W264" s="389">
        <f>SUMIFS(Таблица14[часы],Таблица14[коэф],"1,2",Таблица14[р/р],"5/24",Таблица14[Ф. И. О.],B264)</f>
        <v>0</v>
      </c>
      <c r="X264" s="521">
        <f t="shared" si="127"/>
        <v>0</v>
      </c>
      <c r="Y264" s="748"/>
      <c r="Z264" s="750"/>
      <c r="AA264" s="740"/>
    </row>
    <row r="265" spans="1:27" ht="18.75">
      <c r="A265" s="740"/>
      <c r="B265" s="201"/>
      <c r="C265" s="743"/>
      <c r="D265" s="746"/>
      <c r="E265" s="370"/>
      <c r="F265" s="367"/>
      <c r="G265" s="377"/>
      <c r="H265" s="520">
        <f t="shared" si="124"/>
        <v>0</v>
      </c>
      <c r="I265" s="366"/>
      <c r="J265" s="367"/>
      <c r="K265" s="411"/>
      <c r="L265" s="372">
        <f t="shared" si="125"/>
        <v>0</v>
      </c>
      <c r="M265" s="409"/>
      <c r="N265" s="411"/>
      <c r="O265" s="411"/>
      <c r="P265" s="411"/>
      <c r="Q265" s="376">
        <f>IF(D259&lt;=3,база!$L$4,
IF(D259=4,база!$L$5,
IF(D259=5,база!$L$6)))</f>
        <v>210.57480000000001</v>
      </c>
      <c r="R265" s="367">
        <v>1.3</v>
      </c>
      <c r="S265" s="377">
        <f>SUMIFS(Таблица14[часы],Таблица14[коэф],"1,3",Таблица14[р/р],"3/16",Таблица14[Ф. И. О.],B264)</f>
        <v>0</v>
      </c>
      <c r="T265" s="520">
        <f t="shared" si="126"/>
        <v>0</v>
      </c>
      <c r="U265" s="449">
        <f>IF(D259&lt;=3,база!$M$4,
IF(D259=4,база!$M$5,
IF(D259=5,база!$M$6)))</f>
        <v>225.09719999999999</v>
      </c>
      <c r="V265" s="367">
        <v>1.3</v>
      </c>
      <c r="W265" s="389">
        <f>SUMIFS(Таблица14[часы],Таблица14[коэф],"1,3",Таблица14[р/р],"3/24",Таблица14[Ф. И. О.],B264)</f>
        <v>0</v>
      </c>
      <c r="X265" s="521">
        <f t="shared" si="127"/>
        <v>0</v>
      </c>
      <c r="Y265" s="748"/>
      <c r="Z265" s="750"/>
      <c r="AA265" s="740"/>
    </row>
    <row r="266" spans="1:27" ht="18.75">
      <c r="A266" s="740"/>
      <c r="B266" s="201"/>
      <c r="C266" s="743"/>
      <c r="D266" s="746"/>
      <c r="E266" s="370"/>
      <c r="F266" s="367"/>
      <c r="G266" s="377"/>
      <c r="H266" s="520">
        <f t="shared" si="124"/>
        <v>0</v>
      </c>
      <c r="I266" s="366"/>
      <c r="J266" s="367"/>
      <c r="K266" s="411"/>
      <c r="L266" s="372">
        <f t="shared" si="125"/>
        <v>0</v>
      </c>
      <c r="M266" s="409"/>
      <c r="N266" s="411"/>
      <c r="O266" s="411"/>
      <c r="P266" s="411"/>
      <c r="Q266" s="376">
        <f>база!$L$5</f>
        <v>231.45480000000001</v>
      </c>
      <c r="R266" s="367">
        <v>1.3</v>
      </c>
      <c r="S266" s="377">
        <f>SUMIFS(Таблица14[часы],Таблица14[коэф],"1,3",Таблица14[р/р],"4/16",Таблица14[Ф. И. О.],B264)</f>
        <v>0</v>
      </c>
      <c r="T266" s="520">
        <f t="shared" si="126"/>
        <v>0</v>
      </c>
      <c r="U266" s="449">
        <f>база!$M$5</f>
        <v>247.41720000000001</v>
      </c>
      <c r="V266" s="367">
        <v>1.3</v>
      </c>
      <c r="W266" s="389">
        <f>SUMIFS(Таблица14[часы],Таблица14[коэф],"1,3",Таблица14[р/р],"4/24",Таблица14[Ф. И. О.],B264)</f>
        <v>0</v>
      </c>
      <c r="X266" s="521">
        <f t="shared" si="127"/>
        <v>0</v>
      </c>
      <c r="Y266" s="748"/>
      <c r="Z266" s="750"/>
      <c r="AA266" s="740"/>
    </row>
    <row r="267" spans="1:27" ht="18.75">
      <c r="A267" s="740"/>
      <c r="B267" s="201"/>
      <c r="C267" s="743"/>
      <c r="D267" s="746"/>
      <c r="E267" s="370"/>
      <c r="F267" s="367"/>
      <c r="G267" s="377"/>
      <c r="H267" s="520">
        <f t="shared" si="124"/>
        <v>0</v>
      </c>
      <c r="I267" s="366"/>
      <c r="J267" s="367"/>
      <c r="K267" s="411"/>
      <c r="L267" s="372">
        <f t="shared" si="125"/>
        <v>0</v>
      </c>
      <c r="M267" s="409"/>
      <c r="N267" s="411"/>
      <c r="O267" s="411"/>
      <c r="P267" s="411"/>
      <c r="Q267" s="376">
        <f>IF(D259&lt;=3,база!$L$4,
IF(D259=4,база!$L$5,
IF(D259=5,база!$L$6)))</f>
        <v>210.57480000000001</v>
      </c>
      <c r="R267" s="367">
        <v>1.4</v>
      </c>
      <c r="S267" s="377">
        <f>SUMIFS(Таблица14[часы],Таблица14[коэф],"1,4",Таблица14[р/р],"3/16",Таблица14[Ф. И. О.],B264)</f>
        <v>0</v>
      </c>
      <c r="T267" s="520">
        <f t="shared" si="126"/>
        <v>0</v>
      </c>
      <c r="U267" s="449">
        <f>IF(D259&lt;=3,база!$M$4,
IF(D259=4,база!$M$5,
IF(D259=5,база!$M$6)))</f>
        <v>225.09719999999999</v>
      </c>
      <c r="V267" s="367">
        <v>1.4</v>
      </c>
      <c r="W267" s="389">
        <f>SUMIFS(Таблица14[часы],Таблица14[коэф],"1,4",Таблица14[р/р],"3/24",Таблица14[Ф. И. О.],B264)</f>
        <v>0</v>
      </c>
      <c r="X267" s="521">
        <f t="shared" si="127"/>
        <v>0</v>
      </c>
      <c r="Y267" s="748"/>
      <c r="Z267" s="750"/>
      <c r="AA267" s="740"/>
    </row>
    <row r="268" spans="1:27" ht="18.75">
      <c r="A268" s="740"/>
      <c r="B268" s="201"/>
      <c r="C268" s="743"/>
      <c r="D268" s="746"/>
      <c r="E268" s="370"/>
      <c r="F268" s="367"/>
      <c r="G268" s="377"/>
      <c r="H268" s="520">
        <f t="shared" si="124"/>
        <v>0</v>
      </c>
      <c r="I268" s="366"/>
      <c r="J268" s="367"/>
      <c r="K268" s="411"/>
      <c r="L268" s="372">
        <f t="shared" si="125"/>
        <v>0</v>
      </c>
      <c r="M268" s="409"/>
      <c r="N268" s="411"/>
      <c r="O268" s="411"/>
      <c r="P268" s="411"/>
      <c r="Q268" s="376">
        <f>база!$L$5</f>
        <v>231.45480000000001</v>
      </c>
      <c r="R268" s="367">
        <v>1.4</v>
      </c>
      <c r="S268" s="377">
        <f>SUMIFS(Таблица14[часы],Таблица14[коэф],"1,4",Таблица14[р/р],"4/16",Таблица14[Ф. И. О.],B264)</f>
        <v>0</v>
      </c>
      <c r="T268" s="520">
        <f t="shared" si="126"/>
        <v>0</v>
      </c>
      <c r="U268" s="449">
        <f>база!$M$5</f>
        <v>247.41720000000001</v>
      </c>
      <c r="V268" s="367">
        <v>1.4</v>
      </c>
      <c r="W268" s="389">
        <f>SUMIFS(Таблица14[часы],Таблица14[коэф],"1,4",Таблица14[р/р],"4/24",Таблица14[Ф. И. О.],B264)</f>
        <v>0</v>
      </c>
      <c r="X268" s="521">
        <f t="shared" si="127"/>
        <v>0</v>
      </c>
      <c r="Y268" s="748"/>
      <c r="Z268" s="750"/>
      <c r="AA268" s="740"/>
    </row>
    <row r="269" spans="1:27" ht="19.5" thickBot="1">
      <c r="A269" s="741"/>
      <c r="B269" s="188"/>
      <c r="C269" s="744"/>
      <c r="D269" s="747"/>
      <c r="E269" s="440"/>
      <c r="F269" s="441"/>
      <c r="G269" s="442"/>
      <c r="H269" s="525">
        <f t="shared" si="124"/>
        <v>0</v>
      </c>
      <c r="I269" s="450"/>
      <c r="J269" s="441"/>
      <c r="K269" s="434"/>
      <c r="L269" s="435">
        <f t="shared" si="125"/>
        <v>0</v>
      </c>
      <c r="M269" s="443"/>
      <c r="N269" s="434"/>
      <c r="O269" s="434"/>
      <c r="P269" s="434"/>
      <c r="Q269" s="444">
        <f>база!$L$6</f>
        <v>261.04640000000001</v>
      </c>
      <c r="R269" s="441">
        <v>1.4</v>
      </c>
      <c r="S269" s="442">
        <f>SUMIFS(Таблица14[часы],Таблица14[коэф],"1,4",Таблица14[р/р],"5/16",Таблица14[Ф. И. О.],B264)</f>
        <v>0</v>
      </c>
      <c r="T269" s="525">
        <f t="shared" si="126"/>
        <v>0</v>
      </c>
      <c r="U269" s="451">
        <f>база!$M$6</f>
        <v>279.0496</v>
      </c>
      <c r="V269" s="441">
        <v>1.4</v>
      </c>
      <c r="W269" s="447">
        <f>SUMIFS(Таблица14[часы],Таблица14[коэф],"1,4",Таблица14[р/р],"5/24",Таблица14[Ф. И. О.],B264)</f>
        <v>0</v>
      </c>
      <c r="X269" s="523">
        <f t="shared" si="127"/>
        <v>0</v>
      </c>
      <c r="Y269" s="749"/>
      <c r="Z269" s="751"/>
      <c r="AA269" s="741"/>
    </row>
    <row r="270" spans="1:27" ht="18.75">
      <c r="A270" s="739">
        <v>25</v>
      </c>
      <c r="B270" s="219"/>
      <c r="C270" s="742">
        <f>INDEX(база!$E$2:$E$81, MATCH(B275,база!$B$2:$B$50,0))</f>
        <v>13676</v>
      </c>
      <c r="D270" s="745">
        <f>INDEX(база!$D$2:$D$89, MATCH(B275,база!$B$2:$B$50,0))</f>
        <v>4</v>
      </c>
      <c r="E270" s="358">
        <f>IF(D270&lt;=3,база!$I$4,
IF(D270=4,база!$I$5,
IF(D270=5,база!$I$6)))</f>
        <v>207.5112</v>
      </c>
      <c r="F270" s="355">
        <v>1</v>
      </c>
      <c r="G270" s="364">
        <f>SUMIFS(Таблица14[часы],Таблица14[коэф],"1",Таблица14[р/р],"2/4",Таблица14[Ф. И. О.],B275)</f>
        <v>0</v>
      </c>
      <c r="H270" s="357">
        <f>ROUND(E270*F270*G270*2,2)</f>
        <v>0</v>
      </c>
      <c r="I270" s="354">
        <f>IF(D270&lt;=3,база!$J$4,
IF(D270=4,база!$J$5,
IF(D270=5,база!$J$6)))</f>
        <v>215.4924</v>
      </c>
      <c r="J270" s="355">
        <v>1</v>
      </c>
      <c r="K270" s="405">
        <f>SUMIFS(Таблица14[часы],Таблица14[коэф],"1",Таблица14[р/р],"2/8",Таблица14[Ф. И. О.],B275)</f>
        <v>0</v>
      </c>
      <c r="L270" s="360">
        <f>ROUND(I270*J270*K270*2,2)</f>
        <v>0</v>
      </c>
      <c r="M270" s="403"/>
      <c r="N270" s="405">
        <v>1</v>
      </c>
      <c r="O270" s="405">
        <f>SUMIFS(Data_Tech!$AM$3:$AM$67,Data_Tech!$E$3:$E$67,"1",Data_Tech!$G$3:$G$67,"3/12",Data_Tech!$F$3:$F$67,B275)</f>
        <v>0</v>
      </c>
      <c r="P270" s="405">
        <f>ROUND(M270*N270*O270,2)</f>
        <v>0</v>
      </c>
      <c r="Q270" s="363">
        <f>IF(D270&lt;=3,база!$L$4,
IF(D270=4,база!$L$5,
IF(D270=5,база!$L$6)))</f>
        <v>231.45480000000001</v>
      </c>
      <c r="R270" s="355">
        <v>1</v>
      </c>
      <c r="S270" s="364">
        <f>SUMIFS(Таблица14[часы],Таблица14[коэф],"1",Таблица14[р/р],"3/16",Таблица14[Ф. И. О.],B275)</f>
        <v>0</v>
      </c>
      <c r="T270" s="524">
        <f>ROUND(Q270*R270*S270*2,2)</f>
        <v>0</v>
      </c>
      <c r="U270" s="448">
        <f>IF(D270&lt;=3,база!$M$4,
IF(D270=4,база!$M$5,
IF(D270=5,база!$M$6)))</f>
        <v>247.41720000000001</v>
      </c>
      <c r="V270" s="355">
        <v>1</v>
      </c>
      <c r="W270" s="407">
        <f>SUMIFS(Таблица14[часы],Таблица14[коэф],"1",Таблица14[р/р],"3/24",Таблица14[Ф. И. О.],B275)</f>
        <v>0</v>
      </c>
      <c r="X270" s="519">
        <f>ROUND(U270*V270*W270*2,2)</f>
        <v>0</v>
      </c>
      <c r="Y270" s="748">
        <f t="shared" ref="Y270" si="128">SUM(G270:G280,K270:K280,O270:O280,S270:S280,W270:W280)</f>
        <v>0</v>
      </c>
      <c r="Z270" s="750">
        <f t="shared" ref="Z270" si="129">IFERROR(SUM(H270:H280,L270:L280,T270:T280,X270:X280),"")</f>
        <v>0</v>
      </c>
      <c r="AA270" s="740"/>
    </row>
    <row r="271" spans="1:27" ht="18.75">
      <c r="A271" s="740"/>
      <c r="B271" s="201"/>
      <c r="C271" s="743"/>
      <c r="D271" s="746"/>
      <c r="E271" s="370">
        <f>IF(D270&lt;=3,база!$I$4,
IF(D270=4,база!$I$5,
IF(D270=5,база!$I$6)))</f>
        <v>207.5112</v>
      </c>
      <c r="F271" s="367">
        <v>1</v>
      </c>
      <c r="G271" s="377">
        <f>SUMIFS(Таблица14[часы],Таблица14[коэф],"1",Таблица14[р/р],"3/4",Таблица14[Ф. И. О.],B275)</f>
        <v>0</v>
      </c>
      <c r="H271" s="518">
        <f t="shared" ref="H271:H280" si="130">ROUND(E271*F271*G271*2,2)</f>
        <v>0</v>
      </c>
      <c r="I271" s="366">
        <f>IF(D270&lt;=3,база!$J$4,
IF(D270=4,база!$J$5,
IF(D270=5,база!$J$6)))</f>
        <v>215.4924</v>
      </c>
      <c r="J271" s="367">
        <v>1</v>
      </c>
      <c r="K271" s="411">
        <f>SUMIFS(Таблица14[часы],Таблица14[коэф],"1",Таблица14[р/р],"3/8",Таблица14[Ф. И. О.],B275)</f>
        <v>0</v>
      </c>
      <c r="L271" s="372">
        <f t="shared" ref="L271:L280" si="131">ROUND(I271*J271*K271*2,2)</f>
        <v>0</v>
      </c>
      <c r="M271" s="409"/>
      <c r="N271" s="411">
        <v>1</v>
      </c>
      <c r="O271" s="411">
        <f>SUMIFS(Data_Tech!$AM$3:$AM$67,Data_Tech!$E$3:$E$67,"1",Data_Tech!$G$3:$G$67,"4/12",Data_Tech!$F$3:$F$67,B275)</f>
        <v>0</v>
      </c>
      <c r="P271" s="411">
        <f>ROUND(M271*O271,2)</f>
        <v>0</v>
      </c>
      <c r="Q271" s="376">
        <f>база!$L$5</f>
        <v>231.45480000000001</v>
      </c>
      <c r="R271" s="367">
        <v>1</v>
      </c>
      <c r="S271" s="377">
        <f>SUMIFS(Таблица14[часы],Таблица14[коэф],"1",Таблица14[р/р],"4/16",Таблица14[Ф. И. О.],B275)</f>
        <v>0</v>
      </c>
      <c r="T271" s="520">
        <f t="shared" ref="T271:T280" si="132">ROUND(Q271*R271*S271*2,2)</f>
        <v>0</v>
      </c>
      <c r="U271" s="449">
        <f>база!$M$5</f>
        <v>247.41720000000001</v>
      </c>
      <c r="V271" s="367">
        <v>1</v>
      </c>
      <c r="W271" s="389">
        <f>SUMIFS(Таблица14[часы],Таблица14[коэф],"1",Таблица14[р/р],"4/24",Таблица14[Ф. И. О.],B275)</f>
        <v>0</v>
      </c>
      <c r="X271" s="521">
        <f t="shared" ref="X271:X280" si="133">ROUND(U271*V271*W271*2,2)</f>
        <v>0</v>
      </c>
      <c r="Y271" s="748"/>
      <c r="Z271" s="750"/>
      <c r="AA271" s="740"/>
    </row>
    <row r="272" spans="1:27" ht="18.75">
      <c r="A272" s="740"/>
      <c r="B272" s="201"/>
      <c r="C272" s="743"/>
      <c r="D272" s="746"/>
      <c r="E272" s="370"/>
      <c r="F272" s="367"/>
      <c r="G272" s="377"/>
      <c r="H272" s="520">
        <f t="shared" si="130"/>
        <v>0</v>
      </c>
      <c r="I272" s="366"/>
      <c r="J272" s="367"/>
      <c r="K272" s="411"/>
      <c r="L272" s="372">
        <f t="shared" si="131"/>
        <v>0</v>
      </c>
      <c r="M272" s="409"/>
      <c r="N272" s="411"/>
      <c r="O272" s="411"/>
      <c r="P272" s="411"/>
      <c r="Q272" s="376">
        <f>база!$L$6</f>
        <v>261.04640000000001</v>
      </c>
      <c r="R272" s="367">
        <v>1</v>
      </c>
      <c r="S272" s="377">
        <f>SUMIFS(Таблица14[часы],Таблица14[коэф],"1",Таблица14[р/р],"5/16",Таблица14[Ф. И. О.],B275)</f>
        <v>0</v>
      </c>
      <c r="T272" s="520">
        <f t="shared" si="132"/>
        <v>0</v>
      </c>
      <c r="U272" s="449">
        <f>база!$M$6</f>
        <v>279.0496</v>
      </c>
      <c r="V272" s="367">
        <v>1</v>
      </c>
      <c r="W272" s="389">
        <f>SUMIFS(Таблица14[часы],Таблица14[коэф],"1",Таблица14[р/р],"5/24",Таблица14[Ф. И. О.],B275)</f>
        <v>0</v>
      </c>
      <c r="X272" s="521">
        <f t="shared" si="133"/>
        <v>0</v>
      </c>
      <c r="Y272" s="748"/>
      <c r="Z272" s="750"/>
      <c r="AA272" s="740"/>
    </row>
    <row r="273" spans="1:27" ht="18.75">
      <c r="A273" s="740"/>
      <c r="B273" s="201"/>
      <c r="C273" s="743"/>
      <c r="D273" s="746"/>
      <c r="E273" s="370"/>
      <c r="F273" s="367"/>
      <c r="G273" s="377"/>
      <c r="H273" s="520">
        <f t="shared" si="130"/>
        <v>0</v>
      </c>
      <c r="I273" s="366">
        <f>база!$J$5</f>
        <v>215.4924</v>
      </c>
      <c r="J273" s="367">
        <v>1.5</v>
      </c>
      <c r="K273" s="411">
        <f>SUMIFS(Таблица14[часы],Таблица14[коэф],"1,5",Таблица14[р/р],"4/8",Таблица14[Ф. И. О.],B275)</f>
        <v>0</v>
      </c>
      <c r="L273" s="372">
        <f t="shared" si="131"/>
        <v>0</v>
      </c>
      <c r="M273" s="409"/>
      <c r="N273" s="411"/>
      <c r="O273" s="411"/>
      <c r="P273" s="411"/>
      <c r="Q273" s="376">
        <f>IF(D270&lt;=3,база!$L$4,
IF(D270=4,база!$L$5,
IF(D270=5,база!$L$6)))</f>
        <v>231.45480000000001</v>
      </c>
      <c r="R273" s="367">
        <v>1.2</v>
      </c>
      <c r="S273" s="377">
        <f>SUMIFS(Таблица14[часы],Таблица14[коэф],"1,2",Таблица14[р/р],"3/16",Таблица14[Ф. И. О.],B275)</f>
        <v>0</v>
      </c>
      <c r="T273" s="520">
        <f t="shared" si="132"/>
        <v>0</v>
      </c>
      <c r="U273" s="449">
        <f>IF(D270&lt;=3,база!$M$4,
IF(D270=4,база!$M$5,
IF(D270=5,база!$M$6)))</f>
        <v>247.41720000000001</v>
      </c>
      <c r="V273" s="367">
        <v>1.2</v>
      </c>
      <c r="W273" s="389">
        <f>SUMIFS(Таблица14[часы],Таблица14[коэф],"1,2",Таблица14[р/р],"3/24",Таблица14[Ф. И. О.],B275)</f>
        <v>0</v>
      </c>
      <c r="X273" s="521">
        <f t="shared" si="133"/>
        <v>0</v>
      </c>
      <c r="Y273" s="748"/>
      <c r="Z273" s="750"/>
      <c r="AA273" s="740"/>
    </row>
    <row r="274" spans="1:27" ht="18.75">
      <c r="A274" s="740"/>
      <c r="B274" s="201"/>
      <c r="C274" s="743"/>
      <c r="D274" s="746"/>
      <c r="E274" s="370"/>
      <c r="F274" s="367"/>
      <c r="G274" s="377"/>
      <c r="H274" s="520">
        <f t="shared" si="130"/>
        <v>0</v>
      </c>
      <c r="I274" s="366">
        <f>база!$J$6</f>
        <v>243.04319999999998</v>
      </c>
      <c r="J274" s="367">
        <v>1.5</v>
      </c>
      <c r="K274" s="411">
        <f>SUMIFS(Таблица14[часы],Таблица14[коэф],"1,5",Таблица14[р/р],"5/8",Таблица14[Ф. И. О.],B275)</f>
        <v>0</v>
      </c>
      <c r="L274" s="372">
        <f t="shared" si="131"/>
        <v>0</v>
      </c>
      <c r="M274" s="409"/>
      <c r="N274" s="411"/>
      <c r="O274" s="411"/>
      <c r="P274" s="411"/>
      <c r="Q274" s="376">
        <f>база!$L$5</f>
        <v>231.45480000000001</v>
      </c>
      <c r="R274" s="367">
        <v>1.2</v>
      </c>
      <c r="S274" s="377">
        <f>SUMIFS(Таблица14[часы],Таблица14[коэф],"1,2",Таблица14[р/р],"4/16",Таблица14[Ф. И. О.],B275)</f>
        <v>0</v>
      </c>
      <c r="T274" s="520">
        <f t="shared" si="132"/>
        <v>0</v>
      </c>
      <c r="U274" s="449">
        <f>база!$M$5</f>
        <v>247.41720000000001</v>
      </c>
      <c r="V274" s="367">
        <v>1.2</v>
      </c>
      <c r="W274" s="389">
        <f>SUMIFS(Таблица14[часы],Таблица14[коэф],"1,2",Таблица14[р/р],"4/24",Таблица14[Ф. И. О.],B275)</f>
        <v>0</v>
      </c>
      <c r="X274" s="521">
        <f t="shared" si="133"/>
        <v>0</v>
      </c>
      <c r="Y274" s="748"/>
      <c r="Z274" s="750"/>
      <c r="AA274" s="740"/>
    </row>
    <row r="275" spans="1:27" ht="18.75">
      <c r="A275" s="740"/>
      <c r="B275" s="201" t="str">
        <f>база!B26</f>
        <v>Зоидзе Ирина Сергеевна</v>
      </c>
      <c r="C275" s="743"/>
      <c r="D275" s="746"/>
      <c r="E275" s="370"/>
      <c r="F275" s="367"/>
      <c r="G275" s="377"/>
      <c r="H275" s="520">
        <f t="shared" si="130"/>
        <v>0</v>
      </c>
      <c r="I275" s="366"/>
      <c r="J275" s="367"/>
      <c r="K275" s="411"/>
      <c r="L275" s="372">
        <f t="shared" si="131"/>
        <v>0</v>
      </c>
      <c r="M275" s="409"/>
      <c r="N275" s="411"/>
      <c r="O275" s="411"/>
      <c r="P275" s="411"/>
      <c r="Q275" s="376">
        <f>база!$L$6</f>
        <v>261.04640000000001</v>
      </c>
      <c r="R275" s="367">
        <v>1.2</v>
      </c>
      <c r="S275" s="377">
        <f>SUMIFS(Таблица14[часы],Таблица14[коэф],"1,2",Таблица14[р/р],"5/16",Таблица14[Ф. И. О.],B275)</f>
        <v>0</v>
      </c>
      <c r="T275" s="520">
        <f t="shared" si="132"/>
        <v>0</v>
      </c>
      <c r="U275" s="449">
        <f>база!$M$6</f>
        <v>279.0496</v>
      </c>
      <c r="V275" s="367">
        <v>1.2</v>
      </c>
      <c r="W275" s="389">
        <f>SUMIFS(Таблица14[часы],Таблица14[коэф],"1,2",Таблица14[р/р],"5/24",Таблица14[Ф. И. О.],B275)</f>
        <v>0</v>
      </c>
      <c r="X275" s="521">
        <f t="shared" si="133"/>
        <v>0</v>
      </c>
      <c r="Y275" s="748"/>
      <c r="Z275" s="750"/>
      <c r="AA275" s="740"/>
    </row>
    <row r="276" spans="1:27" ht="18.75">
      <c r="A276" s="740"/>
      <c r="B276" s="201"/>
      <c r="C276" s="743"/>
      <c r="D276" s="746"/>
      <c r="E276" s="370"/>
      <c r="F276" s="367"/>
      <c r="G276" s="377"/>
      <c r="H276" s="520">
        <f t="shared" si="130"/>
        <v>0</v>
      </c>
      <c r="I276" s="366"/>
      <c r="J276" s="367"/>
      <c r="K276" s="411"/>
      <c r="L276" s="372">
        <f t="shared" si="131"/>
        <v>0</v>
      </c>
      <c r="M276" s="409"/>
      <c r="N276" s="411"/>
      <c r="O276" s="411"/>
      <c r="P276" s="411"/>
      <c r="Q276" s="376">
        <f>IF(D270&lt;=3,база!$L$4,
IF(D270=4,база!$L$5,
IF(D270=5,база!$L$6)))</f>
        <v>231.45480000000001</v>
      </c>
      <c r="R276" s="367">
        <v>1.3</v>
      </c>
      <c r="S276" s="377">
        <f>SUMIFS(Таблица14[часы],Таблица14[коэф],"1,3",Таблица14[р/р],"3/16",Таблица14[Ф. И. О.],B275)</f>
        <v>0</v>
      </c>
      <c r="T276" s="520">
        <f t="shared" si="132"/>
        <v>0</v>
      </c>
      <c r="U276" s="449">
        <f>IF(D270&lt;=3,база!$M$4,
IF(D270=4,база!$M$5,
IF(D270=5,база!$M$6)))</f>
        <v>247.41720000000001</v>
      </c>
      <c r="V276" s="367">
        <v>1.3</v>
      </c>
      <c r="W276" s="389">
        <f>SUMIFS(Таблица14[часы],Таблица14[коэф],"1,3",Таблица14[р/р],"3/24",Таблица14[Ф. И. О.],B275)</f>
        <v>0</v>
      </c>
      <c r="X276" s="521">
        <f t="shared" si="133"/>
        <v>0</v>
      </c>
      <c r="Y276" s="748"/>
      <c r="Z276" s="750"/>
      <c r="AA276" s="740"/>
    </row>
    <row r="277" spans="1:27" ht="18.75">
      <c r="A277" s="740"/>
      <c r="B277" s="201"/>
      <c r="C277" s="743"/>
      <c r="D277" s="746"/>
      <c r="E277" s="370"/>
      <c r="F277" s="367"/>
      <c r="G277" s="377"/>
      <c r="H277" s="520">
        <f t="shared" si="130"/>
        <v>0</v>
      </c>
      <c r="I277" s="366"/>
      <c r="J277" s="367"/>
      <c r="K277" s="411"/>
      <c r="L277" s="372">
        <f t="shared" si="131"/>
        <v>0</v>
      </c>
      <c r="M277" s="409"/>
      <c r="N277" s="411"/>
      <c r="O277" s="411"/>
      <c r="P277" s="411"/>
      <c r="Q277" s="376">
        <f>база!$L$5</f>
        <v>231.45480000000001</v>
      </c>
      <c r="R277" s="367">
        <v>1.3</v>
      </c>
      <c r="S277" s="377">
        <f>SUMIFS(Таблица14[часы],Таблица14[коэф],"1,3",Таблица14[р/р],"4/16",Таблица14[Ф. И. О.],B275)</f>
        <v>0</v>
      </c>
      <c r="T277" s="520">
        <f t="shared" si="132"/>
        <v>0</v>
      </c>
      <c r="U277" s="449">
        <f>база!$M$5</f>
        <v>247.41720000000001</v>
      </c>
      <c r="V277" s="367">
        <v>1.3</v>
      </c>
      <c r="W277" s="389">
        <f>SUMIFS(Таблица14[часы],Таблица14[коэф],"1,3",Таблица14[р/р],"4/24",Таблица14[Ф. И. О.],B275)</f>
        <v>0</v>
      </c>
      <c r="X277" s="521">
        <f t="shared" si="133"/>
        <v>0</v>
      </c>
      <c r="Y277" s="748"/>
      <c r="Z277" s="750"/>
      <c r="AA277" s="740"/>
    </row>
    <row r="278" spans="1:27" ht="18.75">
      <c r="A278" s="740"/>
      <c r="B278" s="201"/>
      <c r="C278" s="743"/>
      <c r="D278" s="746"/>
      <c r="E278" s="370"/>
      <c r="F278" s="367"/>
      <c r="G278" s="377"/>
      <c r="H278" s="520">
        <f t="shared" si="130"/>
        <v>0</v>
      </c>
      <c r="I278" s="366"/>
      <c r="J278" s="367"/>
      <c r="K278" s="411"/>
      <c r="L278" s="372">
        <f t="shared" si="131"/>
        <v>0</v>
      </c>
      <c r="M278" s="409"/>
      <c r="N278" s="411"/>
      <c r="O278" s="411"/>
      <c r="P278" s="411"/>
      <c r="Q278" s="376">
        <f>IF(D270&lt;=3,база!$L$4,
IF(D270=4,база!$L$5,
IF(D270=5,база!$L$6)))</f>
        <v>231.45480000000001</v>
      </c>
      <c r="R278" s="367">
        <v>1.4</v>
      </c>
      <c r="S278" s="377">
        <f>SUMIFS(Таблица14[часы],Таблица14[коэф],"1,4",Таблица14[р/р],"3/16",Таблица14[Ф. И. О.],B275)</f>
        <v>0</v>
      </c>
      <c r="T278" s="520">
        <f t="shared" si="132"/>
        <v>0</v>
      </c>
      <c r="U278" s="449">
        <f>IF(D270&lt;=3,база!$M$4,
IF(D270=4,база!$M$5,
IF(D270=5,база!$M$6)))</f>
        <v>247.41720000000001</v>
      </c>
      <c r="V278" s="367">
        <v>1.4</v>
      </c>
      <c r="W278" s="389">
        <f>SUMIFS(Таблица14[часы],Таблица14[коэф],"1,4",Таблица14[р/р],"3/24",Таблица14[Ф. И. О.],B275)</f>
        <v>0</v>
      </c>
      <c r="X278" s="521">
        <f t="shared" si="133"/>
        <v>0</v>
      </c>
      <c r="Y278" s="748"/>
      <c r="Z278" s="750"/>
      <c r="AA278" s="740"/>
    </row>
    <row r="279" spans="1:27" ht="18.75">
      <c r="A279" s="740"/>
      <c r="B279" s="201"/>
      <c r="C279" s="743"/>
      <c r="D279" s="746"/>
      <c r="E279" s="370"/>
      <c r="F279" s="367"/>
      <c r="G279" s="377"/>
      <c r="H279" s="520">
        <f t="shared" si="130"/>
        <v>0</v>
      </c>
      <c r="I279" s="366"/>
      <c r="J279" s="367"/>
      <c r="K279" s="411"/>
      <c r="L279" s="372">
        <f t="shared" si="131"/>
        <v>0</v>
      </c>
      <c r="M279" s="409"/>
      <c r="N279" s="411"/>
      <c r="O279" s="411"/>
      <c r="P279" s="411"/>
      <c r="Q279" s="376">
        <f>база!$L$5</f>
        <v>231.45480000000001</v>
      </c>
      <c r="R279" s="367">
        <v>1.4</v>
      </c>
      <c r="S279" s="377">
        <f>SUMIFS(Таблица14[часы],Таблица14[коэф],"1,4",Таблица14[р/р],"4/16",Таблица14[Ф. И. О.],B275)</f>
        <v>0</v>
      </c>
      <c r="T279" s="520">
        <f t="shared" si="132"/>
        <v>0</v>
      </c>
      <c r="U279" s="449">
        <f>база!$M$5</f>
        <v>247.41720000000001</v>
      </c>
      <c r="V279" s="367">
        <v>1.4</v>
      </c>
      <c r="W279" s="389">
        <f>SUMIFS(Таблица14[часы],Таблица14[коэф],"1,4",Таблица14[р/р],"4/24",Таблица14[Ф. И. О.],B275)</f>
        <v>0</v>
      </c>
      <c r="X279" s="521">
        <f t="shared" si="133"/>
        <v>0</v>
      </c>
      <c r="Y279" s="748"/>
      <c r="Z279" s="750"/>
      <c r="AA279" s="740"/>
    </row>
    <row r="280" spans="1:27" ht="19.5" thickBot="1">
      <c r="A280" s="741"/>
      <c r="B280" s="188"/>
      <c r="C280" s="744"/>
      <c r="D280" s="747"/>
      <c r="E280" s="440"/>
      <c r="F280" s="441"/>
      <c r="G280" s="442"/>
      <c r="H280" s="525">
        <f t="shared" si="130"/>
        <v>0</v>
      </c>
      <c r="I280" s="450"/>
      <c r="J280" s="441"/>
      <c r="K280" s="434"/>
      <c r="L280" s="435">
        <f t="shared" si="131"/>
        <v>0</v>
      </c>
      <c r="M280" s="443"/>
      <c r="N280" s="434"/>
      <c r="O280" s="434"/>
      <c r="P280" s="434"/>
      <c r="Q280" s="444">
        <f>база!$L$6</f>
        <v>261.04640000000001</v>
      </c>
      <c r="R280" s="441">
        <v>1.4</v>
      </c>
      <c r="S280" s="442">
        <f>SUMIFS(Таблица14[часы],Таблица14[коэф],"1,4",Таблица14[р/р],"5/16",Таблица14[Ф. И. О.],B275)</f>
        <v>0</v>
      </c>
      <c r="T280" s="525">
        <f t="shared" si="132"/>
        <v>0</v>
      </c>
      <c r="U280" s="451">
        <f>база!$M$6</f>
        <v>279.0496</v>
      </c>
      <c r="V280" s="441">
        <v>1.4</v>
      </c>
      <c r="W280" s="447">
        <f>SUMIFS(Таблица14[часы],Таблица14[коэф],"1,4",Таблица14[р/р],"5/24",Таблица14[Ф. И. О.],B275)</f>
        <v>0</v>
      </c>
      <c r="X280" s="523">
        <f t="shared" si="133"/>
        <v>0</v>
      </c>
      <c r="Y280" s="749"/>
      <c r="Z280" s="751"/>
      <c r="AA280" s="741"/>
    </row>
    <row r="281" spans="1:27" ht="18.75">
      <c r="A281" s="739">
        <v>26</v>
      </c>
      <c r="B281" s="219"/>
      <c r="C281" s="742">
        <f>INDEX(база!$E$2:$E$81, MATCH(B286,база!$B$2:$B$50,0))</f>
        <v>17122</v>
      </c>
      <c r="D281" s="745">
        <f>INDEX(база!$D$2:$D$89, MATCH(B286,база!$B$2:$B$50,0))</f>
        <v>3</v>
      </c>
      <c r="E281" s="358">
        <f>IF(D281&lt;=3,база!$I$4,
IF(D281=4,база!$I$5,
IF(D281=5,база!$I$6)))</f>
        <v>188.7912</v>
      </c>
      <c r="F281" s="355">
        <v>1</v>
      </c>
      <c r="G281" s="364">
        <f>SUMIFS(Таблица14[часы],Таблица14[коэф],"1",Таблица14[р/р],"2/4",Таблица14[Ф. И. О.],B286)</f>
        <v>0</v>
      </c>
      <c r="H281" s="357">
        <f>ROUND(E281*F281*G281*2,2)</f>
        <v>0</v>
      </c>
      <c r="I281" s="354">
        <f>IF(D281&lt;=3,база!$J$4,
IF(D281=4,база!$J$5,
IF(D281=5,база!$J$6)))</f>
        <v>196.05240000000001</v>
      </c>
      <c r="J281" s="355">
        <v>1</v>
      </c>
      <c r="K281" s="405">
        <f>SUMIFS(Таблица14[часы],Таблица14[коэф],"1",Таблица14[р/р],"2/8",Таблица14[Ф. И. О.],B286)</f>
        <v>0</v>
      </c>
      <c r="L281" s="360">
        <f>ROUND(I281*J281*K281*2,2)</f>
        <v>0</v>
      </c>
      <c r="M281" s="403"/>
      <c r="N281" s="405">
        <v>1</v>
      </c>
      <c r="O281" s="405">
        <f>SUMIFS(Data_Tech!$AM$3:$AM$67,Data_Tech!$E$3:$E$67,"1",Data_Tech!$G$3:$G$67,"3/12",Data_Tech!$F$3:$F$67,B286)</f>
        <v>0</v>
      </c>
      <c r="P281" s="405">
        <f>ROUND(M281*N281*O281,2)</f>
        <v>0</v>
      </c>
      <c r="Q281" s="363">
        <f>IF(D281&lt;=3,база!$L$4,
IF(D281=4,база!$L$5,
IF(D281=5,база!$L$6)))</f>
        <v>210.57480000000001</v>
      </c>
      <c r="R281" s="355">
        <v>1</v>
      </c>
      <c r="S281" s="364">
        <f>SUMIFS(Таблица14[часы],Таблица14[коэф],"1",Таблица14[р/р],"3/16",Таблица14[Ф. И. О.],B286)</f>
        <v>0</v>
      </c>
      <c r="T281" s="524">
        <f>ROUND(Q281*R281*S281*2,2)</f>
        <v>0</v>
      </c>
      <c r="U281" s="448">
        <f>IF(D281&lt;=3,база!$M$4,
IF(D281=4,база!$M$5,
IF(D281=5,база!$M$6)))</f>
        <v>225.09719999999999</v>
      </c>
      <c r="V281" s="355">
        <v>1</v>
      </c>
      <c r="W281" s="407">
        <f>SUMIFS(Таблица14[часы],Таблица14[коэф],"1",Таблица14[р/р],"3/24",Таблица14[Ф. И. О.],B286)</f>
        <v>0</v>
      </c>
      <c r="X281" s="519">
        <f>ROUND(U281*V281*W281*2,2)</f>
        <v>0</v>
      </c>
      <c r="Y281" s="748">
        <f t="shared" ref="Y281" si="134">SUM(G281:G291,K281:K291,O281:O291,S281:S291,W281:W291)</f>
        <v>0</v>
      </c>
      <c r="Z281" s="750">
        <f t="shared" ref="Z281" si="135">IFERROR(SUM(H281:H291,L281:L291,T281:T291,X281:X291),"")</f>
        <v>0</v>
      </c>
      <c r="AA281" s="740"/>
    </row>
    <row r="282" spans="1:27" ht="18.75">
      <c r="A282" s="740"/>
      <c r="B282" s="201"/>
      <c r="C282" s="743"/>
      <c r="D282" s="746"/>
      <c r="E282" s="370">
        <f>IF(D281&lt;=3,база!$I$4,
IF(D281=4,база!$I$5,
IF(D281=5,база!$I$6)))</f>
        <v>188.7912</v>
      </c>
      <c r="F282" s="367">
        <v>1</v>
      </c>
      <c r="G282" s="377">
        <f>SUMIFS(Таблица14[часы],Таблица14[коэф],"1",Таблица14[р/р],"3/4",Таблица14[Ф. И. О.],B286)</f>
        <v>0</v>
      </c>
      <c r="H282" s="518">
        <f t="shared" ref="H282:H291" si="136">ROUND(E282*F282*G282*2,2)</f>
        <v>0</v>
      </c>
      <c r="I282" s="366">
        <f>IF(D281&lt;=3,база!$J$4,
IF(D281=4,база!$J$5,
IF(D281=5,база!$J$6)))</f>
        <v>196.05240000000001</v>
      </c>
      <c r="J282" s="367">
        <v>1</v>
      </c>
      <c r="K282" s="411">
        <f>SUMIFS(Таблица14[часы],Таблица14[коэф],"1",Таблица14[р/р],"3/8",Таблица14[Ф. И. О.],B286)</f>
        <v>0</v>
      </c>
      <c r="L282" s="372">
        <f t="shared" ref="L282:L291" si="137">ROUND(I282*J282*K282*2,2)</f>
        <v>0</v>
      </c>
      <c r="M282" s="409"/>
      <c r="N282" s="411">
        <v>1</v>
      </c>
      <c r="O282" s="411">
        <f>SUMIFS(Data_Tech!$AM$3:$AM$67,Data_Tech!$E$3:$E$67,"1",Data_Tech!$G$3:$G$67,"4/12",Data_Tech!$F$3:$F$67,B286)</f>
        <v>0</v>
      </c>
      <c r="P282" s="411">
        <f>ROUND(M282*O282,2)</f>
        <v>0</v>
      </c>
      <c r="Q282" s="376">
        <f>база!$L$5</f>
        <v>231.45480000000001</v>
      </c>
      <c r="R282" s="367">
        <v>1</v>
      </c>
      <c r="S282" s="377">
        <f>SUMIFS(Таблица14[часы],Таблица14[коэф],"1",Таблица14[р/р],"4/16",Таблица14[Ф. И. О.],B286)</f>
        <v>0</v>
      </c>
      <c r="T282" s="520">
        <f t="shared" ref="T282:T291" si="138">ROUND(Q282*R282*S282*2,2)</f>
        <v>0</v>
      </c>
      <c r="U282" s="449">
        <f>база!$M$5</f>
        <v>247.41720000000001</v>
      </c>
      <c r="V282" s="367">
        <v>1</v>
      </c>
      <c r="W282" s="389">
        <f>SUMIFS(Таблица14[часы],Таблица14[коэф],"1",Таблица14[р/р],"4/24",Таблица14[Ф. И. О.],B286)</f>
        <v>0</v>
      </c>
      <c r="X282" s="521">
        <f t="shared" ref="X282:X291" si="139">ROUND(U282*V282*W282*2,2)</f>
        <v>0</v>
      </c>
      <c r="Y282" s="748"/>
      <c r="Z282" s="750"/>
      <c r="AA282" s="740"/>
    </row>
    <row r="283" spans="1:27" ht="18.75">
      <c r="A283" s="740"/>
      <c r="B283" s="201"/>
      <c r="C283" s="743"/>
      <c r="D283" s="746"/>
      <c r="E283" s="370"/>
      <c r="F283" s="367"/>
      <c r="G283" s="377"/>
      <c r="H283" s="520">
        <f t="shared" si="136"/>
        <v>0</v>
      </c>
      <c r="I283" s="366"/>
      <c r="J283" s="367"/>
      <c r="K283" s="411"/>
      <c r="L283" s="372">
        <f t="shared" si="137"/>
        <v>0</v>
      </c>
      <c r="M283" s="409"/>
      <c r="N283" s="411"/>
      <c r="O283" s="411"/>
      <c r="P283" s="411"/>
      <c r="Q283" s="376">
        <f>база!$L$6</f>
        <v>261.04640000000001</v>
      </c>
      <c r="R283" s="367">
        <v>1</v>
      </c>
      <c r="S283" s="377">
        <f>SUMIFS(Таблица14[часы],Таблица14[коэф],"1",Таблица14[р/р],"5/16",Таблица14[Ф. И. О.],B286)</f>
        <v>0</v>
      </c>
      <c r="T283" s="520">
        <f t="shared" si="138"/>
        <v>0</v>
      </c>
      <c r="U283" s="449">
        <f>база!$M$6</f>
        <v>279.0496</v>
      </c>
      <c r="V283" s="367">
        <v>1</v>
      </c>
      <c r="W283" s="389">
        <f>SUMIFS(Таблица14[часы],Таблица14[коэф],"1",Таблица14[р/р],"5/24",Таблица14[Ф. И. О.],B286)</f>
        <v>0</v>
      </c>
      <c r="X283" s="521">
        <f t="shared" si="139"/>
        <v>0</v>
      </c>
      <c r="Y283" s="748"/>
      <c r="Z283" s="750"/>
      <c r="AA283" s="740"/>
    </row>
    <row r="284" spans="1:27" ht="18.75">
      <c r="A284" s="740"/>
      <c r="B284" s="201"/>
      <c r="C284" s="743"/>
      <c r="D284" s="746"/>
      <c r="E284" s="370"/>
      <c r="F284" s="367"/>
      <c r="G284" s="377"/>
      <c r="H284" s="520">
        <f t="shared" si="136"/>
        <v>0</v>
      </c>
      <c r="I284" s="366">
        <f>база!$J$5</f>
        <v>215.4924</v>
      </c>
      <c r="J284" s="367">
        <v>1.5</v>
      </c>
      <c r="K284" s="411">
        <f>SUMIFS(Таблица14[часы],Таблица14[коэф],"1,5",Таблица14[р/р],"4/8",Таблица14[Ф. И. О.],B286)</f>
        <v>0</v>
      </c>
      <c r="L284" s="372">
        <f t="shared" si="137"/>
        <v>0</v>
      </c>
      <c r="M284" s="409"/>
      <c r="N284" s="411"/>
      <c r="O284" s="411"/>
      <c r="P284" s="411"/>
      <c r="Q284" s="376">
        <f>IF(D281&lt;=3,база!$L$4,
IF(D281=4,база!$L$5,
IF(D281=5,база!$L$6)))</f>
        <v>210.57480000000001</v>
      </c>
      <c r="R284" s="367">
        <v>1.2</v>
      </c>
      <c r="S284" s="377">
        <f>SUMIFS(Таблица14[часы],Таблица14[коэф],"1,2",Таблица14[р/р],"3/16",Таблица14[Ф. И. О.],B286)</f>
        <v>0</v>
      </c>
      <c r="T284" s="520">
        <f t="shared" si="138"/>
        <v>0</v>
      </c>
      <c r="U284" s="449">
        <f>IF(D281&lt;=3,база!$M$4,
IF(D281=4,база!$M$5,
IF(D281=5,база!$M$6)))</f>
        <v>225.09719999999999</v>
      </c>
      <c r="V284" s="367">
        <v>1.2</v>
      </c>
      <c r="W284" s="389">
        <f>SUMIFS(Таблица14[часы],Таблица14[коэф],"1,2",Таблица14[р/р],"3/24",Таблица14[Ф. И. О.],B286)</f>
        <v>0</v>
      </c>
      <c r="X284" s="521">
        <f t="shared" si="139"/>
        <v>0</v>
      </c>
      <c r="Y284" s="748"/>
      <c r="Z284" s="750"/>
      <c r="AA284" s="740"/>
    </row>
    <row r="285" spans="1:27" ht="18.75">
      <c r="A285" s="740"/>
      <c r="B285" s="201"/>
      <c r="C285" s="743"/>
      <c r="D285" s="746"/>
      <c r="E285" s="370"/>
      <c r="F285" s="367"/>
      <c r="G285" s="377"/>
      <c r="H285" s="520">
        <f t="shared" si="136"/>
        <v>0</v>
      </c>
      <c r="I285" s="366">
        <f>база!$J$6</f>
        <v>243.04319999999998</v>
      </c>
      <c r="J285" s="367">
        <v>1.5</v>
      </c>
      <c r="K285" s="411">
        <f>SUMIFS(Таблица14[часы],Таблица14[коэф],"1,5",Таблица14[р/р],"5/8",Таблица14[Ф. И. О.],B286)</f>
        <v>0</v>
      </c>
      <c r="L285" s="372">
        <f t="shared" si="137"/>
        <v>0</v>
      </c>
      <c r="M285" s="409"/>
      <c r="N285" s="411"/>
      <c r="O285" s="411"/>
      <c r="P285" s="411"/>
      <c r="Q285" s="376">
        <f>база!$L$5</f>
        <v>231.45480000000001</v>
      </c>
      <c r="R285" s="367">
        <v>1.2</v>
      </c>
      <c r="S285" s="377">
        <f>SUMIFS(Таблица14[часы],Таблица14[коэф],"1,2",Таблица14[р/р],"4/16",Таблица14[Ф. И. О.],B286)</f>
        <v>0</v>
      </c>
      <c r="T285" s="520">
        <f t="shared" si="138"/>
        <v>0</v>
      </c>
      <c r="U285" s="449">
        <f>база!$M$5</f>
        <v>247.41720000000001</v>
      </c>
      <c r="V285" s="367">
        <v>1.2</v>
      </c>
      <c r="W285" s="389">
        <f>SUMIFS(Таблица14[часы],Таблица14[коэф],"1,2",Таблица14[р/р],"4/24",Таблица14[Ф. И. О.],B286)</f>
        <v>0</v>
      </c>
      <c r="X285" s="521">
        <f t="shared" si="139"/>
        <v>0</v>
      </c>
      <c r="Y285" s="748"/>
      <c r="Z285" s="750"/>
      <c r="AA285" s="740"/>
    </row>
    <row r="286" spans="1:27" ht="20.25" customHeight="1">
      <c r="A286" s="740"/>
      <c r="B286" s="201" t="str">
        <f>база!B27</f>
        <v>Иванова Екатерина Борисовна</v>
      </c>
      <c r="C286" s="743"/>
      <c r="D286" s="746"/>
      <c r="E286" s="370"/>
      <c r="F286" s="367"/>
      <c r="G286" s="377"/>
      <c r="H286" s="520">
        <f t="shared" si="136"/>
        <v>0</v>
      </c>
      <c r="I286" s="366"/>
      <c r="J286" s="367"/>
      <c r="K286" s="411"/>
      <c r="L286" s="372">
        <f t="shared" si="137"/>
        <v>0</v>
      </c>
      <c r="M286" s="409"/>
      <c r="N286" s="411"/>
      <c r="O286" s="411"/>
      <c r="P286" s="411"/>
      <c r="Q286" s="376">
        <f>база!$L$6</f>
        <v>261.04640000000001</v>
      </c>
      <c r="R286" s="367">
        <v>1.2</v>
      </c>
      <c r="S286" s="377">
        <f>SUMIFS(Таблица14[часы],Таблица14[коэф],"1,2",Таблица14[р/р],"5/16",Таблица14[Ф. И. О.],B286)</f>
        <v>0</v>
      </c>
      <c r="T286" s="520">
        <f t="shared" si="138"/>
        <v>0</v>
      </c>
      <c r="U286" s="449">
        <f>база!$M$6</f>
        <v>279.0496</v>
      </c>
      <c r="V286" s="367">
        <v>1.2</v>
      </c>
      <c r="W286" s="389">
        <f>SUMIFS(Таблица14[часы],Таблица14[коэф],"1,2",Таблица14[р/р],"5/24",Таблица14[Ф. И. О.],B286)</f>
        <v>0</v>
      </c>
      <c r="X286" s="521">
        <f t="shared" si="139"/>
        <v>0</v>
      </c>
      <c r="Y286" s="748"/>
      <c r="Z286" s="750"/>
      <c r="AA286" s="740"/>
    </row>
    <row r="287" spans="1:27" ht="18.75">
      <c r="A287" s="740"/>
      <c r="B287" s="201"/>
      <c r="C287" s="743"/>
      <c r="D287" s="746"/>
      <c r="E287" s="370"/>
      <c r="F287" s="367"/>
      <c r="G287" s="377"/>
      <c r="H287" s="520">
        <f t="shared" si="136"/>
        <v>0</v>
      </c>
      <c r="I287" s="366"/>
      <c r="J287" s="367"/>
      <c r="K287" s="411"/>
      <c r="L287" s="372">
        <f t="shared" si="137"/>
        <v>0</v>
      </c>
      <c r="M287" s="409"/>
      <c r="N287" s="411"/>
      <c r="O287" s="411"/>
      <c r="P287" s="411"/>
      <c r="Q287" s="376">
        <f>IF(D281&lt;=3,база!$L$4,
IF(D281=4,база!$L$5,
IF(D281=5,база!$L$6)))</f>
        <v>210.57480000000001</v>
      </c>
      <c r="R287" s="367">
        <v>1.3</v>
      </c>
      <c r="S287" s="377">
        <f>SUMIFS(Таблица14[часы],Таблица14[коэф],"1,3",Таблица14[р/р],"3/16",Таблица14[Ф. И. О.],B286)</f>
        <v>0</v>
      </c>
      <c r="T287" s="520">
        <f t="shared" si="138"/>
        <v>0</v>
      </c>
      <c r="U287" s="449">
        <f>IF(D281&lt;=3,база!$M$4,
IF(D281=4,база!$M$5,
IF(D281=5,база!$M$6)))</f>
        <v>225.09719999999999</v>
      </c>
      <c r="V287" s="367">
        <v>1.3</v>
      </c>
      <c r="W287" s="389">
        <f>SUMIFS(Таблица14[часы],Таблица14[коэф],"1,3",Таблица14[р/р],"3/24",Таблица14[Ф. И. О.],B286)</f>
        <v>0</v>
      </c>
      <c r="X287" s="521">
        <f t="shared" si="139"/>
        <v>0</v>
      </c>
      <c r="Y287" s="748"/>
      <c r="Z287" s="750"/>
      <c r="AA287" s="740"/>
    </row>
    <row r="288" spans="1:27" ht="18.75">
      <c r="A288" s="740"/>
      <c r="B288" s="201"/>
      <c r="C288" s="743"/>
      <c r="D288" s="746"/>
      <c r="E288" s="370"/>
      <c r="F288" s="367"/>
      <c r="G288" s="377"/>
      <c r="H288" s="520">
        <f t="shared" si="136"/>
        <v>0</v>
      </c>
      <c r="I288" s="366"/>
      <c r="J288" s="367"/>
      <c r="K288" s="411"/>
      <c r="L288" s="372">
        <f t="shared" si="137"/>
        <v>0</v>
      </c>
      <c r="M288" s="409"/>
      <c r="N288" s="411"/>
      <c r="O288" s="411"/>
      <c r="P288" s="411"/>
      <c r="Q288" s="376">
        <f>база!$L$5</f>
        <v>231.45480000000001</v>
      </c>
      <c r="R288" s="367">
        <v>1.3</v>
      </c>
      <c r="S288" s="377">
        <f>SUMIFS(Таблица14[часы],Таблица14[коэф],"1,3",Таблица14[р/р],"4/16",Таблица14[Ф. И. О.],B286)</f>
        <v>0</v>
      </c>
      <c r="T288" s="520">
        <f t="shared" si="138"/>
        <v>0</v>
      </c>
      <c r="U288" s="449">
        <f>база!$M$5</f>
        <v>247.41720000000001</v>
      </c>
      <c r="V288" s="367">
        <v>1.3</v>
      </c>
      <c r="W288" s="389">
        <f>SUMIFS(Таблица14[часы],Таблица14[коэф],"1,3",Таблица14[р/р],"4/24",Таблица14[Ф. И. О.],B286)</f>
        <v>0</v>
      </c>
      <c r="X288" s="521">
        <f t="shared" si="139"/>
        <v>0</v>
      </c>
      <c r="Y288" s="748"/>
      <c r="Z288" s="750"/>
      <c r="AA288" s="740"/>
    </row>
    <row r="289" spans="1:27" ht="18.75">
      <c r="A289" s="740"/>
      <c r="B289" s="201"/>
      <c r="C289" s="743"/>
      <c r="D289" s="746"/>
      <c r="E289" s="370"/>
      <c r="F289" s="367"/>
      <c r="G289" s="377"/>
      <c r="H289" s="520">
        <f t="shared" si="136"/>
        <v>0</v>
      </c>
      <c r="I289" s="366"/>
      <c r="J289" s="367"/>
      <c r="K289" s="411"/>
      <c r="L289" s="372">
        <f t="shared" si="137"/>
        <v>0</v>
      </c>
      <c r="M289" s="409"/>
      <c r="N289" s="411"/>
      <c r="O289" s="411"/>
      <c r="P289" s="411"/>
      <c r="Q289" s="376">
        <f>IF(D281&lt;=3,база!$L$4,
IF(D281=4,база!$L$5,
IF(D281=5,база!$L$6)))</f>
        <v>210.57480000000001</v>
      </c>
      <c r="R289" s="367">
        <v>1.4</v>
      </c>
      <c r="S289" s="377">
        <f>SUMIFS(Таблица14[часы],Таблица14[коэф],"1,4",Таблица14[р/р],"3/16",Таблица14[Ф. И. О.],B286)</f>
        <v>0</v>
      </c>
      <c r="T289" s="520">
        <f t="shared" si="138"/>
        <v>0</v>
      </c>
      <c r="U289" s="449">
        <f>IF(D281&lt;=3,база!$M$4,
IF(D281=4,база!$M$5,
IF(D281=5,база!$M$6)))</f>
        <v>225.09719999999999</v>
      </c>
      <c r="V289" s="367">
        <v>1.4</v>
      </c>
      <c r="W289" s="389">
        <f>SUMIFS(Таблица14[часы],Таблица14[коэф],"1,4",Таблица14[р/р],"3/24",Таблица14[Ф. И. О.],B286)</f>
        <v>0</v>
      </c>
      <c r="X289" s="521">
        <f t="shared" si="139"/>
        <v>0</v>
      </c>
      <c r="Y289" s="748"/>
      <c r="Z289" s="750"/>
      <c r="AA289" s="740"/>
    </row>
    <row r="290" spans="1:27" ht="18.75">
      <c r="A290" s="740"/>
      <c r="B290" s="201"/>
      <c r="C290" s="743"/>
      <c r="D290" s="746"/>
      <c r="E290" s="370"/>
      <c r="F290" s="367"/>
      <c r="G290" s="377"/>
      <c r="H290" s="520">
        <f t="shared" si="136"/>
        <v>0</v>
      </c>
      <c r="I290" s="366"/>
      <c r="J290" s="367"/>
      <c r="K290" s="411"/>
      <c r="L290" s="372">
        <f t="shared" si="137"/>
        <v>0</v>
      </c>
      <c r="M290" s="409"/>
      <c r="N290" s="411"/>
      <c r="O290" s="411"/>
      <c r="P290" s="411"/>
      <c r="Q290" s="376">
        <f>база!$L$5</f>
        <v>231.45480000000001</v>
      </c>
      <c r="R290" s="367">
        <v>1.4</v>
      </c>
      <c r="S290" s="377">
        <f>SUMIFS(Таблица14[часы],Таблица14[коэф],"1,4",Таблица14[р/р],"4/16",Таблица14[Ф. И. О.],B286)</f>
        <v>0</v>
      </c>
      <c r="T290" s="520">
        <f t="shared" si="138"/>
        <v>0</v>
      </c>
      <c r="U290" s="449">
        <f>база!$M$5</f>
        <v>247.41720000000001</v>
      </c>
      <c r="V290" s="367">
        <v>1.4</v>
      </c>
      <c r="W290" s="389">
        <f>SUMIFS(Таблица14[часы],Таблица14[коэф],"1,4",Таблица14[р/р],"4/24",Таблица14[Ф. И. О.],B286)</f>
        <v>0</v>
      </c>
      <c r="X290" s="521">
        <f t="shared" si="139"/>
        <v>0</v>
      </c>
      <c r="Y290" s="748"/>
      <c r="Z290" s="750"/>
      <c r="AA290" s="740"/>
    </row>
    <row r="291" spans="1:27" ht="19.5" thickBot="1">
      <c r="A291" s="741"/>
      <c r="B291" s="188"/>
      <c r="C291" s="744"/>
      <c r="D291" s="747"/>
      <c r="E291" s="440"/>
      <c r="F291" s="441"/>
      <c r="G291" s="442"/>
      <c r="H291" s="525">
        <f t="shared" si="136"/>
        <v>0</v>
      </c>
      <c r="I291" s="450"/>
      <c r="J291" s="441"/>
      <c r="K291" s="434"/>
      <c r="L291" s="435">
        <f t="shared" si="137"/>
        <v>0</v>
      </c>
      <c r="M291" s="443"/>
      <c r="N291" s="434"/>
      <c r="O291" s="434"/>
      <c r="P291" s="434"/>
      <c r="Q291" s="444">
        <f>база!$L$6</f>
        <v>261.04640000000001</v>
      </c>
      <c r="R291" s="441">
        <v>1.4</v>
      </c>
      <c r="S291" s="442">
        <f>SUMIFS(Таблица14[часы],Таблица14[коэф],"1,4",Таблица14[р/р],"5/16",Таблица14[Ф. И. О.],B286)</f>
        <v>0</v>
      </c>
      <c r="T291" s="525">
        <f t="shared" si="138"/>
        <v>0</v>
      </c>
      <c r="U291" s="451">
        <f>база!$M$6</f>
        <v>279.0496</v>
      </c>
      <c r="V291" s="441">
        <v>1.4</v>
      </c>
      <c r="W291" s="447">
        <f>SUMIFS(Таблица14[часы],Таблица14[коэф],"1,4",Таблица14[р/р],"5/24",Таблица14[Ф. И. О.],B286)</f>
        <v>0</v>
      </c>
      <c r="X291" s="523">
        <f t="shared" si="139"/>
        <v>0</v>
      </c>
      <c r="Y291" s="749"/>
      <c r="Z291" s="751"/>
      <c r="AA291" s="741"/>
    </row>
    <row r="292" spans="1:27" ht="18.75">
      <c r="A292" s="739">
        <v>27</v>
      </c>
      <c r="B292" s="219"/>
      <c r="C292" s="742">
        <f>INDEX(база!$E$2:$E$81, MATCH(B297,база!$B$2:$B$50,0))</f>
        <v>17068</v>
      </c>
      <c r="D292" s="745">
        <f>INDEX(база!$D$2:$D$89, MATCH(B297,база!$B$2:$B$50,0))</f>
        <v>3</v>
      </c>
      <c r="E292" s="358">
        <f>IF(D292&lt;=3,база!$I$4,
IF(D292=4,база!$I$5,
IF(D292=5,база!$I$6)))</f>
        <v>188.7912</v>
      </c>
      <c r="F292" s="355">
        <v>1</v>
      </c>
      <c r="G292" s="364">
        <f>SUMIFS(Таблица14[часы],Таблица14[коэф],"1",Таблица14[р/р],"2/4",Таблица14[Ф. И. О.],B297)</f>
        <v>0</v>
      </c>
      <c r="H292" s="357">
        <f>ROUND(E292*F292*G292*2,2)</f>
        <v>0</v>
      </c>
      <c r="I292" s="354">
        <f>IF(D292&lt;=3,база!$J$4,
IF(D292=4,база!$J$5,
IF(D292=5,база!$J$6)))</f>
        <v>196.05240000000001</v>
      </c>
      <c r="J292" s="355">
        <v>1</v>
      </c>
      <c r="K292" s="405">
        <f>SUMIFS(Таблица14[часы],Таблица14[коэф],"1",Таблица14[р/р],"2/8",Таблица14[Ф. И. О.],B297)</f>
        <v>0</v>
      </c>
      <c r="L292" s="360">
        <f>ROUND(I292*J292*K292*2,2)</f>
        <v>0</v>
      </c>
      <c r="M292" s="403"/>
      <c r="N292" s="405">
        <v>1</v>
      </c>
      <c r="O292" s="405">
        <f>SUMIFS(Data_Tech!$AM$3:$AM$67,Data_Tech!$E$3:$E$67,"1",Data_Tech!$G$3:$G$67,"3/12",Data_Tech!$F$3:$F$67,B297)</f>
        <v>0</v>
      </c>
      <c r="P292" s="405">
        <f>ROUND(M292*N292*O292,2)</f>
        <v>0</v>
      </c>
      <c r="Q292" s="363">
        <f>IF(D292&lt;=3,база!$L$4,
IF(D292=4,база!$L$5,
IF(D292=5,база!$L$6)))</f>
        <v>210.57480000000001</v>
      </c>
      <c r="R292" s="355">
        <v>1</v>
      </c>
      <c r="S292" s="364">
        <f>SUMIFS(Таблица14[часы],Таблица14[коэф],"1",Таблица14[р/р],"3/16",Таблица14[Ф. И. О.],B297)</f>
        <v>0</v>
      </c>
      <c r="T292" s="524">
        <f>ROUND(Q292*R292*S292*2,2)</f>
        <v>0</v>
      </c>
      <c r="U292" s="448">
        <f>IF(D292&lt;=3,база!$M$4,
IF(D292=4,база!$M$5,
IF(D292=5,база!$M$6)))</f>
        <v>225.09719999999999</v>
      </c>
      <c r="V292" s="355">
        <v>1</v>
      </c>
      <c r="W292" s="407">
        <f>SUMIFS(Таблица14[часы],Таблица14[коэф],"1",Таблица14[р/р],"3/24",Таблица14[Ф. И. О.],B297)</f>
        <v>0</v>
      </c>
      <c r="X292" s="519">
        <f>ROUND(U292*V292*W292*2,2)</f>
        <v>0</v>
      </c>
      <c r="Y292" s="748">
        <f t="shared" ref="Y292" si="140">SUM(G292:G302,K292:K302,O292:O302,S292:S302,W292:W302)</f>
        <v>0</v>
      </c>
      <c r="Z292" s="750">
        <f t="shared" ref="Z292" si="141">IFERROR(SUM(H292:H302,L292:L302,T292:T302,X292:X302),"")</f>
        <v>0</v>
      </c>
      <c r="AA292" s="740"/>
    </row>
    <row r="293" spans="1:27" ht="18.75">
      <c r="A293" s="740"/>
      <c r="B293" s="201"/>
      <c r="C293" s="743"/>
      <c r="D293" s="746"/>
      <c r="E293" s="370">
        <f>IF(D292&lt;=3,база!$I$4,
IF(D292=4,база!$I$5,
IF(D292=5,база!$I$6)))</f>
        <v>188.7912</v>
      </c>
      <c r="F293" s="367">
        <v>1</v>
      </c>
      <c r="G293" s="377">
        <f>SUMIFS(Таблица14[часы],Таблица14[коэф],"1",Таблица14[р/р],"3/4",Таблица14[Ф. И. О.],B297)</f>
        <v>0</v>
      </c>
      <c r="H293" s="518">
        <f t="shared" ref="H293:H302" si="142">ROUND(E293*F293*G293*2,2)</f>
        <v>0</v>
      </c>
      <c r="I293" s="366">
        <f>IF(D292&lt;=3,база!$J$4,
IF(D292=4,база!$J$5,
IF(D292=5,база!$J$6)))</f>
        <v>196.05240000000001</v>
      </c>
      <c r="J293" s="367">
        <v>1</v>
      </c>
      <c r="K293" s="411">
        <f>SUMIFS(Таблица14[часы],Таблица14[коэф],"1",Таблица14[р/р],"3/8",Таблица14[Ф. И. О.],B297)</f>
        <v>0</v>
      </c>
      <c r="L293" s="372">
        <f t="shared" ref="L293:L302" si="143">ROUND(I293*J293*K293*2,2)</f>
        <v>0</v>
      </c>
      <c r="M293" s="409"/>
      <c r="N293" s="411">
        <v>1</v>
      </c>
      <c r="O293" s="411">
        <f>SUMIFS(Data_Tech!$AM$3:$AM$67,Data_Tech!$E$3:$E$67,"1",Data_Tech!$G$3:$G$67,"4/12",Data_Tech!$F$3:$F$67,B297)</f>
        <v>0</v>
      </c>
      <c r="P293" s="411">
        <f>ROUND(M293*O293,2)</f>
        <v>0</v>
      </c>
      <c r="Q293" s="376">
        <f>база!$L$5</f>
        <v>231.45480000000001</v>
      </c>
      <c r="R293" s="367">
        <v>1</v>
      </c>
      <c r="S293" s="377">
        <f>SUMIFS(Таблица14[часы],Таблица14[коэф],"1",Таблица14[р/р],"4/16",Таблица14[Ф. И. О.],B297)</f>
        <v>0</v>
      </c>
      <c r="T293" s="520">
        <f t="shared" ref="T293:T302" si="144">ROUND(Q293*R293*S293*2,2)</f>
        <v>0</v>
      </c>
      <c r="U293" s="449">
        <f>база!$M$5</f>
        <v>247.41720000000001</v>
      </c>
      <c r="V293" s="367">
        <v>1</v>
      </c>
      <c r="W293" s="389">
        <f>SUMIFS(Таблица14[часы],Таблица14[коэф],"1",Таблица14[р/р],"4/24",Таблица14[Ф. И. О.],B297)</f>
        <v>0</v>
      </c>
      <c r="X293" s="521">
        <f t="shared" ref="X293:X302" si="145">ROUND(U293*V293*W293*2,2)</f>
        <v>0</v>
      </c>
      <c r="Y293" s="748"/>
      <c r="Z293" s="750"/>
      <c r="AA293" s="740"/>
    </row>
    <row r="294" spans="1:27" ht="18.75">
      <c r="A294" s="740"/>
      <c r="B294" s="201"/>
      <c r="C294" s="743"/>
      <c r="D294" s="746"/>
      <c r="E294" s="370"/>
      <c r="F294" s="367"/>
      <c r="G294" s="377"/>
      <c r="H294" s="520">
        <f t="shared" si="142"/>
        <v>0</v>
      </c>
      <c r="I294" s="366"/>
      <c r="J294" s="367"/>
      <c r="K294" s="411"/>
      <c r="L294" s="372">
        <f t="shared" si="143"/>
        <v>0</v>
      </c>
      <c r="M294" s="409"/>
      <c r="N294" s="411"/>
      <c r="O294" s="411"/>
      <c r="P294" s="411"/>
      <c r="Q294" s="376">
        <f>база!$L$6</f>
        <v>261.04640000000001</v>
      </c>
      <c r="R294" s="367">
        <v>1</v>
      </c>
      <c r="S294" s="377">
        <f>SUMIFS(Таблица14[часы],Таблица14[коэф],"1",Таблица14[р/р],"5/16",Таблица14[Ф. И. О.],B297)</f>
        <v>0</v>
      </c>
      <c r="T294" s="520">
        <f t="shared" si="144"/>
        <v>0</v>
      </c>
      <c r="U294" s="449">
        <f>база!$M$6</f>
        <v>279.0496</v>
      </c>
      <c r="V294" s="367">
        <v>1</v>
      </c>
      <c r="W294" s="389">
        <f>SUMIFS(Таблица14[часы],Таблица14[коэф],"1",Таблица14[р/р],"5/24",Таблица14[Ф. И. О.],B297)</f>
        <v>0</v>
      </c>
      <c r="X294" s="521">
        <f t="shared" si="145"/>
        <v>0</v>
      </c>
      <c r="Y294" s="748"/>
      <c r="Z294" s="750"/>
      <c r="AA294" s="740"/>
    </row>
    <row r="295" spans="1:27" ht="18.75">
      <c r="A295" s="740"/>
      <c r="B295" s="201"/>
      <c r="C295" s="743"/>
      <c r="D295" s="746"/>
      <c r="E295" s="370"/>
      <c r="F295" s="367"/>
      <c r="G295" s="377"/>
      <c r="H295" s="520">
        <f t="shared" si="142"/>
        <v>0</v>
      </c>
      <c r="I295" s="366">
        <f>база!$J$5</f>
        <v>215.4924</v>
      </c>
      <c r="J295" s="367">
        <v>1.5</v>
      </c>
      <c r="K295" s="411">
        <f>SUMIFS(Таблица14[часы],Таблица14[коэф],"1,5",Таблица14[р/р],"4/8",Таблица14[Ф. И. О.],B297)</f>
        <v>0</v>
      </c>
      <c r="L295" s="372">
        <f t="shared" si="143"/>
        <v>0</v>
      </c>
      <c r="M295" s="409"/>
      <c r="N295" s="411"/>
      <c r="O295" s="411"/>
      <c r="P295" s="411"/>
      <c r="Q295" s="376">
        <f>IF(D292&lt;=3,база!$L$4,
IF(D292=4,база!$L$5,
IF(D292=5,база!$L$6)))</f>
        <v>210.57480000000001</v>
      </c>
      <c r="R295" s="367">
        <v>1.2</v>
      </c>
      <c r="S295" s="377">
        <f>SUMIFS(Таблица14[часы],Таблица14[коэф],"1,2",Таблица14[р/р],"3/16",Таблица14[Ф. И. О.],B297)</f>
        <v>0</v>
      </c>
      <c r="T295" s="520">
        <f t="shared" si="144"/>
        <v>0</v>
      </c>
      <c r="U295" s="449">
        <f>IF(D292&lt;=3,база!$M$4,
IF(D292=4,база!$M$5,
IF(D292=5,база!$M$6)))</f>
        <v>225.09719999999999</v>
      </c>
      <c r="V295" s="367">
        <v>1.2</v>
      </c>
      <c r="W295" s="389">
        <f>SUMIFS(Таблица14[часы],Таблица14[коэф],"1,2",Таблица14[р/р],"3/24",Таблица14[Ф. И. О.],B297)</f>
        <v>0</v>
      </c>
      <c r="X295" s="521">
        <f t="shared" si="145"/>
        <v>0</v>
      </c>
      <c r="Y295" s="748"/>
      <c r="Z295" s="750"/>
      <c r="AA295" s="740"/>
    </row>
    <row r="296" spans="1:27" ht="18.75">
      <c r="A296" s="740"/>
      <c r="B296" s="201"/>
      <c r="C296" s="743"/>
      <c r="D296" s="746"/>
      <c r="E296" s="370"/>
      <c r="F296" s="367"/>
      <c r="G296" s="377"/>
      <c r="H296" s="520">
        <f t="shared" si="142"/>
        <v>0</v>
      </c>
      <c r="I296" s="366">
        <f>база!$J$6</f>
        <v>243.04319999999998</v>
      </c>
      <c r="J296" s="367">
        <v>1.5</v>
      </c>
      <c r="K296" s="411">
        <f>SUMIFS(Таблица14[часы],Таблица14[коэф],"1,5",Таблица14[р/р],"5/8",Таблица14[Ф. И. О.],B297)</f>
        <v>0</v>
      </c>
      <c r="L296" s="372">
        <f t="shared" si="143"/>
        <v>0</v>
      </c>
      <c r="M296" s="409"/>
      <c r="N296" s="411"/>
      <c r="O296" s="411"/>
      <c r="P296" s="411"/>
      <c r="Q296" s="376">
        <f>база!$L$5</f>
        <v>231.45480000000001</v>
      </c>
      <c r="R296" s="367">
        <v>1.2</v>
      </c>
      <c r="S296" s="377">
        <f>SUMIFS(Таблица14[часы],Таблица14[коэф],"1,2",Таблица14[р/р],"4/16",Таблица14[Ф. И. О.],B297)</f>
        <v>0</v>
      </c>
      <c r="T296" s="520">
        <f t="shared" si="144"/>
        <v>0</v>
      </c>
      <c r="U296" s="449">
        <f>база!$M$5</f>
        <v>247.41720000000001</v>
      </c>
      <c r="V296" s="367">
        <v>1.2</v>
      </c>
      <c r="W296" s="389">
        <f>SUMIFS(Таблица14[часы],Таблица14[коэф],"1,2",Таблица14[р/р],"4/24",Таблица14[Ф. И. О.],B297)</f>
        <v>0</v>
      </c>
      <c r="X296" s="521">
        <f t="shared" si="145"/>
        <v>0</v>
      </c>
      <c r="Y296" s="748"/>
      <c r="Z296" s="750"/>
      <c r="AA296" s="740"/>
    </row>
    <row r="297" spans="1:27" ht="18.75">
      <c r="A297" s="740"/>
      <c r="B297" s="201" t="str">
        <f>база!B28</f>
        <v>Иванова Оксана Михайловна</v>
      </c>
      <c r="C297" s="743"/>
      <c r="D297" s="746"/>
      <c r="E297" s="370"/>
      <c r="F297" s="367"/>
      <c r="G297" s="377"/>
      <c r="H297" s="520">
        <f t="shared" si="142"/>
        <v>0</v>
      </c>
      <c r="I297" s="366"/>
      <c r="J297" s="367"/>
      <c r="K297" s="411"/>
      <c r="L297" s="372">
        <f t="shared" si="143"/>
        <v>0</v>
      </c>
      <c r="M297" s="409"/>
      <c r="N297" s="411"/>
      <c r="O297" s="411"/>
      <c r="P297" s="411"/>
      <c r="Q297" s="376">
        <f>база!$L$6</f>
        <v>261.04640000000001</v>
      </c>
      <c r="R297" s="367">
        <v>1.2</v>
      </c>
      <c r="S297" s="377">
        <f>SUMIFS(Таблица14[часы],Таблица14[коэф],"1,2",Таблица14[р/р],"5/16",Таблица14[Ф. И. О.],B297)</f>
        <v>0</v>
      </c>
      <c r="T297" s="520">
        <f t="shared" si="144"/>
        <v>0</v>
      </c>
      <c r="U297" s="449">
        <f>база!$M$6</f>
        <v>279.0496</v>
      </c>
      <c r="V297" s="367">
        <v>1.2</v>
      </c>
      <c r="W297" s="389">
        <f>SUMIFS(Таблица14[часы],Таблица14[коэф],"1,2",Таблица14[р/р],"5/24",Таблица14[Ф. И. О.],B297)</f>
        <v>0</v>
      </c>
      <c r="X297" s="521">
        <f t="shared" si="145"/>
        <v>0</v>
      </c>
      <c r="Y297" s="748"/>
      <c r="Z297" s="750"/>
      <c r="AA297" s="740"/>
    </row>
    <row r="298" spans="1:27" ht="18.75">
      <c r="A298" s="740"/>
      <c r="B298" s="201"/>
      <c r="C298" s="743"/>
      <c r="D298" s="746"/>
      <c r="E298" s="370"/>
      <c r="F298" s="367"/>
      <c r="G298" s="377"/>
      <c r="H298" s="520">
        <f t="shared" si="142"/>
        <v>0</v>
      </c>
      <c r="I298" s="366"/>
      <c r="J298" s="367"/>
      <c r="K298" s="411"/>
      <c r="L298" s="372">
        <f t="shared" si="143"/>
        <v>0</v>
      </c>
      <c r="M298" s="409"/>
      <c r="N298" s="411"/>
      <c r="O298" s="411"/>
      <c r="P298" s="411"/>
      <c r="Q298" s="376">
        <f>IF(D292&lt;=3,база!$L$4,
IF(D292=4,база!$L$5,
IF(D292=5,база!$L$6)))</f>
        <v>210.57480000000001</v>
      </c>
      <c r="R298" s="367">
        <v>1.3</v>
      </c>
      <c r="S298" s="377">
        <f>SUMIFS(Таблица14[часы],Таблица14[коэф],"1,3",Таблица14[р/р],"3/16",Таблица14[Ф. И. О.],B297)</f>
        <v>0</v>
      </c>
      <c r="T298" s="520">
        <f t="shared" si="144"/>
        <v>0</v>
      </c>
      <c r="U298" s="449">
        <f>IF(D292&lt;=3,база!$M$4,
IF(D292=4,база!$M$5,
IF(D292=5,база!$M$6)))</f>
        <v>225.09719999999999</v>
      </c>
      <c r="V298" s="367">
        <v>1.3</v>
      </c>
      <c r="W298" s="389">
        <f>SUMIFS(Таблица14[часы],Таблица14[коэф],"1,3",Таблица14[р/р],"3/24",Таблица14[Ф. И. О.],B297)</f>
        <v>0</v>
      </c>
      <c r="X298" s="521">
        <f t="shared" si="145"/>
        <v>0</v>
      </c>
      <c r="Y298" s="748"/>
      <c r="Z298" s="750"/>
      <c r="AA298" s="740"/>
    </row>
    <row r="299" spans="1:27" ht="18.75">
      <c r="A299" s="740"/>
      <c r="B299" s="201"/>
      <c r="C299" s="743"/>
      <c r="D299" s="746"/>
      <c r="E299" s="370"/>
      <c r="F299" s="367"/>
      <c r="G299" s="377"/>
      <c r="H299" s="520">
        <f t="shared" si="142"/>
        <v>0</v>
      </c>
      <c r="I299" s="366"/>
      <c r="J299" s="367"/>
      <c r="K299" s="411"/>
      <c r="L299" s="372">
        <f t="shared" si="143"/>
        <v>0</v>
      </c>
      <c r="M299" s="409"/>
      <c r="N299" s="411"/>
      <c r="O299" s="411"/>
      <c r="P299" s="411"/>
      <c r="Q299" s="376">
        <f>база!$L$5</f>
        <v>231.45480000000001</v>
      </c>
      <c r="R299" s="367">
        <v>1.3</v>
      </c>
      <c r="S299" s="377">
        <f>SUMIFS(Таблица14[часы],Таблица14[коэф],"1,3",Таблица14[р/р],"4/16",Таблица14[Ф. И. О.],B297)</f>
        <v>0</v>
      </c>
      <c r="T299" s="520">
        <f t="shared" si="144"/>
        <v>0</v>
      </c>
      <c r="U299" s="449">
        <f>база!$M$5</f>
        <v>247.41720000000001</v>
      </c>
      <c r="V299" s="367">
        <v>1.3</v>
      </c>
      <c r="W299" s="389">
        <f>SUMIFS(Таблица14[часы],Таблица14[коэф],"1,3",Таблица14[р/р],"4/24",Таблица14[Ф. И. О.],B297)</f>
        <v>0</v>
      </c>
      <c r="X299" s="521">
        <f t="shared" si="145"/>
        <v>0</v>
      </c>
      <c r="Y299" s="748"/>
      <c r="Z299" s="750"/>
      <c r="AA299" s="740"/>
    </row>
    <row r="300" spans="1:27" ht="18.75">
      <c r="A300" s="740"/>
      <c r="B300" s="201"/>
      <c r="C300" s="743"/>
      <c r="D300" s="746"/>
      <c r="E300" s="370"/>
      <c r="F300" s="367"/>
      <c r="G300" s="377"/>
      <c r="H300" s="520">
        <f t="shared" si="142"/>
        <v>0</v>
      </c>
      <c r="I300" s="366"/>
      <c r="J300" s="367"/>
      <c r="K300" s="411"/>
      <c r="L300" s="372">
        <f t="shared" si="143"/>
        <v>0</v>
      </c>
      <c r="M300" s="409"/>
      <c r="N300" s="411"/>
      <c r="O300" s="411"/>
      <c r="P300" s="411"/>
      <c r="Q300" s="376">
        <f>IF(D292&lt;=3,база!$L$4,
IF(D292=4,база!$L$5,
IF(D292=5,база!$L$6)))</f>
        <v>210.57480000000001</v>
      </c>
      <c r="R300" s="367">
        <v>1.4</v>
      </c>
      <c r="S300" s="377">
        <f>SUMIFS(Таблица14[часы],Таблица14[коэф],"1,4",Таблица14[р/р],"3/16",Таблица14[Ф. И. О.],B297)</f>
        <v>0</v>
      </c>
      <c r="T300" s="520">
        <f t="shared" si="144"/>
        <v>0</v>
      </c>
      <c r="U300" s="449">
        <f>IF(D292&lt;=3,база!$M$4,
IF(D292=4,база!$M$5,
IF(D292=5,база!$M$6)))</f>
        <v>225.09719999999999</v>
      </c>
      <c r="V300" s="367">
        <v>1.4</v>
      </c>
      <c r="W300" s="389">
        <f>SUMIFS(Таблица14[часы],Таблица14[коэф],"1,4",Таблица14[р/р],"3/24",Таблица14[Ф. И. О.],B297)</f>
        <v>0</v>
      </c>
      <c r="X300" s="521">
        <f t="shared" si="145"/>
        <v>0</v>
      </c>
      <c r="Y300" s="748"/>
      <c r="Z300" s="750"/>
      <c r="AA300" s="740"/>
    </row>
    <row r="301" spans="1:27" ht="18.75">
      <c r="A301" s="740"/>
      <c r="B301" s="201"/>
      <c r="C301" s="743"/>
      <c r="D301" s="746"/>
      <c r="E301" s="370"/>
      <c r="F301" s="367"/>
      <c r="G301" s="377"/>
      <c r="H301" s="520">
        <f t="shared" si="142"/>
        <v>0</v>
      </c>
      <c r="I301" s="366"/>
      <c r="J301" s="367"/>
      <c r="K301" s="411"/>
      <c r="L301" s="372">
        <f t="shared" si="143"/>
        <v>0</v>
      </c>
      <c r="M301" s="409"/>
      <c r="N301" s="411"/>
      <c r="O301" s="411"/>
      <c r="P301" s="411"/>
      <c r="Q301" s="376">
        <f>база!$L$5</f>
        <v>231.45480000000001</v>
      </c>
      <c r="R301" s="367">
        <v>1.4</v>
      </c>
      <c r="S301" s="377">
        <f>SUMIFS(Таблица14[часы],Таблица14[коэф],"1,4",Таблица14[р/р],"4/16",Таблица14[Ф. И. О.],B297)</f>
        <v>0</v>
      </c>
      <c r="T301" s="520">
        <f t="shared" si="144"/>
        <v>0</v>
      </c>
      <c r="U301" s="449">
        <f>база!$M$5</f>
        <v>247.41720000000001</v>
      </c>
      <c r="V301" s="367">
        <v>1.4</v>
      </c>
      <c r="W301" s="389">
        <f>SUMIFS(Таблица14[часы],Таблица14[коэф],"1,4",Таблица14[р/р],"4/24",Таблица14[Ф. И. О.],B297)</f>
        <v>0</v>
      </c>
      <c r="X301" s="521">
        <f t="shared" si="145"/>
        <v>0</v>
      </c>
      <c r="Y301" s="748"/>
      <c r="Z301" s="750"/>
      <c r="AA301" s="740"/>
    </row>
    <row r="302" spans="1:27" ht="19.5" thickBot="1">
      <c r="A302" s="741"/>
      <c r="B302" s="188"/>
      <c r="C302" s="744"/>
      <c r="D302" s="747"/>
      <c r="E302" s="440"/>
      <c r="F302" s="441"/>
      <c r="G302" s="442"/>
      <c r="H302" s="525">
        <f t="shared" si="142"/>
        <v>0</v>
      </c>
      <c r="I302" s="450"/>
      <c r="J302" s="441"/>
      <c r="K302" s="434"/>
      <c r="L302" s="435">
        <f t="shared" si="143"/>
        <v>0</v>
      </c>
      <c r="M302" s="443"/>
      <c r="N302" s="434"/>
      <c r="O302" s="434"/>
      <c r="P302" s="434"/>
      <c r="Q302" s="444">
        <f>база!$L$6</f>
        <v>261.04640000000001</v>
      </c>
      <c r="R302" s="441">
        <v>1.4</v>
      </c>
      <c r="S302" s="442">
        <f>SUMIFS(Таблица14[часы],Таблица14[коэф],"1,4",Таблица14[р/р],"5/16",Таблица14[Ф. И. О.],B297)</f>
        <v>0</v>
      </c>
      <c r="T302" s="525">
        <f t="shared" si="144"/>
        <v>0</v>
      </c>
      <c r="U302" s="451">
        <f>база!$M$6</f>
        <v>279.0496</v>
      </c>
      <c r="V302" s="441">
        <v>1.4</v>
      </c>
      <c r="W302" s="447">
        <f>SUMIFS(Таблица14[часы],Таблица14[коэф],"1,4",Таблица14[р/р],"5/24",Таблица14[Ф. И. О.],B297)</f>
        <v>0</v>
      </c>
      <c r="X302" s="523">
        <f t="shared" si="145"/>
        <v>0</v>
      </c>
      <c r="Y302" s="749"/>
      <c r="Z302" s="751"/>
      <c r="AA302" s="741"/>
    </row>
    <row r="303" spans="1:27" ht="18.75">
      <c r="A303" s="739">
        <v>28</v>
      </c>
      <c r="B303" s="219"/>
      <c r="C303" s="742">
        <f>INDEX(база!$E$2:$E$81, MATCH(B308,база!$B$2:$B$50,0))</f>
        <v>14578</v>
      </c>
      <c r="D303" s="745">
        <f>INDEX(база!$D$2:$D$89, MATCH(B308,база!$B$2:$B$50,0))</f>
        <v>3</v>
      </c>
      <c r="E303" s="358">
        <f>IF(D303&lt;=3,база!$I$4,
IF(D303=4,база!$I$5,
IF(D303=5,база!$I$6)))</f>
        <v>188.7912</v>
      </c>
      <c r="F303" s="355">
        <v>1</v>
      </c>
      <c r="G303" s="364">
        <f>SUMIFS(Таблица14[часы],Таблица14[коэф],"1",Таблица14[р/р],"2/4",Таблица14[Ф. И. О.],B308)</f>
        <v>0</v>
      </c>
      <c r="H303" s="357">
        <f>ROUND(E303*F303*G303*2,2)</f>
        <v>0</v>
      </c>
      <c r="I303" s="354">
        <f>IF(D303&lt;=3,база!$J$4,
IF(D303=4,база!$J$5,
IF(D303=5,база!$J$6)))</f>
        <v>196.05240000000001</v>
      </c>
      <c r="J303" s="355">
        <v>1</v>
      </c>
      <c r="K303" s="405">
        <f>SUMIFS(Таблица14[часы],Таблица14[коэф],"1",Таблица14[р/р],"2/8",Таблица14[Ф. И. О.],B308)</f>
        <v>0</v>
      </c>
      <c r="L303" s="360">
        <f>ROUND(I303*J303*K303*2,2)</f>
        <v>0</v>
      </c>
      <c r="M303" s="403"/>
      <c r="N303" s="405">
        <v>1</v>
      </c>
      <c r="O303" s="405">
        <f>SUMIFS(Data_Tech!$AM$3:$AM$67,Data_Tech!$E$3:$E$67,"1",Data_Tech!$G$3:$G$67,"3/12",Data_Tech!$F$3:$F$67,B308)</f>
        <v>0</v>
      </c>
      <c r="P303" s="405">
        <f>ROUND(M303*N303*O303,2)</f>
        <v>0</v>
      </c>
      <c r="Q303" s="363">
        <f>IF(D303&lt;=3,база!$L$4,
IF(D303=4,база!$L$5,
IF(D303=5,база!$L$6)))</f>
        <v>210.57480000000001</v>
      </c>
      <c r="R303" s="355">
        <v>1</v>
      </c>
      <c r="S303" s="364">
        <f>SUMIFS(Таблица14[часы],Таблица14[коэф],"1",Таблица14[р/р],"3/16",Таблица14[Ф. И. О.],B308)</f>
        <v>0</v>
      </c>
      <c r="T303" s="524">
        <f>ROUND(Q303*R303*S303*2,2)</f>
        <v>0</v>
      </c>
      <c r="U303" s="448">
        <f>IF(D303&lt;=3,база!$M$4,
IF(D303=4,база!$M$5,
IF(D303=5,база!$M$6)))</f>
        <v>225.09719999999999</v>
      </c>
      <c r="V303" s="355">
        <v>1</v>
      </c>
      <c r="W303" s="407">
        <f>SUMIFS(Таблица14[часы],Таблица14[коэф],"1",Таблица14[р/р],"3/24",Таблица14[Ф. И. О.],B308)</f>
        <v>0</v>
      </c>
      <c r="X303" s="519">
        <f>ROUND(U303*V303*W303*2,2)</f>
        <v>0</v>
      </c>
      <c r="Y303" s="748">
        <f t="shared" ref="Y303" si="146">SUM(G303:G313,K303:K313,O303:O313,S303:S313,W303:W313)</f>
        <v>0</v>
      </c>
      <c r="Z303" s="750">
        <f t="shared" ref="Z303" si="147">IFERROR(SUM(H303:H313,L303:L313,T303:T313,X303:X313),"")</f>
        <v>0</v>
      </c>
      <c r="AA303" s="740"/>
    </row>
    <row r="304" spans="1:27" ht="18.75">
      <c r="A304" s="740"/>
      <c r="B304" s="201"/>
      <c r="C304" s="743"/>
      <c r="D304" s="746"/>
      <c r="E304" s="370">
        <f>IF(D303&lt;=3,база!$I$4,
IF(D303=4,база!$I$5,
IF(D303=5,база!$I$6)))</f>
        <v>188.7912</v>
      </c>
      <c r="F304" s="367">
        <v>1</v>
      </c>
      <c r="G304" s="377">
        <f>SUMIFS(Таблица14[часы],Таблица14[коэф],"1",Таблица14[р/р],"3/4",Таблица14[Ф. И. О.],B308)</f>
        <v>0</v>
      </c>
      <c r="H304" s="518">
        <f t="shared" ref="H304:H313" si="148">ROUND(E304*F304*G304*2,2)</f>
        <v>0</v>
      </c>
      <c r="I304" s="366">
        <f>IF(D303&lt;=3,база!$J$4,
IF(D303=4,база!$J$5,
IF(D303=5,база!$J$6)))</f>
        <v>196.05240000000001</v>
      </c>
      <c r="J304" s="367">
        <v>1</v>
      </c>
      <c r="K304" s="411">
        <f>SUMIFS(Таблица14[часы],Таблица14[коэф],"1",Таблица14[р/р],"3/8",Таблица14[Ф. И. О.],B308)</f>
        <v>0</v>
      </c>
      <c r="L304" s="372">
        <f t="shared" ref="L304:L313" si="149">ROUND(I304*J304*K304*2,2)</f>
        <v>0</v>
      </c>
      <c r="M304" s="409"/>
      <c r="N304" s="411">
        <v>1</v>
      </c>
      <c r="O304" s="411">
        <f>SUMIFS(Data_Tech!$AM$3:$AM$67,Data_Tech!$E$3:$E$67,"1",Data_Tech!$G$3:$G$67,"4/12",Data_Tech!$F$3:$F$67,B308)</f>
        <v>0</v>
      </c>
      <c r="P304" s="411">
        <f>ROUND(M304*O304,2)</f>
        <v>0</v>
      </c>
      <c r="Q304" s="376">
        <f>база!$L$5</f>
        <v>231.45480000000001</v>
      </c>
      <c r="R304" s="367">
        <v>1</v>
      </c>
      <c r="S304" s="377">
        <f>SUMIFS(Таблица14[часы],Таблица14[коэф],"1",Таблица14[р/р],"4/16",Таблица14[Ф. И. О.],B308)</f>
        <v>0</v>
      </c>
      <c r="T304" s="520">
        <f t="shared" ref="T304:T313" si="150">ROUND(Q304*R304*S304*2,2)</f>
        <v>0</v>
      </c>
      <c r="U304" s="449">
        <f>база!$M$5</f>
        <v>247.41720000000001</v>
      </c>
      <c r="V304" s="367">
        <v>1</v>
      </c>
      <c r="W304" s="389">
        <f>SUMIFS(Таблица14[часы],Таблица14[коэф],"1",Таблица14[р/р],"4/24",Таблица14[Ф. И. О.],B308)</f>
        <v>0</v>
      </c>
      <c r="X304" s="521">
        <f t="shared" ref="X304:X313" si="151">ROUND(U304*V304*W304*2,2)</f>
        <v>0</v>
      </c>
      <c r="Y304" s="748"/>
      <c r="Z304" s="750"/>
      <c r="AA304" s="740"/>
    </row>
    <row r="305" spans="1:27" ht="18.75">
      <c r="A305" s="740"/>
      <c r="B305" s="201"/>
      <c r="C305" s="743"/>
      <c r="D305" s="746"/>
      <c r="E305" s="370"/>
      <c r="F305" s="367"/>
      <c r="G305" s="377"/>
      <c r="H305" s="520">
        <f t="shared" si="148"/>
        <v>0</v>
      </c>
      <c r="I305" s="366"/>
      <c r="J305" s="367"/>
      <c r="K305" s="411"/>
      <c r="L305" s="372">
        <f t="shared" si="149"/>
        <v>0</v>
      </c>
      <c r="M305" s="409"/>
      <c r="N305" s="411"/>
      <c r="O305" s="411"/>
      <c r="P305" s="411"/>
      <c r="Q305" s="376">
        <f>база!$L$6</f>
        <v>261.04640000000001</v>
      </c>
      <c r="R305" s="367">
        <v>1</v>
      </c>
      <c r="S305" s="377">
        <f>SUMIFS(Таблица14[часы],Таблица14[коэф],"1",Таблица14[р/р],"5/16",Таблица14[Ф. И. О.],B308)</f>
        <v>0</v>
      </c>
      <c r="T305" s="520">
        <f t="shared" si="150"/>
        <v>0</v>
      </c>
      <c r="U305" s="449">
        <f>база!$M$6</f>
        <v>279.0496</v>
      </c>
      <c r="V305" s="367">
        <v>1</v>
      </c>
      <c r="W305" s="389">
        <f>SUMIFS(Таблица14[часы],Таблица14[коэф],"1",Таблица14[р/р],"5/24",Таблица14[Ф. И. О.],B308)</f>
        <v>0</v>
      </c>
      <c r="X305" s="521">
        <f t="shared" si="151"/>
        <v>0</v>
      </c>
      <c r="Y305" s="748"/>
      <c r="Z305" s="750"/>
      <c r="AA305" s="740"/>
    </row>
    <row r="306" spans="1:27" ht="18.75">
      <c r="A306" s="740"/>
      <c r="B306" s="201"/>
      <c r="C306" s="743"/>
      <c r="D306" s="746"/>
      <c r="E306" s="370"/>
      <c r="F306" s="367"/>
      <c r="G306" s="377"/>
      <c r="H306" s="520">
        <f t="shared" si="148"/>
        <v>0</v>
      </c>
      <c r="I306" s="366">
        <f>база!$J$5</f>
        <v>215.4924</v>
      </c>
      <c r="J306" s="367">
        <v>1.5</v>
      </c>
      <c r="K306" s="411">
        <f>SUMIFS(Таблица14[часы],Таблица14[коэф],"1,5",Таблица14[р/р],"4/8",Таблица14[Ф. И. О.],B308)</f>
        <v>0</v>
      </c>
      <c r="L306" s="372">
        <f t="shared" si="149"/>
        <v>0</v>
      </c>
      <c r="M306" s="409"/>
      <c r="N306" s="411"/>
      <c r="O306" s="411"/>
      <c r="P306" s="411"/>
      <c r="Q306" s="376">
        <f>IF(D303&lt;=3,база!$L$4,
IF(D303=4,база!$L$5,
IF(D303=5,база!$L$6)))</f>
        <v>210.57480000000001</v>
      </c>
      <c r="R306" s="367">
        <v>1.2</v>
      </c>
      <c r="S306" s="377">
        <f>SUMIFS(Таблица14[часы],Таблица14[коэф],"1,2",Таблица14[р/р],"3/16",Таблица14[Ф. И. О.],B308)</f>
        <v>0</v>
      </c>
      <c r="T306" s="520">
        <f t="shared" si="150"/>
        <v>0</v>
      </c>
      <c r="U306" s="449">
        <f>IF(D303&lt;=3,база!$M$4,
IF(D303=4,база!$M$5,
IF(D303=5,база!$M$6)))</f>
        <v>225.09719999999999</v>
      </c>
      <c r="V306" s="367">
        <v>1.2</v>
      </c>
      <c r="W306" s="389">
        <f>SUMIFS(Таблица14[часы],Таблица14[коэф],"1,2",Таблица14[р/р],"3/24",Таблица14[Ф. И. О.],B308)</f>
        <v>0</v>
      </c>
      <c r="X306" s="521">
        <f t="shared" si="151"/>
        <v>0</v>
      </c>
      <c r="Y306" s="748"/>
      <c r="Z306" s="750"/>
      <c r="AA306" s="740"/>
    </row>
    <row r="307" spans="1:27" ht="18.75">
      <c r="A307" s="740"/>
      <c r="B307" s="201"/>
      <c r="C307" s="743"/>
      <c r="D307" s="746"/>
      <c r="E307" s="370"/>
      <c r="F307" s="367"/>
      <c r="G307" s="377"/>
      <c r="H307" s="520">
        <f t="shared" si="148"/>
        <v>0</v>
      </c>
      <c r="I307" s="366">
        <f>база!$J$6</f>
        <v>243.04319999999998</v>
      </c>
      <c r="J307" s="367">
        <v>1.5</v>
      </c>
      <c r="K307" s="411">
        <f>SUMIFS(Таблица14[часы],Таблица14[коэф],"1,5",Таблица14[р/р],"5/8",Таблица14[Ф. И. О.],B308)</f>
        <v>0</v>
      </c>
      <c r="L307" s="372">
        <f t="shared" si="149"/>
        <v>0</v>
      </c>
      <c r="M307" s="409"/>
      <c r="N307" s="411"/>
      <c r="O307" s="411"/>
      <c r="P307" s="411"/>
      <c r="Q307" s="376">
        <f>база!$L$5</f>
        <v>231.45480000000001</v>
      </c>
      <c r="R307" s="367">
        <v>1.2</v>
      </c>
      <c r="S307" s="377">
        <f>SUMIFS(Таблица14[часы],Таблица14[коэф],"1,2",Таблица14[р/р],"4/16",Таблица14[Ф. И. О.],B308)</f>
        <v>0</v>
      </c>
      <c r="T307" s="520">
        <f t="shared" si="150"/>
        <v>0</v>
      </c>
      <c r="U307" s="449">
        <f>база!$M$5</f>
        <v>247.41720000000001</v>
      </c>
      <c r="V307" s="367">
        <v>1.2</v>
      </c>
      <c r="W307" s="389">
        <f>SUMIFS(Таблица14[часы],Таблица14[коэф],"1,2",Таблица14[р/р],"4/24",Таблица14[Ф. И. О.],B308)</f>
        <v>0</v>
      </c>
      <c r="X307" s="521">
        <f t="shared" si="151"/>
        <v>0</v>
      </c>
      <c r="Y307" s="748"/>
      <c r="Z307" s="750"/>
      <c r="AA307" s="740"/>
    </row>
    <row r="308" spans="1:27" ht="18.75">
      <c r="A308" s="740"/>
      <c r="B308" s="201" t="str">
        <f>база!B29</f>
        <v>Иванова Ольга Анатольевна</v>
      </c>
      <c r="C308" s="743"/>
      <c r="D308" s="746"/>
      <c r="E308" s="370"/>
      <c r="F308" s="367"/>
      <c r="G308" s="377"/>
      <c r="H308" s="520">
        <f t="shared" si="148"/>
        <v>0</v>
      </c>
      <c r="I308" s="366"/>
      <c r="J308" s="367"/>
      <c r="K308" s="411"/>
      <c r="L308" s="372">
        <f t="shared" si="149"/>
        <v>0</v>
      </c>
      <c r="M308" s="409"/>
      <c r="N308" s="411"/>
      <c r="O308" s="411"/>
      <c r="P308" s="411"/>
      <c r="Q308" s="376">
        <f>база!$L$6</f>
        <v>261.04640000000001</v>
      </c>
      <c r="R308" s="367">
        <v>1.2</v>
      </c>
      <c r="S308" s="377">
        <f>SUMIFS(Таблица14[часы],Таблица14[коэф],"1,2",Таблица14[р/р],"5/16",Таблица14[Ф. И. О.],B308)</f>
        <v>0</v>
      </c>
      <c r="T308" s="520">
        <f t="shared" si="150"/>
        <v>0</v>
      </c>
      <c r="U308" s="449">
        <f>база!$M$6</f>
        <v>279.0496</v>
      </c>
      <c r="V308" s="367">
        <v>1.2</v>
      </c>
      <c r="W308" s="389">
        <f>SUMIFS(Таблица14[часы],Таблица14[коэф],"1,2",Таблица14[р/р],"5/24",Таблица14[Ф. И. О.],B308)</f>
        <v>0</v>
      </c>
      <c r="X308" s="521">
        <f t="shared" si="151"/>
        <v>0</v>
      </c>
      <c r="Y308" s="748"/>
      <c r="Z308" s="750"/>
      <c r="AA308" s="740"/>
    </row>
    <row r="309" spans="1:27" ht="18.75">
      <c r="A309" s="740"/>
      <c r="B309" s="201"/>
      <c r="C309" s="743"/>
      <c r="D309" s="746"/>
      <c r="E309" s="370"/>
      <c r="F309" s="367"/>
      <c r="G309" s="377"/>
      <c r="H309" s="520">
        <f t="shared" si="148"/>
        <v>0</v>
      </c>
      <c r="I309" s="366"/>
      <c r="J309" s="367"/>
      <c r="K309" s="411"/>
      <c r="L309" s="372">
        <f t="shared" si="149"/>
        <v>0</v>
      </c>
      <c r="M309" s="409"/>
      <c r="N309" s="411"/>
      <c r="O309" s="411"/>
      <c r="P309" s="411"/>
      <c r="Q309" s="376">
        <f>IF(D303&lt;=3,база!$L$4,
IF(D303=4,база!$L$5,
IF(D303=5,база!$L$6)))</f>
        <v>210.57480000000001</v>
      </c>
      <c r="R309" s="367">
        <v>1.3</v>
      </c>
      <c r="S309" s="377">
        <f>SUMIFS(Таблица14[часы],Таблица14[коэф],"1,3",Таблица14[р/р],"3/16",Таблица14[Ф. И. О.],B308)</f>
        <v>0</v>
      </c>
      <c r="T309" s="520">
        <f t="shared" si="150"/>
        <v>0</v>
      </c>
      <c r="U309" s="449">
        <f>IF(D303&lt;=3,база!$M$4,
IF(D303=4,база!$M$5,
IF(D303=5,база!$M$6)))</f>
        <v>225.09719999999999</v>
      </c>
      <c r="V309" s="367">
        <v>1.3</v>
      </c>
      <c r="W309" s="389">
        <f>SUMIFS(Таблица14[часы],Таблица14[коэф],"1,3",Таблица14[р/р],"3/24",Таблица14[Ф. И. О.],B308)</f>
        <v>0</v>
      </c>
      <c r="X309" s="521">
        <f t="shared" si="151"/>
        <v>0</v>
      </c>
      <c r="Y309" s="748"/>
      <c r="Z309" s="750"/>
      <c r="AA309" s="740"/>
    </row>
    <row r="310" spans="1:27" ht="18.75">
      <c r="A310" s="740"/>
      <c r="B310" s="201"/>
      <c r="C310" s="743"/>
      <c r="D310" s="746"/>
      <c r="E310" s="370"/>
      <c r="F310" s="367"/>
      <c r="G310" s="377"/>
      <c r="H310" s="520">
        <f t="shared" si="148"/>
        <v>0</v>
      </c>
      <c r="I310" s="366"/>
      <c r="J310" s="367"/>
      <c r="K310" s="411"/>
      <c r="L310" s="372">
        <f t="shared" si="149"/>
        <v>0</v>
      </c>
      <c r="M310" s="409"/>
      <c r="N310" s="411"/>
      <c r="O310" s="411"/>
      <c r="P310" s="411"/>
      <c r="Q310" s="376">
        <f>база!$L$5</f>
        <v>231.45480000000001</v>
      </c>
      <c r="R310" s="367">
        <v>1.3</v>
      </c>
      <c r="S310" s="377">
        <f>SUMIFS(Таблица14[часы],Таблица14[коэф],"1,3",Таблица14[р/р],"4/16",Таблица14[Ф. И. О.],B308)</f>
        <v>0</v>
      </c>
      <c r="T310" s="520">
        <f t="shared" si="150"/>
        <v>0</v>
      </c>
      <c r="U310" s="449">
        <f>база!$M$5</f>
        <v>247.41720000000001</v>
      </c>
      <c r="V310" s="367">
        <v>1.3</v>
      </c>
      <c r="W310" s="389">
        <f>SUMIFS(Таблица14[часы],Таблица14[коэф],"1,3",Таблица14[р/р],"4/24",Таблица14[Ф. И. О.],B308)</f>
        <v>0</v>
      </c>
      <c r="X310" s="521">
        <f t="shared" si="151"/>
        <v>0</v>
      </c>
      <c r="Y310" s="748"/>
      <c r="Z310" s="750"/>
      <c r="AA310" s="740"/>
    </row>
    <row r="311" spans="1:27" ht="18.75">
      <c r="A311" s="740"/>
      <c r="B311" s="201"/>
      <c r="C311" s="743"/>
      <c r="D311" s="746"/>
      <c r="E311" s="370"/>
      <c r="F311" s="367"/>
      <c r="G311" s="377"/>
      <c r="H311" s="520">
        <f t="shared" si="148"/>
        <v>0</v>
      </c>
      <c r="I311" s="366"/>
      <c r="J311" s="367"/>
      <c r="K311" s="411"/>
      <c r="L311" s="372">
        <f t="shared" si="149"/>
        <v>0</v>
      </c>
      <c r="M311" s="409"/>
      <c r="N311" s="411"/>
      <c r="O311" s="411"/>
      <c r="P311" s="411"/>
      <c r="Q311" s="376">
        <f>IF(D303&lt;=3,база!$L$4,
IF(D303=4,база!$L$5,
IF(D303=5,база!$L$6)))</f>
        <v>210.57480000000001</v>
      </c>
      <c r="R311" s="367">
        <v>1.4</v>
      </c>
      <c r="S311" s="377">
        <f>SUMIFS(Таблица14[часы],Таблица14[коэф],"1,4",Таблица14[р/р],"3/16",Таблица14[Ф. И. О.],B308)</f>
        <v>0</v>
      </c>
      <c r="T311" s="520">
        <f t="shared" si="150"/>
        <v>0</v>
      </c>
      <c r="U311" s="449">
        <f>IF(D303&lt;=3,база!$M$4,
IF(D303=4,база!$M$5,
IF(D303=5,база!$M$6)))</f>
        <v>225.09719999999999</v>
      </c>
      <c r="V311" s="367">
        <v>1.4</v>
      </c>
      <c r="W311" s="389">
        <f>SUMIFS(Таблица14[часы],Таблица14[коэф],"1,4",Таблица14[р/р],"3/24",Таблица14[Ф. И. О.],B308)</f>
        <v>0</v>
      </c>
      <c r="X311" s="521">
        <f t="shared" si="151"/>
        <v>0</v>
      </c>
      <c r="Y311" s="748"/>
      <c r="Z311" s="750"/>
      <c r="AA311" s="740"/>
    </row>
    <row r="312" spans="1:27" ht="18.75">
      <c r="A312" s="740"/>
      <c r="B312" s="201"/>
      <c r="C312" s="743"/>
      <c r="D312" s="746"/>
      <c r="E312" s="370"/>
      <c r="F312" s="367"/>
      <c r="G312" s="377"/>
      <c r="H312" s="520">
        <f t="shared" si="148"/>
        <v>0</v>
      </c>
      <c r="I312" s="366"/>
      <c r="J312" s="367"/>
      <c r="K312" s="411"/>
      <c r="L312" s="372">
        <f t="shared" si="149"/>
        <v>0</v>
      </c>
      <c r="M312" s="409"/>
      <c r="N312" s="411"/>
      <c r="O312" s="411"/>
      <c r="P312" s="411"/>
      <c r="Q312" s="376">
        <f>база!$L$5</f>
        <v>231.45480000000001</v>
      </c>
      <c r="R312" s="367">
        <v>1.4</v>
      </c>
      <c r="S312" s="377">
        <f>SUMIFS(Таблица14[часы],Таблица14[коэф],"1,4",Таблица14[р/р],"4/16",Таблица14[Ф. И. О.],B308)</f>
        <v>0</v>
      </c>
      <c r="T312" s="520">
        <f t="shared" si="150"/>
        <v>0</v>
      </c>
      <c r="U312" s="449">
        <f>база!$M$5</f>
        <v>247.41720000000001</v>
      </c>
      <c r="V312" s="367">
        <v>1.4</v>
      </c>
      <c r="W312" s="389">
        <f>SUMIFS(Таблица14[часы],Таблица14[коэф],"1,4",Таблица14[р/р],"4/24",Таблица14[Ф. И. О.],B308)</f>
        <v>0</v>
      </c>
      <c r="X312" s="521">
        <f t="shared" si="151"/>
        <v>0</v>
      </c>
      <c r="Y312" s="748"/>
      <c r="Z312" s="750"/>
      <c r="AA312" s="740"/>
    </row>
    <row r="313" spans="1:27" ht="19.5" thickBot="1">
      <c r="A313" s="741"/>
      <c r="B313" s="188"/>
      <c r="C313" s="744"/>
      <c r="D313" s="747"/>
      <c r="E313" s="440"/>
      <c r="F313" s="441"/>
      <c r="G313" s="442"/>
      <c r="H313" s="525">
        <f t="shared" si="148"/>
        <v>0</v>
      </c>
      <c r="I313" s="450"/>
      <c r="J313" s="441"/>
      <c r="K313" s="434"/>
      <c r="L313" s="435">
        <f t="shared" si="149"/>
        <v>0</v>
      </c>
      <c r="M313" s="443"/>
      <c r="N313" s="434"/>
      <c r="O313" s="434"/>
      <c r="P313" s="434"/>
      <c r="Q313" s="444">
        <f>база!$L$6</f>
        <v>261.04640000000001</v>
      </c>
      <c r="R313" s="441">
        <v>1.4</v>
      </c>
      <c r="S313" s="442">
        <f>SUMIFS(Таблица14[часы],Таблица14[коэф],"1,4",Таблица14[р/р],"5/16",Таблица14[Ф. И. О.],B308)</f>
        <v>0</v>
      </c>
      <c r="T313" s="525">
        <f t="shared" si="150"/>
        <v>0</v>
      </c>
      <c r="U313" s="451">
        <f>база!$M$6</f>
        <v>279.0496</v>
      </c>
      <c r="V313" s="441">
        <v>1.4</v>
      </c>
      <c r="W313" s="447">
        <f>SUMIFS(Таблица14[часы],Таблица14[коэф],"1,4",Таблица14[р/р],"5/24",Таблица14[Ф. И. О.],B308)</f>
        <v>0</v>
      </c>
      <c r="X313" s="523">
        <f t="shared" si="151"/>
        <v>0</v>
      </c>
      <c r="Y313" s="749"/>
      <c r="Z313" s="751"/>
      <c r="AA313" s="741"/>
    </row>
    <row r="314" spans="1:27" ht="18.75">
      <c r="A314" s="739">
        <v>29</v>
      </c>
      <c r="B314" s="219"/>
      <c r="C314" s="742">
        <f>INDEX(база!$E$2:$E$81, MATCH(B319,база!$B$2:$B$50,0))</f>
        <v>16799</v>
      </c>
      <c r="D314" s="745">
        <f>INDEX(база!$D$2:$D$89, MATCH(B319,база!$B$2:$B$50,0))</f>
        <v>3</v>
      </c>
      <c r="E314" s="358">
        <f>IF(D314&lt;=3,база!$I$4,
IF(D314=4,база!$I$5,
IF(D314=5,база!$I$6)))</f>
        <v>188.7912</v>
      </c>
      <c r="F314" s="355">
        <v>1</v>
      </c>
      <c r="G314" s="364">
        <f>SUMIFS(Таблица14[часы],Таблица14[коэф],"1",Таблица14[р/р],"2/4",Таблица14[Ф. И. О.],B319)</f>
        <v>0</v>
      </c>
      <c r="H314" s="357">
        <f>ROUND(E314*F314*G314*2,2)</f>
        <v>0</v>
      </c>
      <c r="I314" s="354">
        <f>IF(D314&lt;=3,база!$J$4,
IF(D314=4,база!$J$5,
IF(D314=5,база!$J$6)))</f>
        <v>196.05240000000001</v>
      </c>
      <c r="J314" s="355">
        <v>1</v>
      </c>
      <c r="K314" s="405">
        <f>SUMIFS(Таблица14[часы],Таблица14[коэф],"1",Таблица14[р/р],"2/8",Таблица14[Ф. И. О.],B319)</f>
        <v>0</v>
      </c>
      <c r="L314" s="360">
        <f>ROUND(I314*J314*K314*2,2)</f>
        <v>0</v>
      </c>
      <c r="M314" s="403"/>
      <c r="N314" s="405">
        <v>1</v>
      </c>
      <c r="O314" s="405">
        <f>SUMIFS(Data_Tech!$AM$3:$AM$67,Data_Tech!$E$3:$E$67,"1",Data_Tech!$G$3:$G$67,"3/12",Data_Tech!$F$3:$F$67,B319)</f>
        <v>0</v>
      </c>
      <c r="P314" s="405">
        <f>ROUND(M314*N314*O314,2)</f>
        <v>0</v>
      </c>
      <c r="Q314" s="363">
        <f>IF(D314&lt;=3,база!$L$4,
IF(D314=4,база!$L$5,
IF(D314=5,база!$L$6)))</f>
        <v>210.57480000000001</v>
      </c>
      <c r="R314" s="355">
        <v>1</v>
      </c>
      <c r="S314" s="364">
        <f>SUMIFS(Таблица14[часы],Таблица14[коэф],"1",Таблица14[р/р],"3/16",Таблица14[Ф. И. О.],B319)</f>
        <v>0</v>
      </c>
      <c r="T314" s="524">
        <f>ROUND(Q314*R314*S314*2,2)</f>
        <v>0</v>
      </c>
      <c r="U314" s="448">
        <f>IF(D314&lt;=3,база!$M$4,
IF(D314=4,база!$M$5,
IF(D314=5,база!$M$6)))</f>
        <v>225.09719999999999</v>
      </c>
      <c r="V314" s="355">
        <v>1</v>
      </c>
      <c r="W314" s="407">
        <f>SUMIFS(Таблица14[часы],Таблица14[коэф],"1",Таблица14[р/р],"3/24",Таблица14[Ф. И. О.],B319)</f>
        <v>0</v>
      </c>
      <c r="X314" s="519">
        <f>ROUND(U314*V314*W314*2,2)</f>
        <v>0</v>
      </c>
      <c r="Y314" s="748">
        <f t="shared" ref="Y314" si="152">SUM(G314:G324,K314:K324,O314:O324,S314:S324,W314:W324)</f>
        <v>0</v>
      </c>
      <c r="Z314" s="750">
        <f t="shared" ref="Z314" si="153">IFERROR(SUM(H314:H324,L314:L324,T314:T324,X314:X324),"")</f>
        <v>0</v>
      </c>
      <c r="AA314" s="740"/>
    </row>
    <row r="315" spans="1:27" ht="18.75">
      <c r="A315" s="740"/>
      <c r="B315" s="201"/>
      <c r="C315" s="743"/>
      <c r="D315" s="746"/>
      <c r="E315" s="370">
        <f>IF(D314&lt;=3,база!$I$4,
IF(D314=4,база!$I$5,
IF(D314=5,база!$I$6)))</f>
        <v>188.7912</v>
      </c>
      <c r="F315" s="367">
        <v>1</v>
      </c>
      <c r="G315" s="377">
        <f>SUMIFS(Таблица14[часы],Таблица14[коэф],"1",Таблица14[р/р],"3/4",Таблица14[Ф. И. О.],B319)</f>
        <v>0</v>
      </c>
      <c r="H315" s="518">
        <f t="shared" ref="H315:H324" si="154">ROUND(E315*F315*G315*2,2)</f>
        <v>0</v>
      </c>
      <c r="I315" s="366">
        <f>IF(D314&lt;=3,база!$J$4,
IF(D314=4,база!$J$5,
IF(D314=5,база!$J$6)))</f>
        <v>196.05240000000001</v>
      </c>
      <c r="J315" s="367">
        <v>1</v>
      </c>
      <c r="K315" s="411">
        <f>SUMIFS(Таблица14[часы],Таблица14[коэф],"1",Таблица14[р/р],"3/8",Таблица14[Ф. И. О.],B319)</f>
        <v>0</v>
      </c>
      <c r="L315" s="372">
        <f t="shared" ref="L315:L324" si="155">ROUND(I315*J315*K315*2,2)</f>
        <v>0</v>
      </c>
      <c r="M315" s="409"/>
      <c r="N315" s="411">
        <v>1</v>
      </c>
      <c r="O315" s="411">
        <f>SUMIFS(Data_Tech!$AM$3:$AM$67,Data_Tech!$E$3:$E$67,"1",Data_Tech!$G$3:$G$67,"4/12",Data_Tech!$F$3:$F$67,B319)</f>
        <v>0</v>
      </c>
      <c r="P315" s="411">
        <f>ROUND(M315*O315,2)</f>
        <v>0</v>
      </c>
      <c r="Q315" s="376">
        <f>база!$L$5</f>
        <v>231.45480000000001</v>
      </c>
      <c r="R315" s="367">
        <v>1</v>
      </c>
      <c r="S315" s="377">
        <f>SUMIFS(Таблица14[часы],Таблица14[коэф],"1",Таблица14[р/р],"4/16",Таблица14[Ф. И. О.],B319)</f>
        <v>0</v>
      </c>
      <c r="T315" s="520">
        <f t="shared" ref="T315:T324" si="156">ROUND(Q315*R315*S315*2,2)</f>
        <v>0</v>
      </c>
      <c r="U315" s="449">
        <f>база!$M$5</f>
        <v>247.41720000000001</v>
      </c>
      <c r="V315" s="367">
        <v>1</v>
      </c>
      <c r="W315" s="389">
        <f>SUMIFS(Таблица14[часы],Таблица14[коэф],"1",Таблица14[р/р],"4/24",Таблица14[Ф. И. О.],B319)</f>
        <v>0</v>
      </c>
      <c r="X315" s="521">
        <f t="shared" ref="X315:X324" si="157">ROUND(U315*V315*W315*2,2)</f>
        <v>0</v>
      </c>
      <c r="Y315" s="748"/>
      <c r="Z315" s="750"/>
      <c r="AA315" s="740"/>
    </row>
    <row r="316" spans="1:27" ht="18.75">
      <c r="A316" s="740"/>
      <c r="B316" s="201"/>
      <c r="C316" s="743"/>
      <c r="D316" s="746"/>
      <c r="E316" s="370"/>
      <c r="F316" s="367"/>
      <c r="G316" s="377"/>
      <c r="H316" s="520">
        <f t="shared" si="154"/>
        <v>0</v>
      </c>
      <c r="I316" s="366"/>
      <c r="J316" s="367"/>
      <c r="K316" s="411"/>
      <c r="L316" s="372">
        <f t="shared" si="155"/>
        <v>0</v>
      </c>
      <c r="M316" s="409"/>
      <c r="N316" s="411"/>
      <c r="O316" s="411"/>
      <c r="P316" s="411"/>
      <c r="Q316" s="376">
        <f>база!$L$6</f>
        <v>261.04640000000001</v>
      </c>
      <c r="R316" s="367">
        <v>1</v>
      </c>
      <c r="S316" s="377">
        <f>SUMIFS(Таблица14[часы],Таблица14[коэф],"1",Таблица14[р/р],"5/16",Таблица14[Ф. И. О.],B319)</f>
        <v>0</v>
      </c>
      <c r="T316" s="520">
        <f t="shared" si="156"/>
        <v>0</v>
      </c>
      <c r="U316" s="449">
        <f>база!$M$6</f>
        <v>279.0496</v>
      </c>
      <c r="V316" s="367">
        <v>1</v>
      </c>
      <c r="W316" s="389">
        <f>SUMIFS(Таблица14[часы],Таблица14[коэф],"1",Таблица14[р/р],"5/24",Таблица14[Ф. И. О.],B319)</f>
        <v>0</v>
      </c>
      <c r="X316" s="521">
        <f t="shared" si="157"/>
        <v>0</v>
      </c>
      <c r="Y316" s="748"/>
      <c r="Z316" s="750"/>
      <c r="AA316" s="740"/>
    </row>
    <row r="317" spans="1:27" ht="18.75">
      <c r="A317" s="740"/>
      <c r="B317" s="201"/>
      <c r="C317" s="743"/>
      <c r="D317" s="746"/>
      <c r="E317" s="370"/>
      <c r="F317" s="367"/>
      <c r="G317" s="377"/>
      <c r="H317" s="520">
        <f t="shared" si="154"/>
        <v>0</v>
      </c>
      <c r="I317" s="366">
        <f>база!$J$5</f>
        <v>215.4924</v>
      </c>
      <c r="J317" s="367">
        <v>1.5</v>
      </c>
      <c r="K317" s="411">
        <f>SUMIFS(Таблица14[часы],Таблица14[коэф],"1,5",Таблица14[р/р],"4/8",Таблица14[Ф. И. О.],B319)</f>
        <v>0</v>
      </c>
      <c r="L317" s="372">
        <f t="shared" si="155"/>
        <v>0</v>
      </c>
      <c r="M317" s="409"/>
      <c r="N317" s="411"/>
      <c r="O317" s="411"/>
      <c r="P317" s="411"/>
      <c r="Q317" s="376">
        <f>IF(D314&lt;=3,база!$L$4,
IF(D314=4,база!$L$5,
IF(D314=5,база!$L$6)))</f>
        <v>210.57480000000001</v>
      </c>
      <c r="R317" s="367">
        <v>1.2</v>
      </c>
      <c r="S317" s="377">
        <f>SUMIFS(Таблица14[часы],Таблица14[коэф],"1,2",Таблица14[р/р],"3/16",Таблица14[Ф. И. О.],B319)</f>
        <v>0</v>
      </c>
      <c r="T317" s="520">
        <f t="shared" si="156"/>
        <v>0</v>
      </c>
      <c r="U317" s="449">
        <f>IF(D314&lt;=3,база!$M$4,
IF(D314=4,база!$M$5,
IF(D314=5,база!$M$6)))</f>
        <v>225.09719999999999</v>
      </c>
      <c r="V317" s="367">
        <v>1.2</v>
      </c>
      <c r="W317" s="389">
        <f>SUMIFS(Таблица14[часы],Таблица14[коэф],"1,2",Таблица14[р/р],"3/24",Таблица14[Ф. И. О.],B319)</f>
        <v>0</v>
      </c>
      <c r="X317" s="521">
        <f t="shared" si="157"/>
        <v>0</v>
      </c>
      <c r="Y317" s="748"/>
      <c r="Z317" s="750"/>
      <c r="AA317" s="740"/>
    </row>
    <row r="318" spans="1:27" ht="18.75">
      <c r="A318" s="740"/>
      <c r="B318" s="201"/>
      <c r="C318" s="743"/>
      <c r="D318" s="746"/>
      <c r="E318" s="370"/>
      <c r="F318" s="367"/>
      <c r="G318" s="377"/>
      <c r="H318" s="520">
        <f t="shared" si="154"/>
        <v>0</v>
      </c>
      <c r="I318" s="366">
        <f>база!$J$6</f>
        <v>243.04319999999998</v>
      </c>
      <c r="J318" s="367">
        <v>1.5</v>
      </c>
      <c r="K318" s="411">
        <f>SUMIFS(Таблица14[часы],Таблица14[коэф],"1,5",Таблица14[р/р],"5/8",Таблица14[Ф. И. О.],B319)</f>
        <v>0</v>
      </c>
      <c r="L318" s="372">
        <f t="shared" si="155"/>
        <v>0</v>
      </c>
      <c r="M318" s="409"/>
      <c r="N318" s="411"/>
      <c r="O318" s="411"/>
      <c r="P318" s="411"/>
      <c r="Q318" s="376">
        <f>база!$L$5</f>
        <v>231.45480000000001</v>
      </c>
      <c r="R318" s="367">
        <v>1.2</v>
      </c>
      <c r="S318" s="377">
        <f>SUMIFS(Таблица14[часы],Таблица14[коэф],"1,2",Таблица14[р/р],"4/16",Таблица14[Ф. И. О.],B319)</f>
        <v>0</v>
      </c>
      <c r="T318" s="520">
        <f t="shared" si="156"/>
        <v>0</v>
      </c>
      <c r="U318" s="449">
        <f>база!$M$5</f>
        <v>247.41720000000001</v>
      </c>
      <c r="V318" s="367">
        <v>1.2</v>
      </c>
      <c r="W318" s="389">
        <f>SUMIFS(Таблица14[часы],Таблица14[коэф],"1,2",Таблица14[р/р],"4/24",Таблица14[Ф. И. О.],B319)</f>
        <v>0</v>
      </c>
      <c r="X318" s="521">
        <f t="shared" si="157"/>
        <v>0</v>
      </c>
      <c r="Y318" s="748"/>
      <c r="Z318" s="750"/>
      <c r="AA318" s="740"/>
    </row>
    <row r="319" spans="1:27" ht="18.75">
      <c r="A319" s="740"/>
      <c r="B319" s="201" t="str">
        <f>база!B30</f>
        <v>Иванченко Ульяна Леонидовна</v>
      </c>
      <c r="C319" s="743"/>
      <c r="D319" s="746"/>
      <c r="E319" s="370"/>
      <c r="F319" s="367"/>
      <c r="G319" s="377"/>
      <c r="H319" s="520">
        <f t="shared" si="154"/>
        <v>0</v>
      </c>
      <c r="I319" s="366"/>
      <c r="J319" s="367"/>
      <c r="K319" s="411"/>
      <c r="L319" s="372">
        <f t="shared" si="155"/>
        <v>0</v>
      </c>
      <c r="M319" s="409"/>
      <c r="N319" s="411"/>
      <c r="O319" s="411"/>
      <c r="P319" s="411"/>
      <c r="Q319" s="376">
        <f>база!$L$6</f>
        <v>261.04640000000001</v>
      </c>
      <c r="R319" s="367">
        <v>1.2</v>
      </c>
      <c r="S319" s="377">
        <f>SUMIFS(Таблица14[часы],Таблица14[коэф],"1,2",Таблица14[р/р],"5/16",Таблица14[Ф. И. О.],B319)</f>
        <v>0</v>
      </c>
      <c r="T319" s="520">
        <f t="shared" si="156"/>
        <v>0</v>
      </c>
      <c r="U319" s="449">
        <f>база!$M$6</f>
        <v>279.0496</v>
      </c>
      <c r="V319" s="367">
        <v>1.2</v>
      </c>
      <c r="W319" s="389">
        <f>SUMIFS(Таблица14[часы],Таблица14[коэф],"1,2",Таблица14[р/р],"5/24",Таблица14[Ф. И. О.],B319)</f>
        <v>0</v>
      </c>
      <c r="X319" s="521">
        <f t="shared" si="157"/>
        <v>0</v>
      </c>
      <c r="Y319" s="748"/>
      <c r="Z319" s="750"/>
      <c r="AA319" s="740"/>
    </row>
    <row r="320" spans="1:27" ht="18.75">
      <c r="A320" s="740"/>
      <c r="B320" s="201"/>
      <c r="C320" s="743"/>
      <c r="D320" s="746"/>
      <c r="E320" s="370"/>
      <c r="F320" s="367"/>
      <c r="G320" s="377"/>
      <c r="H320" s="520">
        <f t="shared" si="154"/>
        <v>0</v>
      </c>
      <c r="I320" s="366"/>
      <c r="J320" s="367"/>
      <c r="K320" s="411"/>
      <c r="L320" s="372">
        <f t="shared" si="155"/>
        <v>0</v>
      </c>
      <c r="M320" s="409"/>
      <c r="N320" s="411"/>
      <c r="O320" s="411"/>
      <c r="P320" s="411"/>
      <c r="Q320" s="376">
        <f>IF(D314&lt;=3,база!$L$4,
IF(D314=4,база!$L$5,
IF(D314=5,база!$L$6)))</f>
        <v>210.57480000000001</v>
      </c>
      <c r="R320" s="367">
        <v>1.3</v>
      </c>
      <c r="S320" s="377">
        <f>SUMIFS(Таблица14[часы],Таблица14[коэф],"1,3",Таблица14[р/р],"3/16",Таблица14[Ф. И. О.],B319)</f>
        <v>0</v>
      </c>
      <c r="T320" s="520">
        <f t="shared" si="156"/>
        <v>0</v>
      </c>
      <c r="U320" s="449">
        <f>IF(D314&lt;=3,база!$M$4,
IF(D314=4,база!$M$5,
IF(D314=5,база!$M$6)))</f>
        <v>225.09719999999999</v>
      </c>
      <c r="V320" s="367">
        <v>1.3</v>
      </c>
      <c r="W320" s="389">
        <f>SUMIFS(Таблица14[часы],Таблица14[коэф],"1,3",Таблица14[р/р],"3/24",Таблица14[Ф. И. О.],B319)</f>
        <v>0</v>
      </c>
      <c r="X320" s="521">
        <f t="shared" si="157"/>
        <v>0</v>
      </c>
      <c r="Y320" s="748"/>
      <c r="Z320" s="750"/>
      <c r="AA320" s="740"/>
    </row>
    <row r="321" spans="1:27" ht="18.75">
      <c r="A321" s="740"/>
      <c r="B321" s="201"/>
      <c r="C321" s="743"/>
      <c r="D321" s="746"/>
      <c r="E321" s="370"/>
      <c r="F321" s="367"/>
      <c r="G321" s="377"/>
      <c r="H321" s="520">
        <f t="shared" si="154"/>
        <v>0</v>
      </c>
      <c r="I321" s="366"/>
      <c r="J321" s="367"/>
      <c r="K321" s="411"/>
      <c r="L321" s="372">
        <f t="shared" si="155"/>
        <v>0</v>
      </c>
      <c r="M321" s="409"/>
      <c r="N321" s="411"/>
      <c r="O321" s="411"/>
      <c r="P321" s="411"/>
      <c r="Q321" s="376">
        <f>база!$L$5</f>
        <v>231.45480000000001</v>
      </c>
      <c r="R321" s="367">
        <v>1.3</v>
      </c>
      <c r="S321" s="377">
        <f>SUMIFS(Таблица14[часы],Таблица14[коэф],"1,3",Таблица14[р/р],"4/16",Таблица14[Ф. И. О.],B319)</f>
        <v>0</v>
      </c>
      <c r="T321" s="520">
        <f t="shared" si="156"/>
        <v>0</v>
      </c>
      <c r="U321" s="449">
        <f>база!$M$5</f>
        <v>247.41720000000001</v>
      </c>
      <c r="V321" s="367">
        <v>1.3</v>
      </c>
      <c r="W321" s="389">
        <f>SUMIFS(Таблица14[часы],Таблица14[коэф],"1,3",Таблица14[р/р],"4/24",Таблица14[Ф. И. О.],B319)</f>
        <v>0</v>
      </c>
      <c r="X321" s="521">
        <f t="shared" si="157"/>
        <v>0</v>
      </c>
      <c r="Y321" s="748"/>
      <c r="Z321" s="750"/>
      <c r="AA321" s="740"/>
    </row>
    <row r="322" spans="1:27" ht="18.75">
      <c r="A322" s="740"/>
      <c r="B322" s="201"/>
      <c r="C322" s="743"/>
      <c r="D322" s="746"/>
      <c r="E322" s="370"/>
      <c r="F322" s="367"/>
      <c r="G322" s="377"/>
      <c r="H322" s="520">
        <f t="shared" si="154"/>
        <v>0</v>
      </c>
      <c r="I322" s="366"/>
      <c r="J322" s="367"/>
      <c r="K322" s="411"/>
      <c r="L322" s="372">
        <f t="shared" si="155"/>
        <v>0</v>
      </c>
      <c r="M322" s="409"/>
      <c r="N322" s="411"/>
      <c r="O322" s="411"/>
      <c r="P322" s="411"/>
      <c r="Q322" s="376">
        <f>IF(D314&lt;=3,база!$L$4,
IF(D314=4,база!$L$5,
IF(D314=5,база!$L$6)))</f>
        <v>210.57480000000001</v>
      </c>
      <c r="R322" s="367">
        <v>1.4</v>
      </c>
      <c r="S322" s="377">
        <f>SUMIFS(Таблица14[часы],Таблица14[коэф],"1,4",Таблица14[р/р],"3/16",Таблица14[Ф. И. О.],B319)</f>
        <v>0</v>
      </c>
      <c r="T322" s="520">
        <f t="shared" si="156"/>
        <v>0</v>
      </c>
      <c r="U322" s="449">
        <f>IF(D314&lt;=3,база!$M$4,
IF(D314=4,база!$M$5,
IF(D314=5,база!$M$6)))</f>
        <v>225.09719999999999</v>
      </c>
      <c r="V322" s="367">
        <v>1.4</v>
      </c>
      <c r="W322" s="389">
        <f>SUMIFS(Таблица14[часы],Таблица14[коэф],"1,4",Таблица14[р/р],"3/24",Таблица14[Ф. И. О.],B319)</f>
        <v>0</v>
      </c>
      <c r="X322" s="521">
        <f t="shared" si="157"/>
        <v>0</v>
      </c>
      <c r="Y322" s="748"/>
      <c r="Z322" s="750"/>
      <c r="AA322" s="740"/>
    </row>
    <row r="323" spans="1:27" ht="18.75">
      <c r="A323" s="740"/>
      <c r="B323" s="201"/>
      <c r="C323" s="743"/>
      <c r="D323" s="746"/>
      <c r="E323" s="370"/>
      <c r="F323" s="367"/>
      <c r="G323" s="377"/>
      <c r="H323" s="520">
        <f t="shared" si="154"/>
        <v>0</v>
      </c>
      <c r="I323" s="366"/>
      <c r="J323" s="367"/>
      <c r="K323" s="411"/>
      <c r="L323" s="372">
        <f t="shared" si="155"/>
        <v>0</v>
      </c>
      <c r="M323" s="409"/>
      <c r="N323" s="411"/>
      <c r="O323" s="411"/>
      <c r="P323" s="411"/>
      <c r="Q323" s="376">
        <f>база!$L$5</f>
        <v>231.45480000000001</v>
      </c>
      <c r="R323" s="367">
        <v>1.4</v>
      </c>
      <c r="S323" s="377">
        <f>SUMIFS(Таблица14[часы],Таблица14[коэф],"1,4",Таблица14[р/р],"4/16",Таблица14[Ф. И. О.],B319)</f>
        <v>0</v>
      </c>
      <c r="T323" s="520">
        <f t="shared" si="156"/>
        <v>0</v>
      </c>
      <c r="U323" s="449">
        <f>база!$M$5</f>
        <v>247.41720000000001</v>
      </c>
      <c r="V323" s="367">
        <v>1.4</v>
      </c>
      <c r="W323" s="389">
        <f>SUMIFS(Таблица14[часы],Таблица14[коэф],"1,4",Таблица14[р/р],"4/24",Таблица14[Ф. И. О.],B319)</f>
        <v>0</v>
      </c>
      <c r="X323" s="521">
        <f t="shared" si="157"/>
        <v>0</v>
      </c>
      <c r="Y323" s="748"/>
      <c r="Z323" s="750"/>
      <c r="AA323" s="740"/>
    </row>
    <row r="324" spans="1:27" ht="19.5" thickBot="1">
      <c r="A324" s="741"/>
      <c r="B324" s="188"/>
      <c r="C324" s="744"/>
      <c r="D324" s="747"/>
      <c r="E324" s="440"/>
      <c r="F324" s="441"/>
      <c r="G324" s="442"/>
      <c r="H324" s="525">
        <f t="shared" si="154"/>
        <v>0</v>
      </c>
      <c r="I324" s="450"/>
      <c r="J324" s="441"/>
      <c r="K324" s="434"/>
      <c r="L324" s="435">
        <f t="shared" si="155"/>
        <v>0</v>
      </c>
      <c r="M324" s="443"/>
      <c r="N324" s="434"/>
      <c r="O324" s="434"/>
      <c r="P324" s="434"/>
      <c r="Q324" s="444">
        <f>база!$L$6</f>
        <v>261.04640000000001</v>
      </c>
      <c r="R324" s="441">
        <v>1.4</v>
      </c>
      <c r="S324" s="442">
        <f>SUMIFS(Таблица14[часы],Таблица14[коэф],"1,4",Таблица14[р/р],"5/16",Таблица14[Ф. И. О.],B319)</f>
        <v>0</v>
      </c>
      <c r="T324" s="525">
        <f t="shared" si="156"/>
        <v>0</v>
      </c>
      <c r="U324" s="451">
        <f>база!$M$6</f>
        <v>279.0496</v>
      </c>
      <c r="V324" s="441">
        <v>1.4</v>
      </c>
      <c r="W324" s="447">
        <f>SUMIFS(Таблица14[часы],Таблица14[коэф],"1,4",Таблица14[р/р],"5/24",Таблица14[Ф. И. О.],B319)</f>
        <v>0</v>
      </c>
      <c r="X324" s="523">
        <f t="shared" si="157"/>
        <v>0</v>
      </c>
      <c r="Y324" s="749"/>
      <c r="Z324" s="751"/>
      <c r="AA324" s="741"/>
    </row>
    <row r="325" spans="1:27" ht="18.75">
      <c r="A325" s="739">
        <v>30</v>
      </c>
      <c r="B325" s="219"/>
      <c r="C325" s="742">
        <f>INDEX(база!$E$2:$E$81, MATCH(B330,база!$B$2:$B$50,0))</f>
        <v>17305</v>
      </c>
      <c r="D325" s="745">
        <f>INDEX(база!$D$2:$D$89, MATCH(B330,база!$B$2:$B$50,0))</f>
        <v>3</v>
      </c>
      <c r="E325" s="358">
        <f>IF(D325&lt;=3,база!$I$4,
IF(D325=4,база!$I$5,
IF(D325=5,база!$I$6)))</f>
        <v>188.7912</v>
      </c>
      <c r="F325" s="355">
        <v>1</v>
      </c>
      <c r="G325" s="364">
        <f>SUMIFS(Таблица14[часы],Таблица14[коэф],"1",Таблица14[р/р],"2/4",Таблица14[Ф. И. О.],B330)</f>
        <v>0</v>
      </c>
      <c r="H325" s="357">
        <f>ROUND(E325*F325*G325*2,2)</f>
        <v>0</v>
      </c>
      <c r="I325" s="354">
        <f>IF(D325&lt;=3,база!$J$4,
IF(D325=4,база!$J$5,
IF(D325=5,база!$J$6)))</f>
        <v>196.05240000000001</v>
      </c>
      <c r="J325" s="355">
        <v>1</v>
      </c>
      <c r="K325" s="405">
        <f>SUMIFS(Таблица14[часы],Таблица14[коэф],"1",Таблица14[р/р],"2/8",Таблица14[Ф. И. О.],B330)</f>
        <v>0</v>
      </c>
      <c r="L325" s="360">
        <f>ROUND(I325*J325*K325*2,2)</f>
        <v>0</v>
      </c>
      <c r="M325" s="403"/>
      <c r="N325" s="405">
        <v>1</v>
      </c>
      <c r="O325" s="405">
        <f>SUMIFS(Data_Tech!$AM$3:$AM$67,Data_Tech!$E$3:$E$67,"1",Data_Tech!$G$3:$G$67,"3/12",Data_Tech!$F$3:$F$67,B330)</f>
        <v>0</v>
      </c>
      <c r="P325" s="405">
        <f>ROUND(M325*N325*O325,2)</f>
        <v>0</v>
      </c>
      <c r="Q325" s="363">
        <f>IF(D325&lt;=3,база!$L$4,
IF(D325=4,база!$L$5,
IF(D325=5,база!$L$6)))</f>
        <v>210.57480000000001</v>
      </c>
      <c r="R325" s="355">
        <v>1</v>
      </c>
      <c r="S325" s="364">
        <f>SUMIFS(Таблица14[часы],Таблица14[коэф],"1",Таблица14[р/р],"3/16",Таблица14[Ф. И. О.],B330)</f>
        <v>0</v>
      </c>
      <c r="T325" s="524">
        <f>ROUND(Q325*R325*S325*2,2)</f>
        <v>0</v>
      </c>
      <c r="U325" s="448">
        <f>IF(D325&lt;=3,база!$M$4,
IF(D325=4,база!$M$5,
IF(D325=5,база!$M$6)))</f>
        <v>225.09719999999999</v>
      </c>
      <c r="V325" s="355">
        <v>1</v>
      </c>
      <c r="W325" s="407">
        <f>SUMIFS(Таблица14[часы],Таблица14[коэф],"1",Таблица14[р/р],"3/24",Таблица14[Ф. И. О.],B330)</f>
        <v>0</v>
      </c>
      <c r="X325" s="519">
        <f>ROUND(U325*V325*W325*2,2)</f>
        <v>0</v>
      </c>
      <c r="Y325" s="748">
        <f t="shared" ref="Y325" si="158">SUM(G325:G335,K325:K335,O325:O335,S325:S335,W325:W335)</f>
        <v>0</v>
      </c>
      <c r="Z325" s="750">
        <f t="shared" ref="Z325" si="159">IFERROR(SUM(H325:H335,L325:L335,T325:T335,X325:X335),"")</f>
        <v>0</v>
      </c>
      <c r="AA325" s="740"/>
    </row>
    <row r="326" spans="1:27" ht="18.75">
      <c r="A326" s="740"/>
      <c r="B326" s="201"/>
      <c r="C326" s="743"/>
      <c r="D326" s="746"/>
      <c r="E326" s="370">
        <f>IF(D325&lt;=3,база!$I$4,
IF(D325=4,база!$I$5,
IF(D325=5,база!$I$6)))</f>
        <v>188.7912</v>
      </c>
      <c r="F326" s="367">
        <v>1</v>
      </c>
      <c r="G326" s="377">
        <f>SUMIFS(Таблица14[часы],Таблица14[коэф],"1",Таблица14[р/р],"3/4",Таблица14[Ф. И. О.],B330)</f>
        <v>0</v>
      </c>
      <c r="H326" s="518">
        <f t="shared" ref="H326:H335" si="160">ROUND(E326*F326*G326*2,2)</f>
        <v>0</v>
      </c>
      <c r="I326" s="366">
        <f>IF(D325&lt;=3,база!$J$4,
IF(D325=4,база!$J$5,
IF(D325=5,база!$J$6)))</f>
        <v>196.05240000000001</v>
      </c>
      <c r="J326" s="367">
        <v>1</v>
      </c>
      <c r="K326" s="411">
        <f>SUMIFS(Таблица14[часы],Таблица14[коэф],"1",Таблица14[р/р],"3/8",Таблица14[Ф. И. О.],B330)</f>
        <v>0</v>
      </c>
      <c r="L326" s="372">
        <f t="shared" ref="L326:L335" si="161">ROUND(I326*J326*K326*2,2)</f>
        <v>0</v>
      </c>
      <c r="M326" s="409"/>
      <c r="N326" s="411">
        <v>1</v>
      </c>
      <c r="O326" s="411">
        <f>SUMIFS(Data_Tech!$AM$3:$AM$67,Data_Tech!$E$3:$E$67,"1",Data_Tech!$G$3:$G$67,"4/12",Data_Tech!$F$3:$F$67,B330)</f>
        <v>0</v>
      </c>
      <c r="P326" s="411">
        <f>ROUND(M326*O326,2)</f>
        <v>0</v>
      </c>
      <c r="Q326" s="376">
        <f>база!$L$5</f>
        <v>231.45480000000001</v>
      </c>
      <c r="R326" s="367">
        <v>1</v>
      </c>
      <c r="S326" s="377">
        <f>SUMIFS(Таблица14[часы],Таблица14[коэф],"1",Таблица14[р/р],"4/16",Таблица14[Ф. И. О.],B330)</f>
        <v>0</v>
      </c>
      <c r="T326" s="520">
        <f t="shared" ref="T326:T335" si="162">ROUND(Q326*R326*S326*2,2)</f>
        <v>0</v>
      </c>
      <c r="U326" s="449">
        <f>база!$M$5</f>
        <v>247.41720000000001</v>
      </c>
      <c r="V326" s="367">
        <v>1</v>
      </c>
      <c r="W326" s="389">
        <f>SUMIFS(Таблица14[часы],Таблица14[коэф],"1",Таблица14[р/р],"4/24",Таблица14[Ф. И. О.],B330)</f>
        <v>0</v>
      </c>
      <c r="X326" s="521">
        <f t="shared" ref="X326:X335" si="163">ROUND(U326*V326*W326*2,2)</f>
        <v>0</v>
      </c>
      <c r="Y326" s="748"/>
      <c r="Z326" s="750"/>
      <c r="AA326" s="740"/>
    </row>
    <row r="327" spans="1:27" ht="18.75">
      <c r="A327" s="740"/>
      <c r="B327" s="201"/>
      <c r="C327" s="743"/>
      <c r="D327" s="746"/>
      <c r="E327" s="370"/>
      <c r="F327" s="367"/>
      <c r="G327" s="377"/>
      <c r="H327" s="520">
        <f t="shared" si="160"/>
        <v>0</v>
      </c>
      <c r="I327" s="366"/>
      <c r="J327" s="367"/>
      <c r="K327" s="411"/>
      <c r="L327" s="372">
        <f t="shared" si="161"/>
        <v>0</v>
      </c>
      <c r="M327" s="409"/>
      <c r="N327" s="411"/>
      <c r="O327" s="411"/>
      <c r="P327" s="411"/>
      <c r="Q327" s="376">
        <f>база!$L$6</f>
        <v>261.04640000000001</v>
      </c>
      <c r="R327" s="367">
        <v>1</v>
      </c>
      <c r="S327" s="377">
        <f>SUMIFS(Таблица14[часы],Таблица14[коэф],"1",Таблица14[р/р],"5/16",Таблица14[Ф. И. О.],B330)</f>
        <v>0</v>
      </c>
      <c r="T327" s="520">
        <f t="shared" si="162"/>
        <v>0</v>
      </c>
      <c r="U327" s="449">
        <f>база!$M$6</f>
        <v>279.0496</v>
      </c>
      <c r="V327" s="367">
        <v>1</v>
      </c>
      <c r="W327" s="389">
        <f>SUMIFS(Таблица14[часы],Таблица14[коэф],"1",Таблица14[р/р],"5/24",Таблица14[Ф. И. О.],B330)</f>
        <v>0</v>
      </c>
      <c r="X327" s="521">
        <f t="shared" si="163"/>
        <v>0</v>
      </c>
      <c r="Y327" s="748"/>
      <c r="Z327" s="750"/>
      <c r="AA327" s="740"/>
    </row>
    <row r="328" spans="1:27" ht="18.75">
      <c r="A328" s="740"/>
      <c r="B328" s="201"/>
      <c r="C328" s="743"/>
      <c r="D328" s="746"/>
      <c r="E328" s="370"/>
      <c r="F328" s="367"/>
      <c r="G328" s="377"/>
      <c r="H328" s="520">
        <f t="shared" si="160"/>
        <v>0</v>
      </c>
      <c r="I328" s="366">
        <f>база!$J$5</f>
        <v>215.4924</v>
      </c>
      <c r="J328" s="367">
        <v>1.5</v>
      </c>
      <c r="K328" s="411">
        <f>SUMIFS(Таблица14[часы],Таблица14[коэф],"1,5",Таблица14[р/р],"4/8",Таблица14[Ф. И. О.],B330)</f>
        <v>0</v>
      </c>
      <c r="L328" s="372">
        <f t="shared" si="161"/>
        <v>0</v>
      </c>
      <c r="M328" s="409"/>
      <c r="N328" s="411"/>
      <c r="O328" s="411"/>
      <c r="P328" s="411"/>
      <c r="Q328" s="376">
        <f>IF(D325&lt;=3,база!$L$4,
IF(D325=4,база!$L$5,
IF(D325=5,база!$L$6)))</f>
        <v>210.57480000000001</v>
      </c>
      <c r="R328" s="367">
        <v>1.2</v>
      </c>
      <c r="S328" s="377">
        <f>SUMIFS(Таблица14[часы],Таблица14[коэф],"1,2",Таблица14[р/р],"3/16",Таблица14[Ф. И. О.],B330)</f>
        <v>0</v>
      </c>
      <c r="T328" s="520">
        <f t="shared" si="162"/>
        <v>0</v>
      </c>
      <c r="U328" s="449">
        <f>IF(D325&lt;=3,база!$M$4,
IF(D325=4,база!$M$5,
IF(D325=5,база!$M$6)))</f>
        <v>225.09719999999999</v>
      </c>
      <c r="V328" s="367">
        <v>1.2</v>
      </c>
      <c r="W328" s="389">
        <f>SUMIFS(Таблица14[часы],Таблица14[коэф],"1,2",Таблица14[р/р],"3/24",Таблица14[Ф. И. О.],B330)</f>
        <v>0</v>
      </c>
      <c r="X328" s="521">
        <f t="shared" si="163"/>
        <v>0</v>
      </c>
      <c r="Y328" s="748"/>
      <c r="Z328" s="750"/>
      <c r="AA328" s="740"/>
    </row>
    <row r="329" spans="1:27" ht="18.75">
      <c r="A329" s="740"/>
      <c r="B329" s="201"/>
      <c r="C329" s="743"/>
      <c r="D329" s="746"/>
      <c r="E329" s="370"/>
      <c r="F329" s="367"/>
      <c r="G329" s="377"/>
      <c r="H329" s="520">
        <f t="shared" si="160"/>
        <v>0</v>
      </c>
      <c r="I329" s="366">
        <f>база!$J$6</f>
        <v>243.04319999999998</v>
      </c>
      <c r="J329" s="367">
        <v>1.5</v>
      </c>
      <c r="K329" s="411">
        <f>SUMIFS(Таблица14[часы],Таблица14[коэф],"1,5",Таблица14[р/р],"5/8",Таблица14[Ф. И. О.],B330)</f>
        <v>0</v>
      </c>
      <c r="L329" s="372">
        <f t="shared" si="161"/>
        <v>0</v>
      </c>
      <c r="M329" s="409"/>
      <c r="N329" s="411"/>
      <c r="O329" s="411"/>
      <c r="P329" s="411"/>
      <c r="Q329" s="376">
        <f>база!$L$5</f>
        <v>231.45480000000001</v>
      </c>
      <c r="R329" s="367">
        <v>1.2</v>
      </c>
      <c r="S329" s="377">
        <f>SUMIFS(Таблица14[часы],Таблица14[коэф],"1,2",Таблица14[р/р],"4/16",Таблица14[Ф. И. О.],B330)</f>
        <v>0</v>
      </c>
      <c r="T329" s="520">
        <f t="shared" si="162"/>
        <v>0</v>
      </c>
      <c r="U329" s="449">
        <f>база!$M$5</f>
        <v>247.41720000000001</v>
      </c>
      <c r="V329" s="367">
        <v>1.2</v>
      </c>
      <c r="W329" s="389">
        <f>SUMIFS(Таблица14[часы],Таблица14[коэф],"1,2",Таблица14[р/р],"4/24",Таблица14[Ф. И. О.],B330)</f>
        <v>0</v>
      </c>
      <c r="X329" s="521">
        <f t="shared" si="163"/>
        <v>0</v>
      </c>
      <c r="Y329" s="748"/>
      <c r="Z329" s="750"/>
      <c r="AA329" s="740"/>
    </row>
    <row r="330" spans="1:27" ht="18.75">
      <c r="A330" s="740"/>
      <c r="B330" s="201" t="str">
        <f>база!B31</f>
        <v>Исаева Инна Игоревна</v>
      </c>
      <c r="C330" s="743"/>
      <c r="D330" s="746"/>
      <c r="E330" s="370"/>
      <c r="F330" s="367"/>
      <c r="G330" s="377"/>
      <c r="H330" s="520">
        <f t="shared" si="160"/>
        <v>0</v>
      </c>
      <c r="I330" s="366"/>
      <c r="J330" s="367"/>
      <c r="K330" s="411"/>
      <c r="L330" s="372">
        <f t="shared" si="161"/>
        <v>0</v>
      </c>
      <c r="M330" s="409"/>
      <c r="N330" s="411"/>
      <c r="O330" s="411"/>
      <c r="P330" s="411"/>
      <c r="Q330" s="376">
        <f>база!$L$6</f>
        <v>261.04640000000001</v>
      </c>
      <c r="R330" s="367">
        <v>1.2</v>
      </c>
      <c r="S330" s="377">
        <f>SUMIFS(Таблица14[часы],Таблица14[коэф],"1,2",Таблица14[р/р],"5/16",Таблица14[Ф. И. О.],B330)</f>
        <v>0</v>
      </c>
      <c r="T330" s="520">
        <f t="shared" si="162"/>
        <v>0</v>
      </c>
      <c r="U330" s="449">
        <f>база!$M$6</f>
        <v>279.0496</v>
      </c>
      <c r="V330" s="367">
        <v>1.2</v>
      </c>
      <c r="W330" s="389">
        <f>SUMIFS(Таблица14[часы],Таблица14[коэф],"1,2",Таблица14[р/р],"5/24",Таблица14[Ф. И. О.],B330)</f>
        <v>0</v>
      </c>
      <c r="X330" s="521">
        <f t="shared" si="163"/>
        <v>0</v>
      </c>
      <c r="Y330" s="748"/>
      <c r="Z330" s="750"/>
      <c r="AA330" s="740"/>
    </row>
    <row r="331" spans="1:27" ht="18.75">
      <c r="A331" s="740"/>
      <c r="B331" s="201"/>
      <c r="C331" s="743"/>
      <c r="D331" s="746"/>
      <c r="E331" s="370"/>
      <c r="F331" s="367"/>
      <c r="G331" s="377"/>
      <c r="H331" s="520">
        <f t="shared" si="160"/>
        <v>0</v>
      </c>
      <c r="I331" s="366"/>
      <c r="J331" s="367"/>
      <c r="K331" s="411"/>
      <c r="L331" s="372">
        <f t="shared" si="161"/>
        <v>0</v>
      </c>
      <c r="M331" s="409"/>
      <c r="N331" s="411"/>
      <c r="O331" s="411"/>
      <c r="P331" s="411"/>
      <c r="Q331" s="376">
        <f>IF(D325&lt;=3,база!$L$4,
IF(D325=4,база!$L$5,
IF(D325=5,база!$L$6)))</f>
        <v>210.57480000000001</v>
      </c>
      <c r="R331" s="367">
        <v>1.3</v>
      </c>
      <c r="S331" s="377">
        <f>SUMIFS(Таблица14[часы],Таблица14[коэф],"1,3",Таблица14[р/р],"3/16",Таблица14[Ф. И. О.],B330)</f>
        <v>0</v>
      </c>
      <c r="T331" s="520">
        <f t="shared" si="162"/>
        <v>0</v>
      </c>
      <c r="U331" s="449">
        <f>IF(D325&lt;=3,база!$M$4,
IF(D325=4,база!$M$5,
IF(D325=5,база!$M$6)))</f>
        <v>225.09719999999999</v>
      </c>
      <c r="V331" s="367">
        <v>1.3</v>
      </c>
      <c r="W331" s="389">
        <f>SUMIFS(Таблица14[часы],Таблица14[коэф],"1,3",Таблица14[р/р],"3/24",Таблица14[Ф. И. О.],B330)</f>
        <v>0</v>
      </c>
      <c r="X331" s="521">
        <f t="shared" si="163"/>
        <v>0</v>
      </c>
      <c r="Y331" s="748"/>
      <c r="Z331" s="750"/>
      <c r="AA331" s="740"/>
    </row>
    <row r="332" spans="1:27" ht="18.75">
      <c r="A332" s="740"/>
      <c r="B332" s="201"/>
      <c r="C332" s="743"/>
      <c r="D332" s="746"/>
      <c r="E332" s="370"/>
      <c r="F332" s="367"/>
      <c r="G332" s="377"/>
      <c r="H332" s="520">
        <f t="shared" si="160"/>
        <v>0</v>
      </c>
      <c r="I332" s="366"/>
      <c r="J332" s="367"/>
      <c r="K332" s="411"/>
      <c r="L332" s="372">
        <f t="shared" si="161"/>
        <v>0</v>
      </c>
      <c r="M332" s="409"/>
      <c r="N332" s="411"/>
      <c r="O332" s="411"/>
      <c r="P332" s="411"/>
      <c r="Q332" s="376">
        <f>база!$L$5</f>
        <v>231.45480000000001</v>
      </c>
      <c r="R332" s="367">
        <v>1.3</v>
      </c>
      <c r="S332" s="377">
        <f>SUMIFS(Таблица14[часы],Таблица14[коэф],"1,3",Таблица14[р/р],"4/16",Таблица14[Ф. И. О.],B330)</f>
        <v>0</v>
      </c>
      <c r="T332" s="520">
        <f t="shared" si="162"/>
        <v>0</v>
      </c>
      <c r="U332" s="449">
        <f>база!$M$5</f>
        <v>247.41720000000001</v>
      </c>
      <c r="V332" s="367">
        <v>1.3</v>
      </c>
      <c r="W332" s="389">
        <f>SUMIFS(Таблица14[часы],Таблица14[коэф],"1,3",Таблица14[р/р],"4/24",Таблица14[Ф. И. О.],B330)</f>
        <v>0</v>
      </c>
      <c r="X332" s="521">
        <f t="shared" si="163"/>
        <v>0</v>
      </c>
      <c r="Y332" s="748"/>
      <c r="Z332" s="750"/>
      <c r="AA332" s="740"/>
    </row>
    <row r="333" spans="1:27" ht="18.75">
      <c r="A333" s="740"/>
      <c r="B333" s="201"/>
      <c r="C333" s="743"/>
      <c r="D333" s="746"/>
      <c r="E333" s="370"/>
      <c r="F333" s="367"/>
      <c r="G333" s="377"/>
      <c r="H333" s="520">
        <f t="shared" si="160"/>
        <v>0</v>
      </c>
      <c r="I333" s="366"/>
      <c r="J333" s="367"/>
      <c r="K333" s="411"/>
      <c r="L333" s="372">
        <f t="shared" si="161"/>
        <v>0</v>
      </c>
      <c r="M333" s="409"/>
      <c r="N333" s="411"/>
      <c r="O333" s="411"/>
      <c r="P333" s="411"/>
      <c r="Q333" s="376">
        <f>IF(D325&lt;=3,база!$L$4,
IF(D325=4,база!$L$5,
IF(D325=5,база!$L$6)))</f>
        <v>210.57480000000001</v>
      </c>
      <c r="R333" s="367">
        <v>1.4</v>
      </c>
      <c r="S333" s="377">
        <f>SUMIFS(Таблица14[часы],Таблица14[коэф],"1,4",Таблица14[р/р],"3/16",Таблица14[Ф. И. О.],B330)</f>
        <v>0</v>
      </c>
      <c r="T333" s="520">
        <f t="shared" si="162"/>
        <v>0</v>
      </c>
      <c r="U333" s="449">
        <f>IF(D325&lt;=3,база!$M$4,
IF(D325=4,база!$M$5,
IF(D325=5,база!$M$6)))</f>
        <v>225.09719999999999</v>
      </c>
      <c r="V333" s="367">
        <v>1.4</v>
      </c>
      <c r="W333" s="389">
        <f>SUMIFS(Таблица14[часы],Таблица14[коэф],"1,4",Таблица14[р/р],"3/24",Таблица14[Ф. И. О.],B330)</f>
        <v>0</v>
      </c>
      <c r="X333" s="521">
        <f t="shared" si="163"/>
        <v>0</v>
      </c>
      <c r="Y333" s="748"/>
      <c r="Z333" s="750"/>
      <c r="AA333" s="740"/>
    </row>
    <row r="334" spans="1:27" ht="18.75">
      <c r="A334" s="740"/>
      <c r="B334" s="201"/>
      <c r="C334" s="743"/>
      <c r="D334" s="746"/>
      <c r="E334" s="370"/>
      <c r="F334" s="367"/>
      <c r="G334" s="377"/>
      <c r="H334" s="520">
        <f t="shared" si="160"/>
        <v>0</v>
      </c>
      <c r="I334" s="366"/>
      <c r="J334" s="367"/>
      <c r="K334" s="411"/>
      <c r="L334" s="372">
        <f t="shared" si="161"/>
        <v>0</v>
      </c>
      <c r="M334" s="409"/>
      <c r="N334" s="411"/>
      <c r="O334" s="411"/>
      <c r="P334" s="411"/>
      <c r="Q334" s="376">
        <f>база!$L$5</f>
        <v>231.45480000000001</v>
      </c>
      <c r="R334" s="367">
        <v>1.4</v>
      </c>
      <c r="S334" s="377">
        <f>SUMIFS(Таблица14[часы],Таблица14[коэф],"1,4",Таблица14[р/р],"4/16",Таблица14[Ф. И. О.],B330)</f>
        <v>0</v>
      </c>
      <c r="T334" s="520">
        <f t="shared" si="162"/>
        <v>0</v>
      </c>
      <c r="U334" s="449">
        <f>база!$M$5</f>
        <v>247.41720000000001</v>
      </c>
      <c r="V334" s="367">
        <v>1.4</v>
      </c>
      <c r="W334" s="389">
        <f>SUMIFS(Таблица14[часы],Таблица14[коэф],"1,4",Таблица14[р/р],"4/24",Таблица14[Ф. И. О.],B330)</f>
        <v>0</v>
      </c>
      <c r="X334" s="521">
        <f t="shared" si="163"/>
        <v>0</v>
      </c>
      <c r="Y334" s="748"/>
      <c r="Z334" s="750"/>
      <c r="AA334" s="740"/>
    </row>
    <row r="335" spans="1:27" ht="19.5" thickBot="1">
      <c r="A335" s="741"/>
      <c r="B335" s="188"/>
      <c r="C335" s="744"/>
      <c r="D335" s="747"/>
      <c r="E335" s="440"/>
      <c r="F335" s="441"/>
      <c r="G335" s="442"/>
      <c r="H335" s="525">
        <f t="shared" si="160"/>
        <v>0</v>
      </c>
      <c r="I335" s="450"/>
      <c r="J335" s="441"/>
      <c r="K335" s="434"/>
      <c r="L335" s="435">
        <f t="shared" si="161"/>
        <v>0</v>
      </c>
      <c r="M335" s="443"/>
      <c r="N335" s="434"/>
      <c r="O335" s="434"/>
      <c r="P335" s="434"/>
      <c r="Q335" s="444">
        <f>база!$L$6</f>
        <v>261.04640000000001</v>
      </c>
      <c r="R335" s="441">
        <v>1.4</v>
      </c>
      <c r="S335" s="442">
        <f>SUMIFS(Таблица14[часы],Таблица14[коэф],"1,4",Таблица14[р/р],"5/16",Таблица14[Ф. И. О.],B330)</f>
        <v>0</v>
      </c>
      <c r="T335" s="525">
        <f t="shared" si="162"/>
        <v>0</v>
      </c>
      <c r="U335" s="451">
        <f>база!$M$6</f>
        <v>279.0496</v>
      </c>
      <c r="V335" s="441">
        <v>1.4</v>
      </c>
      <c r="W335" s="447">
        <f>SUMIFS(Таблица14[часы],Таблица14[коэф],"1,4",Таблица14[р/р],"5/24",Таблица14[Ф. И. О.],B330)</f>
        <v>0</v>
      </c>
      <c r="X335" s="523">
        <f t="shared" si="163"/>
        <v>0</v>
      </c>
      <c r="Y335" s="749"/>
      <c r="Z335" s="751"/>
      <c r="AA335" s="741"/>
    </row>
    <row r="336" spans="1:27" ht="18.75">
      <c r="A336" s="739">
        <v>31</v>
      </c>
      <c r="B336" s="219"/>
      <c r="C336" s="742">
        <f>INDEX(база!$E$2:$E$81, MATCH(B341,база!$B$2:$B$50,0))</f>
        <v>17270</v>
      </c>
      <c r="D336" s="745">
        <f>INDEX(база!$D$2:$D$89, MATCH(B341,база!$B$2:$B$50,0))</f>
        <v>3</v>
      </c>
      <c r="E336" s="358">
        <f>IF(D336&lt;=3,база!$I$4,
IF(D336=4,база!$I$5,
IF(D336=5,база!$I$6)))</f>
        <v>188.7912</v>
      </c>
      <c r="F336" s="355">
        <v>1</v>
      </c>
      <c r="G336" s="364">
        <f>SUMIFS(Таблица14[часы],Таблица14[коэф],"1",Таблица14[р/р],"2/4",Таблица14[Ф. И. О.],B341)</f>
        <v>0</v>
      </c>
      <c r="H336" s="357">
        <f>ROUND(E336*F336*G336*2,2)</f>
        <v>0</v>
      </c>
      <c r="I336" s="354">
        <f>IF(D336&lt;=3,база!$J$4,
IF(D336=4,база!$J$5,
IF(D336=5,база!$J$6)))</f>
        <v>196.05240000000001</v>
      </c>
      <c r="J336" s="355">
        <v>1</v>
      </c>
      <c r="K336" s="405">
        <f>SUMIFS(Таблица14[часы],Таблица14[коэф],"1",Таблица14[р/р],"2/8",Таблица14[Ф. И. О.],B341)</f>
        <v>0</v>
      </c>
      <c r="L336" s="360">
        <f>ROUND(I336*J336*K336*2,2)</f>
        <v>0</v>
      </c>
      <c r="M336" s="403"/>
      <c r="N336" s="405">
        <v>1</v>
      </c>
      <c r="O336" s="405">
        <f>SUMIFS(Data_Tech!$AM$3:$AM$67,Data_Tech!$E$3:$E$67,"1",Data_Tech!$G$3:$G$67,"3/12",Data_Tech!$F$3:$F$67,B341)</f>
        <v>0</v>
      </c>
      <c r="P336" s="405">
        <f>ROUND(M336*N336*O336,2)</f>
        <v>0</v>
      </c>
      <c r="Q336" s="363">
        <f>IF(D336&lt;=3,база!$L$4,
IF(D336=4,база!$L$5,
IF(D336=5,база!$L$6)))</f>
        <v>210.57480000000001</v>
      </c>
      <c r="R336" s="355">
        <v>1</v>
      </c>
      <c r="S336" s="364">
        <f>SUMIFS(Таблица14[часы],Таблица14[коэф],"1",Таблица14[р/р],"3/16",Таблица14[Ф. И. О.],B341)</f>
        <v>0</v>
      </c>
      <c r="T336" s="524">
        <f>ROUND(Q336*R336*S336*2,2)</f>
        <v>0</v>
      </c>
      <c r="U336" s="448">
        <f>IF(D336&lt;=3,база!$M$4,
IF(D336=4,база!$M$5,
IF(D336=5,база!$M$6)))</f>
        <v>225.09719999999999</v>
      </c>
      <c r="V336" s="355">
        <v>1</v>
      </c>
      <c r="W336" s="407">
        <f>SUMIFS(Таблица14[часы],Таблица14[коэф],"1",Таблица14[р/р],"3/24",Таблица14[Ф. И. О.],B341)</f>
        <v>0</v>
      </c>
      <c r="X336" s="519">
        <f>ROUND(U336*V336*W336*2,2)</f>
        <v>0</v>
      </c>
      <c r="Y336" s="748">
        <f t="shared" ref="Y336" si="164">SUM(G336:G346,K336:K346,O336:O346,S336:S346,W336:W346)</f>
        <v>0</v>
      </c>
      <c r="Z336" s="750">
        <f t="shared" ref="Z336" si="165">IFERROR(SUM(H336:H346,L336:L346,T336:T346,X336:X346),"")</f>
        <v>0</v>
      </c>
      <c r="AA336" s="740"/>
    </row>
    <row r="337" spans="1:27" ht="18.75">
      <c r="A337" s="740"/>
      <c r="B337" s="201"/>
      <c r="C337" s="743"/>
      <c r="D337" s="746"/>
      <c r="E337" s="370">
        <f>IF(D336&lt;=3,база!$I$4,
IF(D336=4,база!$I$5,
IF(D336=5,база!$I$6)))</f>
        <v>188.7912</v>
      </c>
      <c r="F337" s="367">
        <v>1</v>
      </c>
      <c r="G337" s="377">
        <f>SUMIFS(Таблица14[часы],Таблица14[коэф],"1",Таблица14[р/р],"3/4",Таблица14[Ф. И. О.],B341)</f>
        <v>0</v>
      </c>
      <c r="H337" s="518">
        <f t="shared" ref="H337:H346" si="166">ROUND(E337*F337*G337*2,2)</f>
        <v>0</v>
      </c>
      <c r="I337" s="366">
        <f>IF(D336&lt;=3,база!$J$4,
IF(D336=4,база!$J$5,
IF(D336=5,база!$J$6)))</f>
        <v>196.05240000000001</v>
      </c>
      <c r="J337" s="367">
        <v>1</v>
      </c>
      <c r="K337" s="411">
        <f>SUMIFS(Таблица14[часы],Таблица14[коэф],"1",Таблица14[р/р],"3/8",Таблица14[Ф. И. О.],B341)</f>
        <v>0</v>
      </c>
      <c r="L337" s="372">
        <f t="shared" ref="L337:L346" si="167">ROUND(I337*J337*K337*2,2)</f>
        <v>0</v>
      </c>
      <c r="M337" s="409"/>
      <c r="N337" s="411">
        <v>1</v>
      </c>
      <c r="O337" s="411">
        <f>SUMIFS(Data_Tech!$AM$3:$AM$67,Data_Tech!$E$3:$E$67,"1",Data_Tech!$G$3:$G$67,"4/12",Data_Tech!$F$3:$F$67,B341)</f>
        <v>0</v>
      </c>
      <c r="P337" s="411">
        <f>ROUND(M337*O337,2)</f>
        <v>0</v>
      </c>
      <c r="Q337" s="376">
        <f>база!$L$5</f>
        <v>231.45480000000001</v>
      </c>
      <c r="R337" s="367">
        <v>1</v>
      </c>
      <c r="S337" s="377">
        <f>SUMIFS(Таблица14[часы],Таблица14[коэф],"1",Таблица14[р/р],"4/16",Таблица14[Ф. И. О.],B341)</f>
        <v>0</v>
      </c>
      <c r="T337" s="520">
        <f t="shared" ref="T337:T346" si="168">ROUND(Q337*R337*S337*2,2)</f>
        <v>0</v>
      </c>
      <c r="U337" s="449">
        <f>база!$M$5</f>
        <v>247.41720000000001</v>
      </c>
      <c r="V337" s="367">
        <v>1</v>
      </c>
      <c r="W337" s="389">
        <f>SUMIFS(Таблица14[часы],Таблица14[коэф],"1",Таблица14[р/р],"4/24",Таблица14[Ф. И. О.],B341)</f>
        <v>0</v>
      </c>
      <c r="X337" s="521">
        <f t="shared" ref="X337:X346" si="169">ROUND(U337*V337*W337*2,2)</f>
        <v>0</v>
      </c>
      <c r="Y337" s="748"/>
      <c r="Z337" s="750"/>
      <c r="AA337" s="740"/>
    </row>
    <row r="338" spans="1:27" ht="18.75">
      <c r="A338" s="740"/>
      <c r="B338" s="201"/>
      <c r="C338" s="743"/>
      <c r="D338" s="746"/>
      <c r="E338" s="370"/>
      <c r="F338" s="367"/>
      <c r="G338" s="377"/>
      <c r="H338" s="520">
        <f t="shared" si="166"/>
        <v>0</v>
      </c>
      <c r="I338" s="366"/>
      <c r="J338" s="367"/>
      <c r="K338" s="411"/>
      <c r="L338" s="372">
        <f t="shared" si="167"/>
        <v>0</v>
      </c>
      <c r="M338" s="409"/>
      <c r="N338" s="411"/>
      <c r="O338" s="411"/>
      <c r="P338" s="411"/>
      <c r="Q338" s="376">
        <f>база!$L$6</f>
        <v>261.04640000000001</v>
      </c>
      <c r="R338" s="367">
        <v>1</v>
      </c>
      <c r="S338" s="377">
        <f>SUMIFS(Таблица14[часы],Таблица14[коэф],"1",Таблица14[р/р],"5/16",Таблица14[Ф. И. О.],B341)</f>
        <v>0</v>
      </c>
      <c r="T338" s="520">
        <f t="shared" si="168"/>
        <v>0</v>
      </c>
      <c r="U338" s="449">
        <f>база!$M$6</f>
        <v>279.0496</v>
      </c>
      <c r="V338" s="367">
        <v>1</v>
      </c>
      <c r="W338" s="389">
        <f>SUMIFS(Таблица14[часы],Таблица14[коэф],"1",Таблица14[р/р],"5/24",Таблица14[Ф. И. О.],B341)</f>
        <v>0</v>
      </c>
      <c r="X338" s="521">
        <f t="shared" si="169"/>
        <v>0</v>
      </c>
      <c r="Y338" s="748"/>
      <c r="Z338" s="750"/>
      <c r="AA338" s="740"/>
    </row>
    <row r="339" spans="1:27" ht="18.75">
      <c r="A339" s="740"/>
      <c r="B339" s="201"/>
      <c r="C339" s="743"/>
      <c r="D339" s="746"/>
      <c r="E339" s="370"/>
      <c r="F339" s="367"/>
      <c r="G339" s="377"/>
      <c r="H339" s="520">
        <f t="shared" si="166"/>
        <v>0</v>
      </c>
      <c r="I339" s="366">
        <f>база!$J$5</f>
        <v>215.4924</v>
      </c>
      <c r="J339" s="367">
        <v>1.5</v>
      </c>
      <c r="K339" s="411">
        <f>SUMIFS(Таблица14[часы],Таблица14[коэф],"1,5",Таблица14[р/р],"4/8",Таблица14[Ф. И. О.],B341)</f>
        <v>0</v>
      </c>
      <c r="L339" s="372">
        <f t="shared" si="167"/>
        <v>0</v>
      </c>
      <c r="M339" s="409"/>
      <c r="N339" s="411"/>
      <c r="O339" s="411"/>
      <c r="P339" s="411"/>
      <c r="Q339" s="376">
        <f>IF(D336&lt;=3,база!$L$4,
IF(D336=4,база!$L$5,
IF(D336=5,база!$L$6)))</f>
        <v>210.57480000000001</v>
      </c>
      <c r="R339" s="367">
        <v>1.2</v>
      </c>
      <c r="S339" s="377">
        <f>SUMIFS(Таблица14[часы],Таблица14[коэф],"1,2",Таблица14[р/р],"3/16",Таблица14[Ф. И. О.],B341)</f>
        <v>0</v>
      </c>
      <c r="T339" s="520">
        <f t="shared" si="168"/>
        <v>0</v>
      </c>
      <c r="U339" s="449">
        <f>IF(D336&lt;=3,база!$M$4,
IF(D336=4,база!$M$5,
IF(D336=5,база!$M$6)))</f>
        <v>225.09719999999999</v>
      </c>
      <c r="V339" s="367">
        <v>1.2</v>
      </c>
      <c r="W339" s="389">
        <f>SUMIFS(Таблица14[часы],Таблица14[коэф],"1,2",Таблица14[р/р],"3/24",Таблица14[Ф. И. О.],B341)</f>
        <v>0</v>
      </c>
      <c r="X339" s="521">
        <f t="shared" si="169"/>
        <v>0</v>
      </c>
      <c r="Y339" s="748"/>
      <c r="Z339" s="750"/>
      <c r="AA339" s="740"/>
    </row>
    <row r="340" spans="1:27" ht="18.75">
      <c r="A340" s="740"/>
      <c r="B340" s="201"/>
      <c r="C340" s="743"/>
      <c r="D340" s="746"/>
      <c r="E340" s="370"/>
      <c r="F340" s="367"/>
      <c r="G340" s="377"/>
      <c r="H340" s="520">
        <f t="shared" si="166"/>
        <v>0</v>
      </c>
      <c r="I340" s="366">
        <f>база!$J$6</f>
        <v>243.04319999999998</v>
      </c>
      <c r="J340" s="367">
        <v>1.5</v>
      </c>
      <c r="K340" s="411">
        <f>SUMIFS(Таблица14[часы],Таблица14[коэф],"1,5",Таблица14[р/р],"5/8",Таблица14[Ф. И. О.],B341)</f>
        <v>0</v>
      </c>
      <c r="L340" s="372">
        <f t="shared" si="167"/>
        <v>0</v>
      </c>
      <c r="M340" s="409"/>
      <c r="N340" s="411"/>
      <c r="O340" s="411"/>
      <c r="P340" s="411"/>
      <c r="Q340" s="376">
        <f>база!$L$5</f>
        <v>231.45480000000001</v>
      </c>
      <c r="R340" s="367">
        <v>1.2</v>
      </c>
      <c r="S340" s="377">
        <f>SUMIFS(Таблица14[часы],Таблица14[коэф],"1,2",Таблица14[р/р],"4/16",Таблица14[Ф. И. О.],B341)</f>
        <v>0</v>
      </c>
      <c r="T340" s="520">
        <f t="shared" si="168"/>
        <v>0</v>
      </c>
      <c r="U340" s="449">
        <f>база!$M$5</f>
        <v>247.41720000000001</v>
      </c>
      <c r="V340" s="367">
        <v>1.2</v>
      </c>
      <c r="W340" s="389">
        <f>SUMIFS(Таблица14[часы],Таблица14[коэф],"1,2",Таблица14[р/р],"4/24",Таблица14[Ф. И. О.],B341)</f>
        <v>0</v>
      </c>
      <c r="X340" s="521">
        <f t="shared" si="169"/>
        <v>0</v>
      </c>
      <c r="Y340" s="748"/>
      <c r="Z340" s="750"/>
      <c r="AA340" s="740"/>
    </row>
    <row r="341" spans="1:27" ht="18.75">
      <c r="A341" s="740"/>
      <c r="B341" s="201" t="str">
        <f>база!B32</f>
        <v>Кабакова Алина Дмитриевна</v>
      </c>
      <c r="C341" s="743"/>
      <c r="D341" s="746"/>
      <c r="E341" s="370"/>
      <c r="F341" s="367"/>
      <c r="G341" s="377"/>
      <c r="H341" s="520">
        <f t="shared" si="166"/>
        <v>0</v>
      </c>
      <c r="I341" s="366"/>
      <c r="J341" s="367"/>
      <c r="K341" s="411"/>
      <c r="L341" s="372">
        <f t="shared" si="167"/>
        <v>0</v>
      </c>
      <c r="M341" s="409"/>
      <c r="N341" s="411"/>
      <c r="O341" s="411"/>
      <c r="P341" s="411"/>
      <c r="Q341" s="376">
        <f>база!$L$6</f>
        <v>261.04640000000001</v>
      </c>
      <c r="R341" s="367">
        <v>1.2</v>
      </c>
      <c r="S341" s="377">
        <f>SUMIFS(Таблица14[часы],Таблица14[коэф],"1,2",Таблица14[р/р],"5/16",Таблица14[Ф. И. О.],B341)</f>
        <v>0</v>
      </c>
      <c r="T341" s="520">
        <f t="shared" si="168"/>
        <v>0</v>
      </c>
      <c r="U341" s="449">
        <f>база!$M$6</f>
        <v>279.0496</v>
      </c>
      <c r="V341" s="367">
        <v>1.2</v>
      </c>
      <c r="W341" s="389">
        <f>SUMIFS(Таблица14[часы],Таблица14[коэф],"1,2",Таблица14[р/р],"5/24",Таблица14[Ф. И. О.],B341)</f>
        <v>0</v>
      </c>
      <c r="X341" s="521">
        <f t="shared" si="169"/>
        <v>0</v>
      </c>
      <c r="Y341" s="748"/>
      <c r="Z341" s="750"/>
      <c r="AA341" s="740"/>
    </row>
    <row r="342" spans="1:27" ht="18.75">
      <c r="A342" s="740"/>
      <c r="B342" s="201"/>
      <c r="C342" s="743"/>
      <c r="D342" s="746"/>
      <c r="E342" s="370"/>
      <c r="F342" s="367"/>
      <c r="G342" s="377"/>
      <c r="H342" s="520">
        <f t="shared" si="166"/>
        <v>0</v>
      </c>
      <c r="I342" s="366"/>
      <c r="J342" s="367"/>
      <c r="K342" s="411"/>
      <c r="L342" s="372">
        <f t="shared" si="167"/>
        <v>0</v>
      </c>
      <c r="M342" s="409"/>
      <c r="N342" s="411"/>
      <c r="O342" s="411"/>
      <c r="P342" s="411"/>
      <c r="Q342" s="376">
        <f>IF(D336&lt;=3,база!$L$4,
IF(D336=4,база!$L$5,
IF(D336=5,база!$L$6)))</f>
        <v>210.57480000000001</v>
      </c>
      <c r="R342" s="367">
        <v>1.3</v>
      </c>
      <c r="S342" s="377">
        <f>SUMIFS(Таблица14[часы],Таблица14[коэф],"1,3",Таблица14[р/р],"3/16",Таблица14[Ф. И. О.],B341)</f>
        <v>0</v>
      </c>
      <c r="T342" s="520">
        <f t="shared" si="168"/>
        <v>0</v>
      </c>
      <c r="U342" s="449">
        <f>IF(D336&lt;=3,база!$M$4,
IF(D336=4,база!$M$5,
IF(D336=5,база!$M$6)))</f>
        <v>225.09719999999999</v>
      </c>
      <c r="V342" s="367">
        <v>1.3</v>
      </c>
      <c r="W342" s="389">
        <f>SUMIFS(Таблица14[часы],Таблица14[коэф],"1,3",Таблица14[р/р],"3/24",Таблица14[Ф. И. О.],B341)</f>
        <v>0</v>
      </c>
      <c r="X342" s="521">
        <f t="shared" si="169"/>
        <v>0</v>
      </c>
      <c r="Y342" s="748"/>
      <c r="Z342" s="750"/>
      <c r="AA342" s="740"/>
    </row>
    <row r="343" spans="1:27" ht="18.75">
      <c r="A343" s="740"/>
      <c r="B343" s="201"/>
      <c r="C343" s="743"/>
      <c r="D343" s="746"/>
      <c r="E343" s="370"/>
      <c r="F343" s="367"/>
      <c r="G343" s="377"/>
      <c r="H343" s="520">
        <f t="shared" si="166"/>
        <v>0</v>
      </c>
      <c r="I343" s="366"/>
      <c r="J343" s="367"/>
      <c r="K343" s="411"/>
      <c r="L343" s="372">
        <f t="shared" si="167"/>
        <v>0</v>
      </c>
      <c r="M343" s="409"/>
      <c r="N343" s="411"/>
      <c r="O343" s="411"/>
      <c r="P343" s="411"/>
      <c r="Q343" s="376">
        <f>база!$L$5</f>
        <v>231.45480000000001</v>
      </c>
      <c r="R343" s="367">
        <v>1.3</v>
      </c>
      <c r="S343" s="377">
        <f>SUMIFS(Таблица14[часы],Таблица14[коэф],"1,3",Таблица14[р/р],"4/16",Таблица14[Ф. И. О.],B341)</f>
        <v>0</v>
      </c>
      <c r="T343" s="520">
        <f t="shared" si="168"/>
        <v>0</v>
      </c>
      <c r="U343" s="449">
        <f>база!$M$5</f>
        <v>247.41720000000001</v>
      </c>
      <c r="V343" s="367">
        <v>1.3</v>
      </c>
      <c r="W343" s="389">
        <f>SUMIFS(Таблица14[часы],Таблица14[коэф],"1,3",Таблица14[р/р],"4/24",Таблица14[Ф. И. О.],B341)</f>
        <v>0</v>
      </c>
      <c r="X343" s="521">
        <f t="shared" si="169"/>
        <v>0</v>
      </c>
      <c r="Y343" s="748"/>
      <c r="Z343" s="750"/>
      <c r="AA343" s="740"/>
    </row>
    <row r="344" spans="1:27" ht="18.75">
      <c r="A344" s="740"/>
      <c r="B344" s="201"/>
      <c r="C344" s="743"/>
      <c r="D344" s="746"/>
      <c r="E344" s="370"/>
      <c r="F344" s="367"/>
      <c r="G344" s="377"/>
      <c r="H344" s="520">
        <f t="shared" si="166"/>
        <v>0</v>
      </c>
      <c r="I344" s="366"/>
      <c r="J344" s="367"/>
      <c r="K344" s="411"/>
      <c r="L344" s="372">
        <f t="shared" si="167"/>
        <v>0</v>
      </c>
      <c r="M344" s="409"/>
      <c r="N344" s="411"/>
      <c r="O344" s="411"/>
      <c r="P344" s="411"/>
      <c r="Q344" s="376">
        <f>IF(D336&lt;=3,база!$L$4,
IF(D336=4,база!$L$5,
IF(D336=5,база!$L$6)))</f>
        <v>210.57480000000001</v>
      </c>
      <c r="R344" s="367">
        <v>1.4</v>
      </c>
      <c r="S344" s="377">
        <f>SUMIFS(Таблица14[часы],Таблица14[коэф],"1,4",Таблица14[р/р],"3/16",Таблица14[Ф. И. О.],B341)</f>
        <v>0</v>
      </c>
      <c r="T344" s="520">
        <f t="shared" si="168"/>
        <v>0</v>
      </c>
      <c r="U344" s="449">
        <f>IF(D336&lt;=3,база!$M$4,
IF(D336=4,база!$M$5,
IF(D336=5,база!$M$6)))</f>
        <v>225.09719999999999</v>
      </c>
      <c r="V344" s="367">
        <v>1.4</v>
      </c>
      <c r="W344" s="389">
        <f>SUMIFS(Таблица14[часы],Таблица14[коэф],"1,4",Таблица14[р/р],"3/24",Таблица14[Ф. И. О.],B341)</f>
        <v>0</v>
      </c>
      <c r="X344" s="521">
        <f t="shared" si="169"/>
        <v>0</v>
      </c>
      <c r="Y344" s="748"/>
      <c r="Z344" s="750"/>
      <c r="AA344" s="740"/>
    </row>
    <row r="345" spans="1:27" ht="18.75">
      <c r="A345" s="740"/>
      <c r="B345" s="201"/>
      <c r="C345" s="743"/>
      <c r="D345" s="746"/>
      <c r="E345" s="370"/>
      <c r="F345" s="367"/>
      <c r="G345" s="377"/>
      <c r="H345" s="520">
        <f t="shared" si="166"/>
        <v>0</v>
      </c>
      <c r="I345" s="366"/>
      <c r="J345" s="367"/>
      <c r="K345" s="411"/>
      <c r="L345" s="372">
        <f t="shared" si="167"/>
        <v>0</v>
      </c>
      <c r="M345" s="409"/>
      <c r="N345" s="411"/>
      <c r="O345" s="411"/>
      <c r="P345" s="411"/>
      <c r="Q345" s="376">
        <f>база!$L$5</f>
        <v>231.45480000000001</v>
      </c>
      <c r="R345" s="367">
        <v>1.4</v>
      </c>
      <c r="S345" s="377">
        <f>SUMIFS(Таблица14[часы],Таблица14[коэф],"1,4",Таблица14[р/р],"4/16",Таблица14[Ф. И. О.],B341)</f>
        <v>0</v>
      </c>
      <c r="T345" s="520">
        <f t="shared" si="168"/>
        <v>0</v>
      </c>
      <c r="U345" s="449">
        <f>база!$M$5</f>
        <v>247.41720000000001</v>
      </c>
      <c r="V345" s="367">
        <v>1.4</v>
      </c>
      <c r="W345" s="389">
        <f>SUMIFS(Таблица14[часы],Таблица14[коэф],"1,4",Таблица14[р/р],"4/24",Таблица14[Ф. И. О.],B341)</f>
        <v>0</v>
      </c>
      <c r="X345" s="521">
        <f t="shared" si="169"/>
        <v>0</v>
      </c>
      <c r="Y345" s="748"/>
      <c r="Z345" s="750"/>
      <c r="AA345" s="740"/>
    </row>
    <row r="346" spans="1:27" ht="19.5" thickBot="1">
      <c r="A346" s="741"/>
      <c r="B346" s="188"/>
      <c r="C346" s="744"/>
      <c r="D346" s="747"/>
      <c r="E346" s="440"/>
      <c r="F346" s="441"/>
      <c r="G346" s="442"/>
      <c r="H346" s="525">
        <f t="shared" si="166"/>
        <v>0</v>
      </c>
      <c r="I346" s="450"/>
      <c r="J346" s="441"/>
      <c r="K346" s="434"/>
      <c r="L346" s="435">
        <f t="shared" si="167"/>
        <v>0</v>
      </c>
      <c r="M346" s="443"/>
      <c r="N346" s="434"/>
      <c r="O346" s="434"/>
      <c r="P346" s="434"/>
      <c r="Q346" s="444">
        <f>база!$L$6</f>
        <v>261.04640000000001</v>
      </c>
      <c r="R346" s="441">
        <v>1.4</v>
      </c>
      <c r="S346" s="442">
        <f>SUMIFS(Таблица14[часы],Таблица14[коэф],"1,4",Таблица14[р/р],"5/16",Таблица14[Ф. И. О.],B341)</f>
        <v>0</v>
      </c>
      <c r="T346" s="525">
        <f t="shared" si="168"/>
        <v>0</v>
      </c>
      <c r="U346" s="451">
        <f>база!$M$6</f>
        <v>279.0496</v>
      </c>
      <c r="V346" s="441">
        <v>1.4</v>
      </c>
      <c r="W346" s="447">
        <f>SUMIFS(Таблица14[часы],Таблица14[коэф],"1,4",Таблица14[р/р],"5/24",Таблица14[Ф. И. О.],B341)</f>
        <v>0</v>
      </c>
      <c r="X346" s="523">
        <f t="shared" si="169"/>
        <v>0</v>
      </c>
      <c r="Y346" s="749"/>
      <c r="Z346" s="751"/>
      <c r="AA346" s="741"/>
    </row>
    <row r="347" spans="1:27" ht="18.75">
      <c r="A347" s="739">
        <v>32</v>
      </c>
      <c r="B347" s="219"/>
      <c r="C347" s="742">
        <f>INDEX(база!$E$2:$E$81, MATCH(B352,база!$B$2:$B$50,0))</f>
        <v>16919</v>
      </c>
      <c r="D347" s="745">
        <f>INDEX(база!$D$2:$D$89, MATCH(B352,база!$B$2:$B$50,0))</f>
        <v>3</v>
      </c>
      <c r="E347" s="358">
        <f>IF(D347&lt;=3,база!$I$4,
IF(D347=4,база!$I$5,
IF(D347=5,база!$I$6)))</f>
        <v>188.7912</v>
      </c>
      <c r="F347" s="355">
        <v>1</v>
      </c>
      <c r="G347" s="364">
        <f>SUMIFS(Таблица14[часы],Таблица14[коэф],"1",Таблица14[р/р],"2/4",Таблица14[Ф. И. О.],B352)</f>
        <v>0</v>
      </c>
      <c r="H347" s="357">
        <f>ROUND(E347*F347*G347*2,2)</f>
        <v>0</v>
      </c>
      <c r="I347" s="354">
        <f>IF(D347&lt;=3,база!$J$4,
IF(D347=4,база!$J$5,
IF(D347=5,база!$J$6)))</f>
        <v>196.05240000000001</v>
      </c>
      <c r="J347" s="355">
        <v>1</v>
      </c>
      <c r="K347" s="405">
        <f>SUMIFS(Таблица14[часы],Таблица14[коэф],"1",Таблица14[р/р],"2/8",Таблица14[Ф. И. О.],B352)</f>
        <v>0</v>
      </c>
      <c r="L347" s="360">
        <f>ROUND(I347*J347*K347*2,2)</f>
        <v>0</v>
      </c>
      <c r="M347" s="403"/>
      <c r="N347" s="405">
        <v>1</v>
      </c>
      <c r="O347" s="405">
        <f>SUMIFS(Data_Tech!$AM$3:$AM$67,Data_Tech!$E$3:$E$67,"1",Data_Tech!$G$3:$G$67,"3/12",Data_Tech!$F$3:$F$67,B352)</f>
        <v>0</v>
      </c>
      <c r="P347" s="405">
        <f>ROUND(M347*N347*O347,2)</f>
        <v>0</v>
      </c>
      <c r="Q347" s="363">
        <f>IF(D347&lt;=3,база!$L$4,
IF(D347=4,база!$L$5,
IF(D347=5,база!$L$6)))</f>
        <v>210.57480000000001</v>
      </c>
      <c r="R347" s="355">
        <v>1</v>
      </c>
      <c r="S347" s="364">
        <f>SUMIFS(Таблица14[часы],Таблица14[коэф],"1",Таблица14[р/р],"3/16",Таблица14[Ф. И. О.],B352)</f>
        <v>0</v>
      </c>
      <c r="T347" s="524">
        <f>ROUND(Q347*R347*S347*2,2)</f>
        <v>0</v>
      </c>
      <c r="U347" s="448">
        <f>IF(D347&lt;=3,база!$M$4,
IF(D347=4,база!$M$5,
IF(D347=5,база!$M$6)))</f>
        <v>225.09719999999999</v>
      </c>
      <c r="V347" s="355">
        <v>1</v>
      </c>
      <c r="W347" s="407">
        <f>SUMIFS(Таблица14[часы],Таблица14[коэф],"1",Таблица14[р/р],"3/24",Таблица14[Ф. И. О.],B352)</f>
        <v>0</v>
      </c>
      <c r="X347" s="519">
        <f>ROUND(U347*V347*W347*2,2)</f>
        <v>0</v>
      </c>
      <c r="Y347" s="748">
        <f t="shared" ref="Y347" si="170">SUM(G347:G357,K347:K357,O347:O357,S347:S357,W347:W357)</f>
        <v>0</v>
      </c>
      <c r="Z347" s="750">
        <f t="shared" ref="Z347" si="171">IFERROR(SUM(H347:H357,L347:L357,T347:T357,X347:X357),"")</f>
        <v>0</v>
      </c>
      <c r="AA347" s="740"/>
    </row>
    <row r="348" spans="1:27" ht="18.75">
      <c r="A348" s="740"/>
      <c r="B348" s="201"/>
      <c r="C348" s="743"/>
      <c r="D348" s="746"/>
      <c r="E348" s="370">
        <f>IF(D347&lt;=3,база!$I$4,
IF(D347=4,база!$I$5,
IF(D347=5,база!$I$6)))</f>
        <v>188.7912</v>
      </c>
      <c r="F348" s="367">
        <v>1</v>
      </c>
      <c r="G348" s="377">
        <f>SUMIFS(Таблица14[часы],Таблица14[коэф],"1",Таблица14[р/р],"3/4",Таблица14[Ф. И. О.],B352)</f>
        <v>0</v>
      </c>
      <c r="H348" s="518">
        <f t="shared" ref="H348:H357" si="172">ROUND(E348*F348*G348*2,2)</f>
        <v>0</v>
      </c>
      <c r="I348" s="366">
        <f>IF(D347&lt;=3,база!$J$4,
IF(D347=4,база!$J$5,
IF(D347=5,база!$J$6)))</f>
        <v>196.05240000000001</v>
      </c>
      <c r="J348" s="367">
        <v>1</v>
      </c>
      <c r="K348" s="411">
        <f>SUMIFS(Таблица14[часы],Таблица14[коэф],"1",Таблица14[р/р],"3/8",Таблица14[Ф. И. О.],B352)</f>
        <v>0</v>
      </c>
      <c r="L348" s="372">
        <f t="shared" ref="L348:L357" si="173">ROUND(I348*J348*K348*2,2)</f>
        <v>0</v>
      </c>
      <c r="M348" s="409"/>
      <c r="N348" s="411">
        <v>1</v>
      </c>
      <c r="O348" s="411">
        <f>SUMIFS(Data_Tech!$AM$3:$AM$67,Data_Tech!$E$3:$E$67,"1",Data_Tech!$G$3:$G$67,"4/12",Data_Tech!$F$3:$F$67,B352)</f>
        <v>0</v>
      </c>
      <c r="P348" s="411">
        <f>ROUND(M348*O348,2)</f>
        <v>0</v>
      </c>
      <c r="Q348" s="376">
        <f>база!$L$5</f>
        <v>231.45480000000001</v>
      </c>
      <c r="R348" s="367">
        <v>1</v>
      </c>
      <c r="S348" s="377">
        <f>SUMIFS(Таблица14[часы],Таблица14[коэф],"1",Таблица14[р/р],"4/16",Таблица14[Ф. И. О.],B352)</f>
        <v>0</v>
      </c>
      <c r="T348" s="520">
        <f t="shared" ref="T348:T357" si="174">ROUND(Q348*R348*S348*2,2)</f>
        <v>0</v>
      </c>
      <c r="U348" s="449">
        <f>база!$M$5</f>
        <v>247.41720000000001</v>
      </c>
      <c r="V348" s="367">
        <v>1</v>
      </c>
      <c r="W348" s="389">
        <f>SUMIFS(Таблица14[часы],Таблица14[коэф],"1",Таблица14[р/р],"4/24",Таблица14[Ф. И. О.],B352)</f>
        <v>0</v>
      </c>
      <c r="X348" s="521">
        <f t="shared" ref="X348:X357" si="175">ROUND(U348*V348*W348*2,2)</f>
        <v>0</v>
      </c>
      <c r="Y348" s="748"/>
      <c r="Z348" s="750"/>
      <c r="AA348" s="740"/>
    </row>
    <row r="349" spans="1:27" ht="18.75">
      <c r="A349" s="740"/>
      <c r="B349" s="201"/>
      <c r="C349" s="743"/>
      <c r="D349" s="746"/>
      <c r="E349" s="370"/>
      <c r="F349" s="367"/>
      <c r="G349" s="377"/>
      <c r="H349" s="520">
        <f t="shared" si="172"/>
        <v>0</v>
      </c>
      <c r="I349" s="366"/>
      <c r="J349" s="367"/>
      <c r="K349" s="411"/>
      <c r="L349" s="372">
        <f t="shared" si="173"/>
        <v>0</v>
      </c>
      <c r="M349" s="409"/>
      <c r="N349" s="411"/>
      <c r="O349" s="411"/>
      <c r="P349" s="411"/>
      <c r="Q349" s="376">
        <f>база!$L$6</f>
        <v>261.04640000000001</v>
      </c>
      <c r="R349" s="367">
        <v>1</v>
      </c>
      <c r="S349" s="377">
        <f>SUMIFS(Таблица14[часы],Таблица14[коэф],"1",Таблица14[р/р],"5/16",Таблица14[Ф. И. О.],B352)</f>
        <v>0</v>
      </c>
      <c r="T349" s="520">
        <f t="shared" si="174"/>
        <v>0</v>
      </c>
      <c r="U349" s="449">
        <f>база!$M$6</f>
        <v>279.0496</v>
      </c>
      <c r="V349" s="367">
        <v>1</v>
      </c>
      <c r="W349" s="389">
        <f>SUMIFS(Таблица14[часы],Таблица14[коэф],"1",Таблица14[р/р],"5/24",Таблица14[Ф. И. О.],B352)</f>
        <v>0</v>
      </c>
      <c r="X349" s="521">
        <f t="shared" si="175"/>
        <v>0</v>
      </c>
      <c r="Y349" s="748"/>
      <c r="Z349" s="750"/>
      <c r="AA349" s="740"/>
    </row>
    <row r="350" spans="1:27" ht="18.75">
      <c r="A350" s="740"/>
      <c r="B350" s="201"/>
      <c r="C350" s="743"/>
      <c r="D350" s="746"/>
      <c r="E350" s="370"/>
      <c r="F350" s="367"/>
      <c r="G350" s="377"/>
      <c r="H350" s="520">
        <f t="shared" si="172"/>
        <v>0</v>
      </c>
      <c r="I350" s="366">
        <f>база!$J$5</f>
        <v>215.4924</v>
      </c>
      <c r="J350" s="367">
        <v>1.5</v>
      </c>
      <c r="K350" s="411">
        <f>SUMIFS(Таблица14[часы],Таблица14[коэф],"1,5",Таблица14[р/р],"4/8",Таблица14[Ф. И. О.],B352)</f>
        <v>0</v>
      </c>
      <c r="L350" s="372">
        <f t="shared" si="173"/>
        <v>0</v>
      </c>
      <c r="M350" s="409"/>
      <c r="N350" s="411"/>
      <c r="O350" s="411"/>
      <c r="P350" s="411"/>
      <c r="Q350" s="376">
        <f>IF(D347&lt;=3,база!$L$4,
IF(D347=4,база!$L$5,
IF(D347=5,база!$L$6)))</f>
        <v>210.57480000000001</v>
      </c>
      <c r="R350" s="367">
        <v>1.2</v>
      </c>
      <c r="S350" s="377">
        <f>SUMIFS(Таблица14[часы],Таблица14[коэф],"1,2",Таблица14[р/р],"3/16",Таблица14[Ф. И. О.],B352)</f>
        <v>0</v>
      </c>
      <c r="T350" s="520">
        <f t="shared" si="174"/>
        <v>0</v>
      </c>
      <c r="U350" s="449">
        <f>IF(D347&lt;=3,база!$M$4,
IF(D347=4,база!$M$5,
IF(D347=5,база!$M$6)))</f>
        <v>225.09719999999999</v>
      </c>
      <c r="V350" s="367">
        <v>1.2</v>
      </c>
      <c r="W350" s="389">
        <f>SUMIFS(Таблица14[часы],Таблица14[коэф],"1,2",Таблица14[р/р],"3/24",Таблица14[Ф. И. О.],B352)</f>
        <v>0</v>
      </c>
      <c r="X350" s="521">
        <f t="shared" si="175"/>
        <v>0</v>
      </c>
      <c r="Y350" s="748"/>
      <c r="Z350" s="750"/>
      <c r="AA350" s="740"/>
    </row>
    <row r="351" spans="1:27" ht="18.75">
      <c r="A351" s="740"/>
      <c r="B351" s="201"/>
      <c r="C351" s="743"/>
      <c r="D351" s="746"/>
      <c r="E351" s="370"/>
      <c r="F351" s="367"/>
      <c r="G351" s="377"/>
      <c r="H351" s="520">
        <f t="shared" si="172"/>
        <v>0</v>
      </c>
      <c r="I351" s="366">
        <f>база!$J$6</f>
        <v>243.04319999999998</v>
      </c>
      <c r="J351" s="367">
        <v>1.5</v>
      </c>
      <c r="K351" s="411">
        <f>SUMIFS(Таблица14[часы],Таблица14[коэф],"1,5",Таблица14[р/р],"5/8",Таблица14[Ф. И. О.],B352)</f>
        <v>0</v>
      </c>
      <c r="L351" s="372">
        <f t="shared" si="173"/>
        <v>0</v>
      </c>
      <c r="M351" s="409"/>
      <c r="N351" s="411"/>
      <c r="O351" s="411"/>
      <c r="P351" s="411"/>
      <c r="Q351" s="376">
        <f>база!$L$5</f>
        <v>231.45480000000001</v>
      </c>
      <c r="R351" s="367">
        <v>1.2</v>
      </c>
      <c r="S351" s="377">
        <f>SUMIFS(Таблица14[часы],Таблица14[коэф],"1,2",Таблица14[р/р],"4/16",Таблица14[Ф. И. О.],B352)</f>
        <v>0</v>
      </c>
      <c r="T351" s="520">
        <f t="shared" si="174"/>
        <v>0</v>
      </c>
      <c r="U351" s="449">
        <f>база!$M$5</f>
        <v>247.41720000000001</v>
      </c>
      <c r="V351" s="367">
        <v>1.2</v>
      </c>
      <c r="W351" s="389">
        <f>SUMIFS(Таблица14[часы],Таблица14[коэф],"1,2",Таблица14[р/р],"4/24",Таблица14[Ф. И. О.],B352)</f>
        <v>0</v>
      </c>
      <c r="X351" s="521">
        <f t="shared" si="175"/>
        <v>0</v>
      </c>
      <c r="Y351" s="748"/>
      <c r="Z351" s="750"/>
      <c r="AA351" s="740"/>
    </row>
    <row r="352" spans="1:27" ht="18" customHeight="1">
      <c r="A352" s="740"/>
      <c r="B352" s="201" t="str">
        <f>база!B33</f>
        <v>Кабанова Анастасия Евгеньевна</v>
      </c>
      <c r="C352" s="743"/>
      <c r="D352" s="746"/>
      <c r="E352" s="370"/>
      <c r="F352" s="367"/>
      <c r="G352" s="377"/>
      <c r="H352" s="520">
        <f t="shared" si="172"/>
        <v>0</v>
      </c>
      <c r="I352" s="366"/>
      <c r="J352" s="367"/>
      <c r="K352" s="411"/>
      <c r="L352" s="372">
        <f t="shared" si="173"/>
        <v>0</v>
      </c>
      <c r="M352" s="409"/>
      <c r="N352" s="411"/>
      <c r="O352" s="411"/>
      <c r="P352" s="411"/>
      <c r="Q352" s="376">
        <f>база!$L$6</f>
        <v>261.04640000000001</v>
      </c>
      <c r="R352" s="367">
        <v>1.2</v>
      </c>
      <c r="S352" s="377">
        <f>SUMIFS(Таблица14[часы],Таблица14[коэф],"1,2",Таблица14[р/р],"5/16",Таблица14[Ф. И. О.],B352)</f>
        <v>0</v>
      </c>
      <c r="T352" s="520">
        <f t="shared" si="174"/>
        <v>0</v>
      </c>
      <c r="U352" s="449">
        <f>база!$M$6</f>
        <v>279.0496</v>
      </c>
      <c r="V352" s="367">
        <v>1.2</v>
      </c>
      <c r="W352" s="389">
        <f>SUMIFS(Таблица14[часы],Таблица14[коэф],"1,2",Таблица14[р/р],"5/24",Таблица14[Ф. И. О.],B352)</f>
        <v>0</v>
      </c>
      <c r="X352" s="521">
        <f t="shared" si="175"/>
        <v>0</v>
      </c>
      <c r="Y352" s="748"/>
      <c r="Z352" s="750"/>
      <c r="AA352" s="740"/>
    </row>
    <row r="353" spans="1:27" ht="18.75">
      <c r="A353" s="740"/>
      <c r="B353" s="201"/>
      <c r="C353" s="743"/>
      <c r="D353" s="746"/>
      <c r="E353" s="370"/>
      <c r="F353" s="367"/>
      <c r="G353" s="377"/>
      <c r="H353" s="520">
        <f t="shared" si="172"/>
        <v>0</v>
      </c>
      <c r="I353" s="366"/>
      <c r="J353" s="367"/>
      <c r="K353" s="411"/>
      <c r="L353" s="372">
        <f t="shared" si="173"/>
        <v>0</v>
      </c>
      <c r="M353" s="409"/>
      <c r="N353" s="411"/>
      <c r="O353" s="411"/>
      <c r="P353" s="411"/>
      <c r="Q353" s="376">
        <f>IF(D347&lt;=3,база!$L$4,
IF(D347=4,база!$L$5,
IF(D347=5,база!$L$6)))</f>
        <v>210.57480000000001</v>
      </c>
      <c r="R353" s="367">
        <v>1.3</v>
      </c>
      <c r="S353" s="377">
        <f>SUMIFS(Таблица14[часы],Таблица14[коэф],"1,3",Таблица14[р/р],"3/16",Таблица14[Ф. И. О.],B352)</f>
        <v>0</v>
      </c>
      <c r="T353" s="520">
        <f t="shared" si="174"/>
        <v>0</v>
      </c>
      <c r="U353" s="449">
        <f>IF(D347&lt;=3,база!$M$4,
IF(D347=4,база!$M$5,
IF(D347=5,база!$M$6)))</f>
        <v>225.09719999999999</v>
      </c>
      <c r="V353" s="367">
        <v>1.3</v>
      </c>
      <c r="W353" s="389">
        <f>SUMIFS(Таблица14[часы],Таблица14[коэф],"1,3",Таблица14[р/р],"3/24",Таблица14[Ф. И. О.],B352)</f>
        <v>0</v>
      </c>
      <c r="X353" s="521">
        <f t="shared" si="175"/>
        <v>0</v>
      </c>
      <c r="Y353" s="748"/>
      <c r="Z353" s="750"/>
      <c r="AA353" s="740"/>
    </row>
    <row r="354" spans="1:27" ht="18.75">
      <c r="A354" s="740"/>
      <c r="B354" s="201"/>
      <c r="C354" s="743"/>
      <c r="D354" s="746"/>
      <c r="E354" s="370"/>
      <c r="F354" s="367"/>
      <c r="G354" s="377"/>
      <c r="H354" s="520">
        <f t="shared" si="172"/>
        <v>0</v>
      </c>
      <c r="I354" s="366"/>
      <c r="J354" s="367"/>
      <c r="K354" s="411"/>
      <c r="L354" s="372">
        <f t="shared" si="173"/>
        <v>0</v>
      </c>
      <c r="M354" s="409"/>
      <c r="N354" s="411"/>
      <c r="O354" s="411"/>
      <c r="P354" s="411"/>
      <c r="Q354" s="376">
        <f>база!$L$5</f>
        <v>231.45480000000001</v>
      </c>
      <c r="R354" s="367">
        <v>1.3</v>
      </c>
      <c r="S354" s="377">
        <f>SUMIFS(Таблица14[часы],Таблица14[коэф],"1,3",Таблица14[р/р],"4/16",Таблица14[Ф. И. О.],B352)</f>
        <v>0</v>
      </c>
      <c r="T354" s="520">
        <f t="shared" si="174"/>
        <v>0</v>
      </c>
      <c r="U354" s="449">
        <f>база!$M$5</f>
        <v>247.41720000000001</v>
      </c>
      <c r="V354" s="367">
        <v>1.3</v>
      </c>
      <c r="W354" s="389">
        <f>SUMIFS(Таблица14[часы],Таблица14[коэф],"1,3",Таблица14[р/р],"4/24",Таблица14[Ф. И. О.],B352)</f>
        <v>0</v>
      </c>
      <c r="X354" s="521">
        <f t="shared" si="175"/>
        <v>0</v>
      </c>
      <c r="Y354" s="748"/>
      <c r="Z354" s="750"/>
      <c r="AA354" s="740"/>
    </row>
    <row r="355" spans="1:27" ht="18.75">
      <c r="A355" s="740"/>
      <c r="B355" s="201"/>
      <c r="C355" s="743"/>
      <c r="D355" s="746"/>
      <c r="E355" s="370"/>
      <c r="F355" s="367"/>
      <c r="G355" s="377"/>
      <c r="H355" s="520">
        <f t="shared" si="172"/>
        <v>0</v>
      </c>
      <c r="I355" s="366"/>
      <c r="J355" s="367"/>
      <c r="K355" s="411"/>
      <c r="L355" s="372">
        <f t="shared" si="173"/>
        <v>0</v>
      </c>
      <c r="M355" s="409"/>
      <c r="N355" s="411"/>
      <c r="O355" s="411"/>
      <c r="P355" s="411"/>
      <c r="Q355" s="376">
        <f>IF(D347&lt;=3,база!$L$4,
IF(D347=4,база!$L$5,
IF(D347=5,база!$L$6)))</f>
        <v>210.57480000000001</v>
      </c>
      <c r="R355" s="367">
        <v>1.4</v>
      </c>
      <c r="S355" s="377">
        <f>SUMIFS(Таблица14[часы],Таблица14[коэф],"1,4",Таблица14[р/р],"3/16",Таблица14[Ф. И. О.],B352)</f>
        <v>0</v>
      </c>
      <c r="T355" s="520">
        <f t="shared" si="174"/>
        <v>0</v>
      </c>
      <c r="U355" s="449">
        <f>IF(D347&lt;=3,база!$M$4,
IF(D347=4,база!$M$5,
IF(D347=5,база!$M$6)))</f>
        <v>225.09719999999999</v>
      </c>
      <c r="V355" s="367">
        <v>1.4</v>
      </c>
      <c r="W355" s="389">
        <f>SUMIFS(Таблица14[часы],Таблица14[коэф],"1,4",Таблица14[р/р],"3/24",Таблица14[Ф. И. О.],B352)</f>
        <v>0</v>
      </c>
      <c r="X355" s="521">
        <f t="shared" si="175"/>
        <v>0</v>
      </c>
      <c r="Y355" s="748"/>
      <c r="Z355" s="750"/>
      <c r="AA355" s="740"/>
    </row>
    <row r="356" spans="1:27" ht="18.75">
      <c r="A356" s="740"/>
      <c r="B356" s="201"/>
      <c r="C356" s="743"/>
      <c r="D356" s="746"/>
      <c r="E356" s="370"/>
      <c r="F356" s="367"/>
      <c r="G356" s="377"/>
      <c r="H356" s="520">
        <f t="shared" si="172"/>
        <v>0</v>
      </c>
      <c r="I356" s="366"/>
      <c r="J356" s="367"/>
      <c r="K356" s="411"/>
      <c r="L356" s="372">
        <f t="shared" si="173"/>
        <v>0</v>
      </c>
      <c r="M356" s="409"/>
      <c r="N356" s="411"/>
      <c r="O356" s="411"/>
      <c r="P356" s="411"/>
      <c r="Q356" s="376">
        <f>база!$L$5</f>
        <v>231.45480000000001</v>
      </c>
      <c r="R356" s="367">
        <v>1.4</v>
      </c>
      <c r="S356" s="377">
        <f>SUMIFS(Таблица14[часы],Таблица14[коэф],"1,4",Таблица14[р/р],"4/16",Таблица14[Ф. И. О.],B352)</f>
        <v>0</v>
      </c>
      <c r="T356" s="520">
        <f t="shared" si="174"/>
        <v>0</v>
      </c>
      <c r="U356" s="449">
        <f>база!$M$5</f>
        <v>247.41720000000001</v>
      </c>
      <c r="V356" s="367">
        <v>1.4</v>
      </c>
      <c r="W356" s="389">
        <f>SUMIFS(Таблица14[часы],Таблица14[коэф],"1,4",Таблица14[р/р],"4/24",Таблица14[Ф. И. О.],B352)</f>
        <v>0</v>
      </c>
      <c r="X356" s="521">
        <f t="shared" si="175"/>
        <v>0</v>
      </c>
      <c r="Y356" s="748"/>
      <c r="Z356" s="750"/>
      <c r="AA356" s="740"/>
    </row>
    <row r="357" spans="1:27" ht="19.5" thickBot="1">
      <c r="A357" s="741"/>
      <c r="B357" s="188"/>
      <c r="C357" s="744"/>
      <c r="D357" s="747"/>
      <c r="E357" s="440"/>
      <c r="F357" s="441"/>
      <c r="G357" s="442"/>
      <c r="H357" s="525">
        <f t="shared" si="172"/>
        <v>0</v>
      </c>
      <c r="I357" s="450"/>
      <c r="J357" s="441"/>
      <c r="K357" s="434"/>
      <c r="L357" s="435">
        <f t="shared" si="173"/>
        <v>0</v>
      </c>
      <c r="M357" s="443"/>
      <c r="N357" s="434"/>
      <c r="O357" s="434"/>
      <c r="P357" s="434"/>
      <c r="Q357" s="444">
        <f>база!$L$6</f>
        <v>261.04640000000001</v>
      </c>
      <c r="R357" s="441">
        <v>1.4</v>
      </c>
      <c r="S357" s="442">
        <f>SUMIFS(Таблица14[часы],Таблица14[коэф],"1,4",Таблица14[р/р],"5/16",Таблица14[Ф. И. О.],B352)</f>
        <v>0</v>
      </c>
      <c r="T357" s="525">
        <f t="shared" si="174"/>
        <v>0</v>
      </c>
      <c r="U357" s="451">
        <f>база!$M$6</f>
        <v>279.0496</v>
      </c>
      <c r="V357" s="441">
        <v>1.4</v>
      </c>
      <c r="W357" s="447">
        <f>SUMIFS(Таблица14[часы],Таблица14[коэф],"1,4",Таблица14[р/р],"5/24",Таблица14[Ф. И. О.],B352)</f>
        <v>0</v>
      </c>
      <c r="X357" s="523">
        <f t="shared" si="175"/>
        <v>0</v>
      </c>
      <c r="Y357" s="749"/>
      <c r="Z357" s="751"/>
      <c r="AA357" s="741"/>
    </row>
    <row r="358" spans="1:27" ht="18.75">
      <c r="A358" s="739">
        <v>33</v>
      </c>
      <c r="B358" s="219"/>
      <c r="C358" s="742">
        <f>INDEX(база!$E$2:$E$81, MATCH(B363,база!$B$2:$B$50,0))</f>
        <v>17282</v>
      </c>
      <c r="D358" s="745">
        <f>INDEX(база!$D$2:$D$89, MATCH(B363,база!$B$2:$B$50,0))</f>
        <v>3</v>
      </c>
      <c r="E358" s="358">
        <f>IF(D358&lt;=3,база!$I$4,
IF(D358=4,база!$I$5,
IF(D358=5,база!$I$6)))</f>
        <v>188.7912</v>
      </c>
      <c r="F358" s="355">
        <v>1</v>
      </c>
      <c r="G358" s="364">
        <f>SUMIFS(Таблица14[часы],Таблица14[коэф],"1",Таблица14[р/р],"2/4",Таблица14[Ф. И. О.],B363)</f>
        <v>0</v>
      </c>
      <c r="H358" s="357">
        <f>ROUND(E358*F358*G358*2,2)</f>
        <v>0</v>
      </c>
      <c r="I358" s="354">
        <f>IF(D358&lt;=3,база!$J$4,
IF(D358=4,база!$J$5,
IF(D358=5,база!$J$6)))</f>
        <v>196.05240000000001</v>
      </c>
      <c r="J358" s="355">
        <v>1</v>
      </c>
      <c r="K358" s="405">
        <f>SUMIFS(Таблица14[часы],Таблица14[коэф],"1",Таблица14[р/р],"2/8",Таблица14[Ф. И. О.],B363)</f>
        <v>0</v>
      </c>
      <c r="L358" s="360">
        <f>ROUND(I358*J358*K358*2,2)</f>
        <v>0</v>
      </c>
      <c r="M358" s="403"/>
      <c r="N358" s="405">
        <v>1</v>
      </c>
      <c r="O358" s="405">
        <f>SUMIFS(Data_Tech!$AM$3:$AM$67,Data_Tech!$E$3:$E$67,"1",Data_Tech!$G$3:$G$67,"3/12",Data_Tech!$F$3:$F$67,B363)</f>
        <v>0</v>
      </c>
      <c r="P358" s="405">
        <f>ROUND(M358*N358*O358,2)</f>
        <v>0</v>
      </c>
      <c r="Q358" s="363">
        <f>IF(D358&lt;=3,база!$L$4,
IF(D358=4,база!$L$5,
IF(D358=5,база!$L$6)))</f>
        <v>210.57480000000001</v>
      </c>
      <c r="R358" s="355">
        <v>1</v>
      </c>
      <c r="S358" s="364">
        <f>SUMIFS(Таблица14[часы],Таблица14[коэф],"1",Таблица14[р/р],"3/16",Таблица14[Ф. И. О.],B363)</f>
        <v>0</v>
      </c>
      <c r="T358" s="524">
        <f>ROUND(Q358*R358*S358*2,2)</f>
        <v>0</v>
      </c>
      <c r="U358" s="448">
        <f>IF(D358&lt;=3,база!$M$4,
IF(D358=4,база!$M$5,
IF(D358=5,база!$M$6)))</f>
        <v>225.09719999999999</v>
      </c>
      <c r="V358" s="355">
        <v>1</v>
      </c>
      <c r="W358" s="407">
        <f>SUMIFS(Таблица14[часы],Таблица14[коэф],"1",Таблица14[р/р],"3/24",Таблица14[Ф. И. О.],B363)</f>
        <v>0</v>
      </c>
      <c r="X358" s="519">
        <f>ROUND(U358*V358*W358*2,2)</f>
        <v>0</v>
      </c>
      <c r="Y358" s="748">
        <f t="shared" ref="Y358" si="176">SUM(G358:G368,K358:K368,O358:O368,S358:S368,W358:W368)</f>
        <v>0</v>
      </c>
      <c r="Z358" s="750">
        <f t="shared" ref="Z358" si="177">IFERROR(SUM(H358:H368,L358:L368,T358:T368,X358:X368),"")</f>
        <v>0</v>
      </c>
      <c r="AA358" s="740"/>
    </row>
    <row r="359" spans="1:27" ht="18.75">
      <c r="A359" s="740"/>
      <c r="B359" s="201"/>
      <c r="C359" s="743"/>
      <c r="D359" s="746"/>
      <c r="E359" s="370">
        <f>IF(D358&lt;=3,база!$I$4,
IF(D358=4,база!$I$5,
IF(D358=5,база!$I$6)))</f>
        <v>188.7912</v>
      </c>
      <c r="F359" s="367">
        <v>1</v>
      </c>
      <c r="G359" s="377">
        <f>SUMIFS(Таблица14[часы],Таблица14[коэф],"1",Таблица14[р/р],"3/4",Таблица14[Ф. И. О.],B363)</f>
        <v>0</v>
      </c>
      <c r="H359" s="518">
        <f t="shared" ref="H359:H368" si="178">ROUND(E359*F359*G359*2,2)</f>
        <v>0</v>
      </c>
      <c r="I359" s="366">
        <f>IF(D358&lt;=3,база!$J$4,
IF(D358=4,база!$J$5,
IF(D358=5,база!$J$6)))</f>
        <v>196.05240000000001</v>
      </c>
      <c r="J359" s="367">
        <v>1</v>
      </c>
      <c r="K359" s="411">
        <f>SUMIFS(Таблица14[часы],Таблица14[коэф],"1",Таблица14[р/р],"3/8",Таблица14[Ф. И. О.],B363)</f>
        <v>0</v>
      </c>
      <c r="L359" s="372">
        <f t="shared" ref="L359:L368" si="179">ROUND(I359*J359*K359*2,2)</f>
        <v>0</v>
      </c>
      <c r="M359" s="409"/>
      <c r="N359" s="411">
        <v>1</v>
      </c>
      <c r="O359" s="411">
        <f>SUMIFS(Data_Tech!$AM$3:$AM$67,Data_Tech!$E$3:$E$67,"1",Data_Tech!$G$3:$G$67,"4/12",Data_Tech!$F$3:$F$67,B363)</f>
        <v>0</v>
      </c>
      <c r="P359" s="411">
        <f>ROUND(M359*O359,2)</f>
        <v>0</v>
      </c>
      <c r="Q359" s="376">
        <f>база!$L$5</f>
        <v>231.45480000000001</v>
      </c>
      <c r="R359" s="367">
        <v>1</v>
      </c>
      <c r="S359" s="377">
        <f>SUMIFS(Таблица14[часы],Таблица14[коэф],"1",Таблица14[р/р],"4/16",Таблица14[Ф. И. О.],B363)</f>
        <v>0</v>
      </c>
      <c r="T359" s="520">
        <f t="shared" ref="T359:T368" si="180">ROUND(Q359*R359*S359*2,2)</f>
        <v>0</v>
      </c>
      <c r="U359" s="449">
        <f>база!$M$5</f>
        <v>247.41720000000001</v>
      </c>
      <c r="V359" s="367">
        <v>1</v>
      </c>
      <c r="W359" s="389">
        <f>SUMIFS(Таблица14[часы],Таблица14[коэф],"1",Таблица14[р/р],"4/24",Таблица14[Ф. И. О.],B363)</f>
        <v>0</v>
      </c>
      <c r="X359" s="521">
        <f t="shared" ref="X359:X368" si="181">ROUND(U359*V359*W359*2,2)</f>
        <v>0</v>
      </c>
      <c r="Y359" s="748"/>
      <c r="Z359" s="750"/>
      <c r="AA359" s="740"/>
    </row>
    <row r="360" spans="1:27" ht="18.75">
      <c r="A360" s="740"/>
      <c r="B360" s="201"/>
      <c r="C360" s="743"/>
      <c r="D360" s="746"/>
      <c r="E360" s="370"/>
      <c r="F360" s="367"/>
      <c r="G360" s="377"/>
      <c r="H360" s="520">
        <f t="shared" si="178"/>
        <v>0</v>
      </c>
      <c r="I360" s="366"/>
      <c r="J360" s="367"/>
      <c r="K360" s="411"/>
      <c r="L360" s="372">
        <f t="shared" si="179"/>
        <v>0</v>
      </c>
      <c r="M360" s="409"/>
      <c r="N360" s="411"/>
      <c r="O360" s="411"/>
      <c r="P360" s="411"/>
      <c r="Q360" s="376">
        <f>база!$L$6</f>
        <v>261.04640000000001</v>
      </c>
      <c r="R360" s="367">
        <v>1</v>
      </c>
      <c r="S360" s="377">
        <f>SUMIFS(Таблица14[часы],Таблица14[коэф],"1",Таблица14[р/р],"5/16",Таблица14[Ф. И. О.],B363)</f>
        <v>0</v>
      </c>
      <c r="T360" s="520">
        <f t="shared" si="180"/>
        <v>0</v>
      </c>
      <c r="U360" s="449">
        <f>база!$M$6</f>
        <v>279.0496</v>
      </c>
      <c r="V360" s="367">
        <v>1</v>
      </c>
      <c r="W360" s="389">
        <f>SUMIFS(Таблица14[часы],Таблица14[коэф],"1",Таблица14[р/р],"5/24",Таблица14[Ф. И. О.],B363)</f>
        <v>0</v>
      </c>
      <c r="X360" s="521">
        <f t="shared" si="181"/>
        <v>0</v>
      </c>
      <c r="Y360" s="748"/>
      <c r="Z360" s="750"/>
      <c r="AA360" s="740"/>
    </row>
    <row r="361" spans="1:27" ht="18.75">
      <c r="A361" s="740"/>
      <c r="B361" s="201"/>
      <c r="C361" s="743"/>
      <c r="D361" s="746"/>
      <c r="E361" s="370"/>
      <c r="F361" s="367"/>
      <c r="G361" s="377"/>
      <c r="H361" s="520">
        <f t="shared" si="178"/>
        <v>0</v>
      </c>
      <c r="I361" s="366">
        <f>база!$J$5</f>
        <v>215.4924</v>
      </c>
      <c r="J361" s="367">
        <v>1.5</v>
      </c>
      <c r="K361" s="411">
        <f>SUMIFS(Таблица14[часы],Таблица14[коэф],"1,5",Таблица14[р/р],"4/8",Таблица14[Ф. И. О.],B363)</f>
        <v>0</v>
      </c>
      <c r="L361" s="372">
        <f t="shared" si="179"/>
        <v>0</v>
      </c>
      <c r="M361" s="409"/>
      <c r="N361" s="411"/>
      <c r="O361" s="411"/>
      <c r="P361" s="411"/>
      <c r="Q361" s="376">
        <f>IF(D358&lt;=3,база!$L$4,
IF(D358=4,база!$L$5,
IF(D358=5,база!$L$6)))</f>
        <v>210.57480000000001</v>
      </c>
      <c r="R361" s="367">
        <v>1.2</v>
      </c>
      <c r="S361" s="377">
        <f>SUMIFS(Таблица14[часы],Таблица14[коэф],"1,2",Таблица14[р/р],"3/16",Таблица14[Ф. И. О.],B363)</f>
        <v>0</v>
      </c>
      <c r="T361" s="520">
        <f t="shared" si="180"/>
        <v>0</v>
      </c>
      <c r="U361" s="449">
        <f>IF(D358&lt;=3,база!$M$4,
IF(D358=4,база!$M$5,
IF(D358=5,база!$M$6)))</f>
        <v>225.09719999999999</v>
      </c>
      <c r="V361" s="367">
        <v>1.2</v>
      </c>
      <c r="W361" s="389">
        <f>SUMIFS(Таблица14[часы],Таблица14[коэф],"1,2",Таблица14[р/р],"3/24",Таблица14[Ф. И. О.],B363)</f>
        <v>0</v>
      </c>
      <c r="X361" s="521">
        <f t="shared" si="181"/>
        <v>0</v>
      </c>
      <c r="Y361" s="748"/>
      <c r="Z361" s="750"/>
      <c r="AA361" s="740"/>
    </row>
    <row r="362" spans="1:27" ht="18.75">
      <c r="A362" s="740"/>
      <c r="B362" s="201"/>
      <c r="C362" s="743"/>
      <c r="D362" s="746"/>
      <c r="E362" s="370"/>
      <c r="F362" s="367"/>
      <c r="G362" s="377"/>
      <c r="H362" s="520">
        <f t="shared" si="178"/>
        <v>0</v>
      </c>
      <c r="I362" s="366">
        <f>база!$J$6</f>
        <v>243.04319999999998</v>
      </c>
      <c r="J362" s="367">
        <v>1.5</v>
      </c>
      <c r="K362" s="411">
        <f>SUMIFS(Таблица14[часы],Таблица14[коэф],"1,5",Таблица14[р/р],"5/8",Таблица14[Ф. И. О.],B363)</f>
        <v>0</v>
      </c>
      <c r="L362" s="372">
        <f t="shared" si="179"/>
        <v>0</v>
      </c>
      <c r="M362" s="409"/>
      <c r="N362" s="411"/>
      <c r="O362" s="411"/>
      <c r="P362" s="411"/>
      <c r="Q362" s="376">
        <f>база!$L$5</f>
        <v>231.45480000000001</v>
      </c>
      <c r="R362" s="367">
        <v>1.2</v>
      </c>
      <c r="S362" s="377">
        <f>SUMIFS(Таблица14[часы],Таблица14[коэф],"1,2",Таблица14[р/р],"4/16",Таблица14[Ф. И. О.],B363)</f>
        <v>0</v>
      </c>
      <c r="T362" s="520">
        <f t="shared" si="180"/>
        <v>0</v>
      </c>
      <c r="U362" s="449">
        <f>база!$M$5</f>
        <v>247.41720000000001</v>
      </c>
      <c r="V362" s="367">
        <v>1.2</v>
      </c>
      <c r="W362" s="389">
        <f>SUMIFS(Таблица14[часы],Таблица14[коэф],"1,2",Таблица14[р/р],"4/24",Таблица14[Ф. И. О.],B363)</f>
        <v>0</v>
      </c>
      <c r="X362" s="521">
        <f t="shared" si="181"/>
        <v>0</v>
      </c>
      <c r="Y362" s="748"/>
      <c r="Z362" s="750"/>
      <c r="AA362" s="740"/>
    </row>
    <row r="363" spans="1:27" ht="18.75">
      <c r="A363" s="740"/>
      <c r="B363" s="201" t="str">
        <f>база!B34</f>
        <v>Кириллова Надежда Вячеславовна</v>
      </c>
      <c r="C363" s="743"/>
      <c r="D363" s="746"/>
      <c r="E363" s="370"/>
      <c r="F363" s="367"/>
      <c r="G363" s="377"/>
      <c r="H363" s="520">
        <f t="shared" si="178"/>
        <v>0</v>
      </c>
      <c r="I363" s="366"/>
      <c r="J363" s="367"/>
      <c r="K363" s="411"/>
      <c r="L363" s="372">
        <f t="shared" si="179"/>
        <v>0</v>
      </c>
      <c r="M363" s="409"/>
      <c r="N363" s="411"/>
      <c r="O363" s="411"/>
      <c r="P363" s="411"/>
      <c r="Q363" s="376">
        <f>база!$L$6</f>
        <v>261.04640000000001</v>
      </c>
      <c r="R363" s="367">
        <v>1.2</v>
      </c>
      <c r="S363" s="377">
        <f>SUMIFS(Таблица14[часы],Таблица14[коэф],"1,2",Таблица14[р/р],"5/16",Таблица14[Ф. И. О.],B363)</f>
        <v>0</v>
      </c>
      <c r="T363" s="520">
        <f t="shared" si="180"/>
        <v>0</v>
      </c>
      <c r="U363" s="449">
        <f>база!$M$6</f>
        <v>279.0496</v>
      </c>
      <c r="V363" s="367">
        <v>1.2</v>
      </c>
      <c r="W363" s="389">
        <f>SUMIFS(Таблица14[часы],Таблица14[коэф],"1,2",Таблица14[р/р],"5/24",Таблица14[Ф. И. О.],B363)</f>
        <v>0</v>
      </c>
      <c r="X363" s="521">
        <f t="shared" si="181"/>
        <v>0</v>
      </c>
      <c r="Y363" s="748"/>
      <c r="Z363" s="750"/>
      <c r="AA363" s="740"/>
    </row>
    <row r="364" spans="1:27" ht="18.75">
      <c r="A364" s="740"/>
      <c r="B364" s="201"/>
      <c r="C364" s="743"/>
      <c r="D364" s="746"/>
      <c r="E364" s="370"/>
      <c r="F364" s="367"/>
      <c r="G364" s="377"/>
      <c r="H364" s="520">
        <f t="shared" si="178"/>
        <v>0</v>
      </c>
      <c r="I364" s="366"/>
      <c r="J364" s="367"/>
      <c r="K364" s="411"/>
      <c r="L364" s="372">
        <f t="shared" si="179"/>
        <v>0</v>
      </c>
      <c r="M364" s="409"/>
      <c r="N364" s="411"/>
      <c r="O364" s="411"/>
      <c r="P364" s="411"/>
      <c r="Q364" s="376">
        <f>IF(D358&lt;=3,база!$L$4,
IF(D358=4,база!$L$5,
IF(D358=5,база!$L$6)))</f>
        <v>210.57480000000001</v>
      </c>
      <c r="R364" s="367">
        <v>1.3</v>
      </c>
      <c r="S364" s="377">
        <f>SUMIFS(Таблица14[часы],Таблица14[коэф],"1,3",Таблица14[р/р],"3/16",Таблица14[Ф. И. О.],B363)</f>
        <v>0</v>
      </c>
      <c r="T364" s="520">
        <f t="shared" si="180"/>
        <v>0</v>
      </c>
      <c r="U364" s="449">
        <f>IF(D358&lt;=3,база!$M$4,
IF(D358=4,база!$M$5,
IF(D358=5,база!$M$6)))</f>
        <v>225.09719999999999</v>
      </c>
      <c r="V364" s="367">
        <v>1.3</v>
      </c>
      <c r="W364" s="389">
        <f>SUMIFS(Таблица14[часы],Таблица14[коэф],"1,3",Таблица14[р/р],"3/24",Таблица14[Ф. И. О.],B363)</f>
        <v>0</v>
      </c>
      <c r="X364" s="521">
        <f t="shared" si="181"/>
        <v>0</v>
      </c>
      <c r="Y364" s="748"/>
      <c r="Z364" s="750"/>
      <c r="AA364" s="740"/>
    </row>
    <row r="365" spans="1:27" ht="18.75">
      <c r="A365" s="740"/>
      <c r="B365" s="201"/>
      <c r="C365" s="743"/>
      <c r="D365" s="746"/>
      <c r="E365" s="370"/>
      <c r="F365" s="367"/>
      <c r="G365" s="377"/>
      <c r="H365" s="520">
        <f t="shared" si="178"/>
        <v>0</v>
      </c>
      <c r="I365" s="366"/>
      <c r="J365" s="367"/>
      <c r="K365" s="411"/>
      <c r="L365" s="372">
        <f t="shared" si="179"/>
        <v>0</v>
      </c>
      <c r="M365" s="409"/>
      <c r="N365" s="411"/>
      <c r="O365" s="411"/>
      <c r="P365" s="411"/>
      <c r="Q365" s="376">
        <f>база!$L$5</f>
        <v>231.45480000000001</v>
      </c>
      <c r="R365" s="367">
        <v>1.3</v>
      </c>
      <c r="S365" s="377">
        <f>SUMIFS(Таблица14[часы],Таблица14[коэф],"1,3",Таблица14[р/р],"4/16",Таблица14[Ф. И. О.],B363)</f>
        <v>0</v>
      </c>
      <c r="T365" s="520">
        <f t="shared" si="180"/>
        <v>0</v>
      </c>
      <c r="U365" s="449">
        <f>база!$M$5</f>
        <v>247.41720000000001</v>
      </c>
      <c r="V365" s="367">
        <v>1.3</v>
      </c>
      <c r="W365" s="389">
        <f>SUMIFS(Таблица14[часы],Таблица14[коэф],"1,3",Таблица14[р/р],"4/24",Таблица14[Ф. И. О.],B363)</f>
        <v>0</v>
      </c>
      <c r="X365" s="521">
        <f t="shared" si="181"/>
        <v>0</v>
      </c>
      <c r="Y365" s="748"/>
      <c r="Z365" s="750"/>
      <c r="AA365" s="740"/>
    </row>
    <row r="366" spans="1:27" ht="18.75">
      <c r="A366" s="740"/>
      <c r="B366" s="201"/>
      <c r="C366" s="743"/>
      <c r="D366" s="746"/>
      <c r="E366" s="370"/>
      <c r="F366" s="367"/>
      <c r="G366" s="377"/>
      <c r="H366" s="520">
        <f t="shared" si="178"/>
        <v>0</v>
      </c>
      <c r="I366" s="366"/>
      <c r="J366" s="367"/>
      <c r="K366" s="411"/>
      <c r="L366" s="372">
        <f t="shared" si="179"/>
        <v>0</v>
      </c>
      <c r="M366" s="409"/>
      <c r="N366" s="411"/>
      <c r="O366" s="411"/>
      <c r="P366" s="411"/>
      <c r="Q366" s="376">
        <f>IF(D358&lt;=3,база!$L$4,
IF(D358=4,база!$L$5,
IF(D358=5,база!$L$6)))</f>
        <v>210.57480000000001</v>
      </c>
      <c r="R366" s="367">
        <v>1.4</v>
      </c>
      <c r="S366" s="377">
        <f>SUMIFS(Таблица14[часы],Таблица14[коэф],"1,4",Таблица14[р/р],"3/16",Таблица14[Ф. И. О.],B363)</f>
        <v>0</v>
      </c>
      <c r="T366" s="520">
        <f t="shared" si="180"/>
        <v>0</v>
      </c>
      <c r="U366" s="449">
        <f>IF(D358&lt;=3,база!$M$4,
IF(D358=4,база!$M$5,
IF(D358=5,база!$M$6)))</f>
        <v>225.09719999999999</v>
      </c>
      <c r="V366" s="367">
        <v>1.4</v>
      </c>
      <c r="W366" s="389">
        <f>SUMIFS(Таблица14[часы],Таблица14[коэф],"1,4",Таблица14[р/р],"3/24",Таблица14[Ф. И. О.],B363)</f>
        <v>0</v>
      </c>
      <c r="X366" s="521">
        <f t="shared" si="181"/>
        <v>0</v>
      </c>
      <c r="Y366" s="748"/>
      <c r="Z366" s="750"/>
      <c r="AA366" s="740"/>
    </row>
    <row r="367" spans="1:27" ht="18.75">
      <c r="A367" s="740"/>
      <c r="B367" s="201"/>
      <c r="C367" s="743"/>
      <c r="D367" s="746"/>
      <c r="E367" s="370"/>
      <c r="F367" s="367"/>
      <c r="G367" s="377"/>
      <c r="H367" s="520">
        <f t="shared" si="178"/>
        <v>0</v>
      </c>
      <c r="I367" s="366"/>
      <c r="J367" s="367"/>
      <c r="K367" s="411"/>
      <c r="L367" s="372">
        <f t="shared" si="179"/>
        <v>0</v>
      </c>
      <c r="M367" s="409"/>
      <c r="N367" s="411"/>
      <c r="O367" s="411"/>
      <c r="P367" s="411"/>
      <c r="Q367" s="376">
        <f>база!$L$5</f>
        <v>231.45480000000001</v>
      </c>
      <c r="R367" s="367">
        <v>1.4</v>
      </c>
      <c r="S367" s="377">
        <f>SUMIFS(Таблица14[часы],Таблица14[коэф],"1,4",Таблица14[р/р],"4/16",Таблица14[Ф. И. О.],B363)</f>
        <v>0</v>
      </c>
      <c r="T367" s="520">
        <f t="shared" si="180"/>
        <v>0</v>
      </c>
      <c r="U367" s="449">
        <f>база!$M$5</f>
        <v>247.41720000000001</v>
      </c>
      <c r="V367" s="367">
        <v>1.4</v>
      </c>
      <c r="W367" s="389">
        <f>SUMIFS(Таблица14[часы],Таблица14[коэф],"1,4",Таблица14[р/р],"4/24",Таблица14[Ф. И. О.],B363)</f>
        <v>0</v>
      </c>
      <c r="X367" s="521">
        <f t="shared" si="181"/>
        <v>0</v>
      </c>
      <c r="Y367" s="748"/>
      <c r="Z367" s="750"/>
      <c r="AA367" s="740"/>
    </row>
    <row r="368" spans="1:27" ht="19.5" thickBot="1">
      <c r="A368" s="741"/>
      <c r="B368" s="188"/>
      <c r="C368" s="744"/>
      <c r="D368" s="747"/>
      <c r="E368" s="440"/>
      <c r="F368" s="441"/>
      <c r="G368" s="442"/>
      <c r="H368" s="525">
        <f t="shared" si="178"/>
        <v>0</v>
      </c>
      <c r="I368" s="450"/>
      <c r="J368" s="441"/>
      <c r="K368" s="434"/>
      <c r="L368" s="435">
        <f t="shared" si="179"/>
        <v>0</v>
      </c>
      <c r="M368" s="443"/>
      <c r="N368" s="434"/>
      <c r="O368" s="434"/>
      <c r="P368" s="434"/>
      <c r="Q368" s="444">
        <f>база!$L$6</f>
        <v>261.04640000000001</v>
      </c>
      <c r="R368" s="441">
        <v>1.4</v>
      </c>
      <c r="S368" s="442">
        <f>SUMIFS(Таблица14[часы],Таблица14[коэф],"1,4",Таблица14[р/р],"5/16",Таблица14[Ф. И. О.],B363)</f>
        <v>0</v>
      </c>
      <c r="T368" s="525">
        <f t="shared" si="180"/>
        <v>0</v>
      </c>
      <c r="U368" s="451">
        <f>база!$M$6</f>
        <v>279.0496</v>
      </c>
      <c r="V368" s="441">
        <v>1.4</v>
      </c>
      <c r="W368" s="447">
        <f>SUMIFS(Таблица14[часы],Таблица14[коэф],"1,4",Таблица14[р/р],"5/24",Таблица14[Ф. И. О.],B363)</f>
        <v>0</v>
      </c>
      <c r="X368" s="523">
        <f t="shared" si="181"/>
        <v>0</v>
      </c>
      <c r="Y368" s="749"/>
      <c r="Z368" s="751"/>
      <c r="AA368" s="741"/>
    </row>
    <row r="369" spans="1:27" ht="18.75">
      <c r="A369" s="739">
        <v>34</v>
      </c>
      <c r="B369" s="219"/>
      <c r="C369" s="742">
        <f>INDEX(база!$E$2:$E$81, MATCH(B374,база!$B$2:$B$50,0))</f>
        <v>15575</v>
      </c>
      <c r="D369" s="745">
        <f>INDEX(база!$D$2:$D$89, MATCH(B374,база!$B$2:$B$50,0))</f>
        <v>3</v>
      </c>
      <c r="E369" s="358">
        <f>IF(D369&lt;=3,база!$I$4,
IF(D369=4,база!$I$5,
IF(D369=5,база!$I$6)))</f>
        <v>188.7912</v>
      </c>
      <c r="F369" s="355">
        <v>1</v>
      </c>
      <c r="G369" s="364">
        <f>SUMIFS(Таблица14[часы],Таблица14[коэф],"1",Таблица14[р/р],"2/4",Таблица14[Ф. И. О.],B374)</f>
        <v>0</v>
      </c>
      <c r="H369" s="357">
        <f>ROUND(E369*F369*G369*2,2)</f>
        <v>0</v>
      </c>
      <c r="I369" s="354">
        <f>IF(D369&lt;=3,база!$J$4,
IF(D369=4,база!$J$5,
IF(D369=5,база!$J$6)))</f>
        <v>196.05240000000001</v>
      </c>
      <c r="J369" s="355">
        <v>1</v>
      </c>
      <c r="K369" s="405">
        <f>SUMIFS(Таблица14[часы],Таблица14[коэф],"1",Таблица14[р/р],"2/8",Таблица14[Ф. И. О.],B374)</f>
        <v>0</v>
      </c>
      <c r="L369" s="360">
        <f>ROUND(I369*J369*K369*2,2)</f>
        <v>0</v>
      </c>
      <c r="M369" s="403"/>
      <c r="N369" s="405">
        <v>1</v>
      </c>
      <c r="O369" s="405">
        <f>SUMIFS(Data_Tech!$AM$3:$AM$67,Data_Tech!$E$3:$E$67,"1",Data_Tech!$G$3:$G$67,"3/12",Data_Tech!$F$3:$F$67,B374)</f>
        <v>0</v>
      </c>
      <c r="P369" s="405">
        <f>ROUND(M369*N369*O369,2)</f>
        <v>0</v>
      </c>
      <c r="Q369" s="363">
        <f>IF(D369&lt;=3,база!$L$4,
IF(D369=4,база!$L$5,
IF(D369=5,база!$L$6)))</f>
        <v>210.57480000000001</v>
      </c>
      <c r="R369" s="355">
        <v>1</v>
      </c>
      <c r="S369" s="364">
        <f>SUMIFS(Таблица14[часы],Таблица14[коэф],"1",Таблица14[р/р],"3/16",Таблица14[Ф. И. О.],B374)</f>
        <v>0</v>
      </c>
      <c r="T369" s="524">
        <f>ROUND(Q369*R369*S369*2,2)</f>
        <v>0</v>
      </c>
      <c r="U369" s="448">
        <f>IF(D369&lt;=3,база!$M$4,
IF(D369=4,база!$M$5,
IF(D369=5,база!$M$6)))</f>
        <v>225.09719999999999</v>
      </c>
      <c r="V369" s="355">
        <v>1</v>
      </c>
      <c r="W369" s="407">
        <f>SUMIFS(Таблица14[часы],Таблица14[коэф],"1",Таблица14[р/р],"3/24",Таблица14[Ф. И. О.],B374)</f>
        <v>0</v>
      </c>
      <c r="X369" s="519">
        <f>ROUND(U369*V369*W369*2,2)</f>
        <v>0</v>
      </c>
      <c r="Y369" s="748">
        <f t="shared" ref="Y369" si="182">SUM(G369:G379,K369:K379,O369:O379,S369:S379,W369:W379)</f>
        <v>0</v>
      </c>
      <c r="Z369" s="750">
        <f t="shared" ref="Z369" si="183">IFERROR(SUM(H369:H379,L369:L379,T369:T379,X369:X379),"")</f>
        <v>0</v>
      </c>
      <c r="AA369" s="740"/>
    </row>
    <row r="370" spans="1:27" ht="18.75">
      <c r="A370" s="740"/>
      <c r="B370" s="201"/>
      <c r="C370" s="743"/>
      <c r="D370" s="746"/>
      <c r="E370" s="370">
        <f>IF(D369&lt;=3,база!$I$4,
IF(D369=4,база!$I$5,
IF(D369=5,база!$I$6)))</f>
        <v>188.7912</v>
      </c>
      <c r="F370" s="367">
        <v>1</v>
      </c>
      <c r="G370" s="377">
        <f>SUMIFS(Таблица14[часы],Таблица14[коэф],"1",Таблица14[р/р],"3/4",Таблица14[Ф. И. О.],B374)</f>
        <v>0</v>
      </c>
      <c r="H370" s="518">
        <f t="shared" ref="H370:H379" si="184">ROUND(E370*F370*G370*2,2)</f>
        <v>0</v>
      </c>
      <c r="I370" s="366">
        <f>IF(D369&lt;=3,база!$J$4,
IF(D369=4,база!$J$5,
IF(D369=5,база!$J$6)))</f>
        <v>196.05240000000001</v>
      </c>
      <c r="J370" s="367">
        <v>1</v>
      </c>
      <c r="K370" s="411">
        <f>SUMIFS(Таблица14[часы],Таблица14[коэф],"1",Таблица14[р/р],"3/8",Таблица14[Ф. И. О.],B374)</f>
        <v>0</v>
      </c>
      <c r="L370" s="372">
        <f t="shared" ref="L370:L379" si="185">ROUND(I370*J370*K370*2,2)</f>
        <v>0</v>
      </c>
      <c r="M370" s="409"/>
      <c r="N370" s="411">
        <v>1</v>
      </c>
      <c r="O370" s="411">
        <f>SUMIFS(Data_Tech!$AM$3:$AM$67,Data_Tech!$E$3:$E$67,"1",Data_Tech!$G$3:$G$67,"4/12",Data_Tech!$F$3:$F$67,B374)</f>
        <v>0</v>
      </c>
      <c r="P370" s="411">
        <f>ROUND(M370*O370,2)</f>
        <v>0</v>
      </c>
      <c r="Q370" s="376">
        <f>база!$L$5</f>
        <v>231.45480000000001</v>
      </c>
      <c r="R370" s="367">
        <v>1</v>
      </c>
      <c r="S370" s="377">
        <f>SUMIFS(Таблица14[часы],Таблица14[коэф],"1",Таблица14[р/р],"4/16",Таблица14[Ф. И. О.],B374)</f>
        <v>0</v>
      </c>
      <c r="T370" s="520">
        <f t="shared" ref="T370:T379" si="186">ROUND(Q370*R370*S370*2,2)</f>
        <v>0</v>
      </c>
      <c r="U370" s="449">
        <f>база!$M$5</f>
        <v>247.41720000000001</v>
      </c>
      <c r="V370" s="367">
        <v>1</v>
      </c>
      <c r="W370" s="389">
        <f>SUMIFS(Таблица14[часы],Таблица14[коэф],"1",Таблица14[р/р],"4/24",Таблица14[Ф. И. О.],B374)</f>
        <v>0</v>
      </c>
      <c r="X370" s="521">
        <f t="shared" ref="X370:X379" si="187">ROUND(U370*V370*W370*2,2)</f>
        <v>0</v>
      </c>
      <c r="Y370" s="748"/>
      <c r="Z370" s="750"/>
      <c r="AA370" s="740"/>
    </row>
    <row r="371" spans="1:27" ht="18.75">
      <c r="A371" s="740"/>
      <c r="B371" s="201"/>
      <c r="C371" s="743"/>
      <c r="D371" s="746"/>
      <c r="E371" s="370"/>
      <c r="F371" s="367"/>
      <c r="G371" s="377"/>
      <c r="H371" s="520">
        <f t="shared" si="184"/>
        <v>0</v>
      </c>
      <c r="I371" s="366"/>
      <c r="J371" s="367"/>
      <c r="K371" s="411"/>
      <c r="L371" s="372">
        <f t="shared" si="185"/>
        <v>0</v>
      </c>
      <c r="M371" s="409"/>
      <c r="N371" s="411"/>
      <c r="O371" s="411"/>
      <c r="P371" s="411"/>
      <c r="Q371" s="376">
        <f>база!$L$6</f>
        <v>261.04640000000001</v>
      </c>
      <c r="R371" s="367">
        <v>1</v>
      </c>
      <c r="S371" s="377">
        <f>SUMIFS(Таблица14[часы],Таблица14[коэф],"1",Таблица14[р/р],"5/16",Таблица14[Ф. И. О.],B374)</f>
        <v>0</v>
      </c>
      <c r="T371" s="520">
        <f t="shared" si="186"/>
        <v>0</v>
      </c>
      <c r="U371" s="449">
        <f>база!$M$6</f>
        <v>279.0496</v>
      </c>
      <c r="V371" s="367">
        <v>1</v>
      </c>
      <c r="W371" s="389">
        <f>SUMIFS(Таблица14[часы],Таблица14[коэф],"1",Таблица14[р/р],"5/24",Таблица14[Ф. И. О.],B374)</f>
        <v>0</v>
      </c>
      <c r="X371" s="521">
        <f t="shared" si="187"/>
        <v>0</v>
      </c>
      <c r="Y371" s="748"/>
      <c r="Z371" s="750"/>
      <c r="AA371" s="740"/>
    </row>
    <row r="372" spans="1:27" ht="18.75">
      <c r="A372" s="740"/>
      <c r="B372" s="201"/>
      <c r="C372" s="743"/>
      <c r="D372" s="746"/>
      <c r="E372" s="370"/>
      <c r="F372" s="367"/>
      <c r="G372" s="377"/>
      <c r="H372" s="520">
        <f t="shared" si="184"/>
        <v>0</v>
      </c>
      <c r="I372" s="366">
        <f>база!$J$5</f>
        <v>215.4924</v>
      </c>
      <c r="J372" s="367">
        <v>1.5</v>
      </c>
      <c r="K372" s="411">
        <f>SUMIFS(Таблица14[часы],Таблица14[коэф],"1,5",Таблица14[р/р],"4/8",Таблица14[Ф. И. О.],B374)</f>
        <v>0</v>
      </c>
      <c r="L372" s="372">
        <f t="shared" si="185"/>
        <v>0</v>
      </c>
      <c r="M372" s="409"/>
      <c r="N372" s="411"/>
      <c r="O372" s="411"/>
      <c r="P372" s="411"/>
      <c r="Q372" s="376">
        <f>IF(D369&lt;=3,база!$L$4,
IF(D369=4,база!$L$5,
IF(D369=5,база!$L$6)))</f>
        <v>210.57480000000001</v>
      </c>
      <c r="R372" s="367">
        <v>1.2</v>
      </c>
      <c r="S372" s="377">
        <f>SUMIFS(Таблица14[часы],Таблица14[коэф],"1,2",Таблица14[р/р],"3/16",Таблица14[Ф. И. О.],B374)</f>
        <v>0</v>
      </c>
      <c r="T372" s="520">
        <f t="shared" si="186"/>
        <v>0</v>
      </c>
      <c r="U372" s="449">
        <f>IF(D369&lt;=3,база!$M$4,
IF(D369=4,база!$M$5,
IF(D369=5,база!$M$6)))</f>
        <v>225.09719999999999</v>
      </c>
      <c r="V372" s="367">
        <v>1.2</v>
      </c>
      <c r="W372" s="389">
        <f>SUMIFS(Таблица14[часы],Таблица14[коэф],"1,2",Таблица14[р/р],"3/24",Таблица14[Ф. И. О.],B374)</f>
        <v>0</v>
      </c>
      <c r="X372" s="521">
        <f t="shared" si="187"/>
        <v>0</v>
      </c>
      <c r="Y372" s="748"/>
      <c r="Z372" s="750"/>
      <c r="AA372" s="740"/>
    </row>
    <row r="373" spans="1:27" ht="18.75">
      <c r="A373" s="740"/>
      <c r="B373" s="201"/>
      <c r="C373" s="743"/>
      <c r="D373" s="746"/>
      <c r="E373" s="370"/>
      <c r="F373" s="367"/>
      <c r="G373" s="377"/>
      <c r="H373" s="520">
        <f t="shared" si="184"/>
        <v>0</v>
      </c>
      <c r="I373" s="366">
        <f>база!$J$6</f>
        <v>243.04319999999998</v>
      </c>
      <c r="J373" s="367">
        <v>1.5</v>
      </c>
      <c r="K373" s="411">
        <f>SUMIFS(Таблица14[часы],Таблица14[коэф],"1,5",Таблица14[р/р],"5/8",Таблица14[Ф. И. О.],B374)</f>
        <v>0</v>
      </c>
      <c r="L373" s="372">
        <f t="shared" si="185"/>
        <v>0</v>
      </c>
      <c r="M373" s="409"/>
      <c r="N373" s="411"/>
      <c r="O373" s="411"/>
      <c r="P373" s="411"/>
      <c r="Q373" s="376">
        <f>база!$L$5</f>
        <v>231.45480000000001</v>
      </c>
      <c r="R373" s="367">
        <v>1.2</v>
      </c>
      <c r="S373" s="377">
        <f>SUMIFS(Таблица14[часы],Таблица14[коэф],"1,2",Таблица14[р/р],"4/16",Таблица14[Ф. И. О.],B374)</f>
        <v>0</v>
      </c>
      <c r="T373" s="520">
        <f t="shared" si="186"/>
        <v>0</v>
      </c>
      <c r="U373" s="449">
        <f>база!$M$5</f>
        <v>247.41720000000001</v>
      </c>
      <c r="V373" s="367">
        <v>1.2</v>
      </c>
      <c r="W373" s="389">
        <f>SUMIFS(Таблица14[часы],Таблица14[коэф],"1,2",Таблица14[р/р],"4/24",Таблица14[Ф. И. О.],B374)</f>
        <v>0</v>
      </c>
      <c r="X373" s="521">
        <f t="shared" si="187"/>
        <v>0</v>
      </c>
      <c r="Y373" s="748"/>
      <c r="Z373" s="750"/>
      <c r="AA373" s="740"/>
    </row>
    <row r="374" spans="1:27" ht="24" customHeight="1">
      <c r="A374" s="740"/>
      <c r="B374" s="201" t="str">
        <f>база!B35</f>
        <v>Киселёва Надежда Игоревна</v>
      </c>
      <c r="C374" s="743"/>
      <c r="D374" s="746"/>
      <c r="E374" s="370"/>
      <c r="F374" s="367"/>
      <c r="G374" s="377"/>
      <c r="H374" s="520">
        <f t="shared" si="184"/>
        <v>0</v>
      </c>
      <c r="I374" s="366"/>
      <c r="J374" s="367"/>
      <c r="K374" s="411"/>
      <c r="L374" s="372">
        <f t="shared" si="185"/>
        <v>0</v>
      </c>
      <c r="M374" s="409"/>
      <c r="N374" s="411"/>
      <c r="O374" s="411"/>
      <c r="P374" s="411"/>
      <c r="Q374" s="376">
        <f>база!$L$6</f>
        <v>261.04640000000001</v>
      </c>
      <c r="R374" s="367">
        <v>1.2</v>
      </c>
      <c r="S374" s="377">
        <f>SUMIFS(Таблица14[часы],Таблица14[коэф],"1,2",Таблица14[р/р],"5/16",Таблица14[Ф. И. О.],B374)</f>
        <v>0</v>
      </c>
      <c r="T374" s="520">
        <f t="shared" si="186"/>
        <v>0</v>
      </c>
      <c r="U374" s="449">
        <f>база!$M$6</f>
        <v>279.0496</v>
      </c>
      <c r="V374" s="367">
        <v>1.2</v>
      </c>
      <c r="W374" s="389">
        <f>SUMIFS(Таблица14[часы],Таблица14[коэф],"1,2",Таблица14[р/р],"5/24",Таблица14[Ф. И. О.],B374)</f>
        <v>0</v>
      </c>
      <c r="X374" s="521">
        <f t="shared" si="187"/>
        <v>0</v>
      </c>
      <c r="Y374" s="748"/>
      <c r="Z374" s="750"/>
      <c r="AA374" s="740"/>
    </row>
    <row r="375" spans="1:27" ht="18.75">
      <c r="A375" s="740"/>
      <c r="B375" s="201"/>
      <c r="C375" s="743"/>
      <c r="D375" s="746"/>
      <c r="E375" s="370"/>
      <c r="F375" s="367"/>
      <c r="G375" s="377"/>
      <c r="H375" s="520">
        <f t="shared" si="184"/>
        <v>0</v>
      </c>
      <c r="I375" s="366"/>
      <c r="J375" s="367"/>
      <c r="K375" s="411"/>
      <c r="L375" s="372">
        <f t="shared" si="185"/>
        <v>0</v>
      </c>
      <c r="M375" s="409"/>
      <c r="N375" s="411"/>
      <c r="O375" s="411"/>
      <c r="P375" s="411"/>
      <c r="Q375" s="376">
        <f>IF(D369&lt;=3,база!$L$4,
IF(D369=4,база!$L$5,
IF(D369=5,база!$L$6)))</f>
        <v>210.57480000000001</v>
      </c>
      <c r="R375" s="367">
        <v>1.3</v>
      </c>
      <c r="S375" s="377">
        <f>SUMIFS(Таблица14[часы],Таблица14[коэф],"1,3",Таблица14[р/р],"3/16",Таблица14[Ф. И. О.],B374)</f>
        <v>0</v>
      </c>
      <c r="T375" s="520">
        <f t="shared" si="186"/>
        <v>0</v>
      </c>
      <c r="U375" s="449">
        <f>IF(D369&lt;=3,база!$M$4,
IF(D369=4,база!$M$5,
IF(D369=5,база!$M$6)))</f>
        <v>225.09719999999999</v>
      </c>
      <c r="V375" s="367">
        <v>1.3</v>
      </c>
      <c r="W375" s="389">
        <f>SUMIFS(Таблица14[часы],Таблица14[коэф],"1,3",Таблица14[р/р],"3/24",Таблица14[Ф. И. О.],B374)</f>
        <v>0</v>
      </c>
      <c r="X375" s="521">
        <f t="shared" si="187"/>
        <v>0</v>
      </c>
      <c r="Y375" s="748"/>
      <c r="Z375" s="750"/>
      <c r="AA375" s="740"/>
    </row>
    <row r="376" spans="1:27" ht="18.75">
      <c r="A376" s="740"/>
      <c r="B376" s="201"/>
      <c r="C376" s="743"/>
      <c r="D376" s="746"/>
      <c r="E376" s="370"/>
      <c r="F376" s="367"/>
      <c r="G376" s="377"/>
      <c r="H376" s="520">
        <f t="shared" si="184"/>
        <v>0</v>
      </c>
      <c r="I376" s="366"/>
      <c r="J376" s="367"/>
      <c r="K376" s="411"/>
      <c r="L376" s="372">
        <f t="shared" si="185"/>
        <v>0</v>
      </c>
      <c r="M376" s="409"/>
      <c r="N376" s="411"/>
      <c r="O376" s="411"/>
      <c r="P376" s="411"/>
      <c r="Q376" s="376">
        <f>база!$L$5</f>
        <v>231.45480000000001</v>
      </c>
      <c r="R376" s="367">
        <v>1.3</v>
      </c>
      <c r="S376" s="377">
        <f>SUMIFS(Таблица14[часы],Таблица14[коэф],"1,3",Таблица14[р/р],"4/16",Таблица14[Ф. И. О.],B374)</f>
        <v>0</v>
      </c>
      <c r="T376" s="520">
        <f t="shared" si="186"/>
        <v>0</v>
      </c>
      <c r="U376" s="449">
        <f>база!$M$5</f>
        <v>247.41720000000001</v>
      </c>
      <c r="V376" s="367">
        <v>1.3</v>
      </c>
      <c r="W376" s="389">
        <f>SUMIFS(Таблица14[часы],Таблица14[коэф],"1,3",Таблица14[р/р],"4/24",Таблица14[Ф. И. О.],B374)</f>
        <v>0</v>
      </c>
      <c r="X376" s="521">
        <f t="shared" si="187"/>
        <v>0</v>
      </c>
      <c r="Y376" s="748"/>
      <c r="Z376" s="750"/>
      <c r="AA376" s="740"/>
    </row>
    <row r="377" spans="1:27" ht="18.75">
      <c r="A377" s="740"/>
      <c r="B377" s="201"/>
      <c r="C377" s="743"/>
      <c r="D377" s="746"/>
      <c r="E377" s="370"/>
      <c r="F377" s="367"/>
      <c r="G377" s="377"/>
      <c r="H377" s="520">
        <f t="shared" si="184"/>
        <v>0</v>
      </c>
      <c r="I377" s="366"/>
      <c r="J377" s="367"/>
      <c r="K377" s="411"/>
      <c r="L377" s="372">
        <f t="shared" si="185"/>
        <v>0</v>
      </c>
      <c r="M377" s="409"/>
      <c r="N377" s="411"/>
      <c r="O377" s="411"/>
      <c r="P377" s="411"/>
      <c r="Q377" s="376">
        <f>IF(D369&lt;=3,база!$L$4,
IF(D369=4,база!$L$5,
IF(D369=5,база!$L$6)))</f>
        <v>210.57480000000001</v>
      </c>
      <c r="R377" s="367">
        <v>1.4</v>
      </c>
      <c r="S377" s="377">
        <f>SUMIFS(Таблица14[часы],Таблица14[коэф],"1,4",Таблица14[р/р],"3/16",Таблица14[Ф. И. О.],B374)</f>
        <v>0</v>
      </c>
      <c r="T377" s="520">
        <f t="shared" si="186"/>
        <v>0</v>
      </c>
      <c r="U377" s="449">
        <f>IF(D369&lt;=3,база!$M$4,
IF(D369=4,база!$M$5,
IF(D369=5,база!$M$6)))</f>
        <v>225.09719999999999</v>
      </c>
      <c r="V377" s="367">
        <v>1.4</v>
      </c>
      <c r="W377" s="389">
        <f>SUMIFS(Таблица14[часы],Таблица14[коэф],"1,4",Таблица14[р/р],"3/24",Таблица14[Ф. И. О.],B374)</f>
        <v>0</v>
      </c>
      <c r="X377" s="521">
        <f t="shared" si="187"/>
        <v>0</v>
      </c>
      <c r="Y377" s="748"/>
      <c r="Z377" s="750"/>
      <c r="AA377" s="740"/>
    </row>
    <row r="378" spans="1:27" ht="18.75">
      <c r="A378" s="740"/>
      <c r="B378" s="201"/>
      <c r="C378" s="743"/>
      <c r="D378" s="746"/>
      <c r="E378" s="370"/>
      <c r="F378" s="367"/>
      <c r="G378" s="377"/>
      <c r="H378" s="520">
        <f t="shared" si="184"/>
        <v>0</v>
      </c>
      <c r="I378" s="366"/>
      <c r="J378" s="367"/>
      <c r="K378" s="411"/>
      <c r="L378" s="372">
        <f t="shared" si="185"/>
        <v>0</v>
      </c>
      <c r="M378" s="409"/>
      <c r="N378" s="411"/>
      <c r="O378" s="411"/>
      <c r="P378" s="411"/>
      <c r="Q378" s="376">
        <f>база!$L$5</f>
        <v>231.45480000000001</v>
      </c>
      <c r="R378" s="367">
        <v>1.4</v>
      </c>
      <c r="S378" s="377">
        <f>SUMIFS(Таблица14[часы],Таблица14[коэф],"1,4",Таблица14[р/р],"4/16",Таблица14[Ф. И. О.],B374)</f>
        <v>0</v>
      </c>
      <c r="T378" s="520">
        <f t="shared" si="186"/>
        <v>0</v>
      </c>
      <c r="U378" s="449">
        <f>база!$M$5</f>
        <v>247.41720000000001</v>
      </c>
      <c r="V378" s="367">
        <v>1.4</v>
      </c>
      <c r="W378" s="389">
        <f>SUMIFS(Таблица14[часы],Таблица14[коэф],"1,4",Таблица14[р/р],"4/24",Таблица14[Ф. И. О.],B374)</f>
        <v>0</v>
      </c>
      <c r="X378" s="521">
        <f t="shared" si="187"/>
        <v>0</v>
      </c>
      <c r="Y378" s="748"/>
      <c r="Z378" s="750"/>
      <c r="AA378" s="740"/>
    </row>
    <row r="379" spans="1:27" ht="19.5" thickBot="1">
      <c r="A379" s="741"/>
      <c r="B379" s="188"/>
      <c r="C379" s="744"/>
      <c r="D379" s="747"/>
      <c r="E379" s="440"/>
      <c r="F379" s="441"/>
      <c r="G379" s="442"/>
      <c r="H379" s="525">
        <f t="shared" si="184"/>
        <v>0</v>
      </c>
      <c r="I379" s="450"/>
      <c r="J379" s="441"/>
      <c r="K379" s="434"/>
      <c r="L379" s="435">
        <f t="shared" si="185"/>
        <v>0</v>
      </c>
      <c r="M379" s="443"/>
      <c r="N379" s="434"/>
      <c r="O379" s="434"/>
      <c r="P379" s="434"/>
      <c r="Q379" s="444">
        <f>база!$L$6</f>
        <v>261.04640000000001</v>
      </c>
      <c r="R379" s="441">
        <v>1.4</v>
      </c>
      <c r="S379" s="442">
        <f>SUMIFS(Таблица14[часы],Таблица14[коэф],"1,4",Таблица14[р/р],"5/16",Таблица14[Ф. И. О.],B374)</f>
        <v>0</v>
      </c>
      <c r="T379" s="525">
        <f t="shared" si="186"/>
        <v>0</v>
      </c>
      <c r="U379" s="451">
        <f>база!$M$6</f>
        <v>279.0496</v>
      </c>
      <c r="V379" s="441">
        <v>1.4</v>
      </c>
      <c r="W379" s="447">
        <f>SUMIFS(Таблица14[часы],Таблица14[коэф],"1,4",Таблица14[р/р],"5/24",Таблица14[Ф. И. О.],B374)</f>
        <v>0</v>
      </c>
      <c r="X379" s="523">
        <f t="shared" si="187"/>
        <v>0</v>
      </c>
      <c r="Y379" s="749"/>
      <c r="Z379" s="751"/>
      <c r="AA379" s="741"/>
    </row>
    <row r="380" spans="1:27" ht="18.75">
      <c r="A380" s="739">
        <v>35</v>
      </c>
      <c r="B380" s="219"/>
      <c r="C380" s="742">
        <f>INDEX(база!$E$2:$E$81, MATCH(B385,база!$B$2:$B$50,0))</f>
        <v>17188</v>
      </c>
      <c r="D380" s="745">
        <f>INDEX(база!$D$2:$D$89, MATCH(B385,база!$B$2:$B$50,0))</f>
        <v>3</v>
      </c>
      <c r="E380" s="358">
        <f>IF(D380&lt;=3,база!$I$4,
IF(D380=4,база!$I$5,
IF(D380=5,база!$I$6)))</f>
        <v>188.7912</v>
      </c>
      <c r="F380" s="355">
        <v>1</v>
      </c>
      <c r="G380" s="364">
        <f>SUMIFS(Таблица14[часы],Таблица14[коэф],"1",Таблица14[р/р],"2/4",Таблица14[Ф. И. О.],B385)</f>
        <v>0</v>
      </c>
      <c r="H380" s="357">
        <f>ROUND(E380*F380*G380*2,2)</f>
        <v>0</v>
      </c>
      <c r="I380" s="354">
        <f>IF(D380&lt;=3,база!$J$4,
IF(D380=4,база!$J$5,
IF(D380=5,база!$J$6)))</f>
        <v>196.05240000000001</v>
      </c>
      <c r="J380" s="355">
        <v>1</v>
      </c>
      <c r="K380" s="405">
        <f>SUMIFS(Таблица14[часы],Таблица14[коэф],"1",Таблица14[р/р],"2/8",Таблица14[Ф. И. О.],B385)</f>
        <v>0</v>
      </c>
      <c r="L380" s="360">
        <f>ROUND(I380*J380*K380*2,2)</f>
        <v>0</v>
      </c>
      <c r="M380" s="403"/>
      <c r="N380" s="405">
        <v>1</v>
      </c>
      <c r="O380" s="405">
        <f>SUMIFS(Data_Tech!$AM$3:$AM$67,Data_Tech!$E$3:$E$67,"1",Data_Tech!$G$3:$G$67,"3/12",Data_Tech!$F$3:$F$67,B385)</f>
        <v>0</v>
      </c>
      <c r="P380" s="405">
        <f>ROUND(M380*N380*O380,2)</f>
        <v>0</v>
      </c>
      <c r="Q380" s="363">
        <f>IF(D380&lt;=3,база!$L$4,
IF(D380=4,база!$L$5,
IF(D380=5,база!$L$6)))</f>
        <v>210.57480000000001</v>
      </c>
      <c r="R380" s="355">
        <v>1</v>
      </c>
      <c r="S380" s="364">
        <f>SUMIFS(Таблица14[часы],Таблица14[коэф],"1",Таблица14[р/р],"3/16",Таблица14[Ф. И. О.],B385)</f>
        <v>0</v>
      </c>
      <c r="T380" s="524">
        <f>ROUND(Q380*R380*S380*2,2)</f>
        <v>0</v>
      </c>
      <c r="U380" s="448">
        <f>IF(D380&lt;=3,база!$M$4,
IF(D380=4,база!$M$5,
IF(D380=5,база!$M$6)))</f>
        <v>225.09719999999999</v>
      </c>
      <c r="V380" s="355">
        <v>1</v>
      </c>
      <c r="W380" s="407">
        <f>SUMIFS(Таблица14[часы],Таблица14[коэф],"1",Таблица14[р/р],"3/24",Таблица14[Ф. И. О.],B385)</f>
        <v>0</v>
      </c>
      <c r="X380" s="519">
        <f>ROUND(U380*V380*W380*2,2)</f>
        <v>0</v>
      </c>
      <c r="Y380" s="748">
        <f t="shared" ref="Y380" si="188">SUM(G380:G390,K380:K390,O380:O390,S380:S390,W380:W390)</f>
        <v>0</v>
      </c>
      <c r="Z380" s="750">
        <f t="shared" ref="Z380" si="189">IFERROR(SUM(H380:H390,L380:L390,T380:T390,X380:X390),"")</f>
        <v>0</v>
      </c>
      <c r="AA380" s="740"/>
    </row>
    <row r="381" spans="1:27" ht="18.75">
      <c r="A381" s="740"/>
      <c r="B381" s="201"/>
      <c r="C381" s="743"/>
      <c r="D381" s="746"/>
      <c r="E381" s="370">
        <f>IF(D380&lt;=3,база!$I$4,
IF(D380=4,база!$I$5,
IF(D380=5,база!$I$6)))</f>
        <v>188.7912</v>
      </c>
      <c r="F381" s="367">
        <v>1</v>
      </c>
      <c r="G381" s="377">
        <f>SUMIFS(Таблица14[часы],Таблица14[коэф],"1",Таблица14[р/р],"3/4",Таблица14[Ф. И. О.],B385)</f>
        <v>0</v>
      </c>
      <c r="H381" s="518">
        <f t="shared" ref="H381:H390" si="190">ROUND(E381*F381*G381*2,2)</f>
        <v>0</v>
      </c>
      <c r="I381" s="366">
        <f>IF(D380&lt;=3,база!$J$4,
IF(D380=4,база!$J$5,
IF(D380=5,база!$J$6)))</f>
        <v>196.05240000000001</v>
      </c>
      <c r="J381" s="367">
        <v>1</v>
      </c>
      <c r="K381" s="411">
        <f>SUMIFS(Таблица14[часы],Таблица14[коэф],"1",Таблица14[р/р],"3/8",Таблица14[Ф. И. О.],B385)</f>
        <v>0</v>
      </c>
      <c r="L381" s="372">
        <f t="shared" ref="L381:L390" si="191">ROUND(I381*J381*K381*2,2)</f>
        <v>0</v>
      </c>
      <c r="M381" s="409"/>
      <c r="N381" s="411">
        <v>1</v>
      </c>
      <c r="O381" s="411">
        <f>SUMIFS(Data_Tech!$AM$3:$AM$67,Data_Tech!$E$3:$E$67,"1",Data_Tech!$G$3:$G$67,"4/12",Data_Tech!$F$3:$F$67,B385)</f>
        <v>0</v>
      </c>
      <c r="P381" s="411">
        <f>ROUND(M381*O381,2)</f>
        <v>0</v>
      </c>
      <c r="Q381" s="376">
        <f>база!$L$5</f>
        <v>231.45480000000001</v>
      </c>
      <c r="R381" s="367">
        <v>1</v>
      </c>
      <c r="S381" s="377">
        <f>SUMIFS(Таблица14[часы],Таблица14[коэф],"1",Таблица14[р/р],"4/16",Таблица14[Ф. И. О.],B385)</f>
        <v>0</v>
      </c>
      <c r="T381" s="520">
        <f t="shared" ref="T381:T390" si="192">ROUND(Q381*R381*S381*2,2)</f>
        <v>0</v>
      </c>
      <c r="U381" s="449">
        <f>база!$M$5</f>
        <v>247.41720000000001</v>
      </c>
      <c r="V381" s="367">
        <v>1</v>
      </c>
      <c r="W381" s="389">
        <f>SUMIFS(Таблица14[часы],Таблица14[коэф],"1",Таблица14[р/р],"4/24",Таблица14[Ф. И. О.],B385)</f>
        <v>0</v>
      </c>
      <c r="X381" s="521">
        <f t="shared" ref="X381:X390" si="193">ROUND(U381*V381*W381*2,2)</f>
        <v>0</v>
      </c>
      <c r="Y381" s="748"/>
      <c r="Z381" s="750"/>
      <c r="AA381" s="740"/>
    </row>
    <row r="382" spans="1:27" ht="18.75">
      <c r="A382" s="740"/>
      <c r="B382" s="201"/>
      <c r="C382" s="743"/>
      <c r="D382" s="746"/>
      <c r="E382" s="370"/>
      <c r="F382" s="367"/>
      <c r="G382" s="377"/>
      <c r="H382" s="520">
        <f t="shared" si="190"/>
        <v>0</v>
      </c>
      <c r="I382" s="366"/>
      <c r="J382" s="367"/>
      <c r="K382" s="411"/>
      <c r="L382" s="372">
        <f t="shared" si="191"/>
        <v>0</v>
      </c>
      <c r="M382" s="409"/>
      <c r="N382" s="411"/>
      <c r="O382" s="411"/>
      <c r="P382" s="411"/>
      <c r="Q382" s="376">
        <f>база!$L$6</f>
        <v>261.04640000000001</v>
      </c>
      <c r="R382" s="367">
        <v>1</v>
      </c>
      <c r="S382" s="377">
        <f>SUMIFS(Таблица14[часы],Таблица14[коэф],"1",Таблица14[р/р],"5/16",Таблица14[Ф. И. О.],B385)</f>
        <v>0</v>
      </c>
      <c r="T382" s="520">
        <f t="shared" si="192"/>
        <v>0</v>
      </c>
      <c r="U382" s="449">
        <f>база!$M$6</f>
        <v>279.0496</v>
      </c>
      <c r="V382" s="367">
        <v>1</v>
      </c>
      <c r="W382" s="389">
        <f>SUMIFS(Таблица14[часы],Таблица14[коэф],"1",Таблица14[р/р],"5/24",Таблица14[Ф. И. О.],B385)</f>
        <v>0</v>
      </c>
      <c r="X382" s="521">
        <f t="shared" si="193"/>
        <v>0</v>
      </c>
      <c r="Y382" s="748"/>
      <c r="Z382" s="750"/>
      <c r="AA382" s="740"/>
    </row>
    <row r="383" spans="1:27" ht="18.75">
      <c r="A383" s="740"/>
      <c r="B383" s="201"/>
      <c r="C383" s="743"/>
      <c r="D383" s="746"/>
      <c r="E383" s="370"/>
      <c r="F383" s="367"/>
      <c r="G383" s="377"/>
      <c r="H383" s="520">
        <f t="shared" si="190"/>
        <v>0</v>
      </c>
      <c r="I383" s="366">
        <f>база!$J$5</f>
        <v>215.4924</v>
      </c>
      <c r="J383" s="367">
        <v>1.5</v>
      </c>
      <c r="K383" s="411">
        <f>SUMIFS(Таблица14[часы],Таблица14[коэф],"1,5",Таблица14[р/р],"4/8",Таблица14[Ф. И. О.],B385)</f>
        <v>0</v>
      </c>
      <c r="L383" s="372">
        <f t="shared" si="191"/>
        <v>0</v>
      </c>
      <c r="M383" s="409"/>
      <c r="N383" s="411"/>
      <c r="O383" s="411"/>
      <c r="P383" s="411"/>
      <c r="Q383" s="376">
        <f>IF(D380&lt;=3,база!$L$4,
IF(D380=4,база!$L$5,
IF(D380=5,база!$L$6)))</f>
        <v>210.57480000000001</v>
      </c>
      <c r="R383" s="367">
        <v>1.2</v>
      </c>
      <c r="S383" s="377">
        <f>SUMIFS(Таблица14[часы],Таблица14[коэф],"1,2",Таблица14[р/р],"3/16",Таблица14[Ф. И. О.],B385)</f>
        <v>0</v>
      </c>
      <c r="T383" s="520">
        <f t="shared" si="192"/>
        <v>0</v>
      </c>
      <c r="U383" s="449">
        <f>IF(D380&lt;=3,база!$M$4,
IF(D380=4,база!$M$5,
IF(D380=5,база!$M$6)))</f>
        <v>225.09719999999999</v>
      </c>
      <c r="V383" s="367">
        <v>1.2</v>
      </c>
      <c r="W383" s="389">
        <f>SUMIFS(Таблица14[часы],Таблица14[коэф],"1,2",Таблица14[р/р],"3/24",Таблица14[Ф. И. О.],B385)</f>
        <v>0</v>
      </c>
      <c r="X383" s="521">
        <f t="shared" si="193"/>
        <v>0</v>
      </c>
      <c r="Y383" s="748"/>
      <c r="Z383" s="750"/>
      <c r="AA383" s="740"/>
    </row>
    <row r="384" spans="1:27" ht="18.75">
      <c r="A384" s="740"/>
      <c r="B384" s="201"/>
      <c r="C384" s="743"/>
      <c r="D384" s="746"/>
      <c r="E384" s="370"/>
      <c r="F384" s="367"/>
      <c r="G384" s="377"/>
      <c r="H384" s="520">
        <f t="shared" si="190"/>
        <v>0</v>
      </c>
      <c r="I384" s="366">
        <f>база!$J$6</f>
        <v>243.04319999999998</v>
      </c>
      <c r="J384" s="367">
        <v>1.5</v>
      </c>
      <c r="K384" s="411">
        <f>SUMIFS(Таблица14[часы],Таблица14[коэф],"1,5",Таблица14[р/р],"5/8",Таблица14[Ф. И. О.],B385)</f>
        <v>0</v>
      </c>
      <c r="L384" s="372">
        <f t="shared" si="191"/>
        <v>0</v>
      </c>
      <c r="M384" s="409"/>
      <c r="N384" s="411"/>
      <c r="O384" s="411"/>
      <c r="P384" s="411"/>
      <c r="Q384" s="376">
        <f>база!$L$5</f>
        <v>231.45480000000001</v>
      </c>
      <c r="R384" s="367">
        <v>1.2</v>
      </c>
      <c r="S384" s="377">
        <f>SUMIFS(Таблица14[часы],Таблица14[коэф],"1,2",Таблица14[р/р],"4/16",Таблица14[Ф. И. О.],B385)</f>
        <v>0</v>
      </c>
      <c r="T384" s="520">
        <f t="shared" si="192"/>
        <v>0</v>
      </c>
      <c r="U384" s="449">
        <f>база!$M$5</f>
        <v>247.41720000000001</v>
      </c>
      <c r="V384" s="367">
        <v>1.2</v>
      </c>
      <c r="W384" s="389">
        <f>SUMIFS(Таблица14[часы],Таблица14[коэф],"1,2",Таблица14[р/р],"4/24",Таблица14[Ф. И. О.],B385)</f>
        <v>0</v>
      </c>
      <c r="X384" s="521">
        <f t="shared" si="193"/>
        <v>0</v>
      </c>
      <c r="Y384" s="748"/>
      <c r="Z384" s="750"/>
      <c r="AA384" s="740"/>
    </row>
    <row r="385" spans="1:27" ht="18.75">
      <c r="A385" s="740"/>
      <c r="B385" s="201" t="str">
        <f>база!B36</f>
        <v>Климонтович Янина Анатольевна</v>
      </c>
      <c r="C385" s="743"/>
      <c r="D385" s="746"/>
      <c r="E385" s="370"/>
      <c r="F385" s="367"/>
      <c r="G385" s="377"/>
      <c r="H385" s="520">
        <f t="shared" si="190"/>
        <v>0</v>
      </c>
      <c r="I385" s="366"/>
      <c r="J385" s="367"/>
      <c r="K385" s="411"/>
      <c r="L385" s="372">
        <f t="shared" si="191"/>
        <v>0</v>
      </c>
      <c r="M385" s="409"/>
      <c r="N385" s="411"/>
      <c r="O385" s="411"/>
      <c r="P385" s="411"/>
      <c r="Q385" s="376">
        <f>база!$L$6</f>
        <v>261.04640000000001</v>
      </c>
      <c r="R385" s="367">
        <v>1.2</v>
      </c>
      <c r="S385" s="377">
        <f>SUMIFS(Таблица14[часы],Таблица14[коэф],"1,2",Таблица14[р/р],"5/16",Таблица14[Ф. И. О.],B385)</f>
        <v>0</v>
      </c>
      <c r="T385" s="520">
        <f t="shared" si="192"/>
        <v>0</v>
      </c>
      <c r="U385" s="449">
        <f>база!$M$6</f>
        <v>279.0496</v>
      </c>
      <c r="V385" s="367">
        <v>1.2</v>
      </c>
      <c r="W385" s="389">
        <f>SUMIFS(Таблица14[часы],Таблица14[коэф],"1,2",Таблица14[р/р],"5/24",Таблица14[Ф. И. О.],B385)</f>
        <v>0</v>
      </c>
      <c r="X385" s="521">
        <f t="shared" si="193"/>
        <v>0</v>
      </c>
      <c r="Y385" s="748"/>
      <c r="Z385" s="750"/>
      <c r="AA385" s="740"/>
    </row>
    <row r="386" spans="1:27" ht="18.75">
      <c r="A386" s="740"/>
      <c r="B386" s="201"/>
      <c r="C386" s="743"/>
      <c r="D386" s="746"/>
      <c r="E386" s="370"/>
      <c r="F386" s="367"/>
      <c r="G386" s="377"/>
      <c r="H386" s="520">
        <f t="shared" si="190"/>
        <v>0</v>
      </c>
      <c r="I386" s="366"/>
      <c r="J386" s="367"/>
      <c r="K386" s="411"/>
      <c r="L386" s="372">
        <f t="shared" si="191"/>
        <v>0</v>
      </c>
      <c r="M386" s="409"/>
      <c r="N386" s="411"/>
      <c r="O386" s="411"/>
      <c r="P386" s="411"/>
      <c r="Q386" s="376">
        <f>IF(D380&lt;=3,база!$L$4,
IF(D380=4,база!$L$5,
IF(D380=5,база!$L$6)))</f>
        <v>210.57480000000001</v>
      </c>
      <c r="R386" s="367">
        <v>1.3</v>
      </c>
      <c r="S386" s="377">
        <f>SUMIFS(Таблица14[часы],Таблица14[коэф],"1,3",Таблица14[р/р],"3/16",Таблица14[Ф. И. О.],B385)</f>
        <v>0</v>
      </c>
      <c r="T386" s="520">
        <f t="shared" si="192"/>
        <v>0</v>
      </c>
      <c r="U386" s="449">
        <f>IF(D380&lt;=3,база!$M$4,
IF(D380=4,база!$M$5,
IF(D380=5,база!$M$6)))</f>
        <v>225.09719999999999</v>
      </c>
      <c r="V386" s="367">
        <v>1.3</v>
      </c>
      <c r="W386" s="389">
        <f>SUMIFS(Таблица14[часы],Таблица14[коэф],"1,3",Таблица14[р/р],"3/24",Таблица14[Ф. И. О.],B385)</f>
        <v>0</v>
      </c>
      <c r="X386" s="521">
        <f t="shared" si="193"/>
        <v>0</v>
      </c>
      <c r="Y386" s="748"/>
      <c r="Z386" s="750"/>
      <c r="AA386" s="740"/>
    </row>
    <row r="387" spans="1:27" ht="18.75">
      <c r="A387" s="740"/>
      <c r="B387" s="201"/>
      <c r="C387" s="743"/>
      <c r="D387" s="746"/>
      <c r="E387" s="370"/>
      <c r="F387" s="367"/>
      <c r="G387" s="377"/>
      <c r="H387" s="520">
        <f t="shared" si="190"/>
        <v>0</v>
      </c>
      <c r="I387" s="366"/>
      <c r="J387" s="367"/>
      <c r="K387" s="411"/>
      <c r="L387" s="372">
        <f t="shared" si="191"/>
        <v>0</v>
      </c>
      <c r="M387" s="409"/>
      <c r="N387" s="411"/>
      <c r="O387" s="411"/>
      <c r="P387" s="411"/>
      <c r="Q387" s="376">
        <f>база!$L$5</f>
        <v>231.45480000000001</v>
      </c>
      <c r="R387" s="367">
        <v>1.3</v>
      </c>
      <c r="S387" s="377">
        <f>SUMIFS(Таблица14[часы],Таблица14[коэф],"1,3",Таблица14[р/р],"4/16",Таблица14[Ф. И. О.],B385)</f>
        <v>0</v>
      </c>
      <c r="T387" s="520">
        <f t="shared" si="192"/>
        <v>0</v>
      </c>
      <c r="U387" s="449">
        <f>база!$M$5</f>
        <v>247.41720000000001</v>
      </c>
      <c r="V387" s="367">
        <v>1.3</v>
      </c>
      <c r="W387" s="389">
        <f>SUMIFS(Таблица14[часы],Таблица14[коэф],"1,3",Таблица14[р/р],"4/24",Таблица14[Ф. И. О.],B385)</f>
        <v>0</v>
      </c>
      <c r="X387" s="521">
        <f t="shared" si="193"/>
        <v>0</v>
      </c>
      <c r="Y387" s="748"/>
      <c r="Z387" s="750"/>
      <c r="AA387" s="740"/>
    </row>
    <row r="388" spans="1:27" ht="18.75">
      <c r="A388" s="740"/>
      <c r="B388" s="201"/>
      <c r="C388" s="743"/>
      <c r="D388" s="746"/>
      <c r="E388" s="370"/>
      <c r="F388" s="367"/>
      <c r="G388" s="377"/>
      <c r="H388" s="520">
        <f t="shared" si="190"/>
        <v>0</v>
      </c>
      <c r="I388" s="366"/>
      <c r="J388" s="367"/>
      <c r="K388" s="411"/>
      <c r="L388" s="372">
        <f t="shared" si="191"/>
        <v>0</v>
      </c>
      <c r="M388" s="409"/>
      <c r="N388" s="411"/>
      <c r="O388" s="411"/>
      <c r="P388" s="411"/>
      <c r="Q388" s="376">
        <f>IF(D380&lt;=3,база!$L$4,
IF(D380=4,база!$L$5,
IF(D380=5,база!$L$6)))</f>
        <v>210.57480000000001</v>
      </c>
      <c r="R388" s="367">
        <v>1.4</v>
      </c>
      <c r="S388" s="377">
        <f>SUMIFS(Таблица14[часы],Таблица14[коэф],"1,4",Таблица14[р/р],"3/16",Таблица14[Ф. И. О.],B385)</f>
        <v>0</v>
      </c>
      <c r="T388" s="520">
        <f t="shared" si="192"/>
        <v>0</v>
      </c>
      <c r="U388" s="449">
        <f>IF(D380&lt;=3,база!$M$4,
IF(D380=4,база!$M$5,
IF(D380=5,база!$M$6)))</f>
        <v>225.09719999999999</v>
      </c>
      <c r="V388" s="367">
        <v>1.4</v>
      </c>
      <c r="W388" s="389">
        <f>SUMIFS(Таблица14[часы],Таблица14[коэф],"1,4",Таблица14[р/р],"3/24",Таблица14[Ф. И. О.],B385)</f>
        <v>0</v>
      </c>
      <c r="X388" s="521">
        <f t="shared" si="193"/>
        <v>0</v>
      </c>
      <c r="Y388" s="748"/>
      <c r="Z388" s="750"/>
      <c r="AA388" s="740"/>
    </row>
    <row r="389" spans="1:27" ht="18.75">
      <c r="A389" s="740"/>
      <c r="B389" s="201"/>
      <c r="C389" s="743"/>
      <c r="D389" s="746"/>
      <c r="E389" s="370"/>
      <c r="F389" s="367"/>
      <c r="G389" s="377"/>
      <c r="H389" s="520">
        <f t="shared" si="190"/>
        <v>0</v>
      </c>
      <c r="I389" s="366"/>
      <c r="J389" s="367"/>
      <c r="K389" s="411"/>
      <c r="L389" s="372">
        <f t="shared" si="191"/>
        <v>0</v>
      </c>
      <c r="M389" s="409"/>
      <c r="N389" s="411"/>
      <c r="O389" s="411"/>
      <c r="P389" s="411"/>
      <c r="Q389" s="376">
        <f>база!$L$5</f>
        <v>231.45480000000001</v>
      </c>
      <c r="R389" s="367">
        <v>1.4</v>
      </c>
      <c r="S389" s="377">
        <f>SUMIFS(Таблица14[часы],Таблица14[коэф],"1,4",Таблица14[р/р],"4/16",Таблица14[Ф. И. О.],B385)</f>
        <v>0</v>
      </c>
      <c r="T389" s="520">
        <f t="shared" si="192"/>
        <v>0</v>
      </c>
      <c r="U389" s="449">
        <f>база!$M$5</f>
        <v>247.41720000000001</v>
      </c>
      <c r="V389" s="367">
        <v>1.4</v>
      </c>
      <c r="W389" s="389">
        <f>SUMIFS(Таблица14[часы],Таблица14[коэф],"1,4",Таблица14[р/р],"4/24",Таблица14[Ф. И. О.],B385)</f>
        <v>0</v>
      </c>
      <c r="X389" s="521">
        <f t="shared" si="193"/>
        <v>0</v>
      </c>
      <c r="Y389" s="748"/>
      <c r="Z389" s="750"/>
      <c r="AA389" s="740"/>
    </row>
    <row r="390" spans="1:27" ht="19.5" thickBot="1">
      <c r="A390" s="741"/>
      <c r="B390" s="188"/>
      <c r="C390" s="744"/>
      <c r="D390" s="747"/>
      <c r="E390" s="440"/>
      <c r="F390" s="441"/>
      <c r="G390" s="442"/>
      <c r="H390" s="525">
        <f t="shared" si="190"/>
        <v>0</v>
      </c>
      <c r="I390" s="450"/>
      <c r="J390" s="441"/>
      <c r="K390" s="434"/>
      <c r="L390" s="435">
        <f t="shared" si="191"/>
        <v>0</v>
      </c>
      <c r="M390" s="443"/>
      <c r="N390" s="434"/>
      <c r="O390" s="434"/>
      <c r="P390" s="434"/>
      <c r="Q390" s="444">
        <f>база!$L$6</f>
        <v>261.04640000000001</v>
      </c>
      <c r="R390" s="441">
        <v>1.4</v>
      </c>
      <c r="S390" s="442">
        <f>SUMIFS(Таблица14[часы],Таблица14[коэф],"1,4",Таблица14[р/р],"5/16",Таблица14[Ф. И. О.],B385)</f>
        <v>0</v>
      </c>
      <c r="T390" s="525">
        <f t="shared" si="192"/>
        <v>0</v>
      </c>
      <c r="U390" s="451">
        <f>база!$M$6</f>
        <v>279.0496</v>
      </c>
      <c r="V390" s="441">
        <v>1.4</v>
      </c>
      <c r="W390" s="447">
        <f>SUMIFS(Таблица14[часы],Таблица14[коэф],"1,4",Таблица14[р/р],"5/24",Таблица14[Ф. И. О.],B385)</f>
        <v>0</v>
      </c>
      <c r="X390" s="523">
        <f t="shared" si="193"/>
        <v>0</v>
      </c>
      <c r="Y390" s="749"/>
      <c r="Z390" s="751"/>
      <c r="AA390" s="741"/>
    </row>
    <row r="391" spans="1:27" ht="18.75">
      <c r="A391" s="739">
        <v>36</v>
      </c>
      <c r="B391" s="219"/>
      <c r="C391" s="742">
        <f>INDEX(база!$E$2:$E$81, MATCH(B396,база!$B$2:$B$50,0))</f>
        <v>15888</v>
      </c>
      <c r="D391" s="745">
        <f>INDEX(база!$D$2:$D$89, MATCH(B396,база!$B$2:$B$50,0))</f>
        <v>3</v>
      </c>
      <c r="E391" s="358">
        <f>IF(D391&lt;=3,база!$I$4,
IF(D391=4,база!$I$5,
IF(D391=5,база!$I$6)))</f>
        <v>188.7912</v>
      </c>
      <c r="F391" s="355">
        <v>1</v>
      </c>
      <c r="G391" s="364">
        <f>SUMIFS(Таблица14[часы],Таблица14[коэф],"1",Таблица14[р/р],"2/4",Таблица14[Ф. И. О.],B396)</f>
        <v>0</v>
      </c>
      <c r="H391" s="357">
        <f>ROUND(E391*F391*G391*2,2)</f>
        <v>0</v>
      </c>
      <c r="I391" s="354">
        <f>IF(D391&lt;=3,база!$J$4,
IF(D391=4,база!$J$5,
IF(D391=5,база!$J$6)))</f>
        <v>196.05240000000001</v>
      </c>
      <c r="J391" s="355">
        <v>1</v>
      </c>
      <c r="K391" s="405">
        <f>SUMIFS(Таблица14[часы],Таблица14[коэф],"1",Таблица14[р/р],"2/8",Таблица14[Ф. И. О.],B396)</f>
        <v>0</v>
      </c>
      <c r="L391" s="360">
        <f>ROUND(I391*J391*K391*2,2)</f>
        <v>0</v>
      </c>
      <c r="M391" s="403"/>
      <c r="N391" s="405">
        <v>1</v>
      </c>
      <c r="O391" s="405">
        <f>SUMIFS(Data_Tech!$AM$3:$AM$67,Data_Tech!$E$3:$E$67,"1",Data_Tech!$G$3:$G$67,"3/12",Data_Tech!$F$3:$F$67,B396)</f>
        <v>0</v>
      </c>
      <c r="P391" s="405">
        <f>ROUND(M391*N391*O391,2)</f>
        <v>0</v>
      </c>
      <c r="Q391" s="363">
        <f>IF(D391&lt;=3,база!$L$4,
IF(D391=4,база!$L$5,
IF(D391=5,база!$L$6)))</f>
        <v>210.57480000000001</v>
      </c>
      <c r="R391" s="355">
        <v>1</v>
      </c>
      <c r="S391" s="364">
        <f>SUMIFS(Таблица14[часы],Таблица14[коэф],"1",Таблица14[р/р],"3/16",Таблица14[Ф. И. О.],B396)</f>
        <v>0</v>
      </c>
      <c r="T391" s="524">
        <f>ROUND(Q391*R391*S391*2,2)</f>
        <v>0</v>
      </c>
      <c r="U391" s="448">
        <f>IF(D391&lt;=3,база!$M$4,
IF(D391=4,база!$M$5,
IF(D391=5,база!$M$6)))</f>
        <v>225.09719999999999</v>
      </c>
      <c r="V391" s="355">
        <v>1</v>
      </c>
      <c r="W391" s="407">
        <f>SUMIFS(Таблица14[часы],Таблица14[коэф],"1",Таблица14[р/р],"3/24",Таблица14[Ф. И. О.],B396)</f>
        <v>0</v>
      </c>
      <c r="X391" s="519">
        <f>ROUND(U391*V391*W391*2,2)</f>
        <v>0</v>
      </c>
      <c r="Y391" s="748">
        <f t="shared" ref="Y391" si="194">SUM(G391:G401,K391:K401,O391:O401,S391:S401,W391:W401)</f>
        <v>0</v>
      </c>
      <c r="Z391" s="750">
        <f t="shared" ref="Z391" si="195">IFERROR(SUM(H391:H401,L391:L401,T391:T401,X391:X401),"")</f>
        <v>0</v>
      </c>
      <c r="AA391" s="740"/>
    </row>
    <row r="392" spans="1:27" ht="18.75">
      <c r="A392" s="740"/>
      <c r="B392" s="201"/>
      <c r="C392" s="743"/>
      <c r="D392" s="746"/>
      <c r="E392" s="370">
        <f>IF(D391&lt;=3,база!$I$4,
IF(D391=4,база!$I$5,
IF(D391=5,база!$I$6)))</f>
        <v>188.7912</v>
      </c>
      <c r="F392" s="367">
        <v>1</v>
      </c>
      <c r="G392" s="377">
        <f>SUMIFS(Таблица14[часы],Таблица14[коэф],"1",Таблица14[р/р],"3/4",Таблица14[Ф. И. О.],B396)</f>
        <v>0</v>
      </c>
      <c r="H392" s="518">
        <f t="shared" ref="H392:H401" si="196">ROUND(E392*F392*G392*2,2)</f>
        <v>0</v>
      </c>
      <c r="I392" s="366">
        <f>IF(D391&lt;=3,база!$J$4,
IF(D391=4,база!$J$5,
IF(D391=5,база!$J$6)))</f>
        <v>196.05240000000001</v>
      </c>
      <c r="J392" s="367">
        <v>1</v>
      </c>
      <c r="K392" s="411">
        <f>SUMIFS(Таблица14[часы],Таблица14[коэф],"1",Таблица14[р/р],"3/8",Таблица14[Ф. И. О.],B396)</f>
        <v>0</v>
      </c>
      <c r="L392" s="372">
        <f t="shared" ref="L392:L401" si="197">ROUND(I392*J392*K392*2,2)</f>
        <v>0</v>
      </c>
      <c r="M392" s="409"/>
      <c r="N392" s="411">
        <v>1</v>
      </c>
      <c r="O392" s="411">
        <f>SUMIFS(Data_Tech!$AM$3:$AM$67,Data_Tech!$E$3:$E$67,"1",Data_Tech!$G$3:$G$67,"4/12",Data_Tech!$F$3:$F$67,B396)</f>
        <v>0</v>
      </c>
      <c r="P392" s="411">
        <f>ROUND(M392*O392,2)</f>
        <v>0</v>
      </c>
      <c r="Q392" s="376">
        <f>база!$L$5</f>
        <v>231.45480000000001</v>
      </c>
      <c r="R392" s="367">
        <v>1</v>
      </c>
      <c r="S392" s="377">
        <f>SUMIFS(Таблица14[часы],Таблица14[коэф],"1",Таблица14[р/р],"4/16",Таблица14[Ф. И. О.],B396)</f>
        <v>0</v>
      </c>
      <c r="T392" s="520">
        <f t="shared" ref="T392:T401" si="198">ROUND(Q392*R392*S392*2,2)</f>
        <v>0</v>
      </c>
      <c r="U392" s="449">
        <f>база!$M$5</f>
        <v>247.41720000000001</v>
      </c>
      <c r="V392" s="367">
        <v>1</v>
      </c>
      <c r="W392" s="389">
        <f>SUMIFS(Таблица14[часы],Таблица14[коэф],"1",Таблица14[р/р],"4/24",Таблица14[Ф. И. О.],B396)</f>
        <v>0</v>
      </c>
      <c r="X392" s="521">
        <f t="shared" ref="X392:X401" si="199">ROUND(U392*V392*W392*2,2)</f>
        <v>0</v>
      </c>
      <c r="Y392" s="748"/>
      <c r="Z392" s="750"/>
      <c r="AA392" s="740"/>
    </row>
    <row r="393" spans="1:27" ht="18.75">
      <c r="A393" s="740"/>
      <c r="B393" s="201"/>
      <c r="C393" s="743"/>
      <c r="D393" s="746"/>
      <c r="E393" s="370"/>
      <c r="F393" s="367"/>
      <c r="G393" s="377"/>
      <c r="H393" s="520">
        <f t="shared" si="196"/>
        <v>0</v>
      </c>
      <c r="I393" s="366"/>
      <c r="J393" s="367"/>
      <c r="K393" s="411"/>
      <c r="L393" s="372">
        <f t="shared" si="197"/>
        <v>0</v>
      </c>
      <c r="M393" s="409"/>
      <c r="N393" s="411"/>
      <c r="O393" s="411"/>
      <c r="P393" s="411"/>
      <c r="Q393" s="376">
        <f>база!$L$6</f>
        <v>261.04640000000001</v>
      </c>
      <c r="R393" s="367">
        <v>1</v>
      </c>
      <c r="S393" s="377">
        <f>SUMIFS(Таблица14[часы],Таблица14[коэф],"1",Таблица14[р/р],"5/16",Таблица14[Ф. И. О.],B396)</f>
        <v>0</v>
      </c>
      <c r="T393" s="520">
        <f t="shared" si="198"/>
        <v>0</v>
      </c>
      <c r="U393" s="449">
        <f>база!$M$6</f>
        <v>279.0496</v>
      </c>
      <c r="V393" s="367">
        <v>1</v>
      </c>
      <c r="W393" s="389">
        <f>SUMIFS(Таблица14[часы],Таблица14[коэф],"1",Таблица14[р/р],"5/24",Таблица14[Ф. И. О.],B396)</f>
        <v>0</v>
      </c>
      <c r="X393" s="521">
        <f t="shared" si="199"/>
        <v>0</v>
      </c>
      <c r="Y393" s="748"/>
      <c r="Z393" s="750"/>
      <c r="AA393" s="740"/>
    </row>
    <row r="394" spans="1:27" ht="18.75">
      <c r="A394" s="740"/>
      <c r="B394" s="201"/>
      <c r="C394" s="743"/>
      <c r="D394" s="746"/>
      <c r="E394" s="370"/>
      <c r="F394" s="367"/>
      <c r="G394" s="377"/>
      <c r="H394" s="520">
        <f t="shared" si="196"/>
        <v>0</v>
      </c>
      <c r="I394" s="366">
        <f>база!$J$5</f>
        <v>215.4924</v>
      </c>
      <c r="J394" s="367">
        <v>1.5</v>
      </c>
      <c r="K394" s="411">
        <f>SUMIFS(Таблица14[часы],Таблица14[коэф],"1,5",Таблица14[р/р],"4/8",Таблица14[Ф. И. О.],B396)</f>
        <v>0</v>
      </c>
      <c r="L394" s="372">
        <f t="shared" si="197"/>
        <v>0</v>
      </c>
      <c r="M394" s="409"/>
      <c r="N394" s="411"/>
      <c r="O394" s="411"/>
      <c r="P394" s="411"/>
      <c r="Q394" s="376">
        <f>IF(D391&lt;=3,база!$L$4,
IF(D391=4,база!$L$5,
IF(D391=5,база!$L$6)))</f>
        <v>210.57480000000001</v>
      </c>
      <c r="R394" s="367">
        <v>1.2</v>
      </c>
      <c r="S394" s="377">
        <f>SUMIFS(Таблица14[часы],Таблица14[коэф],"1,2",Таблица14[р/р],"3/16",Таблица14[Ф. И. О.],B396)</f>
        <v>0</v>
      </c>
      <c r="T394" s="520">
        <f t="shared" si="198"/>
        <v>0</v>
      </c>
      <c r="U394" s="449">
        <f>IF(D391&lt;=3,база!$M$4,
IF(D391=4,база!$M$5,
IF(D391=5,база!$M$6)))</f>
        <v>225.09719999999999</v>
      </c>
      <c r="V394" s="367">
        <v>1.2</v>
      </c>
      <c r="W394" s="389">
        <f>SUMIFS(Таблица14[часы],Таблица14[коэф],"1,2",Таблица14[р/р],"3/24",Таблица14[Ф. И. О.],B396)</f>
        <v>0</v>
      </c>
      <c r="X394" s="521">
        <f t="shared" si="199"/>
        <v>0</v>
      </c>
      <c r="Y394" s="748"/>
      <c r="Z394" s="750"/>
      <c r="AA394" s="740"/>
    </row>
    <row r="395" spans="1:27" ht="18.75">
      <c r="A395" s="740"/>
      <c r="B395" s="201"/>
      <c r="C395" s="743"/>
      <c r="D395" s="746"/>
      <c r="E395" s="370"/>
      <c r="F395" s="367"/>
      <c r="G395" s="377"/>
      <c r="H395" s="520">
        <f t="shared" si="196"/>
        <v>0</v>
      </c>
      <c r="I395" s="366">
        <f>база!$J$6</f>
        <v>243.04319999999998</v>
      </c>
      <c r="J395" s="367">
        <v>1.5</v>
      </c>
      <c r="K395" s="411">
        <f>SUMIFS(Таблица14[часы],Таблица14[коэф],"1,5",Таблица14[р/р],"5/8",Таблица14[Ф. И. О.],B396)</f>
        <v>0</v>
      </c>
      <c r="L395" s="372">
        <f t="shared" si="197"/>
        <v>0</v>
      </c>
      <c r="M395" s="409"/>
      <c r="N395" s="411"/>
      <c r="O395" s="411"/>
      <c r="P395" s="411"/>
      <c r="Q395" s="376">
        <f>база!$L$5</f>
        <v>231.45480000000001</v>
      </c>
      <c r="R395" s="367">
        <v>1.2</v>
      </c>
      <c r="S395" s="377">
        <f>SUMIFS(Таблица14[часы],Таблица14[коэф],"1,2",Таблица14[р/р],"4/16",Таблица14[Ф. И. О.],B396)</f>
        <v>0</v>
      </c>
      <c r="T395" s="520">
        <f t="shared" si="198"/>
        <v>0</v>
      </c>
      <c r="U395" s="449">
        <f>база!$M$5</f>
        <v>247.41720000000001</v>
      </c>
      <c r="V395" s="367">
        <v>1.2</v>
      </c>
      <c r="W395" s="389">
        <f>SUMIFS(Таблица14[часы],Таблица14[коэф],"1,2",Таблица14[р/р],"4/24",Таблица14[Ф. И. О.],B396)</f>
        <v>0</v>
      </c>
      <c r="X395" s="521">
        <f t="shared" si="199"/>
        <v>0</v>
      </c>
      <c r="Y395" s="748"/>
      <c r="Z395" s="750"/>
      <c r="AA395" s="740"/>
    </row>
    <row r="396" spans="1:27" ht="18.75">
      <c r="A396" s="740"/>
      <c r="B396" s="201" t="str">
        <f>база!B37</f>
        <v>Коричева Юлия Владимировна</v>
      </c>
      <c r="C396" s="743"/>
      <c r="D396" s="746"/>
      <c r="E396" s="370"/>
      <c r="F396" s="367"/>
      <c r="G396" s="377"/>
      <c r="H396" s="520">
        <f t="shared" si="196"/>
        <v>0</v>
      </c>
      <c r="I396" s="366"/>
      <c r="J396" s="367"/>
      <c r="K396" s="411"/>
      <c r="L396" s="372">
        <f t="shared" si="197"/>
        <v>0</v>
      </c>
      <c r="M396" s="409"/>
      <c r="N396" s="411"/>
      <c r="O396" s="411"/>
      <c r="P396" s="411"/>
      <c r="Q396" s="376">
        <f>база!$L$6</f>
        <v>261.04640000000001</v>
      </c>
      <c r="R396" s="367">
        <v>1.2</v>
      </c>
      <c r="S396" s="377">
        <f>SUMIFS(Таблица14[часы],Таблица14[коэф],"1,2",Таблица14[р/р],"5/16",Таблица14[Ф. И. О.],B396)</f>
        <v>0</v>
      </c>
      <c r="T396" s="520">
        <f t="shared" si="198"/>
        <v>0</v>
      </c>
      <c r="U396" s="449">
        <f>база!$M$6</f>
        <v>279.0496</v>
      </c>
      <c r="V396" s="367">
        <v>1.2</v>
      </c>
      <c r="W396" s="389">
        <f>SUMIFS(Таблица14[часы],Таблица14[коэф],"1,2",Таблица14[р/р],"5/24",Таблица14[Ф. И. О.],B396)</f>
        <v>0</v>
      </c>
      <c r="X396" s="521">
        <f t="shared" si="199"/>
        <v>0</v>
      </c>
      <c r="Y396" s="748"/>
      <c r="Z396" s="750"/>
      <c r="AA396" s="740"/>
    </row>
    <row r="397" spans="1:27" ht="18.75">
      <c r="A397" s="740"/>
      <c r="B397" s="201"/>
      <c r="C397" s="743"/>
      <c r="D397" s="746"/>
      <c r="E397" s="370"/>
      <c r="F397" s="367"/>
      <c r="G397" s="377"/>
      <c r="H397" s="520">
        <f t="shared" si="196"/>
        <v>0</v>
      </c>
      <c r="I397" s="366"/>
      <c r="J397" s="367"/>
      <c r="K397" s="411"/>
      <c r="L397" s="372">
        <f t="shared" si="197"/>
        <v>0</v>
      </c>
      <c r="M397" s="409"/>
      <c r="N397" s="411"/>
      <c r="O397" s="411"/>
      <c r="P397" s="411"/>
      <c r="Q397" s="376">
        <f>IF(D391&lt;=3,база!$L$4,
IF(D391=4,база!$L$5,
IF(D391=5,база!$L$6)))</f>
        <v>210.57480000000001</v>
      </c>
      <c r="R397" s="367">
        <v>1.3</v>
      </c>
      <c r="S397" s="377">
        <f>SUMIFS(Таблица14[часы],Таблица14[коэф],"1,3",Таблица14[р/р],"3/16",Таблица14[Ф. И. О.],B396)</f>
        <v>0</v>
      </c>
      <c r="T397" s="520">
        <f t="shared" si="198"/>
        <v>0</v>
      </c>
      <c r="U397" s="449">
        <f>IF(D391&lt;=3,база!$M$4,
IF(D391=4,база!$M$5,
IF(D391=5,база!$M$6)))</f>
        <v>225.09719999999999</v>
      </c>
      <c r="V397" s="367">
        <v>1.3</v>
      </c>
      <c r="W397" s="389">
        <f>SUMIFS(Таблица14[часы],Таблица14[коэф],"1,3",Таблица14[р/р],"3/24",Таблица14[Ф. И. О.],B396)</f>
        <v>0</v>
      </c>
      <c r="X397" s="521">
        <f t="shared" si="199"/>
        <v>0</v>
      </c>
      <c r="Y397" s="748"/>
      <c r="Z397" s="750"/>
      <c r="AA397" s="740"/>
    </row>
    <row r="398" spans="1:27" ht="18.75">
      <c r="A398" s="740"/>
      <c r="B398" s="201"/>
      <c r="C398" s="743"/>
      <c r="D398" s="746"/>
      <c r="E398" s="370"/>
      <c r="F398" s="367"/>
      <c r="G398" s="377"/>
      <c r="H398" s="520">
        <f t="shared" si="196"/>
        <v>0</v>
      </c>
      <c r="I398" s="366"/>
      <c r="J398" s="367"/>
      <c r="K398" s="411"/>
      <c r="L398" s="372">
        <f t="shared" si="197"/>
        <v>0</v>
      </c>
      <c r="M398" s="409"/>
      <c r="N398" s="411"/>
      <c r="O398" s="411"/>
      <c r="P398" s="411"/>
      <c r="Q398" s="376">
        <f>база!$L$5</f>
        <v>231.45480000000001</v>
      </c>
      <c r="R398" s="367">
        <v>1.3</v>
      </c>
      <c r="S398" s="377">
        <f>SUMIFS(Таблица14[часы],Таблица14[коэф],"1,3",Таблица14[р/р],"4/16",Таблица14[Ф. И. О.],B396)</f>
        <v>0</v>
      </c>
      <c r="T398" s="520">
        <f t="shared" si="198"/>
        <v>0</v>
      </c>
      <c r="U398" s="449">
        <f>база!$M$5</f>
        <v>247.41720000000001</v>
      </c>
      <c r="V398" s="367">
        <v>1.3</v>
      </c>
      <c r="W398" s="389">
        <f>SUMIFS(Таблица14[часы],Таблица14[коэф],"1,3",Таблица14[р/р],"4/24",Таблица14[Ф. И. О.],B396)</f>
        <v>0</v>
      </c>
      <c r="X398" s="521">
        <f t="shared" si="199"/>
        <v>0</v>
      </c>
      <c r="Y398" s="748"/>
      <c r="Z398" s="750"/>
      <c r="AA398" s="740"/>
    </row>
    <row r="399" spans="1:27" ht="18.75">
      <c r="A399" s="740"/>
      <c r="B399" s="201"/>
      <c r="C399" s="743"/>
      <c r="D399" s="746"/>
      <c r="E399" s="370"/>
      <c r="F399" s="367"/>
      <c r="G399" s="377"/>
      <c r="H399" s="520">
        <f t="shared" si="196"/>
        <v>0</v>
      </c>
      <c r="I399" s="366"/>
      <c r="J399" s="367"/>
      <c r="K399" s="411"/>
      <c r="L399" s="372">
        <f t="shared" si="197"/>
        <v>0</v>
      </c>
      <c r="M399" s="409"/>
      <c r="N399" s="411"/>
      <c r="O399" s="411"/>
      <c r="P399" s="411"/>
      <c r="Q399" s="376">
        <f>IF(D391&lt;=3,база!$L$4,
IF(D391=4,база!$L$5,
IF(D391=5,база!$L$6)))</f>
        <v>210.57480000000001</v>
      </c>
      <c r="R399" s="367">
        <v>1.4</v>
      </c>
      <c r="S399" s="377">
        <f>SUMIFS(Таблица14[часы],Таблица14[коэф],"1,4",Таблица14[р/р],"3/16",Таблица14[Ф. И. О.],B396)</f>
        <v>0</v>
      </c>
      <c r="T399" s="520">
        <f t="shared" si="198"/>
        <v>0</v>
      </c>
      <c r="U399" s="449">
        <f>IF(D391&lt;=3,база!$M$4,
IF(D391=4,база!$M$5,
IF(D391=5,база!$M$6)))</f>
        <v>225.09719999999999</v>
      </c>
      <c r="V399" s="367">
        <v>1.4</v>
      </c>
      <c r="W399" s="389">
        <f>SUMIFS(Таблица14[часы],Таблица14[коэф],"1,4",Таблица14[р/р],"3/24",Таблица14[Ф. И. О.],B396)</f>
        <v>0</v>
      </c>
      <c r="X399" s="521">
        <f t="shared" si="199"/>
        <v>0</v>
      </c>
      <c r="Y399" s="748"/>
      <c r="Z399" s="750"/>
      <c r="AA399" s="740"/>
    </row>
    <row r="400" spans="1:27" ht="18.75">
      <c r="A400" s="740"/>
      <c r="B400" s="201"/>
      <c r="C400" s="743"/>
      <c r="D400" s="746"/>
      <c r="E400" s="370"/>
      <c r="F400" s="367"/>
      <c r="G400" s="377"/>
      <c r="H400" s="520">
        <f t="shared" si="196"/>
        <v>0</v>
      </c>
      <c r="I400" s="366"/>
      <c r="J400" s="367"/>
      <c r="K400" s="411"/>
      <c r="L400" s="372">
        <f t="shared" si="197"/>
        <v>0</v>
      </c>
      <c r="M400" s="409"/>
      <c r="N400" s="411"/>
      <c r="O400" s="411"/>
      <c r="P400" s="411"/>
      <c r="Q400" s="376">
        <f>база!$L$5</f>
        <v>231.45480000000001</v>
      </c>
      <c r="R400" s="367">
        <v>1.4</v>
      </c>
      <c r="S400" s="377">
        <f>SUMIFS(Таблица14[часы],Таблица14[коэф],"1,4",Таблица14[р/р],"4/16",Таблица14[Ф. И. О.],B396)</f>
        <v>0</v>
      </c>
      <c r="T400" s="520">
        <f t="shared" si="198"/>
        <v>0</v>
      </c>
      <c r="U400" s="449">
        <f>база!$M$5</f>
        <v>247.41720000000001</v>
      </c>
      <c r="V400" s="367">
        <v>1.4</v>
      </c>
      <c r="W400" s="389">
        <f>SUMIFS(Таблица14[часы],Таблица14[коэф],"1,4",Таблица14[р/р],"4/24",Таблица14[Ф. И. О.],B396)</f>
        <v>0</v>
      </c>
      <c r="X400" s="521">
        <f t="shared" si="199"/>
        <v>0</v>
      </c>
      <c r="Y400" s="748"/>
      <c r="Z400" s="750"/>
      <c r="AA400" s="740"/>
    </row>
    <row r="401" spans="1:27" ht="19.5" thickBot="1">
      <c r="A401" s="741"/>
      <c r="B401" s="188"/>
      <c r="C401" s="744"/>
      <c r="D401" s="747"/>
      <c r="E401" s="440"/>
      <c r="F401" s="441"/>
      <c r="G401" s="442"/>
      <c r="H401" s="525">
        <f t="shared" si="196"/>
        <v>0</v>
      </c>
      <c r="I401" s="450"/>
      <c r="J401" s="441"/>
      <c r="K401" s="434"/>
      <c r="L401" s="435">
        <f t="shared" si="197"/>
        <v>0</v>
      </c>
      <c r="M401" s="443"/>
      <c r="N401" s="434"/>
      <c r="O401" s="434"/>
      <c r="P401" s="434"/>
      <c r="Q401" s="444">
        <f>база!$L$6</f>
        <v>261.04640000000001</v>
      </c>
      <c r="R401" s="441">
        <v>1.4</v>
      </c>
      <c r="S401" s="442">
        <f>SUMIFS(Таблица14[часы],Таблица14[коэф],"1,4",Таблица14[р/р],"5/16",Таблица14[Ф. И. О.],B396)</f>
        <v>0</v>
      </c>
      <c r="T401" s="525">
        <f t="shared" si="198"/>
        <v>0</v>
      </c>
      <c r="U401" s="451">
        <f>база!$M$6</f>
        <v>279.0496</v>
      </c>
      <c r="V401" s="441">
        <v>1.4</v>
      </c>
      <c r="W401" s="447">
        <f>SUMIFS(Таблица14[часы],Таблица14[коэф],"1,4",Таблица14[р/р],"5/24",Таблица14[Ф. И. О.],B396)</f>
        <v>0</v>
      </c>
      <c r="X401" s="523">
        <f t="shared" si="199"/>
        <v>0</v>
      </c>
      <c r="Y401" s="749"/>
      <c r="Z401" s="751"/>
      <c r="AA401" s="741"/>
    </row>
    <row r="402" spans="1:27" ht="18.75">
      <c r="A402" s="739">
        <v>37</v>
      </c>
      <c r="B402" s="219"/>
      <c r="C402" s="742">
        <f>INDEX(база!$E$2:$E$81, MATCH(B407,база!$B$2:$B$50,0))</f>
        <v>16664</v>
      </c>
      <c r="D402" s="745">
        <f>INDEX(база!$D$2:$D$89, MATCH(B407,база!$B$2:$B$50,0))</f>
        <v>4</v>
      </c>
      <c r="E402" s="358">
        <f>IF(D402&lt;=3,база!$I$4,
IF(D402=4,база!$I$5,
IF(D402=5,база!$I$6)))</f>
        <v>207.5112</v>
      </c>
      <c r="F402" s="355">
        <v>1</v>
      </c>
      <c r="G402" s="364">
        <f>SUMIFS(Таблица14[часы],Таблица14[коэф],"1",Таблица14[р/р],"2/4",Таблица14[Ф. И. О.],B407)</f>
        <v>0</v>
      </c>
      <c r="H402" s="357">
        <f>ROUND(E402*F402*G402*2,2)</f>
        <v>0</v>
      </c>
      <c r="I402" s="354">
        <f>IF(D402&lt;=3,база!$J$4,
IF(D402=4,база!$J$5,
IF(D402=5,база!$J$6)))</f>
        <v>215.4924</v>
      </c>
      <c r="J402" s="355">
        <v>1</v>
      </c>
      <c r="K402" s="405">
        <f>SUMIFS(Таблица14[часы],Таблица14[коэф],"1",Таблица14[р/р],"2/8",Таблица14[Ф. И. О.],B407)</f>
        <v>0</v>
      </c>
      <c r="L402" s="360">
        <f>ROUND(I402*J402*K402*2,2)</f>
        <v>0</v>
      </c>
      <c r="M402" s="403"/>
      <c r="N402" s="405">
        <v>1</v>
      </c>
      <c r="O402" s="405">
        <f>SUMIFS(Data_Tech!$AM$3:$AM$67,Data_Tech!$E$3:$E$67,"1",Data_Tech!$G$3:$G$67,"3/12",Data_Tech!$F$3:$F$67,B407)</f>
        <v>0</v>
      </c>
      <c r="P402" s="405">
        <f>ROUND(M402*N402*O402,2)</f>
        <v>0</v>
      </c>
      <c r="Q402" s="363">
        <f>IF(D402&lt;=3,база!$L$4,
IF(D402=4,база!$L$5,
IF(D402=5,база!$L$6)))</f>
        <v>231.45480000000001</v>
      </c>
      <c r="R402" s="355">
        <v>1</v>
      </c>
      <c r="S402" s="364">
        <f>SUMIFS(Таблица14[часы],Таблица14[коэф],"1",Таблица14[р/р],"3/16",Таблица14[Ф. И. О.],B407)</f>
        <v>0</v>
      </c>
      <c r="T402" s="524">
        <f>ROUND(Q402*R402*S402*2,2)</f>
        <v>0</v>
      </c>
      <c r="U402" s="448">
        <f>IF(D402&lt;=3,база!$M$4,
IF(D402=4,база!$M$5,
IF(D402=5,база!$M$6)))</f>
        <v>247.41720000000001</v>
      </c>
      <c r="V402" s="355">
        <v>1</v>
      </c>
      <c r="W402" s="407">
        <f>SUMIFS(Таблица14[часы],Таблица14[коэф],"1",Таблица14[р/р],"3/24",Таблица14[Ф. И. О.],B407)</f>
        <v>0</v>
      </c>
      <c r="X402" s="519">
        <f>ROUND(U402*V402*W402*2,2)</f>
        <v>0</v>
      </c>
      <c r="Y402" s="748">
        <f t="shared" ref="Y402" si="200">SUM(G402:G412,K402:K412,O402:O412,S402:S412,W402:W412)</f>
        <v>0</v>
      </c>
      <c r="Z402" s="750">
        <f t="shared" ref="Z402" si="201">IFERROR(SUM(H402:H412,L402:L412,T402:T412,X402:X412),"")</f>
        <v>0</v>
      </c>
      <c r="AA402" s="740"/>
    </row>
    <row r="403" spans="1:27" ht="18.75">
      <c r="A403" s="740"/>
      <c r="B403" s="201"/>
      <c r="C403" s="743"/>
      <c r="D403" s="746"/>
      <c r="E403" s="370">
        <f>IF(D402&lt;=3,база!$I$4,
IF(D402=4,база!$I$5,
IF(D402=5,база!$I$6)))</f>
        <v>207.5112</v>
      </c>
      <c r="F403" s="367">
        <v>1</v>
      </c>
      <c r="G403" s="377">
        <f>SUMIFS(Таблица14[часы],Таблица14[коэф],"1",Таблица14[р/р],"3/4",Таблица14[Ф. И. О.],B407)</f>
        <v>0</v>
      </c>
      <c r="H403" s="518">
        <f t="shared" ref="H403:H412" si="202">ROUND(E403*F403*G403*2,2)</f>
        <v>0</v>
      </c>
      <c r="I403" s="366">
        <f>IF(D402&lt;=3,база!$J$4,
IF(D402=4,база!$J$5,
IF(D402=5,база!$J$6)))</f>
        <v>215.4924</v>
      </c>
      <c r="J403" s="367">
        <v>1</v>
      </c>
      <c r="K403" s="411">
        <f>SUMIFS(Таблица14[часы],Таблица14[коэф],"1",Таблица14[р/р],"3/8",Таблица14[Ф. И. О.],B407)</f>
        <v>0</v>
      </c>
      <c r="L403" s="372">
        <f t="shared" ref="L403:L412" si="203">ROUND(I403*J403*K403*2,2)</f>
        <v>0</v>
      </c>
      <c r="M403" s="409"/>
      <c r="N403" s="411">
        <v>1</v>
      </c>
      <c r="O403" s="411">
        <f>SUMIFS(Data_Tech!$AM$3:$AM$67,Data_Tech!$E$3:$E$67,"1",Data_Tech!$G$3:$G$67,"4/12",Data_Tech!$F$3:$F$67,B407)</f>
        <v>0</v>
      </c>
      <c r="P403" s="411">
        <f>ROUND(M403*O403,2)</f>
        <v>0</v>
      </c>
      <c r="Q403" s="376">
        <f>база!$L$5</f>
        <v>231.45480000000001</v>
      </c>
      <c r="R403" s="367">
        <v>1</v>
      </c>
      <c r="S403" s="377">
        <f>SUMIFS(Таблица14[часы],Таблица14[коэф],"1",Таблица14[р/р],"4/16",Таблица14[Ф. И. О.],B407)</f>
        <v>0</v>
      </c>
      <c r="T403" s="520">
        <f t="shared" ref="T403:T412" si="204">ROUND(Q403*R403*S403*2,2)</f>
        <v>0</v>
      </c>
      <c r="U403" s="449">
        <f>база!$M$5</f>
        <v>247.41720000000001</v>
      </c>
      <c r="V403" s="367">
        <v>1</v>
      </c>
      <c r="W403" s="389">
        <f>SUMIFS(Таблица14[часы],Таблица14[коэф],"1",Таблица14[р/р],"4/24",Таблица14[Ф. И. О.],B407)</f>
        <v>0</v>
      </c>
      <c r="X403" s="521">
        <f t="shared" ref="X403:X412" si="205">ROUND(U403*V403*W403*2,2)</f>
        <v>0</v>
      </c>
      <c r="Y403" s="748"/>
      <c r="Z403" s="750"/>
      <c r="AA403" s="740"/>
    </row>
    <row r="404" spans="1:27" ht="18.75">
      <c r="A404" s="740"/>
      <c r="B404" s="201"/>
      <c r="C404" s="743"/>
      <c r="D404" s="746"/>
      <c r="E404" s="370"/>
      <c r="F404" s="367"/>
      <c r="G404" s="377"/>
      <c r="H404" s="520">
        <f t="shared" si="202"/>
        <v>0</v>
      </c>
      <c r="I404" s="366"/>
      <c r="J404" s="367"/>
      <c r="K404" s="411"/>
      <c r="L404" s="372">
        <f t="shared" si="203"/>
        <v>0</v>
      </c>
      <c r="M404" s="409"/>
      <c r="N404" s="411"/>
      <c r="O404" s="411"/>
      <c r="P404" s="411"/>
      <c r="Q404" s="376">
        <f>база!$L$6</f>
        <v>261.04640000000001</v>
      </c>
      <c r="R404" s="367">
        <v>1</v>
      </c>
      <c r="S404" s="377">
        <f>SUMIFS(Таблица14[часы],Таблица14[коэф],"1",Таблица14[р/р],"5/16",Таблица14[Ф. И. О.],B407)</f>
        <v>0</v>
      </c>
      <c r="T404" s="520">
        <f t="shared" si="204"/>
        <v>0</v>
      </c>
      <c r="U404" s="449">
        <f>база!$M$6</f>
        <v>279.0496</v>
      </c>
      <c r="V404" s="367">
        <v>1</v>
      </c>
      <c r="W404" s="389">
        <f>SUMIFS(Таблица14[часы],Таблица14[коэф],"1",Таблица14[р/р],"5/24",Таблица14[Ф. И. О.],B407)</f>
        <v>0</v>
      </c>
      <c r="X404" s="521">
        <f t="shared" si="205"/>
        <v>0</v>
      </c>
      <c r="Y404" s="748"/>
      <c r="Z404" s="750"/>
      <c r="AA404" s="740"/>
    </row>
    <row r="405" spans="1:27" ht="18.75">
      <c r="A405" s="740"/>
      <c r="B405" s="201"/>
      <c r="C405" s="743"/>
      <c r="D405" s="746"/>
      <c r="E405" s="370"/>
      <c r="F405" s="367"/>
      <c r="G405" s="377"/>
      <c r="H405" s="520">
        <f t="shared" si="202"/>
        <v>0</v>
      </c>
      <c r="I405" s="366">
        <f>база!$J$5</f>
        <v>215.4924</v>
      </c>
      <c r="J405" s="367">
        <v>1.5</v>
      </c>
      <c r="K405" s="411">
        <f>SUMIFS(Таблица14[часы],Таблица14[коэф],"1,5",Таблица14[р/р],"4/8",Таблица14[Ф. И. О.],B407)</f>
        <v>0</v>
      </c>
      <c r="L405" s="372">
        <f t="shared" si="203"/>
        <v>0</v>
      </c>
      <c r="M405" s="409"/>
      <c r="N405" s="411"/>
      <c r="O405" s="411"/>
      <c r="P405" s="411"/>
      <c r="Q405" s="376">
        <f>IF(D402&lt;=3,база!$L$4,
IF(D402=4,база!$L$5,
IF(D402=5,база!$L$6)))</f>
        <v>231.45480000000001</v>
      </c>
      <c r="R405" s="367">
        <v>1.2</v>
      </c>
      <c r="S405" s="377">
        <f>SUMIFS(Таблица14[часы],Таблица14[коэф],"1,2",Таблица14[р/р],"3/16",Таблица14[Ф. И. О.],B407)</f>
        <v>0</v>
      </c>
      <c r="T405" s="520">
        <f t="shared" si="204"/>
        <v>0</v>
      </c>
      <c r="U405" s="449">
        <f>IF(D402&lt;=3,база!$M$4,
IF(D402=4,база!$M$5,
IF(D402=5,база!$M$6)))</f>
        <v>247.41720000000001</v>
      </c>
      <c r="V405" s="367">
        <v>1.2</v>
      </c>
      <c r="W405" s="389">
        <f>SUMIFS(Таблица14[часы],Таблица14[коэф],"1,2",Таблица14[р/р],"3/24",Таблица14[Ф. И. О.],B407)</f>
        <v>0</v>
      </c>
      <c r="X405" s="521">
        <f t="shared" si="205"/>
        <v>0</v>
      </c>
      <c r="Y405" s="748"/>
      <c r="Z405" s="750"/>
      <c r="AA405" s="740"/>
    </row>
    <row r="406" spans="1:27" ht="18.75">
      <c r="A406" s="740"/>
      <c r="B406" s="201"/>
      <c r="C406" s="743"/>
      <c r="D406" s="746"/>
      <c r="E406" s="370"/>
      <c r="F406" s="367"/>
      <c r="G406" s="377"/>
      <c r="H406" s="520">
        <f t="shared" si="202"/>
        <v>0</v>
      </c>
      <c r="I406" s="366">
        <f>база!$J$6</f>
        <v>243.04319999999998</v>
      </c>
      <c r="J406" s="367">
        <v>1.5</v>
      </c>
      <c r="K406" s="411">
        <f>SUMIFS(Таблица14[часы],Таблица14[коэф],"1,5",Таблица14[р/р],"5/8",Таблица14[Ф. И. О.],B407)</f>
        <v>0</v>
      </c>
      <c r="L406" s="372">
        <f t="shared" si="203"/>
        <v>0</v>
      </c>
      <c r="M406" s="409"/>
      <c r="N406" s="411"/>
      <c r="O406" s="411"/>
      <c r="P406" s="411"/>
      <c r="Q406" s="376">
        <f>база!$L$5</f>
        <v>231.45480000000001</v>
      </c>
      <c r="R406" s="367">
        <v>1.2</v>
      </c>
      <c r="S406" s="377">
        <f>SUMIFS(Таблица14[часы],Таблица14[коэф],"1,2",Таблица14[р/р],"4/16",Таблица14[Ф. И. О.],B407)</f>
        <v>0</v>
      </c>
      <c r="T406" s="520">
        <f t="shared" si="204"/>
        <v>0</v>
      </c>
      <c r="U406" s="449">
        <f>база!$M$5</f>
        <v>247.41720000000001</v>
      </c>
      <c r="V406" s="367">
        <v>1.2</v>
      </c>
      <c r="W406" s="389">
        <f>SUMIFS(Таблица14[часы],Таблица14[коэф],"1,2",Таблица14[р/р],"4/24",Таблица14[Ф. И. О.],B407)</f>
        <v>0</v>
      </c>
      <c r="X406" s="521">
        <f t="shared" si="205"/>
        <v>0</v>
      </c>
      <c r="Y406" s="748"/>
      <c r="Z406" s="750"/>
      <c r="AA406" s="740"/>
    </row>
    <row r="407" spans="1:27" ht="37.5">
      <c r="A407" s="740"/>
      <c r="B407" s="201" t="str">
        <f>база!B38</f>
        <v>Костюченко Александр Валентинович</v>
      </c>
      <c r="C407" s="743"/>
      <c r="D407" s="746"/>
      <c r="E407" s="370"/>
      <c r="F407" s="367"/>
      <c r="G407" s="377"/>
      <c r="H407" s="520">
        <f t="shared" si="202"/>
        <v>0</v>
      </c>
      <c r="I407" s="366"/>
      <c r="J407" s="367"/>
      <c r="K407" s="411"/>
      <c r="L407" s="372">
        <f t="shared" si="203"/>
        <v>0</v>
      </c>
      <c r="M407" s="409"/>
      <c r="N407" s="411"/>
      <c r="O407" s="411"/>
      <c r="P407" s="411"/>
      <c r="Q407" s="376">
        <f>база!$L$6</f>
        <v>261.04640000000001</v>
      </c>
      <c r="R407" s="367">
        <v>1.2</v>
      </c>
      <c r="S407" s="377">
        <f>SUMIFS(Таблица14[часы],Таблица14[коэф],"1,2",Таблица14[р/р],"5/16",Таблица14[Ф. И. О.],B407)</f>
        <v>0</v>
      </c>
      <c r="T407" s="520">
        <f t="shared" si="204"/>
        <v>0</v>
      </c>
      <c r="U407" s="449">
        <f>база!$M$6</f>
        <v>279.0496</v>
      </c>
      <c r="V407" s="367">
        <v>1.2</v>
      </c>
      <c r="W407" s="389">
        <f>SUMIFS(Таблица14[часы],Таблица14[коэф],"1,2",Таблица14[р/р],"5/24",Таблица14[Ф. И. О.],B407)</f>
        <v>0</v>
      </c>
      <c r="X407" s="521">
        <f t="shared" si="205"/>
        <v>0</v>
      </c>
      <c r="Y407" s="748"/>
      <c r="Z407" s="750"/>
      <c r="AA407" s="740"/>
    </row>
    <row r="408" spans="1:27" ht="18.75">
      <c r="A408" s="740"/>
      <c r="B408" s="201"/>
      <c r="C408" s="743"/>
      <c r="D408" s="746"/>
      <c r="E408" s="370"/>
      <c r="F408" s="367"/>
      <c r="G408" s="377"/>
      <c r="H408" s="520">
        <f t="shared" si="202"/>
        <v>0</v>
      </c>
      <c r="I408" s="366"/>
      <c r="J408" s="367"/>
      <c r="K408" s="411"/>
      <c r="L408" s="372">
        <f t="shared" si="203"/>
        <v>0</v>
      </c>
      <c r="M408" s="409"/>
      <c r="N408" s="411"/>
      <c r="O408" s="411"/>
      <c r="P408" s="411"/>
      <c r="Q408" s="376">
        <f>IF(D402&lt;=3,база!$L$4,
IF(D402=4,база!$L$5,
IF(D402=5,база!$L$6)))</f>
        <v>231.45480000000001</v>
      </c>
      <c r="R408" s="367">
        <v>1.3</v>
      </c>
      <c r="S408" s="377">
        <f>SUMIFS(Таблица14[часы],Таблица14[коэф],"1,3",Таблица14[р/р],"3/16",Таблица14[Ф. И. О.],B407)</f>
        <v>0</v>
      </c>
      <c r="T408" s="520">
        <f t="shared" si="204"/>
        <v>0</v>
      </c>
      <c r="U408" s="449">
        <f>IF(D402&lt;=3,база!$M$4,
IF(D402=4,база!$M$5,
IF(D402=5,база!$M$6)))</f>
        <v>247.41720000000001</v>
      </c>
      <c r="V408" s="367">
        <v>1.3</v>
      </c>
      <c r="W408" s="389">
        <f>SUMIFS(Таблица14[часы],Таблица14[коэф],"1,3",Таблица14[р/р],"3/24",Таблица14[Ф. И. О.],B407)</f>
        <v>0</v>
      </c>
      <c r="X408" s="521">
        <f t="shared" si="205"/>
        <v>0</v>
      </c>
      <c r="Y408" s="748"/>
      <c r="Z408" s="750"/>
      <c r="AA408" s="740"/>
    </row>
    <row r="409" spans="1:27" ht="18.75">
      <c r="A409" s="740"/>
      <c r="B409" s="201"/>
      <c r="C409" s="743"/>
      <c r="D409" s="746"/>
      <c r="E409" s="370"/>
      <c r="F409" s="367"/>
      <c r="G409" s="377"/>
      <c r="H409" s="520">
        <f t="shared" si="202"/>
        <v>0</v>
      </c>
      <c r="I409" s="366"/>
      <c r="J409" s="367"/>
      <c r="K409" s="411"/>
      <c r="L409" s="372">
        <f t="shared" si="203"/>
        <v>0</v>
      </c>
      <c r="M409" s="409"/>
      <c r="N409" s="411"/>
      <c r="O409" s="411"/>
      <c r="P409" s="411"/>
      <c r="Q409" s="376">
        <f>база!$L$5</f>
        <v>231.45480000000001</v>
      </c>
      <c r="R409" s="367">
        <v>1.3</v>
      </c>
      <c r="S409" s="377">
        <f>SUMIFS(Таблица14[часы],Таблица14[коэф],"1,3",Таблица14[р/р],"4/16",Таблица14[Ф. И. О.],B407)</f>
        <v>0</v>
      </c>
      <c r="T409" s="520">
        <f t="shared" si="204"/>
        <v>0</v>
      </c>
      <c r="U409" s="449">
        <f>база!$M$5</f>
        <v>247.41720000000001</v>
      </c>
      <c r="V409" s="367">
        <v>1.3</v>
      </c>
      <c r="W409" s="389">
        <f>SUMIFS(Таблица14[часы],Таблица14[коэф],"1,3",Таблица14[р/р],"4/24",Таблица14[Ф. И. О.],B407)</f>
        <v>0</v>
      </c>
      <c r="X409" s="521">
        <f t="shared" si="205"/>
        <v>0</v>
      </c>
      <c r="Y409" s="748"/>
      <c r="Z409" s="750"/>
      <c r="AA409" s="740"/>
    </row>
    <row r="410" spans="1:27" ht="18.75">
      <c r="A410" s="740"/>
      <c r="B410" s="201"/>
      <c r="C410" s="743"/>
      <c r="D410" s="746"/>
      <c r="E410" s="370"/>
      <c r="F410" s="367"/>
      <c r="G410" s="377"/>
      <c r="H410" s="520">
        <f t="shared" si="202"/>
        <v>0</v>
      </c>
      <c r="I410" s="366"/>
      <c r="J410" s="367"/>
      <c r="K410" s="411"/>
      <c r="L410" s="372">
        <f t="shared" si="203"/>
        <v>0</v>
      </c>
      <c r="M410" s="409"/>
      <c r="N410" s="411"/>
      <c r="O410" s="411"/>
      <c r="P410" s="411"/>
      <c r="Q410" s="376">
        <f>IF(D402&lt;=3,база!$L$4,
IF(D402=4,база!$L$5,
IF(D402=5,база!$L$6)))</f>
        <v>231.45480000000001</v>
      </c>
      <c r="R410" s="367">
        <v>1.4</v>
      </c>
      <c r="S410" s="377">
        <f>SUMIFS(Таблица14[часы],Таблица14[коэф],"1,4",Таблица14[р/р],"3/16",Таблица14[Ф. И. О.],B407)</f>
        <v>0</v>
      </c>
      <c r="T410" s="520">
        <f t="shared" si="204"/>
        <v>0</v>
      </c>
      <c r="U410" s="449">
        <f>IF(D402&lt;=3,база!$M$4,
IF(D402=4,база!$M$5,
IF(D402=5,база!$M$6)))</f>
        <v>247.41720000000001</v>
      </c>
      <c r="V410" s="367">
        <v>1.4</v>
      </c>
      <c r="W410" s="389">
        <f>SUMIFS(Таблица14[часы],Таблица14[коэф],"1,4",Таблица14[р/р],"3/24",Таблица14[Ф. И. О.],B407)</f>
        <v>0</v>
      </c>
      <c r="X410" s="521">
        <f t="shared" si="205"/>
        <v>0</v>
      </c>
      <c r="Y410" s="748"/>
      <c r="Z410" s="750"/>
      <c r="AA410" s="740"/>
    </row>
    <row r="411" spans="1:27" ht="18.75">
      <c r="A411" s="740"/>
      <c r="B411" s="201"/>
      <c r="C411" s="743"/>
      <c r="D411" s="746"/>
      <c r="E411" s="370"/>
      <c r="F411" s="367"/>
      <c r="G411" s="377"/>
      <c r="H411" s="520">
        <f t="shared" si="202"/>
        <v>0</v>
      </c>
      <c r="I411" s="366"/>
      <c r="J411" s="367"/>
      <c r="K411" s="411"/>
      <c r="L411" s="372">
        <f t="shared" si="203"/>
        <v>0</v>
      </c>
      <c r="M411" s="409"/>
      <c r="N411" s="411"/>
      <c r="O411" s="411"/>
      <c r="P411" s="411"/>
      <c r="Q411" s="376">
        <f>база!$L$5</f>
        <v>231.45480000000001</v>
      </c>
      <c r="R411" s="367">
        <v>1.4</v>
      </c>
      <c r="S411" s="377">
        <f>SUMIFS(Таблица14[часы],Таблица14[коэф],"1,4",Таблица14[р/р],"4/16",Таблица14[Ф. И. О.],B407)</f>
        <v>0</v>
      </c>
      <c r="T411" s="520">
        <f t="shared" si="204"/>
        <v>0</v>
      </c>
      <c r="U411" s="449">
        <f>база!$M$5</f>
        <v>247.41720000000001</v>
      </c>
      <c r="V411" s="367">
        <v>1.4</v>
      </c>
      <c r="W411" s="389">
        <f>SUMIFS(Таблица14[часы],Таблица14[коэф],"1,4",Таблица14[р/р],"4/24",Таблица14[Ф. И. О.],B407)</f>
        <v>0</v>
      </c>
      <c r="X411" s="521">
        <f t="shared" si="205"/>
        <v>0</v>
      </c>
      <c r="Y411" s="748"/>
      <c r="Z411" s="750"/>
      <c r="AA411" s="740"/>
    </row>
    <row r="412" spans="1:27" ht="19.5" thickBot="1">
      <c r="A412" s="741"/>
      <c r="B412" s="188"/>
      <c r="C412" s="744"/>
      <c r="D412" s="747"/>
      <c r="E412" s="440"/>
      <c r="F412" s="441"/>
      <c r="G412" s="442"/>
      <c r="H412" s="525">
        <f t="shared" si="202"/>
        <v>0</v>
      </c>
      <c r="I412" s="450"/>
      <c r="J412" s="441"/>
      <c r="K412" s="434"/>
      <c r="L412" s="435">
        <f t="shared" si="203"/>
        <v>0</v>
      </c>
      <c r="M412" s="443"/>
      <c r="N412" s="434"/>
      <c r="O412" s="434"/>
      <c r="P412" s="434"/>
      <c r="Q412" s="444">
        <f>база!$L$6</f>
        <v>261.04640000000001</v>
      </c>
      <c r="R412" s="441">
        <v>1.4</v>
      </c>
      <c r="S412" s="442">
        <f>SUMIFS(Таблица14[часы],Таблица14[коэф],"1,4",Таблица14[р/р],"5/16",Таблица14[Ф. И. О.],B407)</f>
        <v>0</v>
      </c>
      <c r="T412" s="525">
        <f t="shared" si="204"/>
        <v>0</v>
      </c>
      <c r="U412" s="451">
        <f>база!$M$6</f>
        <v>279.0496</v>
      </c>
      <c r="V412" s="441">
        <v>1.4</v>
      </c>
      <c r="W412" s="447">
        <f>SUMIFS(Таблица14[часы],Таблица14[коэф],"1,4",Таблица14[р/р],"5/24",Таблица14[Ф. И. О.],B407)</f>
        <v>0</v>
      </c>
      <c r="X412" s="523">
        <f t="shared" si="205"/>
        <v>0</v>
      </c>
      <c r="Y412" s="749"/>
      <c r="Z412" s="751"/>
      <c r="AA412" s="741"/>
    </row>
    <row r="413" spans="1:27" ht="18.75">
      <c r="A413" s="739">
        <v>38</v>
      </c>
      <c r="B413" s="219"/>
      <c r="C413" s="742">
        <f>INDEX(база!$E$2:$E$81, MATCH(B418,база!$B$2:$B$50,0))</f>
        <v>17271</v>
      </c>
      <c r="D413" s="745">
        <f>INDEX(база!$D$2:$D$89, MATCH(B418,база!$B$2:$B$50,0))</f>
        <v>3</v>
      </c>
      <c r="E413" s="358">
        <f>IF(D413&lt;=3,база!$I$4,
IF(D413=4,база!$I$5,
IF(D413=5,база!$I$6)))</f>
        <v>188.7912</v>
      </c>
      <c r="F413" s="355">
        <v>1</v>
      </c>
      <c r="G413" s="364">
        <f>SUMIFS(Таблица14[часы],Таблица14[коэф],"1",Таблица14[р/р],"2/4",Таблица14[Ф. И. О.],B418)</f>
        <v>0</v>
      </c>
      <c r="H413" s="357">
        <f>ROUND(E413*F413*G413*2,2)</f>
        <v>0</v>
      </c>
      <c r="I413" s="354">
        <f>IF(D413&lt;=3,база!$J$4,
IF(D413=4,база!$J$5,
IF(D413=5,база!$J$6)))</f>
        <v>196.05240000000001</v>
      </c>
      <c r="J413" s="355">
        <v>1</v>
      </c>
      <c r="K413" s="405">
        <f>SUMIFS(Таблица14[часы],Таблица14[коэф],"1",Таблица14[р/р],"2/8",Таблица14[Ф. И. О.],B418)</f>
        <v>0</v>
      </c>
      <c r="L413" s="360">
        <f>ROUND(I413*J413*K413*2,2)</f>
        <v>0</v>
      </c>
      <c r="M413" s="403"/>
      <c r="N413" s="405">
        <v>1</v>
      </c>
      <c r="O413" s="405">
        <f>SUMIFS(Data_Tech!$AM$3:$AM$67,Data_Tech!$E$3:$E$67,"1",Data_Tech!$G$3:$G$67,"3/12",Data_Tech!$F$3:$F$67,B418)</f>
        <v>0</v>
      </c>
      <c r="P413" s="405">
        <f>ROUND(M413*N413*O413,2)</f>
        <v>0</v>
      </c>
      <c r="Q413" s="363">
        <f>IF(D413&lt;=3,база!$L$4,
IF(D413=4,база!$L$5,
IF(D413=5,база!$L$6)))</f>
        <v>210.57480000000001</v>
      </c>
      <c r="R413" s="355">
        <v>1</v>
      </c>
      <c r="S413" s="364">
        <f>SUMIFS(Таблица14[часы],Таблица14[коэф],"1",Таблица14[р/р],"3/16",Таблица14[Ф. И. О.],B418)</f>
        <v>0</v>
      </c>
      <c r="T413" s="524">
        <f>ROUND(Q413*R413*S413*2,2)</f>
        <v>0</v>
      </c>
      <c r="U413" s="448">
        <f>IF(D413&lt;=3,база!$M$4,
IF(D413=4,база!$M$5,
IF(D413=5,база!$M$6)))</f>
        <v>225.09719999999999</v>
      </c>
      <c r="V413" s="355">
        <v>1</v>
      </c>
      <c r="W413" s="407">
        <f>SUMIFS(Таблица14[часы],Таблица14[коэф],"1",Таблица14[р/р],"3/24",Таблица14[Ф. И. О.],B418)</f>
        <v>0</v>
      </c>
      <c r="X413" s="519">
        <f>ROUND(U413*V413*W413*2,2)</f>
        <v>0</v>
      </c>
      <c r="Y413" s="748">
        <f t="shared" ref="Y413" si="206">SUM(G413:G423,K413:K423,O413:O423,S413:S423,W413:W423)</f>
        <v>0</v>
      </c>
      <c r="Z413" s="750">
        <f t="shared" ref="Z413" si="207">IFERROR(SUM(H413:H423,L413:L423,T413:T423,X413:X423),"")</f>
        <v>0</v>
      </c>
      <c r="AA413" s="740"/>
    </row>
    <row r="414" spans="1:27" ht="18.75">
      <c r="A414" s="740"/>
      <c r="B414" s="201"/>
      <c r="C414" s="743"/>
      <c r="D414" s="746"/>
      <c r="E414" s="370">
        <f>IF(D413&lt;=3,база!$I$4,
IF(D413=4,база!$I$5,
IF(D413=5,база!$I$6)))</f>
        <v>188.7912</v>
      </c>
      <c r="F414" s="367">
        <v>1</v>
      </c>
      <c r="G414" s="377">
        <f>SUMIFS(Таблица14[часы],Таблица14[коэф],"1",Таблица14[р/р],"3/4",Таблица14[Ф. И. О.],B418)</f>
        <v>0</v>
      </c>
      <c r="H414" s="518">
        <f t="shared" ref="H414:H423" si="208">ROUND(E414*F414*G414*2,2)</f>
        <v>0</v>
      </c>
      <c r="I414" s="366">
        <f>IF(D413&lt;=3,база!$J$4,
IF(D413=4,база!$J$5,
IF(D413=5,база!$J$6)))</f>
        <v>196.05240000000001</v>
      </c>
      <c r="J414" s="367">
        <v>1</v>
      </c>
      <c r="K414" s="411">
        <f>SUMIFS(Таблица14[часы],Таблица14[коэф],"1",Таблица14[р/р],"3/8",Таблица14[Ф. И. О.],B418)</f>
        <v>0</v>
      </c>
      <c r="L414" s="372">
        <f t="shared" ref="L414:L423" si="209">ROUND(I414*J414*K414*2,2)</f>
        <v>0</v>
      </c>
      <c r="M414" s="409"/>
      <c r="N414" s="411">
        <v>1</v>
      </c>
      <c r="O414" s="411">
        <f>SUMIFS(Data_Tech!$AM$3:$AM$67,Data_Tech!$E$3:$E$67,"1",Data_Tech!$G$3:$G$67,"4/12",Data_Tech!$F$3:$F$67,B418)</f>
        <v>0</v>
      </c>
      <c r="P414" s="411">
        <f>ROUND(M414*O414,2)</f>
        <v>0</v>
      </c>
      <c r="Q414" s="376">
        <f>база!$L$5</f>
        <v>231.45480000000001</v>
      </c>
      <c r="R414" s="367">
        <v>1</v>
      </c>
      <c r="S414" s="377">
        <f>SUMIFS(Таблица14[часы],Таблица14[коэф],"1",Таблица14[р/р],"4/16",Таблица14[Ф. И. О.],B418)</f>
        <v>0</v>
      </c>
      <c r="T414" s="520">
        <f t="shared" ref="T414:T423" si="210">ROUND(Q414*R414*S414*2,2)</f>
        <v>0</v>
      </c>
      <c r="U414" s="449">
        <f>база!$M$5</f>
        <v>247.41720000000001</v>
      </c>
      <c r="V414" s="367">
        <v>1</v>
      </c>
      <c r="W414" s="389">
        <f>SUMIFS(Таблица14[часы],Таблица14[коэф],"1",Таблица14[р/р],"4/24",Таблица14[Ф. И. О.],B418)</f>
        <v>0</v>
      </c>
      <c r="X414" s="521">
        <f t="shared" ref="X414:X423" si="211">ROUND(U414*V414*W414*2,2)</f>
        <v>0</v>
      </c>
      <c r="Y414" s="748"/>
      <c r="Z414" s="750"/>
      <c r="AA414" s="740"/>
    </row>
    <row r="415" spans="1:27" ht="18.75">
      <c r="A415" s="740"/>
      <c r="B415" s="201"/>
      <c r="C415" s="743"/>
      <c r="D415" s="746"/>
      <c r="E415" s="370"/>
      <c r="F415" s="367"/>
      <c r="G415" s="377"/>
      <c r="H415" s="520">
        <f t="shared" si="208"/>
        <v>0</v>
      </c>
      <c r="I415" s="366"/>
      <c r="J415" s="367"/>
      <c r="K415" s="411"/>
      <c r="L415" s="372">
        <f t="shared" si="209"/>
        <v>0</v>
      </c>
      <c r="M415" s="409"/>
      <c r="N415" s="411"/>
      <c r="O415" s="411"/>
      <c r="P415" s="411"/>
      <c r="Q415" s="376">
        <f>база!$L$6</f>
        <v>261.04640000000001</v>
      </c>
      <c r="R415" s="367">
        <v>1</v>
      </c>
      <c r="S415" s="377">
        <f>SUMIFS(Таблица14[часы],Таблица14[коэф],"1",Таблица14[р/р],"5/16",Таблица14[Ф. И. О.],B418)</f>
        <v>0</v>
      </c>
      <c r="T415" s="520">
        <f t="shared" si="210"/>
        <v>0</v>
      </c>
      <c r="U415" s="449">
        <f>база!$M$6</f>
        <v>279.0496</v>
      </c>
      <c r="V415" s="367">
        <v>1</v>
      </c>
      <c r="W415" s="389">
        <f>SUMIFS(Таблица14[часы],Таблица14[коэф],"1",Таблица14[р/р],"5/24",Таблица14[Ф. И. О.],B418)</f>
        <v>0</v>
      </c>
      <c r="X415" s="521">
        <f t="shared" si="211"/>
        <v>0</v>
      </c>
      <c r="Y415" s="748"/>
      <c r="Z415" s="750"/>
      <c r="AA415" s="740"/>
    </row>
    <row r="416" spans="1:27" ht="18.75">
      <c r="A416" s="740"/>
      <c r="B416" s="201"/>
      <c r="C416" s="743"/>
      <c r="D416" s="746"/>
      <c r="E416" s="370"/>
      <c r="F416" s="367"/>
      <c r="G416" s="377"/>
      <c r="H416" s="520">
        <f t="shared" si="208"/>
        <v>0</v>
      </c>
      <c r="I416" s="366">
        <f>база!$J$5</f>
        <v>215.4924</v>
      </c>
      <c r="J416" s="367">
        <v>1.5</v>
      </c>
      <c r="K416" s="411">
        <f>SUMIFS(Таблица14[часы],Таблица14[коэф],"1,5",Таблица14[р/р],"4/8",Таблица14[Ф. И. О.],B418)</f>
        <v>0</v>
      </c>
      <c r="L416" s="372">
        <f t="shared" si="209"/>
        <v>0</v>
      </c>
      <c r="M416" s="409"/>
      <c r="N416" s="411"/>
      <c r="O416" s="411"/>
      <c r="P416" s="411"/>
      <c r="Q416" s="376">
        <f>IF(D413&lt;=3,база!$L$4,
IF(D413=4,база!$L$5,
IF(D413=5,база!$L$6)))</f>
        <v>210.57480000000001</v>
      </c>
      <c r="R416" s="367">
        <v>1.2</v>
      </c>
      <c r="S416" s="377">
        <f>SUMIFS(Таблица14[часы],Таблица14[коэф],"1,2",Таблица14[р/р],"3/16",Таблица14[Ф. И. О.],B418)</f>
        <v>0</v>
      </c>
      <c r="T416" s="520">
        <f t="shared" si="210"/>
        <v>0</v>
      </c>
      <c r="U416" s="449">
        <f>IF(D413&lt;=3,база!$M$4,
IF(D413=4,база!$M$5,
IF(D413=5,база!$M$6)))</f>
        <v>225.09719999999999</v>
      </c>
      <c r="V416" s="367">
        <v>1.2</v>
      </c>
      <c r="W416" s="389">
        <f>SUMIFS(Таблица14[часы],Таблица14[коэф],"1,2",Таблица14[р/р],"3/24",Таблица14[Ф. И. О.],B418)</f>
        <v>0</v>
      </c>
      <c r="X416" s="521">
        <f t="shared" si="211"/>
        <v>0</v>
      </c>
      <c r="Y416" s="748"/>
      <c r="Z416" s="750"/>
      <c r="AA416" s="740"/>
    </row>
    <row r="417" spans="1:27" ht="18.75">
      <c r="A417" s="740"/>
      <c r="B417" s="201"/>
      <c r="C417" s="743"/>
      <c r="D417" s="746"/>
      <c r="E417" s="370"/>
      <c r="F417" s="367"/>
      <c r="G417" s="377"/>
      <c r="H417" s="520">
        <f t="shared" si="208"/>
        <v>0</v>
      </c>
      <c r="I417" s="366">
        <f>база!$J$6</f>
        <v>243.04319999999998</v>
      </c>
      <c r="J417" s="367">
        <v>1.5</v>
      </c>
      <c r="K417" s="411">
        <f>SUMIFS(Таблица14[часы],Таблица14[коэф],"1,5",Таблица14[р/р],"5/8",Таблица14[Ф. И. О.],B418)</f>
        <v>0</v>
      </c>
      <c r="L417" s="372">
        <f t="shared" si="209"/>
        <v>0</v>
      </c>
      <c r="M417" s="409"/>
      <c r="N417" s="411"/>
      <c r="O417" s="411"/>
      <c r="P417" s="411"/>
      <c r="Q417" s="376">
        <f>база!$L$5</f>
        <v>231.45480000000001</v>
      </c>
      <c r="R417" s="367">
        <v>1.2</v>
      </c>
      <c r="S417" s="377">
        <f>SUMIFS(Таблица14[часы],Таблица14[коэф],"1,2",Таблица14[р/р],"4/16",Таблица14[Ф. И. О.],B418)</f>
        <v>0</v>
      </c>
      <c r="T417" s="520">
        <f t="shared" si="210"/>
        <v>0</v>
      </c>
      <c r="U417" s="449">
        <f>база!$M$5</f>
        <v>247.41720000000001</v>
      </c>
      <c r="V417" s="367">
        <v>1.2</v>
      </c>
      <c r="W417" s="389">
        <f>SUMIFS(Таблица14[часы],Таблица14[коэф],"1,2",Таблица14[р/р],"4/24",Таблица14[Ф. И. О.],B418)</f>
        <v>0</v>
      </c>
      <c r="X417" s="521">
        <f t="shared" si="211"/>
        <v>0</v>
      </c>
      <c r="Y417" s="748"/>
      <c r="Z417" s="750"/>
      <c r="AA417" s="740"/>
    </row>
    <row r="418" spans="1:27" ht="18.75">
      <c r="A418" s="740"/>
      <c r="B418" s="201" t="str">
        <f>база!B39</f>
        <v>Кочеткова Мария Андреевна</v>
      </c>
      <c r="C418" s="743"/>
      <c r="D418" s="746"/>
      <c r="E418" s="370"/>
      <c r="F418" s="367"/>
      <c r="G418" s="377"/>
      <c r="H418" s="520">
        <f t="shared" si="208"/>
        <v>0</v>
      </c>
      <c r="I418" s="366"/>
      <c r="J418" s="367"/>
      <c r="K418" s="411"/>
      <c r="L418" s="372">
        <f t="shared" si="209"/>
        <v>0</v>
      </c>
      <c r="M418" s="409"/>
      <c r="N418" s="411"/>
      <c r="O418" s="411"/>
      <c r="P418" s="411"/>
      <c r="Q418" s="376">
        <f>база!$L$6</f>
        <v>261.04640000000001</v>
      </c>
      <c r="R418" s="367">
        <v>1.2</v>
      </c>
      <c r="S418" s="377">
        <f>SUMIFS(Таблица14[часы],Таблица14[коэф],"1,2",Таблица14[р/р],"5/16",Таблица14[Ф. И. О.],B418)</f>
        <v>0</v>
      </c>
      <c r="T418" s="520">
        <f t="shared" si="210"/>
        <v>0</v>
      </c>
      <c r="U418" s="449">
        <f>база!$M$6</f>
        <v>279.0496</v>
      </c>
      <c r="V418" s="367">
        <v>1.2</v>
      </c>
      <c r="W418" s="389">
        <f>SUMIFS(Таблица14[часы],Таблица14[коэф],"1,2",Таблица14[р/р],"5/24",Таблица14[Ф. И. О.],B418)</f>
        <v>0</v>
      </c>
      <c r="X418" s="521">
        <f t="shared" si="211"/>
        <v>0</v>
      </c>
      <c r="Y418" s="748"/>
      <c r="Z418" s="750"/>
      <c r="AA418" s="740"/>
    </row>
    <row r="419" spans="1:27" ht="18.75">
      <c r="A419" s="740"/>
      <c r="B419" s="201"/>
      <c r="C419" s="743"/>
      <c r="D419" s="746"/>
      <c r="E419" s="370"/>
      <c r="F419" s="367"/>
      <c r="G419" s="377"/>
      <c r="H419" s="520">
        <f t="shared" si="208"/>
        <v>0</v>
      </c>
      <c r="I419" s="366"/>
      <c r="J419" s="367"/>
      <c r="K419" s="411"/>
      <c r="L419" s="372">
        <f t="shared" si="209"/>
        <v>0</v>
      </c>
      <c r="M419" s="409"/>
      <c r="N419" s="411"/>
      <c r="O419" s="411"/>
      <c r="P419" s="411"/>
      <c r="Q419" s="376">
        <f>IF(D413&lt;=3,база!$L$4,
IF(D413=4,база!$L$5,
IF(D413=5,база!$L$6)))</f>
        <v>210.57480000000001</v>
      </c>
      <c r="R419" s="367">
        <v>1.3</v>
      </c>
      <c r="S419" s="377">
        <f>SUMIFS(Таблица14[часы],Таблица14[коэф],"1,3",Таблица14[р/р],"3/16",Таблица14[Ф. И. О.],B418)</f>
        <v>0</v>
      </c>
      <c r="T419" s="520">
        <f t="shared" si="210"/>
        <v>0</v>
      </c>
      <c r="U419" s="449">
        <f>IF(D413&lt;=3,база!$M$4,
IF(D413=4,база!$M$5,
IF(D413=5,база!$M$6)))</f>
        <v>225.09719999999999</v>
      </c>
      <c r="V419" s="367">
        <v>1.3</v>
      </c>
      <c r="W419" s="389">
        <f>SUMIFS(Таблица14[часы],Таблица14[коэф],"1,3",Таблица14[р/р],"3/24",Таблица14[Ф. И. О.],B418)</f>
        <v>0</v>
      </c>
      <c r="X419" s="521">
        <f t="shared" si="211"/>
        <v>0</v>
      </c>
      <c r="Y419" s="748"/>
      <c r="Z419" s="750"/>
      <c r="AA419" s="740"/>
    </row>
    <row r="420" spans="1:27" ht="18.75">
      <c r="A420" s="740"/>
      <c r="B420" s="201"/>
      <c r="C420" s="743"/>
      <c r="D420" s="746"/>
      <c r="E420" s="370"/>
      <c r="F420" s="367"/>
      <c r="G420" s="377"/>
      <c r="H420" s="520">
        <f t="shared" si="208"/>
        <v>0</v>
      </c>
      <c r="I420" s="366"/>
      <c r="J420" s="367"/>
      <c r="K420" s="411"/>
      <c r="L420" s="372">
        <f t="shared" si="209"/>
        <v>0</v>
      </c>
      <c r="M420" s="409"/>
      <c r="N420" s="411"/>
      <c r="O420" s="411"/>
      <c r="P420" s="411"/>
      <c r="Q420" s="376">
        <f>база!$L$5</f>
        <v>231.45480000000001</v>
      </c>
      <c r="R420" s="367">
        <v>1.3</v>
      </c>
      <c r="S420" s="377">
        <f>SUMIFS(Таблица14[часы],Таблица14[коэф],"1,3",Таблица14[р/р],"4/16",Таблица14[Ф. И. О.],B418)</f>
        <v>0</v>
      </c>
      <c r="T420" s="520">
        <f t="shared" si="210"/>
        <v>0</v>
      </c>
      <c r="U420" s="449">
        <f>база!$M$5</f>
        <v>247.41720000000001</v>
      </c>
      <c r="V420" s="367">
        <v>1.3</v>
      </c>
      <c r="W420" s="389">
        <f>SUMIFS(Таблица14[часы],Таблица14[коэф],"1,3",Таблица14[р/р],"4/24",Таблица14[Ф. И. О.],B418)</f>
        <v>0</v>
      </c>
      <c r="X420" s="521">
        <f t="shared" si="211"/>
        <v>0</v>
      </c>
      <c r="Y420" s="748"/>
      <c r="Z420" s="750"/>
      <c r="AA420" s="740"/>
    </row>
    <row r="421" spans="1:27" ht="18.75">
      <c r="A421" s="740"/>
      <c r="B421" s="201"/>
      <c r="C421" s="743"/>
      <c r="D421" s="746"/>
      <c r="E421" s="370"/>
      <c r="F421" s="367"/>
      <c r="G421" s="377"/>
      <c r="H421" s="520">
        <f t="shared" si="208"/>
        <v>0</v>
      </c>
      <c r="I421" s="366"/>
      <c r="J421" s="367"/>
      <c r="K421" s="411"/>
      <c r="L421" s="372">
        <f t="shared" si="209"/>
        <v>0</v>
      </c>
      <c r="M421" s="409"/>
      <c r="N421" s="411"/>
      <c r="O421" s="411"/>
      <c r="P421" s="411"/>
      <c r="Q421" s="376">
        <f>IF(D413&lt;=3,база!$L$4,
IF(D413=4,база!$L$5,
IF(D413=5,база!$L$6)))</f>
        <v>210.57480000000001</v>
      </c>
      <c r="R421" s="367">
        <v>1.4</v>
      </c>
      <c r="S421" s="377">
        <f>SUMIFS(Таблица14[часы],Таблица14[коэф],"1,4",Таблица14[р/р],"3/16",Таблица14[Ф. И. О.],B418)</f>
        <v>0</v>
      </c>
      <c r="T421" s="520">
        <f t="shared" si="210"/>
        <v>0</v>
      </c>
      <c r="U421" s="449">
        <f>IF(D413&lt;=3,база!$M$4,
IF(D413=4,база!$M$5,
IF(D413=5,база!$M$6)))</f>
        <v>225.09719999999999</v>
      </c>
      <c r="V421" s="367">
        <v>1.4</v>
      </c>
      <c r="W421" s="389">
        <f>SUMIFS(Таблица14[часы],Таблица14[коэф],"1,4",Таблица14[р/р],"3/24",Таблица14[Ф. И. О.],B418)</f>
        <v>0</v>
      </c>
      <c r="X421" s="521">
        <f t="shared" si="211"/>
        <v>0</v>
      </c>
      <c r="Y421" s="748"/>
      <c r="Z421" s="750"/>
      <c r="AA421" s="740"/>
    </row>
    <row r="422" spans="1:27" ht="18.75">
      <c r="A422" s="740"/>
      <c r="B422" s="201"/>
      <c r="C422" s="743"/>
      <c r="D422" s="746"/>
      <c r="E422" s="370"/>
      <c r="F422" s="367"/>
      <c r="G422" s="377"/>
      <c r="H422" s="520">
        <f t="shared" si="208"/>
        <v>0</v>
      </c>
      <c r="I422" s="366"/>
      <c r="J422" s="367"/>
      <c r="K422" s="411"/>
      <c r="L422" s="372">
        <f t="shared" si="209"/>
        <v>0</v>
      </c>
      <c r="M422" s="409"/>
      <c r="N422" s="411"/>
      <c r="O422" s="411"/>
      <c r="P422" s="411"/>
      <c r="Q422" s="376">
        <f>база!$L$5</f>
        <v>231.45480000000001</v>
      </c>
      <c r="R422" s="367">
        <v>1.4</v>
      </c>
      <c r="S422" s="377">
        <f>SUMIFS(Таблица14[часы],Таблица14[коэф],"1,4",Таблица14[р/р],"4/16",Таблица14[Ф. И. О.],B418)</f>
        <v>0</v>
      </c>
      <c r="T422" s="520">
        <f t="shared" si="210"/>
        <v>0</v>
      </c>
      <c r="U422" s="449">
        <f>база!$M$5</f>
        <v>247.41720000000001</v>
      </c>
      <c r="V422" s="367">
        <v>1.4</v>
      </c>
      <c r="W422" s="389">
        <f>SUMIFS(Таблица14[часы],Таблица14[коэф],"1,4",Таблица14[р/р],"4/24",Таблица14[Ф. И. О.],B418)</f>
        <v>0</v>
      </c>
      <c r="X422" s="521">
        <f t="shared" si="211"/>
        <v>0</v>
      </c>
      <c r="Y422" s="748"/>
      <c r="Z422" s="750"/>
      <c r="AA422" s="740"/>
    </row>
    <row r="423" spans="1:27" ht="19.5" thickBot="1">
      <c r="A423" s="741"/>
      <c r="B423" s="188"/>
      <c r="C423" s="744"/>
      <c r="D423" s="747"/>
      <c r="E423" s="440"/>
      <c r="F423" s="441"/>
      <c r="G423" s="442"/>
      <c r="H423" s="525">
        <f t="shared" si="208"/>
        <v>0</v>
      </c>
      <c r="I423" s="450"/>
      <c r="J423" s="441"/>
      <c r="K423" s="434"/>
      <c r="L423" s="435">
        <f t="shared" si="209"/>
        <v>0</v>
      </c>
      <c r="M423" s="443"/>
      <c r="N423" s="434"/>
      <c r="O423" s="434"/>
      <c r="P423" s="434"/>
      <c r="Q423" s="444">
        <f>база!$L$6</f>
        <v>261.04640000000001</v>
      </c>
      <c r="R423" s="441">
        <v>1.4</v>
      </c>
      <c r="S423" s="442">
        <f>SUMIFS(Таблица14[часы],Таблица14[коэф],"1,4",Таблица14[р/р],"5/16",Таблица14[Ф. И. О.],B418)</f>
        <v>0</v>
      </c>
      <c r="T423" s="525">
        <f t="shared" si="210"/>
        <v>0</v>
      </c>
      <c r="U423" s="451">
        <f>база!$M$6</f>
        <v>279.0496</v>
      </c>
      <c r="V423" s="441">
        <v>1.4</v>
      </c>
      <c r="W423" s="447">
        <f>SUMIFS(Таблица14[часы],Таблица14[коэф],"1,4",Таблица14[р/р],"5/24",Таблица14[Ф. И. О.],B418)</f>
        <v>0</v>
      </c>
      <c r="X423" s="523">
        <f t="shared" si="211"/>
        <v>0</v>
      </c>
      <c r="Y423" s="749"/>
      <c r="Z423" s="751"/>
      <c r="AA423" s="741"/>
    </row>
    <row r="424" spans="1:27" ht="18.75">
      <c r="A424" s="739">
        <v>39</v>
      </c>
      <c r="B424" s="201"/>
      <c r="C424" s="742">
        <f>INDEX(база!$E$2:$E$81, MATCH(B429,база!$B$2:$B$50,0))</f>
        <v>16944</v>
      </c>
      <c r="D424" s="745">
        <f>INDEX(база!$D$2:$D$89, MATCH(B429,база!$B$2:$B$50,0))</f>
        <v>3</v>
      </c>
      <c r="E424" s="354">
        <f>IF(D424&lt;=3,база!$I$4,
IF(D424=4,база!$I$5,
IF(D424=5,база!$I$6)))</f>
        <v>188.7912</v>
      </c>
      <c r="F424" s="355">
        <v>1</v>
      </c>
      <c r="G424" s="364">
        <f>SUMIFS(Таблица14[часы],Таблица14[коэф],"1",Таблица14[р/р],"2/4",Таблица14[Ф. И. О.],B429)</f>
        <v>0</v>
      </c>
      <c r="H424" s="357">
        <f>ROUND(E424*F424*G424*2,2)</f>
        <v>0</v>
      </c>
      <c r="I424" s="428">
        <f>IF(D424&lt;=3,база!$J$4,
IF(D424=4,база!$J$5,
IF(D424=5,база!$J$6)))</f>
        <v>196.05240000000001</v>
      </c>
      <c r="J424" s="394">
        <v>1</v>
      </c>
      <c r="K424" s="430">
        <f>SUMIFS(Таблица14[часы],Таблица14[коэф],"1",Таблица14[р/р],"2/8",Таблица14[Ф. И. О.],B429)</f>
        <v>0</v>
      </c>
      <c r="L424" s="430">
        <f>ROUND(I424*J424*K424*2,2)</f>
        <v>0</v>
      </c>
      <c r="M424" s="430"/>
      <c r="N424" s="430">
        <v>1</v>
      </c>
      <c r="O424" s="430">
        <f>SUMIFS(Data_Tech!$AM$3:$AM$67,Data_Tech!$E$3:$E$67,"1",Data_Tech!$G$3:$G$67,"3/12",Data_Tech!$F$3:$F$67,B429)</f>
        <v>0</v>
      </c>
      <c r="P424" s="375">
        <f>ROUND(M424*N424*O424,2)</f>
        <v>0</v>
      </c>
      <c r="Q424" s="354">
        <f>IF(D424&lt;=3,база!$L$4,
IF(D424=4,база!$L$5,
IF(D424=5,база!$L$6)))</f>
        <v>210.57480000000001</v>
      </c>
      <c r="R424" s="355">
        <v>1</v>
      </c>
      <c r="S424" s="364">
        <f>SUMIFS(Таблица14[часы],Таблица14[коэф],"1",Таблица14[р/р],"3/16",Таблица14[Ф. И. О.],B429)</f>
        <v>0</v>
      </c>
      <c r="T424" s="357">
        <f>ROUND(Q424*R424*S424*2,2)</f>
        <v>0</v>
      </c>
      <c r="U424" s="431">
        <f>IF(D424&lt;=3,база!$M$4,
IF(D424=4,база!$M$5,
IF(D424=5,база!$M$6)))</f>
        <v>225.09719999999999</v>
      </c>
      <c r="V424" s="394">
        <v>1</v>
      </c>
      <c r="W424" s="432">
        <f>SUMIFS(Таблица14[часы],Таблица14[коэф],"1",Таблица14[р/р],"3/24",Таблица14[Ф. И. О.],B429)</f>
        <v>0</v>
      </c>
      <c r="X424" s="519">
        <f>ROUND(U424*V424*W424*2,2)</f>
        <v>0</v>
      </c>
      <c r="Y424" s="748">
        <f t="shared" ref="Y424" si="212">SUM(G424:G434,K424:K434,O424:O434,S424:S434,W424:W434)</f>
        <v>0</v>
      </c>
      <c r="Z424" s="750">
        <f t="shared" ref="Z424" si="213">IFERROR(SUM(H424:H434,L424:L434,T424:T434,X424:X434),"")</f>
        <v>0</v>
      </c>
      <c r="AA424" s="740"/>
    </row>
    <row r="425" spans="1:27" ht="18.75">
      <c r="A425" s="740"/>
      <c r="B425" s="201"/>
      <c r="C425" s="743"/>
      <c r="D425" s="746"/>
      <c r="E425" s="366">
        <f>IF(D424&lt;=3,база!$I$4,
IF(D424=4,база!$I$5,
IF(D424=5,база!$I$6)))</f>
        <v>188.7912</v>
      </c>
      <c r="F425" s="367">
        <v>1</v>
      </c>
      <c r="G425" s="377">
        <f>SUMIFS(Таблица14[часы],Таблица14[коэф],"1",Таблица14[р/р],"3/4",Таблица14[Ф. И. О.],B429)</f>
        <v>0</v>
      </c>
      <c r="H425" s="518">
        <f t="shared" ref="H425:H434" si="214">ROUND(E425*F425*G425*2,2)</f>
        <v>0</v>
      </c>
      <c r="I425" s="366">
        <f>IF(D424&lt;=3,база!$J$4,
IF(D424=4,база!$J$5,
IF(D424=5,база!$J$6)))</f>
        <v>196.05240000000001</v>
      </c>
      <c r="J425" s="367">
        <v>1</v>
      </c>
      <c r="K425" s="411">
        <f>SUMIFS(Таблица14[часы],Таблица14[коэф],"1",Таблица14[р/р],"3/8",Таблица14[Ф. И. О.],B429)</f>
        <v>0</v>
      </c>
      <c r="L425" s="411">
        <f t="shared" ref="L425:L434" si="215">ROUND(I425*J425*K425*2,2)</f>
        <v>0</v>
      </c>
      <c r="M425" s="411"/>
      <c r="N425" s="411">
        <v>1</v>
      </c>
      <c r="O425" s="411">
        <f>SUMIFS(Data_Tech!$AM$3:$AM$67,Data_Tech!$E$3:$E$67,"1",Data_Tech!$G$3:$G$67,"4/12",Data_Tech!$F$3:$F$67,B429)</f>
        <v>0</v>
      </c>
      <c r="P425" s="383">
        <f>ROUND(M425*O425,2)</f>
        <v>0</v>
      </c>
      <c r="Q425" s="366">
        <f>база!$L$5</f>
        <v>231.45480000000001</v>
      </c>
      <c r="R425" s="367">
        <v>1</v>
      </c>
      <c r="S425" s="377">
        <f>SUMIFS(Таблица14[часы],Таблица14[коэф],"1",Таблица14[р/р],"4/16",Таблица14[Ф. И. О.],B429)</f>
        <v>0</v>
      </c>
      <c r="T425" s="369">
        <f t="shared" ref="T425:T434" si="216">ROUND(Q425*R425*S425*2,2)</f>
        <v>0</v>
      </c>
      <c r="U425" s="387">
        <f>база!$M$5</f>
        <v>247.41720000000001</v>
      </c>
      <c r="V425" s="367">
        <v>1</v>
      </c>
      <c r="W425" s="389">
        <f>SUMIFS(Таблица14[часы],Таблица14[коэф],"1",Таблица14[р/р],"4/24",Таблица14[Ф. И. О.],B429)</f>
        <v>0</v>
      </c>
      <c r="X425" s="521">
        <f t="shared" ref="X425:X434" si="217">ROUND(U425*V425*W425*2,2)</f>
        <v>0</v>
      </c>
      <c r="Y425" s="748"/>
      <c r="Z425" s="750"/>
      <c r="AA425" s="740"/>
    </row>
    <row r="426" spans="1:27" ht="18.75">
      <c r="A426" s="740"/>
      <c r="B426" s="201"/>
      <c r="C426" s="743"/>
      <c r="D426" s="746"/>
      <c r="E426" s="366"/>
      <c r="F426" s="367"/>
      <c r="G426" s="377"/>
      <c r="H426" s="369">
        <f t="shared" si="214"/>
        <v>0</v>
      </c>
      <c r="I426" s="370"/>
      <c r="J426" s="367"/>
      <c r="K426" s="411"/>
      <c r="L426" s="411">
        <f t="shared" si="215"/>
        <v>0</v>
      </c>
      <c r="M426" s="411"/>
      <c r="N426" s="411"/>
      <c r="O426" s="411"/>
      <c r="P426" s="383"/>
      <c r="Q426" s="366">
        <f>база!$L$6</f>
        <v>261.04640000000001</v>
      </c>
      <c r="R426" s="367">
        <v>1</v>
      </c>
      <c r="S426" s="377">
        <f>SUMIFS(Таблица14[часы],Таблица14[коэф],"1",Таблица14[р/р],"5/16",Таблица14[Ф. И. О.],B429)</f>
        <v>0</v>
      </c>
      <c r="T426" s="369">
        <f t="shared" si="216"/>
        <v>0</v>
      </c>
      <c r="U426" s="387">
        <f>база!$M$6</f>
        <v>279.0496</v>
      </c>
      <c r="V426" s="367">
        <v>1</v>
      </c>
      <c r="W426" s="389">
        <f>SUMIFS(Таблица14[часы],Таблица14[коэф],"1",Таблица14[р/р],"5/24",Таблица14[Ф. И. О.],B429)</f>
        <v>0</v>
      </c>
      <c r="X426" s="521">
        <f t="shared" si="217"/>
        <v>0</v>
      </c>
      <c r="Y426" s="748"/>
      <c r="Z426" s="750"/>
      <c r="AA426" s="740"/>
    </row>
    <row r="427" spans="1:27" ht="18.75">
      <c r="A427" s="740"/>
      <c r="B427" s="201"/>
      <c r="C427" s="743"/>
      <c r="D427" s="746"/>
      <c r="E427" s="366"/>
      <c r="F427" s="367"/>
      <c r="G427" s="377"/>
      <c r="H427" s="369">
        <f t="shared" si="214"/>
        <v>0</v>
      </c>
      <c r="I427" s="370">
        <f>база!$J$5</f>
        <v>215.4924</v>
      </c>
      <c r="J427" s="367">
        <v>1.5</v>
      </c>
      <c r="K427" s="411">
        <f>SUMIFS(Таблица14[часы],Таблица14[коэф],"1,5",Таблица14[р/р],"4/8",Таблица14[Ф. И. О.],B429)</f>
        <v>0</v>
      </c>
      <c r="L427" s="411">
        <f t="shared" si="215"/>
        <v>0</v>
      </c>
      <c r="M427" s="411"/>
      <c r="N427" s="411"/>
      <c r="O427" s="411"/>
      <c r="P427" s="383"/>
      <c r="Q427" s="366">
        <f>IF(D424&lt;=3,база!$L$4,
IF(D424=4,база!$L$5,
IF(D424=5,база!$L$6)))</f>
        <v>210.57480000000001</v>
      </c>
      <c r="R427" s="367">
        <v>1.2</v>
      </c>
      <c r="S427" s="377">
        <f>SUMIFS(Таблица14[часы],Таблица14[коэф],"1,2",Таблица14[р/р],"3/16",Таблица14[Ф. И. О.],B429)</f>
        <v>0</v>
      </c>
      <c r="T427" s="369">
        <f t="shared" si="216"/>
        <v>0</v>
      </c>
      <c r="U427" s="387">
        <f>IF(D424&lt;=3,база!$M$4,
IF(D424=4,база!$M$5,
IF(D424=5,база!$M$6)))</f>
        <v>225.09719999999999</v>
      </c>
      <c r="V427" s="367">
        <v>1.2</v>
      </c>
      <c r="W427" s="389">
        <f>SUMIFS(Таблица14[часы],Таблица14[коэф],"1,2",Таблица14[р/р],"3/24",Таблица14[Ф. И. О.],B429)</f>
        <v>0</v>
      </c>
      <c r="X427" s="521">
        <f t="shared" si="217"/>
        <v>0</v>
      </c>
      <c r="Y427" s="748"/>
      <c r="Z427" s="750"/>
      <c r="AA427" s="740"/>
    </row>
    <row r="428" spans="1:27" ht="18.75">
      <c r="A428" s="740"/>
      <c r="B428" s="201"/>
      <c r="C428" s="743"/>
      <c r="D428" s="746"/>
      <c r="E428" s="366"/>
      <c r="F428" s="367"/>
      <c r="G428" s="377"/>
      <c r="H428" s="369">
        <f t="shared" si="214"/>
        <v>0</v>
      </c>
      <c r="I428" s="370">
        <f>база!$J$6</f>
        <v>243.04319999999998</v>
      </c>
      <c r="J428" s="367">
        <v>1.5</v>
      </c>
      <c r="K428" s="411">
        <f>SUMIFS(Таблица14[часы],Таблица14[коэф],"1,5",Таблица14[р/р],"5/8",Таблица14[Ф. И. О.],B429)</f>
        <v>0</v>
      </c>
      <c r="L428" s="411">
        <f t="shared" si="215"/>
        <v>0</v>
      </c>
      <c r="M428" s="411"/>
      <c r="N428" s="411"/>
      <c r="O428" s="411"/>
      <c r="P428" s="383"/>
      <c r="Q428" s="366">
        <f>база!$L$5</f>
        <v>231.45480000000001</v>
      </c>
      <c r="R428" s="367">
        <v>1.2</v>
      </c>
      <c r="S428" s="377">
        <f>SUMIFS(Таблица14[часы],Таблица14[коэф],"1,2",Таблица14[р/р],"4/16",Таблица14[Ф. И. О.],B429)</f>
        <v>0</v>
      </c>
      <c r="T428" s="369">
        <f t="shared" si="216"/>
        <v>0</v>
      </c>
      <c r="U428" s="387">
        <f>база!$M$5</f>
        <v>247.41720000000001</v>
      </c>
      <c r="V428" s="367">
        <v>1.2</v>
      </c>
      <c r="W428" s="389">
        <f>SUMIFS(Таблица14[часы],Таблица14[коэф],"1,2",Таблица14[р/р],"4/24",Таблица14[Ф. И. О.],B429)</f>
        <v>0</v>
      </c>
      <c r="X428" s="521">
        <f t="shared" si="217"/>
        <v>0</v>
      </c>
      <c r="Y428" s="748"/>
      <c r="Z428" s="750"/>
      <c r="AA428" s="740"/>
    </row>
    <row r="429" spans="1:27" ht="37.5">
      <c r="A429" s="740"/>
      <c r="B429" s="201" t="str">
        <f>база!B40</f>
        <v>Кравченко Светлана Александровна</v>
      </c>
      <c r="C429" s="743"/>
      <c r="D429" s="746"/>
      <c r="E429" s="366"/>
      <c r="F429" s="367"/>
      <c r="G429" s="377"/>
      <c r="H429" s="369">
        <f t="shared" si="214"/>
        <v>0</v>
      </c>
      <c r="I429" s="370"/>
      <c r="J429" s="367"/>
      <c r="K429" s="411"/>
      <c r="L429" s="411">
        <f t="shared" si="215"/>
        <v>0</v>
      </c>
      <c r="M429" s="411"/>
      <c r="N429" s="411"/>
      <c r="O429" s="411"/>
      <c r="P429" s="383"/>
      <c r="Q429" s="366">
        <f>база!$L$6</f>
        <v>261.04640000000001</v>
      </c>
      <c r="R429" s="367">
        <v>1.2</v>
      </c>
      <c r="S429" s="377">
        <f>SUMIFS(Таблица14[часы],Таблица14[коэф],"1,2",Таблица14[р/р],"5/16",Таблица14[Ф. И. О.],B429)</f>
        <v>0</v>
      </c>
      <c r="T429" s="369">
        <f t="shared" si="216"/>
        <v>0</v>
      </c>
      <c r="U429" s="387">
        <f>база!$M$6</f>
        <v>279.0496</v>
      </c>
      <c r="V429" s="367">
        <v>1.2</v>
      </c>
      <c r="W429" s="389">
        <f>SUMIFS(Таблица14[часы],Таблица14[коэф],"1,2",Таблица14[р/р],"5/24",Таблица14[Ф. И. О.],B429)</f>
        <v>0</v>
      </c>
      <c r="X429" s="521">
        <f t="shared" si="217"/>
        <v>0</v>
      </c>
      <c r="Y429" s="748"/>
      <c r="Z429" s="750"/>
      <c r="AA429" s="740"/>
    </row>
    <row r="430" spans="1:27" ht="18.75">
      <c r="A430" s="740"/>
      <c r="B430" s="201"/>
      <c r="C430" s="743"/>
      <c r="D430" s="746"/>
      <c r="E430" s="366"/>
      <c r="F430" s="367"/>
      <c r="G430" s="377"/>
      <c r="H430" s="369">
        <f t="shared" si="214"/>
        <v>0</v>
      </c>
      <c r="I430" s="370"/>
      <c r="J430" s="367"/>
      <c r="K430" s="411"/>
      <c r="L430" s="411">
        <f t="shared" si="215"/>
        <v>0</v>
      </c>
      <c r="M430" s="411"/>
      <c r="N430" s="411"/>
      <c r="O430" s="411"/>
      <c r="P430" s="383"/>
      <c r="Q430" s="366">
        <f>IF(D424&lt;=3,база!$L$4,
IF(D424=4,база!$L$5,
IF(D424=5,база!$L$6)))</f>
        <v>210.57480000000001</v>
      </c>
      <c r="R430" s="367">
        <v>1.3</v>
      </c>
      <c r="S430" s="377">
        <f>SUMIFS(Таблица14[часы],Таблица14[коэф],"1,3",Таблица14[р/р],"3/16",Таблица14[Ф. И. О.],B429)</f>
        <v>0</v>
      </c>
      <c r="T430" s="369">
        <f t="shared" si="216"/>
        <v>0</v>
      </c>
      <c r="U430" s="387">
        <f>IF(D424&lt;=3,база!$M$4,
IF(D424=4,база!$M$5,
IF(D424=5,база!$M$6)))</f>
        <v>225.09719999999999</v>
      </c>
      <c r="V430" s="367">
        <v>1.3</v>
      </c>
      <c r="W430" s="389">
        <f>SUMIFS(Таблица14[часы],Таблица14[коэф],"1,3",Таблица14[р/р],"3/24",Таблица14[Ф. И. О.],B429)</f>
        <v>0</v>
      </c>
      <c r="X430" s="521">
        <f t="shared" si="217"/>
        <v>0</v>
      </c>
      <c r="Y430" s="748"/>
      <c r="Z430" s="750"/>
      <c r="AA430" s="740"/>
    </row>
    <row r="431" spans="1:27" ht="18.75">
      <c r="A431" s="740"/>
      <c r="B431" s="201"/>
      <c r="C431" s="743"/>
      <c r="D431" s="746"/>
      <c r="E431" s="366"/>
      <c r="F431" s="367"/>
      <c r="G431" s="377"/>
      <c r="H431" s="369">
        <f t="shared" si="214"/>
        <v>0</v>
      </c>
      <c r="I431" s="370"/>
      <c r="J431" s="367"/>
      <c r="K431" s="411"/>
      <c r="L431" s="411">
        <f t="shared" si="215"/>
        <v>0</v>
      </c>
      <c r="M431" s="411"/>
      <c r="N431" s="411"/>
      <c r="O431" s="411"/>
      <c r="P431" s="383"/>
      <c r="Q431" s="366">
        <f>база!$L$5</f>
        <v>231.45480000000001</v>
      </c>
      <c r="R431" s="367">
        <v>1.3</v>
      </c>
      <c r="S431" s="377">
        <f>SUMIFS(Таблица14[часы],Таблица14[коэф],"1,3",Таблица14[р/р],"4/16",Таблица14[Ф. И. О.],B429)</f>
        <v>0</v>
      </c>
      <c r="T431" s="369">
        <f t="shared" si="216"/>
        <v>0</v>
      </c>
      <c r="U431" s="387">
        <f>база!$M$5</f>
        <v>247.41720000000001</v>
      </c>
      <c r="V431" s="367">
        <v>1.3</v>
      </c>
      <c r="W431" s="389">
        <f>SUMIFS(Таблица14[часы],Таблица14[коэф],"1,3",Таблица14[р/р],"4/24",Таблица14[Ф. И. О.],B429)</f>
        <v>0</v>
      </c>
      <c r="X431" s="521">
        <f t="shared" si="217"/>
        <v>0</v>
      </c>
      <c r="Y431" s="748"/>
      <c r="Z431" s="750"/>
      <c r="AA431" s="740"/>
    </row>
    <row r="432" spans="1:27" ht="18.75">
      <c r="A432" s="740"/>
      <c r="B432" s="201"/>
      <c r="C432" s="743"/>
      <c r="D432" s="746"/>
      <c r="E432" s="366"/>
      <c r="F432" s="367"/>
      <c r="G432" s="377"/>
      <c r="H432" s="369">
        <f t="shared" si="214"/>
        <v>0</v>
      </c>
      <c r="I432" s="370"/>
      <c r="J432" s="367"/>
      <c r="K432" s="411"/>
      <c r="L432" s="411">
        <f t="shared" si="215"/>
        <v>0</v>
      </c>
      <c r="M432" s="411"/>
      <c r="N432" s="411"/>
      <c r="O432" s="411"/>
      <c r="P432" s="383"/>
      <c r="Q432" s="366">
        <f>IF(D424&lt;=3,база!$L$4,
IF(D424=4,база!$L$5,
IF(D424=5,база!$L$6)))</f>
        <v>210.57480000000001</v>
      </c>
      <c r="R432" s="367">
        <v>1.4</v>
      </c>
      <c r="S432" s="377">
        <f>SUMIFS(Таблица14[часы],Таблица14[коэф],"1,4",Таблица14[р/р],"3/16",Таблица14[Ф. И. О.],B429)</f>
        <v>0</v>
      </c>
      <c r="T432" s="369">
        <f t="shared" si="216"/>
        <v>0</v>
      </c>
      <c r="U432" s="387">
        <f>IF(D424&lt;=3,база!$M$4,
IF(D424=4,база!$M$5,
IF(D424=5,база!$M$6)))</f>
        <v>225.09719999999999</v>
      </c>
      <c r="V432" s="367">
        <v>1.4</v>
      </c>
      <c r="W432" s="389">
        <f>SUMIFS(Таблица14[часы],Таблица14[коэф],"1,4",Таблица14[р/р],"3/24",Таблица14[Ф. И. О.],B429)</f>
        <v>0</v>
      </c>
      <c r="X432" s="521">
        <f t="shared" si="217"/>
        <v>0</v>
      </c>
      <c r="Y432" s="748"/>
      <c r="Z432" s="750"/>
      <c r="AA432" s="740"/>
    </row>
    <row r="433" spans="1:27" ht="18.75">
      <c r="A433" s="740"/>
      <c r="B433" s="201"/>
      <c r="C433" s="743"/>
      <c r="D433" s="746"/>
      <c r="E433" s="366"/>
      <c r="F433" s="367"/>
      <c r="G433" s="377"/>
      <c r="H433" s="369">
        <f t="shared" si="214"/>
        <v>0</v>
      </c>
      <c r="I433" s="370"/>
      <c r="J433" s="367"/>
      <c r="K433" s="411"/>
      <c r="L433" s="411">
        <f t="shared" si="215"/>
        <v>0</v>
      </c>
      <c r="M433" s="411"/>
      <c r="N433" s="411"/>
      <c r="O433" s="411"/>
      <c r="P433" s="383"/>
      <c r="Q433" s="366">
        <f>база!$L$5</f>
        <v>231.45480000000001</v>
      </c>
      <c r="R433" s="367">
        <v>1.4</v>
      </c>
      <c r="S433" s="377">
        <f>SUMIFS(Таблица14[часы],Таблица14[коэф],"1,4",Таблица14[р/р],"4/16",Таблица14[Ф. И. О.],B429)</f>
        <v>0</v>
      </c>
      <c r="T433" s="369">
        <f t="shared" si="216"/>
        <v>0</v>
      </c>
      <c r="U433" s="387">
        <f>база!$M$5</f>
        <v>247.41720000000001</v>
      </c>
      <c r="V433" s="367">
        <v>1.4</v>
      </c>
      <c r="W433" s="389">
        <f>SUMIFS(Таблица14[часы],Таблица14[коэф],"1,4",Таблица14[р/р],"4/24",Таблица14[Ф. И. О.],B429)</f>
        <v>0</v>
      </c>
      <c r="X433" s="521">
        <f t="shared" si="217"/>
        <v>0</v>
      </c>
      <c r="Y433" s="748"/>
      <c r="Z433" s="750"/>
      <c r="AA433" s="740"/>
    </row>
    <row r="434" spans="1:27" ht="19.5" thickBot="1">
      <c r="A434" s="741"/>
      <c r="B434" s="201"/>
      <c r="C434" s="744"/>
      <c r="D434" s="747"/>
      <c r="E434" s="397"/>
      <c r="F434" s="380"/>
      <c r="G434" s="385"/>
      <c r="H434" s="386">
        <f t="shared" si="214"/>
        <v>0</v>
      </c>
      <c r="I434" s="399"/>
      <c r="J434" s="380"/>
      <c r="K434" s="437"/>
      <c r="L434" s="437">
        <f t="shared" si="215"/>
        <v>0</v>
      </c>
      <c r="M434" s="437"/>
      <c r="N434" s="437"/>
      <c r="O434" s="437"/>
      <c r="P434" s="456"/>
      <c r="Q434" s="397">
        <f>база!$L$6</f>
        <v>261.04640000000001</v>
      </c>
      <c r="R434" s="380">
        <v>1.4</v>
      </c>
      <c r="S434" s="385">
        <f>SUMIFS(Таблица14[часы],Таблица14[коэф],"1,4",Таблица14[р/р],"5/16",Таблица14[Ф. И. О.],B429)</f>
        <v>0</v>
      </c>
      <c r="T434" s="386">
        <f t="shared" si="216"/>
        <v>0</v>
      </c>
      <c r="U434" s="438">
        <f>база!$M$6</f>
        <v>279.0496</v>
      </c>
      <c r="V434" s="380">
        <v>1.4</v>
      </c>
      <c r="W434" s="503">
        <f>SUMIFS(Таблица14[часы],Таблица14[коэф],"1,4",Таблица14[р/р],"5/24",Таблица14[Ф. И. О.],B429)</f>
        <v>0</v>
      </c>
      <c r="X434" s="526">
        <f t="shared" si="217"/>
        <v>0</v>
      </c>
      <c r="Y434" s="749"/>
      <c r="Z434" s="751"/>
      <c r="AA434" s="741"/>
    </row>
    <row r="435" spans="1:27" ht="18.75">
      <c r="A435" s="739">
        <v>40</v>
      </c>
      <c r="B435" s="219"/>
      <c r="C435" s="742">
        <f>INDEX(база!$E$2:$E$81, MATCH(B440,база!$B$2:$B$50,0))</f>
        <v>17281</v>
      </c>
      <c r="D435" s="745">
        <f>INDEX(база!$D$2:$D$89, MATCH(B440,база!$B$2:$B$50,0))</f>
        <v>3</v>
      </c>
      <c r="E435" s="354">
        <f>IF(D435&lt;=3,база!$I$4,
IF(D435=4,база!$I$5,
IF(D435=5,база!$I$6)))</f>
        <v>188.7912</v>
      </c>
      <c r="F435" s="355">
        <v>1</v>
      </c>
      <c r="G435" s="364">
        <f>SUMIFS(Таблица14[часы],Таблица14[коэф],"1",Таблица14[р/р],"2/4",Таблица14[Ф. И. О.],B440)</f>
        <v>0</v>
      </c>
      <c r="H435" s="357">
        <f>SUMIFS(Таблица14[Столбец2],Таблица14[коэф],"1",Таблица14[р/р],"2/4",Таблица14[Ф. И. О.],B440)</f>
        <v>0</v>
      </c>
      <c r="I435" s="403">
        <f>IF(D435&lt;=3,база!$J$4,
IF(D435=4,база!$J$5,
IF(D435=5,база!$J$6)))</f>
        <v>196.05240000000001</v>
      </c>
      <c r="J435" s="404">
        <v>1</v>
      </c>
      <c r="K435" s="405">
        <f>SUMIFS(Таблица14[часы],Таблица14[коэф],"1",Таблица14[р/р],"2/8",Таблица14[Ф. И. О.],B440)</f>
        <v>0</v>
      </c>
      <c r="L435" s="405">
        <f>SUMIFS(Таблица14[Столбец2],Таблица14[коэф],"1",Таблица14[р/р],"2/8",Таблица14[Ф. И. О.],B440)</f>
        <v>0</v>
      </c>
      <c r="M435" s="405"/>
      <c r="N435" s="405">
        <v>1</v>
      </c>
      <c r="O435" s="405">
        <f>SUMIFS(Data_Tech!$AM$3:$AM$67,Data_Tech!$E$3:$E$67,"1",Data_Tech!$G$3:$G$67,"3/12",Data_Tech!$F$3:$F$67,B440)</f>
        <v>0</v>
      </c>
      <c r="P435" s="362">
        <f>ROUND(M435*N435*O435,2)</f>
        <v>0</v>
      </c>
      <c r="Q435" s="354">
        <f>IF(D435&lt;=3,база!$L$4,
IF(D435=4,база!$L$5,
IF(D435=5,база!$L$6)))</f>
        <v>210.57480000000001</v>
      </c>
      <c r="R435" s="355">
        <v>1</v>
      </c>
      <c r="S435" s="364">
        <f>SUMIFS(Таблица14[часы],Таблица14[коэф],"1",Таблица14[р/р],"3/16",Таблица14[Ф. И. О.],B440)</f>
        <v>0</v>
      </c>
      <c r="T435" s="357">
        <f>SUMIFS(Таблица14[Столбец2],Таблица14[коэф],"1",Таблица14[р/р],"3/16",Таблица14[Ф. И. О.],B440)</f>
        <v>0</v>
      </c>
      <c r="U435" s="454">
        <f>IF(D435&lt;=3,база!$M$4,
IF(D435=4,база!$M$5,
IF(D435=5,база!$M$6)))</f>
        <v>225.09719999999999</v>
      </c>
      <c r="V435" s="355">
        <v>1</v>
      </c>
      <c r="W435" s="407">
        <f>SUMIFS(Таблица14[часы],Таблица14[коэф],"1",Таблица14[р/р],"3/24",Таблица14[Ф. И. О.],B440)</f>
        <v>0</v>
      </c>
      <c r="X435" s="519">
        <f>SUMIFS(Таблица14[Столбец2],Таблица14[коэф],"1",Таблица14[р/р],"3/24",Таблица14[Ф. И. О.],B440)</f>
        <v>0</v>
      </c>
      <c r="Y435" s="748">
        <f t="shared" ref="Y435" si="218">SUM(G435:G445,K435:K445,O435:O445,S435:S445,W435:W445)</f>
        <v>0</v>
      </c>
      <c r="Z435" s="750">
        <f t="shared" ref="Z435" si="219">IFERROR(SUM(H435:H445,L435:L445,T435:T445,X435:X445),"")</f>
        <v>0</v>
      </c>
      <c r="AA435" s="740"/>
    </row>
    <row r="436" spans="1:27" ht="18.75">
      <c r="A436" s="740"/>
      <c r="B436" s="201"/>
      <c r="C436" s="743"/>
      <c r="D436" s="746"/>
      <c r="E436" s="366">
        <f>IF(D435&lt;=3,база!$I$4,
IF(D435=4,база!$I$5,
IF(D435=5,база!$I$6)))</f>
        <v>188.7912</v>
      </c>
      <c r="F436" s="367">
        <v>1</v>
      </c>
      <c r="G436" s="377">
        <f>SUMIFS(Таблица14[часы],Таблица14[коэф],"1",Таблица14[р/р],"3/4",Таблица14[Ф. И. О.],B440)</f>
        <v>0</v>
      </c>
      <c r="H436" s="369">
        <f>SUMIFS(Таблица14[Столбец2],Таблица14[коэф],"1",Таблица14[р/р],"3/4",Таблица14[Ф. И. О.],B440)</f>
        <v>0</v>
      </c>
      <c r="I436" s="409">
        <f>IF(D435&lt;=3,база!$J$4,
IF(D435=4,база!$J$5,
IF(D435=5,база!$J$6)))</f>
        <v>196.05240000000001</v>
      </c>
      <c r="J436" s="410">
        <v>1</v>
      </c>
      <c r="K436" s="411">
        <f>SUMIFS(Таблица14[часы],Таблица14[коэф],"1",Таблица14[р/р],"3/8",Таблица14[Ф. И. О.],B440)</f>
        <v>0</v>
      </c>
      <c r="L436" s="411">
        <f>SUMIFS(Таблица14[Столбец2],Таблица14[коэф],"1",Таблица14[р/р],"3/8",Таблица14[Ф. И. О.],B440)</f>
        <v>0</v>
      </c>
      <c r="M436" s="411"/>
      <c r="N436" s="411">
        <v>1</v>
      </c>
      <c r="O436" s="411">
        <f>SUMIFS(Data_Tech!$AM$3:$AM$67,Data_Tech!$E$3:$E$67,"1",Data_Tech!$G$3:$G$67,"4/12",Data_Tech!$F$3:$F$67,B440)</f>
        <v>0</v>
      </c>
      <c r="P436" s="383">
        <f>ROUND(M436*O436,2)</f>
        <v>0</v>
      </c>
      <c r="Q436" s="366">
        <f>база!$L$5</f>
        <v>231.45480000000001</v>
      </c>
      <c r="R436" s="367">
        <v>1</v>
      </c>
      <c r="S436" s="377">
        <f>SUMIFS(Таблица14[часы],Таблица14[коэф],"1",Таблица14[р/р],"4/16",Таблица14[Ф. И. О.],B440)</f>
        <v>0</v>
      </c>
      <c r="T436" s="369">
        <f>SUMIFS(Таблица14[Столбец2],Таблица14[коэф],"1",Таблица14[р/р],"4/16",Таблица14[Ф. И. О.],B440)</f>
        <v>0</v>
      </c>
      <c r="U436" s="455">
        <f>база!$M$5</f>
        <v>247.41720000000001</v>
      </c>
      <c r="V436" s="367">
        <v>1</v>
      </c>
      <c r="W436" s="389">
        <f>SUMIFS(Таблица14[часы],Таблица14[коэф],"1",Таблица14[р/р],"4/24",Таблица14[Ф. И. О.],B440)</f>
        <v>0</v>
      </c>
      <c r="X436" s="521">
        <f>SUMIFS(Таблица14[Столбец2],Таблица14[коэф],"1",Таблица14[р/р],"4/24",Таблица14[Ф. И. О.],B440)</f>
        <v>0</v>
      </c>
      <c r="Y436" s="748"/>
      <c r="Z436" s="750"/>
      <c r="AA436" s="740"/>
    </row>
    <row r="437" spans="1:27" ht="18.75">
      <c r="A437" s="740"/>
      <c r="B437" s="201"/>
      <c r="C437" s="743"/>
      <c r="D437" s="746"/>
      <c r="E437" s="366"/>
      <c r="F437" s="367"/>
      <c r="G437" s="377"/>
      <c r="H437" s="369"/>
      <c r="I437" s="409"/>
      <c r="J437" s="410"/>
      <c r="K437" s="411"/>
      <c r="L437" s="411"/>
      <c r="M437" s="411"/>
      <c r="N437" s="411"/>
      <c r="O437" s="411"/>
      <c r="P437" s="383"/>
      <c r="Q437" s="366">
        <f>база!$L$6</f>
        <v>261.04640000000001</v>
      </c>
      <c r="R437" s="367">
        <v>1</v>
      </c>
      <c r="S437" s="377">
        <f>SUMIFS(Таблица14[часы],Таблица14[коэф],"1",Таблица14[р/р],"5/16",Таблица14[Ф. И. О.],B440)</f>
        <v>0</v>
      </c>
      <c r="T437" s="369">
        <f>SUMIFS(Таблица14[Столбец2],Таблица14[коэф],"1",Таблица14[р/р],"5/16",Таблица14[Ф. И. О.],B440)</f>
        <v>0</v>
      </c>
      <c r="U437" s="455">
        <f>база!$M$6</f>
        <v>279.0496</v>
      </c>
      <c r="V437" s="367">
        <v>1</v>
      </c>
      <c r="W437" s="389">
        <f>SUMIFS(Таблица14[часы],Таблица14[коэф],"1",Таблица14[р/р],"5/24",Таблица14[Ф. И. О.],B440)</f>
        <v>0</v>
      </c>
      <c r="X437" s="521">
        <f>SUMIFS(Таблица14[Столбец2],Таблица14[коэф],"1",Таблица14[р/р],"5/24",Таблица14[Ф. И. О.],B440)</f>
        <v>0</v>
      </c>
      <c r="Y437" s="748"/>
      <c r="Z437" s="750"/>
      <c r="AA437" s="740"/>
    </row>
    <row r="438" spans="1:27" ht="18.75">
      <c r="A438" s="740"/>
      <c r="B438" s="201"/>
      <c r="C438" s="743"/>
      <c r="D438" s="746"/>
      <c r="E438" s="366"/>
      <c r="F438" s="367"/>
      <c r="G438" s="377"/>
      <c r="H438" s="369"/>
      <c r="I438" s="409">
        <f>база!$J$5</f>
        <v>215.4924</v>
      </c>
      <c r="J438" s="410">
        <v>1.5</v>
      </c>
      <c r="K438" s="411">
        <f>SUMIFS(Таблица14[часы],Таблица14[коэф],"1,5",Таблица14[р/р],"4/8",Таблица14[Ф. И. О.],B440)</f>
        <v>0</v>
      </c>
      <c r="L438" s="411">
        <f>SUMIFS(Таблица14[Столбец2],Таблица14[коэф],"1,5",Таблица14[р/р],"4/8",Таблица14[Ф. И. О.],B440)</f>
        <v>0</v>
      </c>
      <c r="M438" s="411"/>
      <c r="N438" s="411"/>
      <c r="O438" s="411"/>
      <c r="P438" s="383"/>
      <c r="Q438" s="366">
        <f>IF(D435&lt;=3,база!$L$4,
IF(D435=4,база!$L$5,
IF(D435=5,база!$L$6)))</f>
        <v>210.57480000000001</v>
      </c>
      <c r="R438" s="367">
        <v>1.2</v>
      </c>
      <c r="S438" s="377">
        <f>SUMIFS(Таблица14[часы],Таблица14[коэф],"1,2",Таблица14[р/р],"3/16",Таблица14[Ф. И. О.],B440)</f>
        <v>0</v>
      </c>
      <c r="T438" s="369">
        <f>SUMIFS(Таблица14[Столбец2],Таблица14[коэф],"1,2",Таблица14[р/р],"3/16",Таблица14[Ф. И. О.],B440)</f>
        <v>0</v>
      </c>
      <c r="U438" s="455">
        <f>IF(D435&lt;=3,база!$M$4,
IF(D435=4,база!$M$5,
IF(D435=5,база!$M$6)))</f>
        <v>225.09719999999999</v>
      </c>
      <c r="V438" s="367">
        <v>1.2</v>
      </c>
      <c r="W438" s="389">
        <f>SUMIFS(Таблица14[часы],Таблица14[коэф],"1,2",Таблица14[р/р],"3/24",Таблица14[Ф. И. О.],B440)</f>
        <v>0</v>
      </c>
      <c r="X438" s="521">
        <f>SUMIFS(Таблица14[Столбец2],Таблица14[коэф],"1,2",Таблица14[р/р],"3/24",Таблица14[Ф. И. О.],B440)</f>
        <v>0</v>
      </c>
      <c r="Y438" s="748"/>
      <c r="Z438" s="750"/>
      <c r="AA438" s="740"/>
    </row>
    <row r="439" spans="1:27" ht="18.75">
      <c r="A439" s="740"/>
      <c r="B439" s="201"/>
      <c r="C439" s="743"/>
      <c r="D439" s="746"/>
      <c r="E439" s="366"/>
      <c r="F439" s="367"/>
      <c r="G439" s="377"/>
      <c r="H439" s="369"/>
      <c r="I439" s="409">
        <f>база!$J$6</f>
        <v>243.04319999999998</v>
      </c>
      <c r="J439" s="410">
        <v>1.5</v>
      </c>
      <c r="K439" s="411">
        <f>SUMIFS(Таблица14[часы],Таблица14[коэф],"1,5",Таблица14[р/р],"5/8",Таблица14[Ф. И. О.],B440)</f>
        <v>0</v>
      </c>
      <c r="L439" s="411">
        <f>SUMIFS(Таблица14[Столбец2],Таблица14[коэф],"1,5",Таблица14[р/р],"5/8",Таблица14[Ф. И. О.],B440)</f>
        <v>0</v>
      </c>
      <c r="M439" s="411"/>
      <c r="N439" s="411"/>
      <c r="O439" s="411"/>
      <c r="P439" s="383"/>
      <c r="Q439" s="366">
        <f>база!$L$5</f>
        <v>231.45480000000001</v>
      </c>
      <c r="R439" s="367">
        <v>1.2</v>
      </c>
      <c r="S439" s="377">
        <f>SUMIFS(Таблица14[часы],Таблица14[коэф],"1,2",Таблица14[р/р],"4/16",Таблица14[Ф. И. О.],B440)</f>
        <v>0</v>
      </c>
      <c r="T439" s="369">
        <f>SUMIFS(Таблица14[Столбец2],Таблица14[коэф],"1,2",Таблица14[р/р],"4/16",Таблица14[Ф. И. О.],B440)</f>
        <v>0</v>
      </c>
      <c r="U439" s="455">
        <f>база!$M$5</f>
        <v>247.41720000000001</v>
      </c>
      <c r="V439" s="367">
        <v>1.2</v>
      </c>
      <c r="W439" s="389">
        <f>SUMIFS(Таблица14[часы],Таблица14[коэф],"1,2",Таблица14[р/р],"4/24",Таблица14[Ф. И. О.],B440)</f>
        <v>0</v>
      </c>
      <c r="X439" s="521">
        <f>SUMIFS(Таблица14[Столбец2],Таблица14[коэф],"1,2",Таблица14[р/р],"4/24",Таблица14[Ф. И. О.],B440)</f>
        <v>0</v>
      </c>
      <c r="Y439" s="748"/>
      <c r="Z439" s="750"/>
      <c r="AA439" s="740"/>
    </row>
    <row r="440" spans="1:27" ht="18.75">
      <c r="A440" s="740"/>
      <c r="B440" s="201" t="str">
        <f>база!B41</f>
        <v>Лапина Елена Сергеевна</v>
      </c>
      <c r="C440" s="743"/>
      <c r="D440" s="746"/>
      <c r="E440" s="366"/>
      <c r="F440" s="367"/>
      <c r="G440" s="377"/>
      <c r="H440" s="369"/>
      <c r="I440" s="409"/>
      <c r="J440" s="410"/>
      <c r="K440" s="411"/>
      <c r="L440" s="411"/>
      <c r="M440" s="411"/>
      <c r="N440" s="411"/>
      <c r="O440" s="411"/>
      <c r="P440" s="383"/>
      <c r="Q440" s="366">
        <f>база!$L$6</f>
        <v>261.04640000000001</v>
      </c>
      <c r="R440" s="367">
        <v>1.2</v>
      </c>
      <c r="S440" s="377">
        <f>SUMIFS(Таблица14[часы],Таблица14[коэф],"1,2",Таблица14[р/р],"5/16",Таблица14[Ф. И. О.],B440)</f>
        <v>0</v>
      </c>
      <c r="T440" s="369">
        <f>SUMIFS(Таблица14[Столбец2],Таблица14[коэф],"1,2",Таблица14[р/р],"5/16",Таблица14[Ф. И. О.],B440)</f>
        <v>0</v>
      </c>
      <c r="U440" s="455">
        <f>база!$M$6</f>
        <v>279.0496</v>
      </c>
      <c r="V440" s="367">
        <v>1.2</v>
      </c>
      <c r="W440" s="389">
        <f>SUMIFS(Таблица14[часы],Таблица14[коэф],"1,2",Таблица14[р/р],"5/24",Таблица14[Ф. И. О.],B440)</f>
        <v>0</v>
      </c>
      <c r="X440" s="521">
        <f>SUMIFS(Таблица14[Столбец2],Таблица14[коэф],"1,2",Таблица14[р/р],"5/24",Таблица14[Ф. И. О.],B440)</f>
        <v>0</v>
      </c>
      <c r="Y440" s="748"/>
      <c r="Z440" s="750"/>
      <c r="AA440" s="740"/>
    </row>
    <row r="441" spans="1:27" ht="18.75">
      <c r="A441" s="740"/>
      <c r="B441" s="201"/>
      <c r="C441" s="743"/>
      <c r="D441" s="746"/>
      <c r="E441" s="366"/>
      <c r="F441" s="367"/>
      <c r="G441" s="377"/>
      <c r="H441" s="369"/>
      <c r="I441" s="409"/>
      <c r="J441" s="410"/>
      <c r="K441" s="411"/>
      <c r="L441" s="411"/>
      <c r="M441" s="411"/>
      <c r="N441" s="411"/>
      <c r="O441" s="411"/>
      <c r="P441" s="383"/>
      <c r="Q441" s="366">
        <f>IF($D$6&lt;=3,база!$L$4,
IF($D$6=4,база!$L$5,
IF($D$6=5,база!$L$6)))</f>
        <v>231.45480000000001</v>
      </c>
      <c r="R441" s="367">
        <v>1.3</v>
      </c>
      <c r="S441" s="377">
        <f>SUMIFS(Таблица14[часы],Таблица14[коэф],"1,3",Таблица14[р/р],"3/16",Таблица14[Ф. И. О.],B440)</f>
        <v>0</v>
      </c>
      <c r="T441" s="369">
        <f>SUMIFS(Таблица14[Столбец2],Таблица14[коэф],"1,3",Таблица14[р/р],"3/16",Таблица14[Ф. И. О.],B440)</f>
        <v>0</v>
      </c>
      <c r="U441" s="455">
        <f>IF(D435&lt;=3,база!$M$4,
IF(D435=4,база!$M$5,
IF(D435=5,база!$M$6)))</f>
        <v>225.09719999999999</v>
      </c>
      <c r="V441" s="367">
        <v>1.3</v>
      </c>
      <c r="W441" s="389">
        <f>SUMIFS(Таблица14[часы],Таблица14[коэф],"1,3",Таблица14[р/р],"3/24",Таблица14[Ф. И. О.],B440)</f>
        <v>0</v>
      </c>
      <c r="X441" s="521">
        <f>SUMIFS(Таблица14[Столбец2],Таблица14[коэф],"1,3",Таблица14[р/р],"3/24",Таблица14[Ф. И. О.],B440)</f>
        <v>0</v>
      </c>
      <c r="Y441" s="748"/>
      <c r="Z441" s="750"/>
      <c r="AA441" s="740"/>
    </row>
    <row r="442" spans="1:27" ht="18.75">
      <c r="A442" s="740"/>
      <c r="B442" s="201"/>
      <c r="C442" s="743"/>
      <c r="D442" s="746"/>
      <c r="E442" s="366"/>
      <c r="F442" s="367"/>
      <c r="G442" s="377"/>
      <c r="H442" s="369"/>
      <c r="I442" s="409"/>
      <c r="J442" s="410"/>
      <c r="K442" s="411"/>
      <c r="L442" s="411"/>
      <c r="M442" s="411"/>
      <c r="N442" s="411"/>
      <c r="O442" s="411"/>
      <c r="P442" s="383"/>
      <c r="Q442" s="366">
        <f>база!$L$5</f>
        <v>231.45480000000001</v>
      </c>
      <c r="R442" s="367">
        <v>1.3</v>
      </c>
      <c r="S442" s="377">
        <f>SUMIFS(Таблица14[часы],Таблица14[коэф],"1,3",Таблица14[р/р],"4/16",Таблица14[Ф. И. О.],B440)</f>
        <v>0</v>
      </c>
      <c r="T442" s="369">
        <f>SUMIFS(Таблица14[Столбец2],Таблица14[коэф],"1,3",Таблица14[р/р],"4/16",Таблица14[Ф. И. О.],B440)</f>
        <v>0</v>
      </c>
      <c r="U442" s="455">
        <f>база!$M$5</f>
        <v>247.41720000000001</v>
      </c>
      <c r="V442" s="367">
        <v>1.3</v>
      </c>
      <c r="W442" s="389">
        <f>SUMIFS(Таблица14[часы],Таблица14[коэф],"1,3",Таблица14[р/р],"4/24",Таблица14[Ф. И. О.],B440)</f>
        <v>0</v>
      </c>
      <c r="X442" s="521">
        <f>SUMIFS(Таблица14[Столбец2],Таблица14[коэф],"1,3",Таблица14[р/р],"4/24",Таблица14[Ф. И. О.],B440)</f>
        <v>0</v>
      </c>
      <c r="Y442" s="748"/>
      <c r="Z442" s="750"/>
      <c r="AA442" s="740"/>
    </row>
    <row r="443" spans="1:27" ht="18.75">
      <c r="A443" s="740"/>
      <c r="B443" s="201"/>
      <c r="C443" s="743"/>
      <c r="D443" s="746"/>
      <c r="E443" s="366"/>
      <c r="F443" s="367"/>
      <c r="G443" s="377"/>
      <c r="H443" s="369"/>
      <c r="I443" s="409"/>
      <c r="J443" s="410"/>
      <c r="K443" s="411"/>
      <c r="L443" s="411"/>
      <c r="M443" s="411"/>
      <c r="N443" s="411"/>
      <c r="O443" s="411"/>
      <c r="P443" s="383"/>
      <c r="Q443" s="366">
        <f>IF(D435&lt;=3,база!$L$4,
IF(D435=4,база!$L$5,
IF(D435=5,база!$L$6)))</f>
        <v>210.57480000000001</v>
      </c>
      <c r="R443" s="367">
        <v>1.4</v>
      </c>
      <c r="S443" s="377">
        <f>SUMIFS(Таблица14[часы],Таблица14[коэф],"1,4",Таблица14[р/р],"3/16",Таблица14[Ф. И. О.],B440)</f>
        <v>0</v>
      </c>
      <c r="T443" s="369">
        <f>SUMIFS(Таблица14[Столбец2],Таблица14[коэф],"1,4",Таблица14[р/р],"3/16",Таблица14[Ф. И. О.],B440)</f>
        <v>0</v>
      </c>
      <c r="U443" s="455">
        <f>IF(D435&lt;=3,база!$M$4,
IF(D435=4,база!$M$5,
IF(D435=5,база!$M$6)))</f>
        <v>225.09719999999999</v>
      </c>
      <c r="V443" s="367">
        <v>1.4</v>
      </c>
      <c r="W443" s="389">
        <f>SUMIFS(Таблица14[часы],Таблица14[коэф],"1,4",Таблица14[р/р],"3/24",Таблица14[Ф. И. О.],B440)</f>
        <v>0</v>
      </c>
      <c r="X443" s="521">
        <f>SUMIFS(Таблица14[Столбец2],Таблица14[коэф],"1,4",Таблица14[р/р],"3/24",Таблица14[Ф. И. О.],B440)</f>
        <v>0</v>
      </c>
      <c r="Y443" s="748"/>
      <c r="Z443" s="750"/>
      <c r="AA443" s="740"/>
    </row>
    <row r="444" spans="1:27" ht="18.75">
      <c r="A444" s="740"/>
      <c r="B444" s="201"/>
      <c r="C444" s="743"/>
      <c r="D444" s="746"/>
      <c r="E444" s="366"/>
      <c r="F444" s="367"/>
      <c r="G444" s="377"/>
      <c r="H444" s="369"/>
      <c r="I444" s="409"/>
      <c r="J444" s="410"/>
      <c r="K444" s="411"/>
      <c r="L444" s="411"/>
      <c r="M444" s="411"/>
      <c r="N444" s="411"/>
      <c r="O444" s="411"/>
      <c r="P444" s="383"/>
      <c r="Q444" s="366">
        <f>база!$L$5</f>
        <v>231.45480000000001</v>
      </c>
      <c r="R444" s="367">
        <v>1.4</v>
      </c>
      <c r="S444" s="377">
        <f>SUMIFS(Таблица14[часы],Таблица14[коэф],"1,4",Таблица14[р/р],"4/16",Таблица14[Ф. И. О.],B440)</f>
        <v>0</v>
      </c>
      <c r="T444" s="369">
        <f>SUMIFS(Таблица14[Столбец2],Таблица14[коэф],"1,4",Таблица14[р/р],"4/16",Таблица14[Ф. И. О.],B440)</f>
        <v>0</v>
      </c>
      <c r="U444" s="455">
        <f>база!$M$5</f>
        <v>247.41720000000001</v>
      </c>
      <c r="V444" s="367">
        <v>1.4</v>
      </c>
      <c r="W444" s="389">
        <f>SUMIFS(Таблица14[часы],Таблица14[коэф],"1,4",Таблица14[р/р],"4/24",Таблица14[Ф. И. О.],B440)</f>
        <v>0</v>
      </c>
      <c r="X444" s="521">
        <f>SUMIFS(Таблица14[Столбец2],Таблица14[коэф],"1,4",Таблица14[р/р],"4/24",Таблица14[Ф. И. О.],B440)</f>
        <v>0</v>
      </c>
      <c r="Y444" s="748"/>
      <c r="Z444" s="750"/>
      <c r="AA444" s="740"/>
    </row>
    <row r="445" spans="1:27" ht="19.5" thickBot="1">
      <c r="A445" s="741"/>
      <c r="B445" s="188"/>
      <c r="C445" s="744"/>
      <c r="D445" s="747"/>
      <c r="E445" s="450"/>
      <c r="F445" s="441"/>
      <c r="G445" s="442"/>
      <c r="H445" s="445"/>
      <c r="I445" s="443"/>
      <c r="J445" s="433"/>
      <c r="K445" s="434"/>
      <c r="L445" s="434"/>
      <c r="M445" s="434"/>
      <c r="N445" s="434"/>
      <c r="O445" s="434"/>
      <c r="P445" s="453"/>
      <c r="Q445" s="450">
        <f>база!$L$6</f>
        <v>261.04640000000001</v>
      </c>
      <c r="R445" s="441">
        <v>1.4</v>
      </c>
      <c r="S445" s="442">
        <f>SUMIFS(Таблица14[часы],Таблица14[коэф],"1,4",Таблица14[р/р],"5/16",Таблица14[Ф. И. О.],B440)</f>
        <v>0</v>
      </c>
      <c r="T445" s="445">
        <f>SUMIFS(Таблица14[Столбец2],Таблица14[коэф],"1,4",Таблица14[р/р],"5/16",Таблица14[Ф. И. О.],B440)</f>
        <v>0</v>
      </c>
      <c r="U445" s="457">
        <f>база!$M$6</f>
        <v>279.0496</v>
      </c>
      <c r="V445" s="441">
        <v>1.4</v>
      </c>
      <c r="W445" s="447">
        <f>SUMIFS(Таблица14[часы],Таблица14[коэф],"1,4",Таблица14[р/р],"5/24",Таблица14[Ф. И. О.],B440)</f>
        <v>0</v>
      </c>
      <c r="X445" s="523">
        <f>SUMIFS(Таблица14[Столбец2],Таблица14[коэф],"1,4",Таблица14[р/р],"5/24",Таблица14[Ф. И. О.],B440)</f>
        <v>0</v>
      </c>
      <c r="Y445" s="749"/>
      <c r="Z445" s="751"/>
      <c r="AA445" s="741"/>
    </row>
    <row r="446" spans="1:27" ht="20.25" customHeight="1">
      <c r="A446" s="739">
        <v>41</v>
      </c>
      <c r="B446" s="219"/>
      <c r="C446" s="742">
        <f>INDEX(база!$E$2:$E$81, MATCH(B451,база!$B$2:$B$50,0))</f>
        <v>13859</v>
      </c>
      <c r="D446" s="745">
        <f>INDEX(база!$D$2:$D$89, MATCH(B451,база!$B$2:$B$50,0))</f>
        <v>4</v>
      </c>
      <c r="E446" s="578">
        <f>IF(D446&lt;=3,база!$I$4,
IF(D446=4,база!$I$5,
IF(D446=5,база!$I$6)))</f>
        <v>207.5112</v>
      </c>
      <c r="F446" s="579">
        <v>1</v>
      </c>
      <c r="G446" s="580">
        <f>SUMIFS(Таблица14[часы],Таблица14[коэф],"1",Таблица14[р/р],"2/4",Таблица14[Ф. И. О.],B451)</f>
        <v>0</v>
      </c>
      <c r="H446" s="495">
        <f>SUMIFS(Таблица14[Столбец2],Таблица14[коэф],"1",Таблица14[р/р],"2/4",Таблица14[Ф. И. О.],B451)</f>
        <v>0</v>
      </c>
      <c r="I446" s="581">
        <f>IF(D446&lt;=3,база!$J$4,
IF(D446=4,база!$J$5,
IF(D446=5,база!$J$6)))</f>
        <v>215.4924</v>
      </c>
      <c r="J446" s="582">
        <v>1</v>
      </c>
      <c r="K446" s="583">
        <f>SUMIFS(Таблица14[часы],Таблица14[коэф],"1",Таблица14[р/р],"2/8",Таблица14[Ф. И. О.],B451)</f>
        <v>0</v>
      </c>
      <c r="L446" s="583">
        <f>SUMIFS(Таблица14[Столбец2],Таблица14[коэф],"1",Таблица14[р/р],"2/8",Таблица14[Ф. И. О.],B451)</f>
        <v>0</v>
      </c>
      <c r="M446" s="583"/>
      <c r="N446" s="583">
        <v>1</v>
      </c>
      <c r="O446" s="583">
        <f>SUMIFS(Data_Tech!$AM$3:$AM$67,Data_Tech!$E$3:$E$67,"1",Data_Tech!$G$3:$G$67,"3/12",Data_Tech!$F$3:$F$67,B451)</f>
        <v>0</v>
      </c>
      <c r="P446" s="584">
        <f>ROUND(M446*N446*O446,2)</f>
        <v>0</v>
      </c>
      <c r="Q446" s="578">
        <f>IF(D446&lt;=3,база!$L$4,
IF(D446=4,база!$L$5,
IF(D446=5,база!$L$6)))</f>
        <v>231.45480000000001</v>
      </c>
      <c r="R446" s="579">
        <v>1</v>
      </c>
      <c r="S446" s="580">
        <f>SUMIFS(Таблица14[часы],Таблица14[коэф],"1",Таблица14[р/р],"3/16",Таблица14[Ф. И. О.],B451)</f>
        <v>0</v>
      </c>
      <c r="T446" s="495">
        <f>SUMIFS(Таблица14[Столбец2],Таблица14[коэф],"1",Таблица14[р/р],"3/16",Таблица14[Ф. И. О.],B451)</f>
        <v>0</v>
      </c>
      <c r="U446" s="585">
        <f>IF(D446&lt;=3,база!$M$4,
IF(D446=4,база!$M$5,
IF(D446=5,база!$M$6)))</f>
        <v>247.41720000000001</v>
      </c>
      <c r="V446" s="579">
        <v>1</v>
      </c>
      <c r="W446" s="586">
        <f>SUMIFS(Таблица14[часы],Таблица14[коэф],"1",Таблица14[р/р],"3/24",Таблица14[Ф. И. О.],B451)</f>
        <v>0</v>
      </c>
      <c r="X446" s="587">
        <f>SUMIFS(Таблица14[Столбец2],Таблица14[коэф],"1",Таблица14[р/р],"3/24",Таблица14[Ф. И. О.],B451)</f>
        <v>0</v>
      </c>
      <c r="Y446" s="753">
        <f t="shared" ref="Y446" si="220">SUM(G446:G456,K446:K456,O446:O456,S446:S456,W446:W456)</f>
        <v>0</v>
      </c>
      <c r="Z446" s="752">
        <f t="shared" ref="Z446" si="221">IFERROR(SUM(H446:H456,L446:L456,T446:T456,X446:X456),"")</f>
        <v>0</v>
      </c>
      <c r="AA446" s="739"/>
    </row>
    <row r="447" spans="1:27" ht="18.75">
      <c r="A447" s="740"/>
      <c r="B447" s="201"/>
      <c r="C447" s="743"/>
      <c r="D447" s="746"/>
      <c r="E447" s="414">
        <f>IF(D446&lt;=3,база!$I$4,
IF(D446=4,база!$I$5,
IF(D446=5,база!$I$6)))</f>
        <v>207.5112</v>
      </c>
      <c r="F447" s="367">
        <v>1</v>
      </c>
      <c r="G447" s="377">
        <f>SUMIFS(Таблица14[часы],Таблица14[коэф],"1",Таблица14[р/р],"3/4",Таблица14[Ф. И. О.],B451)</f>
        <v>0</v>
      </c>
      <c r="H447" s="417">
        <f>SUMIFS(Таблица14[Столбец2],Таблица14[коэф],"1",Таблица14[р/р],"3/4",Таблица14[Ф. И. О.],B451)</f>
        <v>0</v>
      </c>
      <c r="I447" s="418">
        <f>IF(D446&lt;=3,база!$J$4,
IF(D446=4,база!$J$5,
IF(D446=5,база!$J$6)))</f>
        <v>215.4924</v>
      </c>
      <c r="J447" s="575">
        <v>1</v>
      </c>
      <c r="K447" s="419">
        <f>SUMIFS(Таблица14[часы],Таблица14[коэф],"1",Таблица14[р/р],"3/8",Таблица14[Ф. И. О.],B451)</f>
        <v>0</v>
      </c>
      <c r="L447" s="419">
        <f>SUMIFS(Таблица14[Столбец2],Таблица14[коэф],"1",Таблица14[р/р],"3/8",Таблица14[Ф. И. О.],B451)</f>
        <v>0</v>
      </c>
      <c r="M447" s="419"/>
      <c r="N447" s="419">
        <v>1</v>
      </c>
      <c r="O447" s="419">
        <f>SUMIFS(Data_Tech!$AM$3:$AM$67,Data_Tech!$E$3:$E$67,"1",Data_Tech!$G$3:$G$67,"4/12",Data_Tech!$F$3:$F$67,B451)</f>
        <v>0</v>
      </c>
      <c r="P447" s="392">
        <f>ROUND(M447*O447,2)</f>
        <v>0</v>
      </c>
      <c r="Q447" s="414">
        <f>база!$L$5</f>
        <v>231.45480000000001</v>
      </c>
      <c r="R447" s="415">
        <v>1</v>
      </c>
      <c r="S447" s="416">
        <f>SUMIFS(Таблица14[часы],Таблица14[коэф],"1",Таблица14[р/р],"4/16",Таблица14[Ф. И. О.],B451)</f>
        <v>0</v>
      </c>
      <c r="T447" s="417">
        <f>SUMIFS(Таблица14[Столбец2],Таблица14[коэф],"1",Таблица14[р/р],"4/16",Таблица14[Ф. И. О.],B451)</f>
        <v>0</v>
      </c>
      <c r="U447" s="576">
        <f>база!$M$5</f>
        <v>247.41720000000001</v>
      </c>
      <c r="V447" s="415">
        <v>1</v>
      </c>
      <c r="W447" s="509">
        <f>SUMIFS(Таблица14[часы],Таблица14[коэф],"1",Таблица14[р/р],"4/24",Таблица14[Ф. И. О.],B451)</f>
        <v>0</v>
      </c>
      <c r="X447" s="577">
        <f>SUMIFS(Таблица14[Столбец2],Таблица14[коэф],"1",Таблица14[р/р],"4/24",Таблица14[Ф. И. О.],B451)</f>
        <v>0</v>
      </c>
      <c r="Y447" s="754"/>
      <c r="Z447" s="750"/>
      <c r="AA447" s="740"/>
    </row>
    <row r="448" spans="1:27" ht="18.75">
      <c r="A448" s="740"/>
      <c r="B448" s="201"/>
      <c r="C448" s="743"/>
      <c r="D448" s="746"/>
      <c r="E448" s="414"/>
      <c r="F448" s="367"/>
      <c r="G448" s="377"/>
      <c r="H448" s="417"/>
      <c r="I448" s="418"/>
      <c r="J448" s="575"/>
      <c r="K448" s="419"/>
      <c r="L448" s="419"/>
      <c r="M448" s="419"/>
      <c r="N448" s="419"/>
      <c r="O448" s="419"/>
      <c r="P448" s="392"/>
      <c r="Q448" s="414">
        <f>база!$L$6</f>
        <v>261.04640000000001</v>
      </c>
      <c r="R448" s="415">
        <v>1</v>
      </c>
      <c r="S448" s="416">
        <f>SUMIFS(Таблица14[часы],Таблица14[коэф],"1",Таблица14[р/р],"5/16",Таблица14[Ф. И. О.],B451)</f>
        <v>0</v>
      </c>
      <c r="T448" s="417">
        <f>SUMIFS(Таблица14[Столбец2],Таблица14[коэф],"1",Таблица14[р/р],"5/16",Таблица14[Ф. И. О.],B451)</f>
        <v>0</v>
      </c>
      <c r="U448" s="576">
        <f>база!$M$6</f>
        <v>279.0496</v>
      </c>
      <c r="V448" s="415">
        <v>1</v>
      </c>
      <c r="W448" s="509">
        <f>SUMIFS(Таблица14[часы],Таблица14[коэф],"1",Таблица14[р/р],"5/24",Таблица14[Ф. И. О.],B451)</f>
        <v>0</v>
      </c>
      <c r="X448" s="577">
        <f>SUMIFS(Таблица14[Столбец2],Таблица14[коэф],"1",Таблица14[р/р],"5/24",Таблица14[Ф. И. О.],B451)</f>
        <v>0</v>
      </c>
      <c r="Y448" s="754"/>
      <c r="Z448" s="750"/>
      <c r="AA448" s="740"/>
    </row>
    <row r="449" spans="1:27" ht="18.75">
      <c r="A449" s="740"/>
      <c r="B449" s="201"/>
      <c r="C449" s="743"/>
      <c r="D449" s="746"/>
      <c r="E449" s="414"/>
      <c r="F449" s="367"/>
      <c r="G449" s="377"/>
      <c r="H449" s="417"/>
      <c r="I449" s="418">
        <f>база!$J$5</f>
        <v>215.4924</v>
      </c>
      <c r="J449" s="575">
        <v>1.5</v>
      </c>
      <c r="K449" s="419">
        <f>SUMIFS(Таблица14[часы],Таблица14[коэф],"1,5",Таблица14[р/р],"4/8",Таблица14[Ф. И. О.],B451)</f>
        <v>0</v>
      </c>
      <c r="L449" s="419">
        <f>SUMIFS(Таблица14[Столбец2],Таблица14[коэф],"1,5",Таблица14[р/р],"4/8",Таблица14[Ф. И. О.],B451)</f>
        <v>0</v>
      </c>
      <c r="M449" s="419"/>
      <c r="N449" s="419"/>
      <c r="O449" s="419"/>
      <c r="P449" s="392"/>
      <c r="Q449" s="414">
        <f>IF(D446&lt;=3,база!$L$4,
IF(D446=4,база!$L$5,
IF(D446=5,база!$L$6)))</f>
        <v>231.45480000000001</v>
      </c>
      <c r="R449" s="415">
        <v>1.2</v>
      </c>
      <c r="S449" s="416">
        <f>SUMIFS(Таблица14[часы],Таблица14[коэф],"1,2",Таблица14[р/р],"3/16",Таблица14[Ф. И. О.],B451)</f>
        <v>0</v>
      </c>
      <c r="T449" s="417">
        <f>SUMIFS(Таблица14[Столбец2],Таблица14[коэф],"1,2",Таблица14[р/р],"3/16",Таблица14[Ф. И. О.],B451)</f>
        <v>0</v>
      </c>
      <c r="U449" s="576">
        <f>IF(D446&lt;=3,база!$M$4,
IF(D446=4,база!$M$5,
IF(D446=5,база!$M$6)))</f>
        <v>247.41720000000001</v>
      </c>
      <c r="V449" s="415">
        <v>1.2</v>
      </c>
      <c r="W449" s="509">
        <f>SUMIFS(Таблица14[часы],Таблица14[коэф],"1,2",Таблица14[р/р],"3/24",Таблица14[Ф. И. О.],B451)</f>
        <v>0</v>
      </c>
      <c r="X449" s="577">
        <f>SUMIFS(Таблица14[Столбец2],Таблица14[коэф],"1,2",Таблица14[р/р],"3/24",Таблица14[Ф. И. О.],B451)</f>
        <v>0</v>
      </c>
      <c r="Y449" s="754"/>
      <c r="Z449" s="750"/>
      <c r="AA449" s="740"/>
    </row>
    <row r="450" spans="1:27" ht="18.75">
      <c r="A450" s="740"/>
      <c r="B450" s="201"/>
      <c r="C450" s="743"/>
      <c r="D450" s="746"/>
      <c r="E450" s="414"/>
      <c r="F450" s="367"/>
      <c r="G450" s="377"/>
      <c r="H450" s="417"/>
      <c r="I450" s="418">
        <f>база!$J$6</f>
        <v>243.04319999999998</v>
      </c>
      <c r="J450" s="575">
        <v>1.5</v>
      </c>
      <c r="K450" s="419">
        <f>SUMIFS(Таблица14[часы],Таблица14[коэф],"1,5",Таблица14[р/р],"5/8",Таблица14[Ф. И. О.],B451)</f>
        <v>0</v>
      </c>
      <c r="L450" s="419">
        <f>SUMIFS(Таблица14[Столбец2],Таблица14[коэф],"1,5",Таблица14[р/р],"5/8",Таблица14[Ф. И. О.],B451)</f>
        <v>0</v>
      </c>
      <c r="M450" s="419"/>
      <c r="N450" s="419"/>
      <c r="O450" s="419"/>
      <c r="P450" s="392"/>
      <c r="Q450" s="414">
        <f>база!$L$5</f>
        <v>231.45480000000001</v>
      </c>
      <c r="R450" s="415">
        <v>1.2</v>
      </c>
      <c r="S450" s="416">
        <f>SUMIFS(Таблица14[часы],Таблица14[коэф],"1,2",Таблица14[р/р],"4/16",Таблица14[Ф. И. О.],B451)</f>
        <v>0</v>
      </c>
      <c r="T450" s="417">
        <f>SUMIFS(Таблица14[Столбец2],Таблица14[коэф],"1,2",Таблица14[р/р],"4/16",Таблица14[Ф. И. О.],B451)</f>
        <v>0</v>
      </c>
      <c r="U450" s="576">
        <f>база!$M$5</f>
        <v>247.41720000000001</v>
      </c>
      <c r="V450" s="415">
        <v>1.2</v>
      </c>
      <c r="W450" s="509">
        <f>SUMIFS(Таблица14[часы],Таблица14[коэф],"1,2",Таблица14[р/р],"4/24",Таблица14[Ф. И. О.],B451)</f>
        <v>0</v>
      </c>
      <c r="X450" s="577">
        <f>SUMIFS(Таблица14[Столбец2],Таблица14[коэф],"1,2",Таблица14[р/р],"4/24",Таблица14[Ф. И. О.],B451)</f>
        <v>0</v>
      </c>
      <c r="Y450" s="754"/>
      <c r="Z450" s="750"/>
      <c r="AA450" s="740"/>
    </row>
    <row r="451" spans="1:27" ht="18.75">
      <c r="A451" s="740"/>
      <c r="B451" s="201" t="str">
        <f>база!B42</f>
        <v>Лебига Людмила Тихоновна</v>
      </c>
      <c r="C451" s="743"/>
      <c r="D451" s="746"/>
      <c r="E451" s="414"/>
      <c r="F451" s="367"/>
      <c r="G451" s="377"/>
      <c r="H451" s="417"/>
      <c r="I451" s="418"/>
      <c r="J451" s="575"/>
      <c r="K451" s="419"/>
      <c r="L451" s="419"/>
      <c r="M451" s="419"/>
      <c r="N451" s="419"/>
      <c r="O451" s="419"/>
      <c r="P451" s="392"/>
      <c r="Q451" s="414">
        <f>база!$L$6</f>
        <v>261.04640000000001</v>
      </c>
      <c r="R451" s="415">
        <v>1.2</v>
      </c>
      <c r="S451" s="416">
        <f>SUMIFS(Таблица14[часы],Таблица14[коэф],"1,2",Таблица14[р/р],"5/16",Таблица14[Ф. И. О.],B451)</f>
        <v>0</v>
      </c>
      <c r="T451" s="417">
        <f>SUMIFS(Таблица14[Столбец2],Таблица14[коэф],"1,2",Таблица14[р/р],"5/16",Таблица14[Ф. И. О.],B451)</f>
        <v>0</v>
      </c>
      <c r="U451" s="576">
        <f>база!$M$6</f>
        <v>279.0496</v>
      </c>
      <c r="V451" s="415">
        <v>1.2</v>
      </c>
      <c r="W451" s="509">
        <f>SUMIFS(Таблица14[часы],Таблица14[коэф],"1,2",Таблица14[р/р],"5/24",Таблица14[Ф. И. О.],B451)</f>
        <v>0</v>
      </c>
      <c r="X451" s="577">
        <f>SUMIFS(Таблица14[Столбец2],Таблица14[коэф],"1,2",Таблица14[р/р],"5/24",Таблица14[Ф. И. О.],B451)</f>
        <v>0</v>
      </c>
      <c r="Y451" s="754"/>
      <c r="Z451" s="750"/>
      <c r="AA451" s="740"/>
    </row>
    <row r="452" spans="1:27" ht="18.75">
      <c r="A452" s="740"/>
      <c r="B452" s="201"/>
      <c r="C452" s="743"/>
      <c r="D452" s="746"/>
      <c r="E452" s="414"/>
      <c r="F452" s="367"/>
      <c r="G452" s="377"/>
      <c r="H452" s="417"/>
      <c r="I452" s="418"/>
      <c r="J452" s="575"/>
      <c r="K452" s="419"/>
      <c r="L452" s="419"/>
      <c r="M452" s="419"/>
      <c r="N452" s="419"/>
      <c r="O452" s="419"/>
      <c r="P452" s="392"/>
      <c r="Q452" s="414">
        <f>IF($D$6&lt;=3,база!$L$4,
IF($D$6=4,база!$L$5,
IF($D$6=5,база!$L$6)))</f>
        <v>231.45480000000001</v>
      </c>
      <c r="R452" s="415">
        <v>1.3</v>
      </c>
      <c r="S452" s="416">
        <f>SUMIFS(Таблица14[часы],Таблица14[коэф],"1,3",Таблица14[р/р],"3/16",Таблица14[Ф. И. О.],B451)</f>
        <v>0</v>
      </c>
      <c r="T452" s="417">
        <f>SUMIFS(Таблица14[Столбец2],Таблица14[коэф],"1,3",Таблица14[р/р],"3/16",Таблица14[Ф. И. О.],B451)</f>
        <v>0</v>
      </c>
      <c r="U452" s="576">
        <f>IF(D446&lt;=3,база!$M$4,
IF(D446=4,база!$M$5,
IF(D446=5,база!$M$6)))</f>
        <v>247.41720000000001</v>
      </c>
      <c r="V452" s="415">
        <v>1.3</v>
      </c>
      <c r="W452" s="509">
        <f>SUMIFS(Таблица14[часы],Таблица14[коэф],"1,3",Таблица14[р/р],"3/24",Таблица14[Ф. И. О.],B451)</f>
        <v>0</v>
      </c>
      <c r="X452" s="577">
        <f>SUMIFS(Таблица14[Столбец2],Таблица14[коэф],"1,3",Таблица14[р/р],"3/24",Таблица14[Ф. И. О.],B451)</f>
        <v>0</v>
      </c>
      <c r="Y452" s="754"/>
      <c r="Z452" s="750"/>
      <c r="AA452" s="740"/>
    </row>
    <row r="453" spans="1:27" ht="18.75">
      <c r="A453" s="740"/>
      <c r="B453" s="201"/>
      <c r="C453" s="743"/>
      <c r="D453" s="746"/>
      <c r="E453" s="414"/>
      <c r="F453" s="367"/>
      <c r="G453" s="377"/>
      <c r="H453" s="417"/>
      <c r="I453" s="418"/>
      <c r="J453" s="575"/>
      <c r="K453" s="419"/>
      <c r="L453" s="419"/>
      <c r="M453" s="419"/>
      <c r="N453" s="419"/>
      <c r="O453" s="419"/>
      <c r="P453" s="392"/>
      <c r="Q453" s="414">
        <f>база!$L$5</f>
        <v>231.45480000000001</v>
      </c>
      <c r="R453" s="415">
        <v>1.3</v>
      </c>
      <c r="S453" s="416">
        <f>SUMIFS(Таблица14[часы],Таблица14[коэф],"1,3",Таблица14[р/р],"4/16",Таблица14[Ф. И. О.],B451)</f>
        <v>0</v>
      </c>
      <c r="T453" s="417">
        <f>SUMIFS(Таблица14[Столбец2],Таблица14[коэф],"1,3",Таблица14[р/р],"4/16",Таблица14[Ф. И. О.],B451)</f>
        <v>0</v>
      </c>
      <c r="U453" s="576">
        <f>база!$M$5</f>
        <v>247.41720000000001</v>
      </c>
      <c r="V453" s="415">
        <v>1.3</v>
      </c>
      <c r="W453" s="509">
        <f>SUMIFS(Таблица14[часы],Таблица14[коэф],"1,3",Таблица14[р/р],"4/24",Таблица14[Ф. И. О.],B451)</f>
        <v>0</v>
      </c>
      <c r="X453" s="577">
        <f>SUMIFS(Таблица14[Столбец2],Таблица14[коэф],"1,3",Таблица14[р/р],"4/24",Таблица14[Ф. И. О.],B451)</f>
        <v>0</v>
      </c>
      <c r="Y453" s="754"/>
      <c r="Z453" s="750"/>
      <c r="AA453" s="740"/>
    </row>
    <row r="454" spans="1:27" ht="18.75">
      <c r="A454" s="740"/>
      <c r="B454" s="201"/>
      <c r="C454" s="743"/>
      <c r="D454" s="746"/>
      <c r="E454" s="414"/>
      <c r="F454" s="367"/>
      <c r="G454" s="377"/>
      <c r="H454" s="417"/>
      <c r="I454" s="418"/>
      <c r="J454" s="575"/>
      <c r="K454" s="419"/>
      <c r="L454" s="419"/>
      <c r="M454" s="419"/>
      <c r="N454" s="419"/>
      <c r="O454" s="419"/>
      <c r="P454" s="392"/>
      <c r="Q454" s="414">
        <f>IF(D446&lt;=3,база!$L$4,
IF(D446=4,база!$L$5,
IF(D446=5,база!$L$6)))</f>
        <v>231.45480000000001</v>
      </c>
      <c r="R454" s="415">
        <v>1.4</v>
      </c>
      <c r="S454" s="416">
        <f>SUMIFS(Таблица14[часы],Таблица14[коэф],"1,4",Таблица14[р/р],"3/16",Таблица14[Ф. И. О.],B451)</f>
        <v>0</v>
      </c>
      <c r="T454" s="417">
        <f>SUMIFS(Таблица14[Столбец2],Таблица14[коэф],"1,4",Таблица14[р/р],"3/16",Таблица14[Ф. И. О.],B451)</f>
        <v>0</v>
      </c>
      <c r="U454" s="576">
        <f>IF(D446&lt;=3,база!$M$4,
IF(D446=4,база!$M$5,
IF(D446=5,база!$M$6)))</f>
        <v>247.41720000000001</v>
      </c>
      <c r="V454" s="415">
        <v>1.4</v>
      </c>
      <c r="W454" s="509">
        <f>SUMIFS(Таблица14[часы],Таблица14[коэф],"1,4",Таблица14[р/р],"3/24",Таблица14[Ф. И. О.],B451)</f>
        <v>0</v>
      </c>
      <c r="X454" s="577">
        <f>SUMIFS(Таблица14[Столбец2],Таблица14[коэф],"1,4",Таблица14[р/р],"3/24",Таблица14[Ф. И. О.],B451)</f>
        <v>0</v>
      </c>
      <c r="Y454" s="754"/>
      <c r="Z454" s="750"/>
      <c r="AA454" s="740"/>
    </row>
    <row r="455" spans="1:27" ht="18.75">
      <c r="A455" s="740"/>
      <c r="B455" s="201"/>
      <c r="C455" s="743"/>
      <c r="D455" s="746"/>
      <c r="E455" s="458"/>
      <c r="F455" s="367"/>
      <c r="G455" s="377"/>
      <c r="H455" s="379"/>
      <c r="I455" s="429"/>
      <c r="J455" s="452"/>
      <c r="K455" s="430"/>
      <c r="L455" s="430"/>
      <c r="M455" s="430"/>
      <c r="N455" s="430"/>
      <c r="O455" s="430"/>
      <c r="P455" s="375"/>
      <c r="Q455" s="458">
        <f>база!$L$5</f>
        <v>231.45480000000001</v>
      </c>
      <c r="R455" s="394">
        <v>1.4</v>
      </c>
      <c r="S455" s="395">
        <f>SUMIFS(Таблица14[часы],Таблица14[коэф],"1,4",Таблица14[р/р],"4/16",Таблица14[Ф. И. О.],B451)</f>
        <v>0</v>
      </c>
      <c r="T455" s="379">
        <f>SUMIFS(Таблица14[Столбец2],Таблица14[коэф],"1,4",Таблица14[р/р],"4/16",Таблица14[Ф. И. О.],B451)</f>
        <v>0</v>
      </c>
      <c r="U455" s="460">
        <f>база!$M$5</f>
        <v>247.41720000000001</v>
      </c>
      <c r="V455" s="394">
        <v>1.4</v>
      </c>
      <c r="W455" s="432">
        <f>SUMIFS(Таблица14[часы],Таблица14[коэф],"1,4",Таблица14[р/р],"4/24",Таблица14[Ф. И. О.],B451)</f>
        <v>0</v>
      </c>
      <c r="X455" s="528">
        <f>SUMIFS(Таблица14[Столбец2],Таблица14[коэф],"1,4",Таблица14[р/р],"4/24",Таблица14[Ф. И. О.],B451)</f>
        <v>0</v>
      </c>
      <c r="Y455" s="754"/>
      <c r="Z455" s="750"/>
      <c r="AA455" s="740"/>
    </row>
    <row r="456" spans="1:27" ht="19.5" thickBot="1">
      <c r="A456" s="741"/>
      <c r="B456" s="188"/>
      <c r="C456" s="744"/>
      <c r="D456" s="747"/>
      <c r="E456" s="422"/>
      <c r="F456" s="423"/>
      <c r="G456" s="424"/>
      <c r="H456" s="511"/>
      <c r="I456" s="425"/>
      <c r="J456" s="588"/>
      <c r="K456" s="426"/>
      <c r="L456" s="426"/>
      <c r="M456" s="426"/>
      <c r="N456" s="426"/>
      <c r="O456" s="426"/>
      <c r="P456" s="514"/>
      <c r="Q456" s="422">
        <f>база!$L$6</f>
        <v>261.04640000000001</v>
      </c>
      <c r="R456" s="423">
        <v>1.4</v>
      </c>
      <c r="S456" s="424">
        <f>SUMIFS(Таблица14[часы],Таблица14[коэф],"1,4",Таблица14[р/р],"5/16",Таблица14[Ф. И. О.],B451)</f>
        <v>0</v>
      </c>
      <c r="T456" s="511">
        <f>SUMIFS(Таблица14[Столбец2],Таблица14[коэф],"1,4",Таблица14[р/р],"5/16",Таблица14[Ф. И. О.],B451)</f>
        <v>0</v>
      </c>
      <c r="U456" s="589">
        <f>база!$M$6</f>
        <v>279.0496</v>
      </c>
      <c r="V456" s="423">
        <v>1.4</v>
      </c>
      <c r="W456" s="516">
        <f>SUMIFS(Таблица14[часы],Таблица14[коэф],"1,4",Таблица14[р/р],"5/24",Таблица14[Ф. И. О.],B451)</f>
        <v>0</v>
      </c>
      <c r="X456" s="590">
        <f>SUMIFS(Таблица14[Столбец2],Таблица14[коэф],"1,4",Таблица14[р/р],"5/24",Таблица14[Ф. И. О.],B451)</f>
        <v>0</v>
      </c>
      <c r="Y456" s="755"/>
      <c r="Z456" s="751"/>
      <c r="AA456" s="741"/>
    </row>
    <row r="457" spans="1:27" ht="20.25" customHeight="1">
      <c r="A457" s="739">
        <v>42</v>
      </c>
      <c r="B457" s="219"/>
      <c r="C457" s="742">
        <f>INDEX(база!$E$2:$E$81, MATCH(B462,база!$B$2:$B$50,0))</f>
        <v>17303</v>
      </c>
      <c r="D457" s="745">
        <f>INDEX(база!$D$2:$D$89, MATCH(B462,база!$B$2:$B$50,0))</f>
        <v>3</v>
      </c>
      <c r="E457" s="578">
        <f>IF(D457&lt;=3,база!$I$4,
IF(D457=4,база!$I$5,
IF(D457=5,база!$I$6)))</f>
        <v>188.7912</v>
      </c>
      <c r="F457" s="579">
        <v>1</v>
      </c>
      <c r="G457" s="580">
        <f>SUMIFS(Таблица14[часы],Таблица14[коэф],"1",Таблица14[р/р],"2/4",Таблица14[Ф. И. О.],B462)</f>
        <v>0</v>
      </c>
      <c r="H457" s="495">
        <f>SUMIFS(Таблица14[Столбец2],Таблица14[коэф],"1",Таблица14[р/р],"2/4",Таблица14[Ф. И. О.],B462)</f>
        <v>0</v>
      </c>
      <c r="I457" s="581">
        <f>IF(D457&lt;=3,база!$J$4,
IF(D457=4,база!$J$5,
IF(D457=5,база!$J$6)))</f>
        <v>196.05240000000001</v>
      </c>
      <c r="J457" s="582">
        <v>1</v>
      </c>
      <c r="K457" s="583">
        <f>SUMIFS(Таблица14[часы],Таблица14[коэф],"1",Таблица14[р/р],"2/8",Таблица14[Ф. И. О.],B462)</f>
        <v>0</v>
      </c>
      <c r="L457" s="583">
        <f>SUMIFS(Таблица14[Столбец2],Таблица14[коэф],"1",Таблица14[р/р],"2/8",Таблица14[Ф. И. О.],B462)</f>
        <v>0</v>
      </c>
      <c r="M457" s="583"/>
      <c r="N457" s="583">
        <v>1</v>
      </c>
      <c r="O457" s="583">
        <f>SUMIFS(Data_Tech!$AM$3:$AM$67,Data_Tech!$E$3:$E$67,"1",Data_Tech!$G$3:$G$67,"3/12",Data_Tech!$F$3:$F$67,B462)</f>
        <v>0</v>
      </c>
      <c r="P457" s="584">
        <f>ROUND(M457*N457*O457,2)</f>
        <v>0</v>
      </c>
      <c r="Q457" s="578">
        <f>IF(D457&lt;=3,база!$L$4,
IF(D457=4,база!$L$5,
IF(D457=5,база!$L$6)))</f>
        <v>210.57480000000001</v>
      </c>
      <c r="R457" s="579">
        <v>1</v>
      </c>
      <c r="S457" s="580">
        <f>SUMIFS(Таблица14[часы],Таблица14[коэф],"1",Таблица14[р/р],"3/16",Таблица14[Ф. И. О.],B462)</f>
        <v>0</v>
      </c>
      <c r="T457" s="495">
        <f>SUMIFS(Таблица14[Столбец2],Таблица14[коэф],"1",Таблица14[р/р],"3/16",Таблица14[Ф. И. О.],B462)</f>
        <v>0</v>
      </c>
      <c r="U457" s="585">
        <f>IF(D457&lt;=3,база!$M$4,
IF(D457=4,база!$M$5,
IF(D457=5,база!$M$6)))</f>
        <v>225.09719999999999</v>
      </c>
      <c r="V457" s="579">
        <v>1</v>
      </c>
      <c r="W457" s="586">
        <f>SUMIFS(Таблица14[часы],Таблица14[коэф],"1",Таблица14[р/р],"3/24",Таблица14[Ф. И. О.],B462)</f>
        <v>0</v>
      </c>
      <c r="X457" s="587">
        <f>SUMIFS(Таблица14[Столбец2],Таблица14[коэф],"1",Таблица14[р/р],"3/24",Таблица14[Ф. И. О.],B462)</f>
        <v>0</v>
      </c>
      <c r="Y457" s="753">
        <f t="shared" ref="Y457" si="222">SUM(G457:G467,K457:K467,O457:O467,S457:S467,W457:W467)</f>
        <v>0</v>
      </c>
      <c r="Z457" s="752">
        <f t="shared" ref="Z457" si="223">IFERROR(SUM(H457:H467,L457:L467,T457:T467,X457:X467),"")</f>
        <v>0</v>
      </c>
      <c r="AA457" s="739"/>
    </row>
    <row r="458" spans="1:27" ht="18.75">
      <c r="A458" s="740"/>
      <c r="B458" s="201"/>
      <c r="C458" s="743"/>
      <c r="D458" s="746"/>
      <c r="E458" s="414">
        <f>IF(D457&lt;=3,база!$I$4,
IF(D457=4,база!$I$5,
IF(D457=5,база!$I$6)))</f>
        <v>188.7912</v>
      </c>
      <c r="F458" s="415">
        <v>1</v>
      </c>
      <c r="G458" s="416">
        <f>SUMIFS(Таблица14[часы],Таблица14[коэф],"1",Таблица14[р/р],"3/4",Таблица14[Ф. И. О.],B462)</f>
        <v>0</v>
      </c>
      <c r="H458" s="417">
        <f>SUMIFS(Таблица14[Столбец2],Таблица14[коэф],"1",Таблица14[р/р],"3/4",Таблица14[Ф. И. О.],B462)</f>
        <v>0</v>
      </c>
      <c r="I458" s="418">
        <f>IF(D457&lt;=3,база!$J$4,
IF(D457=4,база!$J$5,
IF(D457=5,база!$J$6)))</f>
        <v>196.05240000000001</v>
      </c>
      <c r="J458" s="575">
        <v>1</v>
      </c>
      <c r="K458" s="419">
        <f>SUMIFS(Таблица14[часы],Таблица14[коэф],"1",Таблица14[р/р],"3/8",Таблица14[Ф. И. О.],B462)</f>
        <v>0</v>
      </c>
      <c r="L458" s="419">
        <f>SUMIFS(Таблица14[Столбец2],Таблица14[коэф],"1",Таблица14[р/р],"3/8",Таблица14[Ф. И. О.],B462)</f>
        <v>0</v>
      </c>
      <c r="M458" s="419"/>
      <c r="N458" s="419">
        <v>1</v>
      </c>
      <c r="O458" s="419">
        <f>SUMIFS(Data_Tech!$AM$3:$AM$67,Data_Tech!$E$3:$E$67,"1",Data_Tech!$G$3:$G$67,"4/12",Data_Tech!$F$3:$F$67,B462)</f>
        <v>0</v>
      </c>
      <c r="P458" s="392">
        <f>ROUND(M458*O458,2)</f>
        <v>0</v>
      </c>
      <c r="Q458" s="414">
        <f>база!$L$5</f>
        <v>231.45480000000001</v>
      </c>
      <c r="R458" s="415">
        <v>1</v>
      </c>
      <c r="S458" s="416">
        <f>SUMIFS(Таблица14[часы],Таблица14[коэф],"1",Таблица14[р/р],"4/16",Таблица14[Ф. И. О.],B462)</f>
        <v>0</v>
      </c>
      <c r="T458" s="417">
        <f>SUMIFS(Таблица14[Столбец2],Таблица14[коэф],"1",Таблица14[р/р],"4/16",Таблица14[Ф. И. О.],B462)</f>
        <v>0</v>
      </c>
      <c r="U458" s="576">
        <f>база!$M$5</f>
        <v>247.41720000000001</v>
      </c>
      <c r="V458" s="415">
        <v>1</v>
      </c>
      <c r="W458" s="509">
        <f>SUMIFS(Таблица14[часы],Таблица14[коэф],"1",Таблица14[р/р],"4/24",Таблица14[Ф. И. О.],B462)</f>
        <v>0</v>
      </c>
      <c r="X458" s="577">
        <f>SUMIFS(Таблица14[Столбец2],Таблица14[коэф],"1",Таблица14[р/р],"4/24",Таблица14[Ф. И. О.],B462)</f>
        <v>0</v>
      </c>
      <c r="Y458" s="754"/>
      <c r="Z458" s="750"/>
      <c r="AA458" s="740"/>
    </row>
    <row r="459" spans="1:27" ht="18.75">
      <c r="A459" s="740"/>
      <c r="B459" s="201"/>
      <c r="C459" s="743"/>
      <c r="D459" s="746"/>
      <c r="E459" s="414"/>
      <c r="F459" s="415"/>
      <c r="G459" s="416"/>
      <c r="H459" s="417"/>
      <c r="I459" s="418"/>
      <c r="J459" s="575"/>
      <c r="K459" s="419"/>
      <c r="L459" s="419"/>
      <c r="M459" s="419"/>
      <c r="N459" s="419"/>
      <c r="O459" s="419"/>
      <c r="P459" s="392"/>
      <c r="Q459" s="414">
        <f>база!$L$6</f>
        <v>261.04640000000001</v>
      </c>
      <c r="R459" s="415">
        <v>1</v>
      </c>
      <c r="S459" s="416">
        <f>SUMIFS(Таблица14[часы],Таблица14[коэф],"1",Таблица14[р/р],"5/16",Таблица14[Ф. И. О.],B462)</f>
        <v>0</v>
      </c>
      <c r="T459" s="417">
        <f>SUMIFS(Таблица14[Столбец2],Таблица14[коэф],"1",Таблица14[р/р],"5/16",Таблица14[Ф. И. О.],B462)</f>
        <v>0</v>
      </c>
      <c r="U459" s="576">
        <f>база!$M$6</f>
        <v>279.0496</v>
      </c>
      <c r="V459" s="415">
        <v>1</v>
      </c>
      <c r="W459" s="509">
        <f>SUMIFS(Таблица14[часы],Таблица14[коэф],"1",Таблица14[р/р],"5/24",Таблица14[Ф. И. О.],B462)</f>
        <v>0</v>
      </c>
      <c r="X459" s="577">
        <f>SUMIFS(Таблица14[Столбец2],Таблица14[коэф],"1",Таблица14[р/р],"5/24",Таблица14[Ф. И. О.],B462)</f>
        <v>0</v>
      </c>
      <c r="Y459" s="754"/>
      <c r="Z459" s="750"/>
      <c r="AA459" s="740"/>
    </row>
    <row r="460" spans="1:27" ht="18.75">
      <c r="A460" s="740"/>
      <c r="B460" s="201"/>
      <c r="C460" s="743"/>
      <c r="D460" s="746"/>
      <c r="E460" s="414"/>
      <c r="F460" s="415"/>
      <c r="G460" s="416"/>
      <c r="H460" s="417"/>
      <c r="I460" s="418">
        <f>база!$J$5</f>
        <v>215.4924</v>
      </c>
      <c r="J460" s="575">
        <v>1.5</v>
      </c>
      <c r="K460" s="419">
        <f>SUMIFS(Таблица14[часы],Таблица14[коэф],"1,5",Таблица14[р/р],"4/8",Таблица14[Ф. И. О.],B462)</f>
        <v>0</v>
      </c>
      <c r="L460" s="419">
        <f>SUMIFS(Таблица14[Столбец2],Таблица14[коэф],"1,5",Таблица14[р/р],"4/8",Таблица14[Ф. И. О.],B462)</f>
        <v>0</v>
      </c>
      <c r="M460" s="419"/>
      <c r="N460" s="419"/>
      <c r="O460" s="419"/>
      <c r="P460" s="392"/>
      <c r="Q460" s="414">
        <f>IF(D457&lt;=3,база!$L$4,
IF(D457=4,база!$L$5,
IF(D457=5,база!$L$6)))</f>
        <v>210.57480000000001</v>
      </c>
      <c r="R460" s="415">
        <v>1.2</v>
      </c>
      <c r="S460" s="416">
        <f>SUMIFS(Таблица14[часы],Таблица14[коэф],"1,2",Таблица14[р/р],"3/16",Таблица14[Ф. И. О.],B462)</f>
        <v>0</v>
      </c>
      <c r="T460" s="417">
        <f>SUMIFS(Таблица14[Столбец2],Таблица14[коэф],"1,2",Таблица14[р/р],"3/16",Таблица14[Ф. И. О.],B462)</f>
        <v>0</v>
      </c>
      <c r="U460" s="576">
        <f>IF(D457&lt;=3,база!$M$4,
IF(D457=4,база!$M$5,
IF(D457=5,база!$M$6)))</f>
        <v>225.09719999999999</v>
      </c>
      <c r="V460" s="415">
        <v>1.2</v>
      </c>
      <c r="W460" s="509">
        <f>SUMIFS(Таблица14[часы],Таблица14[коэф],"1,2",Таблица14[р/р],"3/24",Таблица14[Ф. И. О.],B462)</f>
        <v>0</v>
      </c>
      <c r="X460" s="577">
        <f>SUMIFS(Таблица14[Столбец2],Таблица14[коэф],"1,2",Таблица14[р/р],"3/24",Таблица14[Ф. И. О.],B462)</f>
        <v>0</v>
      </c>
      <c r="Y460" s="754"/>
      <c r="Z460" s="750"/>
      <c r="AA460" s="740"/>
    </row>
    <row r="461" spans="1:27" ht="18.75">
      <c r="A461" s="740"/>
      <c r="B461" s="201"/>
      <c r="C461" s="743"/>
      <c r="D461" s="746"/>
      <c r="E461" s="414"/>
      <c r="F461" s="415"/>
      <c r="G461" s="416"/>
      <c r="H461" s="417"/>
      <c r="I461" s="418">
        <f>база!$J$6</f>
        <v>243.04319999999998</v>
      </c>
      <c r="J461" s="575">
        <v>1.5</v>
      </c>
      <c r="K461" s="419">
        <f>SUMIFS(Таблица14[часы],Таблица14[коэф],"1,5",Таблица14[р/р],"5/8",Таблица14[Ф. И. О.],B462)</f>
        <v>0</v>
      </c>
      <c r="L461" s="419">
        <f>SUMIFS(Таблица14[Столбец2],Таблица14[коэф],"1,5",Таблица14[р/р],"5/8",Таблица14[Ф. И. О.],B462)</f>
        <v>0</v>
      </c>
      <c r="M461" s="419"/>
      <c r="N461" s="419"/>
      <c r="O461" s="419"/>
      <c r="P461" s="392"/>
      <c r="Q461" s="414">
        <f>база!$L$5</f>
        <v>231.45480000000001</v>
      </c>
      <c r="R461" s="415">
        <v>1.2</v>
      </c>
      <c r="S461" s="416">
        <f>SUMIFS(Таблица14[часы],Таблица14[коэф],"1,2",Таблица14[р/р],"4/16",Таблица14[Ф. И. О.],B462)</f>
        <v>0</v>
      </c>
      <c r="T461" s="417">
        <f>SUMIFS(Таблица14[Столбец2],Таблица14[коэф],"1,2",Таблица14[р/р],"4/16",Таблица14[Ф. И. О.],B462)</f>
        <v>0</v>
      </c>
      <c r="U461" s="576">
        <f>база!$M$5</f>
        <v>247.41720000000001</v>
      </c>
      <c r="V461" s="415">
        <v>1.2</v>
      </c>
      <c r="W461" s="509">
        <f>SUMIFS(Таблица14[часы],Таблица14[коэф],"1,2",Таблица14[р/р],"4/24",Таблица14[Ф. И. О.],B462)</f>
        <v>0</v>
      </c>
      <c r="X461" s="577">
        <f>SUMIFS(Таблица14[Столбец2],Таблица14[коэф],"1,2",Таблица14[р/р],"4/24",Таблица14[Ф. И. О.],B462)</f>
        <v>0</v>
      </c>
      <c r="Y461" s="754"/>
      <c r="Z461" s="750"/>
      <c r="AA461" s="740"/>
    </row>
    <row r="462" spans="1:27" ht="18.75">
      <c r="A462" s="740"/>
      <c r="B462" s="201" t="str">
        <f>база!B43</f>
        <v>Лезина Анастасия Юрьевна</v>
      </c>
      <c r="C462" s="743"/>
      <c r="D462" s="746"/>
      <c r="E462" s="414"/>
      <c r="F462" s="415"/>
      <c r="G462" s="416"/>
      <c r="H462" s="417"/>
      <c r="I462" s="418"/>
      <c r="J462" s="575"/>
      <c r="K462" s="419"/>
      <c r="L462" s="419"/>
      <c r="M462" s="419"/>
      <c r="N462" s="419"/>
      <c r="O462" s="419"/>
      <c r="P462" s="392"/>
      <c r="Q462" s="414">
        <f>база!$L$6</f>
        <v>261.04640000000001</v>
      </c>
      <c r="R462" s="415">
        <v>1.2</v>
      </c>
      <c r="S462" s="416">
        <f>SUMIFS(Таблица14[часы],Таблица14[коэф],"1,2",Таблица14[р/р],"5/16",Таблица14[Ф. И. О.],B462)</f>
        <v>0</v>
      </c>
      <c r="T462" s="417">
        <f>SUMIFS(Таблица14[Столбец2],Таблица14[коэф],"1,2",Таблица14[р/р],"5/16",Таблица14[Ф. И. О.],B462)</f>
        <v>0</v>
      </c>
      <c r="U462" s="576">
        <f>база!$M$6</f>
        <v>279.0496</v>
      </c>
      <c r="V462" s="415">
        <v>1.2</v>
      </c>
      <c r="W462" s="509">
        <f>SUMIFS(Таблица14[часы],Таблица14[коэф],"1,2",Таблица14[р/р],"5/24",Таблица14[Ф. И. О.],B462)</f>
        <v>0</v>
      </c>
      <c r="X462" s="577">
        <f>SUMIFS(Таблица14[Столбец2],Таблица14[коэф],"1,2",Таблица14[р/р],"5/24",Таблица14[Ф. И. О.],B462)</f>
        <v>0</v>
      </c>
      <c r="Y462" s="754"/>
      <c r="Z462" s="750"/>
      <c r="AA462" s="740"/>
    </row>
    <row r="463" spans="1:27" ht="18.75">
      <c r="A463" s="740"/>
      <c r="B463" s="201"/>
      <c r="C463" s="743"/>
      <c r="D463" s="746"/>
      <c r="E463" s="414"/>
      <c r="F463" s="415"/>
      <c r="G463" s="416"/>
      <c r="H463" s="417"/>
      <c r="I463" s="418"/>
      <c r="J463" s="575"/>
      <c r="K463" s="419"/>
      <c r="L463" s="419"/>
      <c r="M463" s="419"/>
      <c r="N463" s="419"/>
      <c r="O463" s="419"/>
      <c r="P463" s="392"/>
      <c r="Q463" s="414">
        <f>IF($D$6&lt;=3,база!$L$4,
IF($D$6=4,база!$L$5,
IF($D$6=5,база!$L$6)))</f>
        <v>231.45480000000001</v>
      </c>
      <c r="R463" s="415">
        <v>1.3</v>
      </c>
      <c r="S463" s="416">
        <f>SUMIFS(Таблица14[часы],Таблица14[коэф],"1,3",Таблица14[р/р],"3/16",Таблица14[Ф. И. О.],B462)</f>
        <v>0</v>
      </c>
      <c r="T463" s="417">
        <f>SUMIFS(Таблица14[Столбец2],Таблица14[коэф],"1,3",Таблица14[р/р],"3/16",Таблица14[Ф. И. О.],B462)</f>
        <v>0</v>
      </c>
      <c r="U463" s="576">
        <f>IF(D457&lt;=3,база!$M$4,
IF(D457=4,база!$M$5,
IF(D457=5,база!$M$6)))</f>
        <v>225.09719999999999</v>
      </c>
      <c r="V463" s="415">
        <v>1.3</v>
      </c>
      <c r="W463" s="509">
        <f>SUMIFS(Таблица14[часы],Таблица14[коэф],"1,3",Таблица14[р/р],"3/24",Таблица14[Ф. И. О.],B462)</f>
        <v>0</v>
      </c>
      <c r="X463" s="577">
        <f>SUMIFS(Таблица14[Столбец2],Таблица14[коэф],"1,3",Таблица14[р/р],"3/24",Таблица14[Ф. И. О.],B462)</f>
        <v>0</v>
      </c>
      <c r="Y463" s="754"/>
      <c r="Z463" s="750"/>
      <c r="AA463" s="740"/>
    </row>
    <row r="464" spans="1:27" ht="18.75">
      <c r="A464" s="740"/>
      <c r="B464" s="201"/>
      <c r="C464" s="743"/>
      <c r="D464" s="746"/>
      <c r="E464" s="414"/>
      <c r="F464" s="415"/>
      <c r="G464" s="416"/>
      <c r="H464" s="417"/>
      <c r="I464" s="418"/>
      <c r="J464" s="575"/>
      <c r="K464" s="419"/>
      <c r="L464" s="419"/>
      <c r="M464" s="419"/>
      <c r="N464" s="419"/>
      <c r="O464" s="419"/>
      <c r="P464" s="392"/>
      <c r="Q464" s="414">
        <f>база!$L$5</f>
        <v>231.45480000000001</v>
      </c>
      <c r="R464" s="415">
        <v>1.3</v>
      </c>
      <c r="S464" s="416">
        <f>SUMIFS(Таблица14[часы],Таблица14[коэф],"1,3",Таблица14[р/р],"4/16",Таблица14[Ф. И. О.],B462)</f>
        <v>0</v>
      </c>
      <c r="T464" s="417">
        <f>SUMIFS(Таблица14[Столбец2],Таблица14[коэф],"1,3",Таблица14[р/р],"4/16",Таблица14[Ф. И. О.],B462)</f>
        <v>0</v>
      </c>
      <c r="U464" s="576">
        <f>база!$M$5</f>
        <v>247.41720000000001</v>
      </c>
      <c r="V464" s="415">
        <v>1.3</v>
      </c>
      <c r="W464" s="509">
        <f>SUMIFS(Таблица14[часы],Таблица14[коэф],"1,3",Таблица14[р/р],"4/24",Таблица14[Ф. И. О.],B462)</f>
        <v>0</v>
      </c>
      <c r="X464" s="577">
        <f>SUMIFS(Таблица14[Столбец2],Таблица14[коэф],"1,3",Таблица14[р/р],"4/24",Таблица14[Ф. И. О.],B462)</f>
        <v>0</v>
      </c>
      <c r="Y464" s="754"/>
      <c r="Z464" s="750"/>
      <c r="AA464" s="740"/>
    </row>
    <row r="465" spans="1:27" ht="18.75">
      <c r="A465" s="740"/>
      <c r="B465" s="201"/>
      <c r="C465" s="743"/>
      <c r="D465" s="746"/>
      <c r="E465" s="414"/>
      <c r="F465" s="415"/>
      <c r="G465" s="416"/>
      <c r="H465" s="417"/>
      <c r="I465" s="418"/>
      <c r="J465" s="575"/>
      <c r="K465" s="419"/>
      <c r="L465" s="419"/>
      <c r="M465" s="419"/>
      <c r="N465" s="419"/>
      <c r="O465" s="419"/>
      <c r="P465" s="392"/>
      <c r="Q465" s="414">
        <f>IF(D457&lt;=3,база!$L$4,
IF(D457=4,база!$L$5,
IF(D457=5,база!$L$6)))</f>
        <v>210.57480000000001</v>
      </c>
      <c r="R465" s="415">
        <v>1.4</v>
      </c>
      <c r="S465" s="416">
        <f>SUMIFS(Таблица14[часы],Таблица14[коэф],"1,4",Таблица14[р/р],"3/16",Таблица14[Ф. И. О.],B462)</f>
        <v>0</v>
      </c>
      <c r="T465" s="417">
        <f>SUMIFS(Таблица14[Столбец2],Таблица14[коэф],"1,4",Таблица14[р/р],"3/16",Таблица14[Ф. И. О.],B462)</f>
        <v>0</v>
      </c>
      <c r="U465" s="576">
        <f>IF(D457&lt;=3,база!$M$4,
IF(D457=4,база!$M$5,
IF(D457=5,база!$M$6)))</f>
        <v>225.09719999999999</v>
      </c>
      <c r="V465" s="415">
        <v>1.4</v>
      </c>
      <c r="W465" s="509">
        <f>SUMIFS(Таблица14[часы],Таблица14[коэф],"1,4",Таблица14[р/р],"3/24",Таблица14[Ф. И. О.],B462)</f>
        <v>0</v>
      </c>
      <c r="X465" s="577">
        <f>SUMIFS(Таблица14[Столбец2],Таблица14[коэф],"1,4",Таблица14[р/р],"3/24",Таблица14[Ф. И. О.],B462)</f>
        <v>0</v>
      </c>
      <c r="Y465" s="754"/>
      <c r="Z465" s="750"/>
      <c r="AA465" s="740"/>
    </row>
    <row r="466" spans="1:27" ht="18.75">
      <c r="A466" s="740"/>
      <c r="B466" s="201"/>
      <c r="C466" s="743"/>
      <c r="D466" s="746"/>
      <c r="E466" s="414"/>
      <c r="F466" s="415"/>
      <c r="G466" s="416"/>
      <c r="H466" s="417"/>
      <c r="I466" s="418"/>
      <c r="J466" s="575"/>
      <c r="K466" s="419"/>
      <c r="L466" s="419"/>
      <c r="M466" s="419"/>
      <c r="N466" s="419"/>
      <c r="O466" s="419"/>
      <c r="P466" s="392"/>
      <c r="Q466" s="414">
        <f>база!$L$5</f>
        <v>231.45480000000001</v>
      </c>
      <c r="R466" s="415">
        <v>1.4</v>
      </c>
      <c r="S466" s="416">
        <f>SUMIFS(Таблица14[часы],Таблица14[коэф],"1,4",Таблица14[р/р],"4/16",Таблица14[Ф. И. О.],B462)</f>
        <v>0</v>
      </c>
      <c r="T466" s="417">
        <f>SUMIFS(Таблица14[Столбец2],Таблица14[коэф],"1,4",Таблица14[р/р],"4/16",Таблица14[Ф. И. О.],B462)</f>
        <v>0</v>
      </c>
      <c r="U466" s="576">
        <f>база!$M$5</f>
        <v>247.41720000000001</v>
      </c>
      <c r="V466" s="415">
        <v>1.4</v>
      </c>
      <c r="W466" s="509">
        <f>SUMIFS(Таблица14[часы],Таблица14[коэф],"1,4",Таблица14[р/р],"4/24",Таблица14[Ф. И. О.],B462)</f>
        <v>0</v>
      </c>
      <c r="X466" s="577">
        <f>SUMIFS(Таблица14[Столбец2],Таблица14[коэф],"1,4",Таблица14[р/р],"4/24",Таблица14[Ф. И. О.],B462)</f>
        <v>0</v>
      </c>
      <c r="Y466" s="754"/>
      <c r="Z466" s="750"/>
      <c r="AA466" s="740"/>
    </row>
    <row r="467" spans="1:27" ht="19.5" thickBot="1">
      <c r="A467" s="741"/>
      <c r="B467" s="188"/>
      <c r="C467" s="744"/>
      <c r="D467" s="747"/>
      <c r="E467" s="422"/>
      <c r="F467" s="423"/>
      <c r="G467" s="424"/>
      <c r="H467" s="511"/>
      <c r="I467" s="425"/>
      <c r="J467" s="588"/>
      <c r="K467" s="426"/>
      <c r="L467" s="426"/>
      <c r="M467" s="426"/>
      <c r="N467" s="426"/>
      <c r="O467" s="426"/>
      <c r="P467" s="514"/>
      <c r="Q467" s="422">
        <f>база!$L$6</f>
        <v>261.04640000000001</v>
      </c>
      <c r="R467" s="423">
        <v>1.4</v>
      </c>
      <c r="S467" s="424">
        <f>SUMIFS(Таблица14[часы],Таблица14[коэф],"1,4",Таблица14[р/р],"5/16",Таблица14[Ф. И. О.],B462)</f>
        <v>0</v>
      </c>
      <c r="T467" s="511">
        <f>SUMIFS(Таблица14[Столбец2],Таблица14[коэф],"1,4",Таблица14[р/р],"5/16",Таблица14[Ф. И. О.],B462)</f>
        <v>0</v>
      </c>
      <c r="U467" s="589">
        <f>база!$M$6</f>
        <v>279.0496</v>
      </c>
      <c r="V467" s="423">
        <v>1.4</v>
      </c>
      <c r="W467" s="516">
        <f>SUMIFS(Таблица14[часы],Таблица14[коэф],"1,4",Таблица14[р/р],"5/24",Таблица14[Ф. И. О.],B462)</f>
        <v>0</v>
      </c>
      <c r="X467" s="590">
        <f>SUMIFS(Таблица14[Столбец2],Таблица14[коэф],"1,4",Таблица14[р/р],"5/24",Таблица14[Ф. И. О.],B462)</f>
        <v>0</v>
      </c>
      <c r="Y467" s="755"/>
      <c r="Z467" s="751"/>
      <c r="AA467" s="741"/>
    </row>
    <row r="468" spans="1:27" ht="20.25" customHeight="1">
      <c r="A468" s="739">
        <v>43</v>
      </c>
      <c r="B468" s="201"/>
      <c r="C468" s="742">
        <f>INDEX(база!$E$2:$E$81, MATCH(B473,база!$B$2:$B$50,0))</f>
        <v>17321</v>
      </c>
      <c r="D468" s="745">
        <f>INDEX(база!$D$2:$D$89, MATCH(B473,база!$B$2:$B$50,0))</f>
        <v>3</v>
      </c>
      <c r="E468" s="414">
        <f>IF(D468&lt;=3,база!$I$4,
IF(D468=4,база!$I$5,
IF(D468=5,база!$I$6)))</f>
        <v>188.7912</v>
      </c>
      <c r="F468" s="415">
        <v>1</v>
      </c>
      <c r="G468" s="416">
        <f>SUMIFS(Таблица14[часы],Таблица14[коэф],"1",Таблица14[р/р],"2/4",Таблица14[Ф. И. О.],B473)</f>
        <v>0</v>
      </c>
      <c r="H468" s="417">
        <f>SUMIFS(Таблица14[Столбец2],Таблица14[коэф],"1",Таблица14[р/р],"2/4",Таблица14[Ф. И. О.],B473)</f>
        <v>0</v>
      </c>
      <c r="I468" s="418">
        <f>IF(D468&lt;=3,база!$J$4,
IF(D468=4,база!$J$5,
IF(D468=5,база!$J$6)))</f>
        <v>196.05240000000001</v>
      </c>
      <c r="J468" s="575">
        <v>1</v>
      </c>
      <c r="K468" s="419">
        <f>SUMIFS(Таблица14[часы],Таблица14[коэф],"1",Таблица14[р/р],"2/8",Таблица14[Ф. И. О.],B473)</f>
        <v>0</v>
      </c>
      <c r="L468" s="419">
        <f>SUMIFS(Таблица14[Столбец2],Таблица14[коэф],"1",Таблица14[р/р],"2/8",Таблица14[Ф. И. О.],B473)</f>
        <v>0</v>
      </c>
      <c r="M468" s="419"/>
      <c r="N468" s="419">
        <v>1</v>
      </c>
      <c r="O468" s="419">
        <f>SUMIFS(Data_Tech!$AM$3:$AM$67,Data_Tech!$E$3:$E$67,"1",Data_Tech!$G$3:$G$67,"3/12",Data_Tech!$F$3:$F$67,B473)</f>
        <v>0</v>
      </c>
      <c r="P468" s="392">
        <f>ROUND(M468*N468*O468,2)</f>
        <v>0</v>
      </c>
      <c r="Q468" s="414">
        <f>IF(D468&lt;=3,база!$L$4,
IF(D468=4,база!$L$5,
IF(D468=5,база!$L$6)))</f>
        <v>210.57480000000001</v>
      </c>
      <c r="R468" s="415">
        <v>1</v>
      </c>
      <c r="S468" s="416">
        <f>SUMIFS(Таблица14[часы],Таблица14[коэф],"1",Таблица14[р/р],"3/16",Таблица14[Ф. И. О.],B473)</f>
        <v>0</v>
      </c>
      <c r="T468" s="417">
        <f>SUMIFS(Таблица14[Столбец2],Таблица14[коэф],"1",Таблица14[р/р],"3/16",Таблица14[Ф. И. О.],B473)</f>
        <v>0</v>
      </c>
      <c r="U468" s="576">
        <f>IF(D468&lt;=3,база!$M$4,
IF(D468=4,база!$M$5,
IF(D468=5,база!$M$6)))</f>
        <v>225.09719999999999</v>
      </c>
      <c r="V468" s="415">
        <v>1</v>
      </c>
      <c r="W468" s="509">
        <f>SUMIFS(Таблица14[часы],Таблица14[коэф],"1",Таблица14[р/р],"3/24",Таблица14[Ф. И. О.],B473)</f>
        <v>0</v>
      </c>
      <c r="X468" s="577">
        <f>SUMIFS(Таблица14[Столбец2],Таблица14[коэф],"1",Таблица14[р/р],"3/24",Таблица14[Ф. И. О.],B473)</f>
        <v>0</v>
      </c>
      <c r="Y468" s="753">
        <f t="shared" ref="Y468" si="224">SUM(G468:G478,K468:K478,O468:O478,S468:S478,W468:W478)</f>
        <v>0</v>
      </c>
      <c r="Z468" s="752">
        <f t="shared" ref="Z468" si="225">IFERROR(SUM(H468:H478,L468:L478,T468:T478,X468:X478),"")</f>
        <v>0</v>
      </c>
      <c r="AA468" s="739"/>
    </row>
    <row r="469" spans="1:27" ht="18.75">
      <c r="A469" s="740"/>
      <c r="B469" s="201"/>
      <c r="C469" s="743"/>
      <c r="D469" s="746"/>
      <c r="E469" s="414">
        <f>IF(D468&lt;=3,база!$I$4,
IF(D468=4,база!$I$5,
IF(D468=5,база!$I$6)))</f>
        <v>188.7912</v>
      </c>
      <c r="F469" s="415">
        <v>1</v>
      </c>
      <c r="G469" s="416">
        <f>SUMIFS(Таблица14[часы],Таблица14[коэф],"1",Таблица14[р/р],"3/4",Таблица14[Ф. И. О.],B473)</f>
        <v>0</v>
      </c>
      <c r="H469" s="417">
        <f>SUMIFS(Таблица14[Столбец2],Таблица14[коэф],"1",Таблица14[р/р],"3/4",Таблица14[Ф. И. О.],B473)</f>
        <v>0</v>
      </c>
      <c r="I469" s="418">
        <f>IF(D468&lt;=3,база!$J$4,
IF(D468=4,база!$J$5,
IF(D468=5,база!$J$6)))</f>
        <v>196.05240000000001</v>
      </c>
      <c r="J469" s="575">
        <v>1</v>
      </c>
      <c r="K469" s="419">
        <f>SUMIFS(Таблица14[часы],Таблица14[коэф],"1",Таблица14[р/р],"3/8",Таблица14[Ф. И. О.],B473)</f>
        <v>0</v>
      </c>
      <c r="L469" s="419">
        <f>SUMIFS(Таблица14[Столбец2],Таблица14[коэф],"1",Таблица14[р/р],"3/8",Таблица14[Ф. И. О.],B473)</f>
        <v>0</v>
      </c>
      <c r="M469" s="419"/>
      <c r="N469" s="419">
        <v>1</v>
      </c>
      <c r="O469" s="419">
        <f>SUMIFS(Data_Tech!$AM$3:$AM$67,Data_Tech!$E$3:$E$67,"1",Data_Tech!$G$3:$G$67,"4/12",Data_Tech!$F$3:$F$67,B473)</f>
        <v>0</v>
      </c>
      <c r="P469" s="392">
        <f>ROUND(M469*O469,2)</f>
        <v>0</v>
      </c>
      <c r="Q469" s="414">
        <f>база!$L$5</f>
        <v>231.45480000000001</v>
      </c>
      <c r="R469" s="415">
        <v>1</v>
      </c>
      <c r="S469" s="416">
        <f>SUMIFS(Таблица14[часы],Таблица14[коэф],"1",Таблица14[р/р],"4/16",Таблица14[Ф. И. О.],B473)</f>
        <v>0</v>
      </c>
      <c r="T469" s="417">
        <f>SUMIFS(Таблица14[Столбец2],Таблица14[коэф],"1",Таблица14[р/р],"4/16",Таблица14[Ф. И. О.],B473)</f>
        <v>0</v>
      </c>
      <c r="U469" s="576">
        <f>база!$M$5</f>
        <v>247.41720000000001</v>
      </c>
      <c r="V469" s="415">
        <v>1</v>
      </c>
      <c r="W469" s="509">
        <f>SUMIFS(Таблица14[часы],Таблица14[коэф],"1",Таблица14[р/р],"4/24",Таблица14[Ф. И. О.],B473)</f>
        <v>0</v>
      </c>
      <c r="X469" s="577">
        <f>SUMIFS(Таблица14[Столбец2],Таблица14[коэф],"1",Таблица14[р/р],"4/24",Таблица14[Ф. И. О.],B473)</f>
        <v>0</v>
      </c>
      <c r="Y469" s="754"/>
      <c r="Z469" s="750"/>
      <c r="AA469" s="740"/>
    </row>
    <row r="470" spans="1:27" ht="18.75">
      <c r="A470" s="740"/>
      <c r="B470" s="201"/>
      <c r="C470" s="743"/>
      <c r="D470" s="746"/>
      <c r="E470" s="414"/>
      <c r="F470" s="415"/>
      <c r="G470" s="416"/>
      <c r="H470" s="417"/>
      <c r="I470" s="418"/>
      <c r="J470" s="575"/>
      <c r="K470" s="419"/>
      <c r="L470" s="419"/>
      <c r="M470" s="419"/>
      <c r="N470" s="419"/>
      <c r="O470" s="419"/>
      <c r="P470" s="392"/>
      <c r="Q470" s="414">
        <f>база!$L$6</f>
        <v>261.04640000000001</v>
      </c>
      <c r="R470" s="415">
        <v>1</v>
      </c>
      <c r="S470" s="416">
        <f>SUMIFS(Таблица14[часы],Таблица14[коэф],"1",Таблица14[р/р],"5/16",Таблица14[Ф. И. О.],B473)</f>
        <v>0</v>
      </c>
      <c r="T470" s="417">
        <f>SUMIFS(Таблица14[Столбец2],Таблица14[коэф],"1",Таблица14[р/р],"5/16",Таблица14[Ф. И. О.],B473)</f>
        <v>0</v>
      </c>
      <c r="U470" s="576">
        <f>база!$M$6</f>
        <v>279.0496</v>
      </c>
      <c r="V470" s="415">
        <v>1</v>
      </c>
      <c r="W470" s="509">
        <f>SUMIFS(Таблица14[часы],Таблица14[коэф],"1",Таблица14[р/р],"5/24",Таблица14[Ф. И. О.],B473)</f>
        <v>0</v>
      </c>
      <c r="X470" s="577">
        <f>SUMIFS(Таблица14[Столбец2],Таблица14[коэф],"1",Таблица14[р/р],"5/24",Таблица14[Ф. И. О.],B473)</f>
        <v>0</v>
      </c>
      <c r="Y470" s="754"/>
      <c r="Z470" s="750"/>
      <c r="AA470" s="740"/>
    </row>
    <row r="471" spans="1:27" ht="18.75">
      <c r="A471" s="740"/>
      <c r="B471" s="201"/>
      <c r="C471" s="743"/>
      <c r="D471" s="746"/>
      <c r="E471" s="414"/>
      <c r="F471" s="415"/>
      <c r="G471" s="416"/>
      <c r="H471" s="417"/>
      <c r="I471" s="418">
        <f>база!$J$5</f>
        <v>215.4924</v>
      </c>
      <c r="J471" s="575">
        <v>1.5</v>
      </c>
      <c r="K471" s="419">
        <f>SUMIFS(Таблица14[часы],Таблица14[коэф],"1,5",Таблица14[р/р],"4/8",Таблица14[Ф. И. О.],B473)</f>
        <v>0</v>
      </c>
      <c r="L471" s="419">
        <f>SUMIFS(Таблица14[Столбец2],Таблица14[коэф],"1,5",Таблица14[р/р],"4/8",Таблица14[Ф. И. О.],B473)</f>
        <v>0</v>
      </c>
      <c r="M471" s="419"/>
      <c r="N471" s="419"/>
      <c r="O471" s="419"/>
      <c r="P471" s="392"/>
      <c r="Q471" s="414">
        <f>IF(D468&lt;=3,база!$L$4,
IF(D468=4,база!$L$5,
IF(D468=5,база!$L$6)))</f>
        <v>210.57480000000001</v>
      </c>
      <c r="R471" s="415">
        <v>1.2</v>
      </c>
      <c r="S471" s="416">
        <f>SUMIFS(Таблица14[часы],Таблица14[коэф],"1,2",Таблица14[р/р],"3/16",Таблица14[Ф. И. О.],B473)</f>
        <v>0</v>
      </c>
      <c r="T471" s="417">
        <f>SUMIFS(Таблица14[Столбец2],Таблица14[коэф],"1,2",Таблица14[р/р],"3/16",Таблица14[Ф. И. О.],B473)</f>
        <v>0</v>
      </c>
      <c r="U471" s="576">
        <f>IF(D468&lt;=3,база!$M$4,
IF(D468=4,база!$M$5,
IF(D468=5,база!$M$6)))</f>
        <v>225.09719999999999</v>
      </c>
      <c r="V471" s="415">
        <v>1.2</v>
      </c>
      <c r="W471" s="509">
        <f>SUMIFS(Таблица14[часы],Таблица14[коэф],"1,2",Таблица14[р/р],"3/24",Таблица14[Ф. И. О.],B473)</f>
        <v>0</v>
      </c>
      <c r="X471" s="577">
        <f>SUMIFS(Таблица14[Столбец2],Таблица14[коэф],"1,2",Таблица14[р/р],"3/24",Таблица14[Ф. И. О.],B473)</f>
        <v>0</v>
      </c>
      <c r="Y471" s="754"/>
      <c r="Z471" s="750"/>
      <c r="AA471" s="740"/>
    </row>
    <row r="472" spans="1:27" ht="18.75">
      <c r="A472" s="740"/>
      <c r="B472" s="201"/>
      <c r="C472" s="743"/>
      <c r="D472" s="746"/>
      <c r="E472" s="414"/>
      <c r="F472" s="415"/>
      <c r="G472" s="416"/>
      <c r="H472" s="417"/>
      <c r="I472" s="418">
        <f>база!$J$6</f>
        <v>243.04319999999998</v>
      </c>
      <c r="J472" s="575">
        <v>1.5</v>
      </c>
      <c r="K472" s="419">
        <f>SUMIFS(Таблица14[часы],Таблица14[коэф],"1,5",Таблица14[р/р],"5/8",Таблица14[Ф. И. О.],B473)</f>
        <v>0</v>
      </c>
      <c r="L472" s="419">
        <f>SUMIFS(Таблица14[Столбец2],Таблица14[коэф],"1,5",Таблица14[р/р],"5/8",Таблица14[Ф. И. О.],B473)</f>
        <v>0</v>
      </c>
      <c r="M472" s="419"/>
      <c r="N472" s="419"/>
      <c r="O472" s="419"/>
      <c r="P472" s="392"/>
      <c r="Q472" s="414">
        <f>база!$L$5</f>
        <v>231.45480000000001</v>
      </c>
      <c r="R472" s="415">
        <v>1.2</v>
      </c>
      <c r="S472" s="416">
        <f>SUMIFS(Таблица14[часы],Таблица14[коэф],"1,2",Таблица14[р/р],"4/16",Таблица14[Ф. И. О.],B473)</f>
        <v>0</v>
      </c>
      <c r="T472" s="417">
        <f>SUMIFS(Таблица14[Столбец2],Таблица14[коэф],"1,2",Таблица14[р/р],"4/16",Таблица14[Ф. И. О.],B473)</f>
        <v>0</v>
      </c>
      <c r="U472" s="576">
        <f>база!$M$5</f>
        <v>247.41720000000001</v>
      </c>
      <c r="V472" s="415">
        <v>1.2</v>
      </c>
      <c r="W472" s="509">
        <f>SUMIFS(Таблица14[часы],Таблица14[коэф],"1,2",Таблица14[р/р],"4/24",Таблица14[Ф. И. О.],B473)</f>
        <v>0</v>
      </c>
      <c r="X472" s="577">
        <f>SUMIFS(Таблица14[Столбец2],Таблица14[коэф],"1,2",Таблица14[р/р],"4/24",Таблица14[Ф. И. О.],B473)</f>
        <v>0</v>
      </c>
      <c r="Y472" s="754"/>
      <c r="Z472" s="750"/>
      <c r="AA472" s="740"/>
    </row>
    <row r="473" spans="1:27" ht="18.75">
      <c r="A473" s="740"/>
      <c r="B473" s="201" t="str">
        <f>база!B44</f>
        <v>Малышева Анна Евгеньевна</v>
      </c>
      <c r="C473" s="743"/>
      <c r="D473" s="746"/>
      <c r="E473" s="414"/>
      <c r="F473" s="415"/>
      <c r="G473" s="416"/>
      <c r="H473" s="417"/>
      <c r="I473" s="418"/>
      <c r="J473" s="575"/>
      <c r="K473" s="419"/>
      <c r="L473" s="419"/>
      <c r="M473" s="419"/>
      <c r="N473" s="419"/>
      <c r="O473" s="419"/>
      <c r="P473" s="392"/>
      <c r="Q473" s="414">
        <f>база!$L$6</f>
        <v>261.04640000000001</v>
      </c>
      <c r="R473" s="415">
        <v>1.2</v>
      </c>
      <c r="S473" s="416">
        <f>SUMIFS(Таблица14[часы],Таблица14[коэф],"1,2",Таблица14[р/р],"5/16",Таблица14[Ф. И. О.],B473)</f>
        <v>0</v>
      </c>
      <c r="T473" s="417">
        <f>SUMIFS(Таблица14[Столбец2],Таблица14[коэф],"1,2",Таблица14[р/р],"5/16",Таблица14[Ф. И. О.],B473)</f>
        <v>0</v>
      </c>
      <c r="U473" s="576">
        <f>база!$M$6</f>
        <v>279.0496</v>
      </c>
      <c r="V473" s="415">
        <v>1.2</v>
      </c>
      <c r="W473" s="509">
        <f>SUMIFS(Таблица14[часы],Таблица14[коэф],"1,2",Таблица14[р/р],"5/24",Таблица14[Ф. И. О.],B473)</f>
        <v>0</v>
      </c>
      <c r="X473" s="577">
        <f>SUMIFS(Таблица14[Столбец2],Таблица14[коэф],"1,2",Таблица14[р/р],"5/24",Таблица14[Ф. И. О.],B473)</f>
        <v>0</v>
      </c>
      <c r="Y473" s="754"/>
      <c r="Z473" s="750"/>
      <c r="AA473" s="740"/>
    </row>
    <row r="474" spans="1:27" ht="18.75">
      <c r="A474" s="740"/>
      <c r="B474" s="201"/>
      <c r="C474" s="743"/>
      <c r="D474" s="746"/>
      <c r="E474" s="414"/>
      <c r="F474" s="415"/>
      <c r="G474" s="416"/>
      <c r="H474" s="417"/>
      <c r="I474" s="418"/>
      <c r="J474" s="575"/>
      <c r="K474" s="419"/>
      <c r="L474" s="419"/>
      <c r="M474" s="419"/>
      <c r="N474" s="419"/>
      <c r="O474" s="419"/>
      <c r="P474" s="392"/>
      <c r="Q474" s="414">
        <f>IF($D$6&lt;=3,база!$L$4,
IF($D$6=4,база!$L$5,
IF($D$6=5,база!$L$6)))</f>
        <v>231.45480000000001</v>
      </c>
      <c r="R474" s="415">
        <v>1.3</v>
      </c>
      <c r="S474" s="416">
        <f>SUMIFS(Таблица14[часы],Таблица14[коэф],"1,3",Таблица14[р/р],"3/16",Таблица14[Ф. И. О.],B473)</f>
        <v>0</v>
      </c>
      <c r="T474" s="417">
        <f>SUMIFS(Таблица14[Столбец2],Таблица14[коэф],"1,3",Таблица14[р/р],"3/16",Таблица14[Ф. И. О.],B473)</f>
        <v>0</v>
      </c>
      <c r="U474" s="576">
        <f>IF(D468&lt;=3,база!$M$4,
IF(D468=4,база!$M$5,
IF(D468=5,база!$M$6)))</f>
        <v>225.09719999999999</v>
      </c>
      <c r="V474" s="415">
        <v>1.3</v>
      </c>
      <c r="W474" s="509">
        <f>SUMIFS(Таблица14[часы],Таблица14[коэф],"1,3",Таблица14[р/р],"3/24",Таблица14[Ф. И. О.],B473)</f>
        <v>0</v>
      </c>
      <c r="X474" s="577">
        <f>SUMIFS(Таблица14[Столбец2],Таблица14[коэф],"1,3",Таблица14[р/р],"3/24",Таблица14[Ф. И. О.],B473)</f>
        <v>0</v>
      </c>
      <c r="Y474" s="754"/>
      <c r="Z474" s="750"/>
      <c r="AA474" s="740"/>
    </row>
    <row r="475" spans="1:27" ht="18.75">
      <c r="A475" s="740"/>
      <c r="B475" s="201"/>
      <c r="C475" s="743"/>
      <c r="D475" s="746"/>
      <c r="E475" s="414"/>
      <c r="F475" s="415"/>
      <c r="G475" s="416"/>
      <c r="H475" s="417"/>
      <c r="I475" s="418"/>
      <c r="J475" s="575"/>
      <c r="K475" s="419"/>
      <c r="L475" s="419"/>
      <c r="M475" s="419"/>
      <c r="N475" s="419"/>
      <c r="O475" s="419"/>
      <c r="P475" s="392"/>
      <c r="Q475" s="414">
        <f>база!$L$5</f>
        <v>231.45480000000001</v>
      </c>
      <c r="R475" s="415">
        <v>1.3</v>
      </c>
      <c r="S475" s="416">
        <f>SUMIFS(Таблица14[часы],Таблица14[коэф],"1,3",Таблица14[р/р],"4/16",Таблица14[Ф. И. О.],B473)</f>
        <v>0</v>
      </c>
      <c r="T475" s="417">
        <f>SUMIFS(Таблица14[Столбец2],Таблица14[коэф],"1,3",Таблица14[р/р],"4/16",Таблица14[Ф. И. О.],B473)</f>
        <v>0</v>
      </c>
      <c r="U475" s="576">
        <f>база!$M$5</f>
        <v>247.41720000000001</v>
      </c>
      <c r="V475" s="415">
        <v>1.3</v>
      </c>
      <c r="W475" s="509">
        <f>SUMIFS(Таблица14[часы],Таблица14[коэф],"1,3",Таблица14[р/р],"4/24",Таблица14[Ф. И. О.],B473)</f>
        <v>0</v>
      </c>
      <c r="X475" s="577">
        <f>SUMIFS(Таблица14[Столбец2],Таблица14[коэф],"1,3",Таблица14[р/р],"4/24",Таблица14[Ф. И. О.],B473)</f>
        <v>0</v>
      </c>
      <c r="Y475" s="754"/>
      <c r="Z475" s="750"/>
      <c r="AA475" s="740"/>
    </row>
    <row r="476" spans="1:27" ht="18.75">
      <c r="A476" s="740"/>
      <c r="B476" s="201"/>
      <c r="C476" s="743"/>
      <c r="D476" s="746"/>
      <c r="E476" s="414"/>
      <c r="F476" s="415"/>
      <c r="G476" s="416"/>
      <c r="H476" s="417"/>
      <c r="I476" s="418"/>
      <c r="J476" s="575"/>
      <c r="K476" s="419"/>
      <c r="L476" s="419"/>
      <c r="M476" s="419"/>
      <c r="N476" s="419"/>
      <c r="O476" s="419"/>
      <c r="P476" s="392"/>
      <c r="Q476" s="414">
        <f>IF(D468&lt;=3,база!$L$4,
IF(D468=4,база!$L$5,
IF(D468=5,база!$L$6)))</f>
        <v>210.57480000000001</v>
      </c>
      <c r="R476" s="415">
        <v>1.4</v>
      </c>
      <c r="S476" s="416">
        <f>SUMIFS(Таблица14[часы],Таблица14[коэф],"1,4",Таблица14[р/р],"3/16",Таблица14[Ф. И. О.],B473)</f>
        <v>0</v>
      </c>
      <c r="T476" s="417">
        <f>SUMIFS(Таблица14[Столбец2],Таблица14[коэф],"1,4",Таблица14[р/р],"3/16",Таблица14[Ф. И. О.],B473)</f>
        <v>0</v>
      </c>
      <c r="U476" s="576">
        <f>IF(D468&lt;=3,база!$M$4,
IF(D468=4,база!$M$5,
IF(D468=5,база!$M$6)))</f>
        <v>225.09719999999999</v>
      </c>
      <c r="V476" s="415">
        <v>1.4</v>
      </c>
      <c r="W476" s="509">
        <f>SUMIFS(Таблица14[часы],Таблица14[коэф],"1,4",Таблица14[р/р],"3/24",Таблица14[Ф. И. О.],B473)</f>
        <v>0</v>
      </c>
      <c r="X476" s="577">
        <f>SUMIFS(Таблица14[Столбец2],Таблица14[коэф],"1,4",Таблица14[р/р],"3/24",Таблица14[Ф. И. О.],B473)</f>
        <v>0</v>
      </c>
      <c r="Y476" s="754"/>
      <c r="Z476" s="750"/>
      <c r="AA476" s="740"/>
    </row>
    <row r="477" spans="1:27" ht="18.75">
      <c r="A477" s="740"/>
      <c r="B477" s="201"/>
      <c r="C477" s="743"/>
      <c r="D477" s="746"/>
      <c r="E477" s="414"/>
      <c r="F477" s="415"/>
      <c r="G477" s="416"/>
      <c r="H477" s="417"/>
      <c r="I477" s="418"/>
      <c r="J477" s="575"/>
      <c r="K477" s="419"/>
      <c r="L477" s="419"/>
      <c r="M477" s="419"/>
      <c r="N477" s="419"/>
      <c r="O477" s="419"/>
      <c r="P477" s="392"/>
      <c r="Q477" s="414">
        <f>база!$L$5</f>
        <v>231.45480000000001</v>
      </c>
      <c r="R477" s="415">
        <v>1.4</v>
      </c>
      <c r="S477" s="416">
        <f>SUMIFS(Таблица14[часы],Таблица14[коэф],"1,4",Таблица14[р/р],"4/16",Таблица14[Ф. И. О.],B473)</f>
        <v>0</v>
      </c>
      <c r="T477" s="417">
        <f>SUMIFS(Таблица14[Столбец2],Таблица14[коэф],"1,4",Таблица14[р/р],"4/16",Таблица14[Ф. И. О.],B473)</f>
        <v>0</v>
      </c>
      <c r="U477" s="576">
        <f>база!$M$5</f>
        <v>247.41720000000001</v>
      </c>
      <c r="V477" s="415">
        <v>1.4</v>
      </c>
      <c r="W477" s="509">
        <f>SUMIFS(Таблица14[часы],Таблица14[коэф],"1,4",Таблица14[р/р],"4/24",Таблица14[Ф. И. О.],B473)</f>
        <v>0</v>
      </c>
      <c r="X477" s="577">
        <f>SUMIFS(Таблица14[Столбец2],Таблица14[коэф],"1,4",Таблица14[р/р],"4/24",Таблица14[Ф. И. О.],B473)</f>
        <v>0</v>
      </c>
      <c r="Y477" s="754"/>
      <c r="Z477" s="750"/>
      <c r="AA477" s="740"/>
    </row>
    <row r="478" spans="1:27" ht="19.5" thickBot="1">
      <c r="A478" s="741"/>
      <c r="B478" s="188"/>
      <c r="C478" s="744"/>
      <c r="D478" s="747"/>
      <c r="E478" s="422"/>
      <c r="F478" s="423"/>
      <c r="G478" s="424"/>
      <c r="H478" s="511"/>
      <c r="I478" s="425"/>
      <c r="J478" s="588"/>
      <c r="K478" s="426"/>
      <c r="L478" s="426"/>
      <c r="M478" s="426"/>
      <c r="N478" s="426"/>
      <c r="O478" s="426"/>
      <c r="P478" s="514"/>
      <c r="Q478" s="422">
        <f>база!$L$6</f>
        <v>261.04640000000001</v>
      </c>
      <c r="R478" s="423">
        <v>1.4</v>
      </c>
      <c r="S478" s="424">
        <f>SUMIFS(Таблица14[часы],Таблица14[коэф],"1,4",Таблица14[р/р],"5/16",Таблица14[Ф. И. О.],B473)</f>
        <v>0</v>
      </c>
      <c r="T478" s="511">
        <f>SUMIFS(Таблица14[Столбец2],Таблица14[коэф],"1,4",Таблица14[р/р],"5/16",Таблица14[Ф. И. О.],B473)</f>
        <v>0</v>
      </c>
      <c r="U478" s="589">
        <f>база!$M$6</f>
        <v>279.0496</v>
      </c>
      <c r="V478" s="423">
        <v>1.4</v>
      </c>
      <c r="W478" s="516">
        <f>SUMIFS(Таблица14[часы],Таблица14[коэф],"1,4",Таблица14[р/р],"5/24",Таблица14[Ф. И. О.],B473)</f>
        <v>0</v>
      </c>
      <c r="X478" s="590">
        <f>SUMIFS(Таблица14[Столбец2],Таблица14[коэф],"1,4",Таблица14[р/р],"5/24",Таблица14[Ф. И. О.],B473)</f>
        <v>0</v>
      </c>
      <c r="Y478" s="755"/>
      <c r="Z478" s="751"/>
      <c r="AA478" s="741"/>
    </row>
    <row r="479" spans="1:27" ht="20.25" customHeight="1">
      <c r="A479" s="739">
        <v>44</v>
      </c>
      <c r="B479" s="219"/>
      <c r="C479" s="742">
        <f>INDEX(база!$E$2:$E$81, MATCH(B484,база!$B$2:$B$50,0))</f>
        <v>17136</v>
      </c>
      <c r="D479" s="745">
        <f>INDEX(база!$D$2:$D$89, MATCH(B484,база!$B$2:$B$50,0))</f>
        <v>3</v>
      </c>
      <c r="E479" s="578">
        <f>IF(D479&lt;=3,база!$I$4,
IF(D479=4,база!$I$5,
IF(D479=5,база!$I$6)))</f>
        <v>188.7912</v>
      </c>
      <c r="F479" s="579">
        <v>1</v>
      </c>
      <c r="G479" s="580">
        <f>SUMIFS(Таблица14[часы],Таблица14[коэф],"1",Таблица14[р/р],"2/4",Таблица14[Ф. И. О.],B484)</f>
        <v>0</v>
      </c>
      <c r="H479" s="495">
        <f>SUMIFS(Таблица14[Столбец2],Таблица14[коэф],"1",Таблица14[р/р],"2/4",Таблица14[Ф. И. О.],B484)</f>
        <v>0</v>
      </c>
      <c r="I479" s="581">
        <f>IF(D479&lt;=3,база!$J$4,
IF(D479=4,база!$J$5,
IF(D479=5,база!$J$6)))</f>
        <v>196.05240000000001</v>
      </c>
      <c r="J479" s="582">
        <v>1</v>
      </c>
      <c r="K479" s="583">
        <f>SUMIFS(Таблица14[часы],Таблица14[коэф],"1",Таблица14[р/р],"2/8",Таблица14[Ф. И. О.],B484)</f>
        <v>0</v>
      </c>
      <c r="L479" s="583">
        <f>SUMIFS(Таблица14[Столбец2],Таблица14[коэф],"1",Таблица14[р/р],"2/8",Таблица14[Ф. И. О.],B484)</f>
        <v>0</v>
      </c>
      <c r="M479" s="583"/>
      <c r="N479" s="583">
        <v>1</v>
      </c>
      <c r="O479" s="583">
        <f>SUMIFS(Data_Tech!$AM$3:$AM$67,Data_Tech!$E$3:$E$67,"1",Data_Tech!$G$3:$G$67,"3/12",Data_Tech!$F$3:$F$67,B484)</f>
        <v>0</v>
      </c>
      <c r="P479" s="584">
        <f>ROUND(M479*N479*O479,2)</f>
        <v>0</v>
      </c>
      <c r="Q479" s="578">
        <f>IF(D479&lt;=3,база!$L$4,
IF(D479=4,база!$L$5,
IF(D479=5,база!$L$6)))</f>
        <v>210.57480000000001</v>
      </c>
      <c r="R479" s="579">
        <v>1</v>
      </c>
      <c r="S479" s="580">
        <f>SUMIFS(Таблица14[часы],Таблица14[коэф],"1",Таблица14[р/р],"3/16",Таблица14[Ф. И. О.],B484)</f>
        <v>0</v>
      </c>
      <c r="T479" s="495">
        <f>SUMIFS(Таблица14[Столбец2],Таблица14[коэф],"1",Таблица14[р/р],"3/16",Таблица14[Ф. И. О.],B484)</f>
        <v>0</v>
      </c>
      <c r="U479" s="585">
        <f>IF(D479&lt;=3,база!$M$4,
IF(D479=4,база!$M$5,
IF(D479=5,база!$M$6)))</f>
        <v>225.09719999999999</v>
      </c>
      <c r="V479" s="579">
        <v>1</v>
      </c>
      <c r="W479" s="586">
        <f>SUMIFS(Таблица14[часы],Таблица14[коэф],"1",Таблица14[р/р],"3/24",Таблица14[Ф. И. О.],B484)</f>
        <v>0</v>
      </c>
      <c r="X479" s="587">
        <f>SUMIFS(Таблица14[Столбец2],Таблица14[коэф],"1",Таблица14[р/р],"3/24",Таблица14[Ф. И. О.],B484)</f>
        <v>0</v>
      </c>
      <c r="Y479" s="753">
        <f t="shared" ref="Y479" si="226">SUM(G479:G489,K479:K489,O479:O489,S479:S489,W479:W489)</f>
        <v>0</v>
      </c>
      <c r="Z479" s="752">
        <f t="shared" ref="Z479" si="227">IFERROR(SUM(H479:H489,L479:L489,T479:T489,X479:X489),"")</f>
        <v>0</v>
      </c>
      <c r="AA479" s="739"/>
    </row>
    <row r="480" spans="1:27" ht="18.75">
      <c r="A480" s="740"/>
      <c r="B480" s="201"/>
      <c r="C480" s="743"/>
      <c r="D480" s="746"/>
      <c r="E480" s="414">
        <f>IF(D479&lt;=3,база!$I$4,
IF(D479=4,база!$I$5,
IF(D479=5,база!$I$6)))</f>
        <v>188.7912</v>
      </c>
      <c r="F480" s="415">
        <v>1</v>
      </c>
      <c r="G480" s="416">
        <f>SUMIFS(Таблица14[часы],Таблица14[коэф],"1",Таблица14[р/р],"3/4",Таблица14[Ф. И. О.],B484)</f>
        <v>0</v>
      </c>
      <c r="H480" s="417">
        <f>SUMIFS(Таблица14[Столбец2],Таблица14[коэф],"1",Таблица14[р/р],"3/4",Таблица14[Ф. И. О.],B484)</f>
        <v>0</v>
      </c>
      <c r="I480" s="418">
        <f>IF(D479&lt;=3,база!$J$4,
IF(D479=4,база!$J$5,
IF(D479=5,база!$J$6)))</f>
        <v>196.05240000000001</v>
      </c>
      <c r="J480" s="575">
        <v>1</v>
      </c>
      <c r="K480" s="419">
        <f>SUMIFS(Таблица14[часы],Таблица14[коэф],"1",Таблица14[р/р],"3/8",Таблица14[Ф. И. О.],B484)</f>
        <v>0</v>
      </c>
      <c r="L480" s="419">
        <f>SUMIFS(Таблица14[Столбец2],Таблица14[коэф],"1",Таблица14[р/р],"3/8",Таблица14[Ф. И. О.],B484)</f>
        <v>0</v>
      </c>
      <c r="M480" s="419"/>
      <c r="N480" s="419">
        <v>1</v>
      </c>
      <c r="O480" s="419">
        <f>SUMIFS(Data_Tech!$AM$3:$AM$67,Data_Tech!$E$3:$E$67,"1",Data_Tech!$G$3:$G$67,"4/12",Data_Tech!$F$3:$F$67,B484)</f>
        <v>0</v>
      </c>
      <c r="P480" s="392">
        <f>ROUND(M480*O480,2)</f>
        <v>0</v>
      </c>
      <c r="Q480" s="414">
        <f>база!$L$5</f>
        <v>231.45480000000001</v>
      </c>
      <c r="R480" s="415">
        <v>1</v>
      </c>
      <c r="S480" s="416">
        <f>SUMIFS(Таблица14[часы],Таблица14[коэф],"1",Таблица14[р/р],"4/16",Таблица14[Ф. И. О.],B484)</f>
        <v>0</v>
      </c>
      <c r="T480" s="417">
        <f>SUMIFS(Таблица14[Столбец2],Таблица14[коэф],"1",Таблица14[р/р],"4/16",Таблица14[Ф. И. О.],B484)</f>
        <v>0</v>
      </c>
      <c r="U480" s="576">
        <f>база!$M$5</f>
        <v>247.41720000000001</v>
      </c>
      <c r="V480" s="415">
        <v>1</v>
      </c>
      <c r="W480" s="509">
        <f>SUMIFS(Таблица14[часы],Таблица14[коэф],"1",Таблица14[р/р],"4/24",Таблица14[Ф. И. О.],B484)</f>
        <v>0</v>
      </c>
      <c r="X480" s="577">
        <f>SUMIFS(Таблица14[Столбец2],Таблица14[коэф],"1",Таблица14[р/р],"4/24",Таблица14[Ф. И. О.],B484)</f>
        <v>0</v>
      </c>
      <c r="Y480" s="754"/>
      <c r="Z480" s="750"/>
      <c r="AA480" s="740"/>
    </row>
    <row r="481" spans="1:27" ht="18.75">
      <c r="A481" s="740"/>
      <c r="B481" s="201"/>
      <c r="C481" s="743"/>
      <c r="D481" s="746"/>
      <c r="E481" s="414"/>
      <c r="F481" s="415"/>
      <c r="G481" s="416"/>
      <c r="H481" s="417"/>
      <c r="I481" s="418"/>
      <c r="J481" s="575"/>
      <c r="K481" s="419"/>
      <c r="L481" s="419"/>
      <c r="M481" s="419"/>
      <c r="N481" s="419"/>
      <c r="O481" s="419"/>
      <c r="P481" s="392"/>
      <c r="Q481" s="414">
        <f>база!$L$6</f>
        <v>261.04640000000001</v>
      </c>
      <c r="R481" s="415">
        <v>1</v>
      </c>
      <c r="S481" s="416">
        <f>SUMIFS(Таблица14[часы],Таблица14[коэф],"1",Таблица14[р/р],"5/16",Таблица14[Ф. И. О.],B484)</f>
        <v>0</v>
      </c>
      <c r="T481" s="417">
        <f>SUMIFS(Таблица14[Столбец2],Таблица14[коэф],"1",Таблица14[р/р],"5/16",Таблица14[Ф. И. О.],B484)</f>
        <v>0</v>
      </c>
      <c r="U481" s="576">
        <f>база!$M$6</f>
        <v>279.0496</v>
      </c>
      <c r="V481" s="415">
        <v>1</v>
      </c>
      <c r="W481" s="509">
        <f>SUMIFS(Таблица14[часы],Таблица14[коэф],"1",Таблица14[р/р],"5/24",Таблица14[Ф. И. О.],B484)</f>
        <v>0</v>
      </c>
      <c r="X481" s="577">
        <f>SUMIFS(Таблица14[Столбец2],Таблица14[коэф],"1",Таблица14[р/р],"5/24",Таблица14[Ф. И. О.],B484)</f>
        <v>0</v>
      </c>
      <c r="Y481" s="754"/>
      <c r="Z481" s="750"/>
      <c r="AA481" s="740"/>
    </row>
    <row r="482" spans="1:27" ht="18.75">
      <c r="A482" s="740"/>
      <c r="B482" s="201"/>
      <c r="C482" s="743"/>
      <c r="D482" s="746"/>
      <c r="E482" s="414"/>
      <c r="F482" s="415"/>
      <c r="G482" s="416"/>
      <c r="H482" s="417"/>
      <c r="I482" s="418">
        <f>база!$J$5</f>
        <v>215.4924</v>
      </c>
      <c r="J482" s="575">
        <v>1.5</v>
      </c>
      <c r="K482" s="419">
        <f>SUMIFS(Таблица14[часы],Таблица14[коэф],"1,5",Таблица14[р/р],"4/8",Таблица14[Ф. И. О.],B484)</f>
        <v>0</v>
      </c>
      <c r="L482" s="419">
        <f>SUMIFS(Таблица14[Столбец2],Таблица14[коэф],"1,5",Таблица14[р/р],"4/8",Таблица14[Ф. И. О.],B484)</f>
        <v>0</v>
      </c>
      <c r="M482" s="419"/>
      <c r="N482" s="419"/>
      <c r="O482" s="419"/>
      <c r="P482" s="392"/>
      <c r="Q482" s="414">
        <f>IF(D479&lt;=3,база!$L$4,
IF(D479=4,база!$L$5,
IF(D479=5,база!$L$6)))</f>
        <v>210.57480000000001</v>
      </c>
      <c r="R482" s="415">
        <v>1.2</v>
      </c>
      <c r="S482" s="416">
        <f>SUMIFS(Таблица14[часы],Таблица14[коэф],"1,2",Таблица14[р/р],"3/16",Таблица14[Ф. И. О.],B484)</f>
        <v>0</v>
      </c>
      <c r="T482" s="417">
        <f>SUMIFS(Таблица14[Столбец2],Таблица14[коэф],"1,2",Таблица14[р/р],"3/16",Таблица14[Ф. И. О.],B484)</f>
        <v>0</v>
      </c>
      <c r="U482" s="576">
        <f>IF(D479&lt;=3,база!$M$4,
IF(D479=4,база!$M$5,
IF(D479=5,база!$M$6)))</f>
        <v>225.09719999999999</v>
      </c>
      <c r="V482" s="415">
        <v>1.2</v>
      </c>
      <c r="W482" s="509">
        <f>SUMIFS(Таблица14[часы],Таблица14[коэф],"1,2",Таблица14[р/р],"3/24",Таблица14[Ф. И. О.],B484)</f>
        <v>0</v>
      </c>
      <c r="X482" s="577">
        <f>SUMIFS(Таблица14[Столбец2],Таблица14[коэф],"1,2",Таблица14[р/р],"3/24",Таблица14[Ф. И. О.],B484)</f>
        <v>0</v>
      </c>
      <c r="Y482" s="754"/>
      <c r="Z482" s="750"/>
      <c r="AA482" s="740"/>
    </row>
    <row r="483" spans="1:27" ht="18.75">
      <c r="A483" s="740"/>
      <c r="B483" s="201"/>
      <c r="C483" s="743"/>
      <c r="D483" s="746"/>
      <c r="E483" s="414"/>
      <c r="F483" s="415"/>
      <c r="G483" s="416"/>
      <c r="H483" s="417"/>
      <c r="I483" s="418">
        <f>база!$J$6</f>
        <v>243.04319999999998</v>
      </c>
      <c r="J483" s="575">
        <v>1.5</v>
      </c>
      <c r="K483" s="419">
        <f>SUMIFS(Таблица14[часы],Таблица14[коэф],"1,5",Таблица14[р/р],"5/8",Таблица14[Ф. И. О.],B484)</f>
        <v>0</v>
      </c>
      <c r="L483" s="419">
        <f>SUMIFS(Таблица14[Столбец2],Таблица14[коэф],"1,5",Таблица14[р/р],"5/8",Таблица14[Ф. И. О.],B484)</f>
        <v>0</v>
      </c>
      <c r="M483" s="419"/>
      <c r="N483" s="419"/>
      <c r="O483" s="419"/>
      <c r="P483" s="392"/>
      <c r="Q483" s="414">
        <f>база!$L$5</f>
        <v>231.45480000000001</v>
      </c>
      <c r="R483" s="415">
        <v>1.2</v>
      </c>
      <c r="S483" s="416">
        <f>SUMIFS(Таблица14[часы],Таблица14[коэф],"1,2",Таблица14[р/р],"4/16",Таблица14[Ф. И. О.],B484)</f>
        <v>0</v>
      </c>
      <c r="T483" s="417">
        <f>SUMIFS(Таблица14[Столбец2],Таблица14[коэф],"1,2",Таблица14[р/р],"4/16",Таблица14[Ф. И. О.],B484)</f>
        <v>0</v>
      </c>
      <c r="U483" s="576">
        <f>база!$M$5</f>
        <v>247.41720000000001</v>
      </c>
      <c r="V483" s="415">
        <v>1.2</v>
      </c>
      <c r="W483" s="509">
        <f>SUMIFS(Таблица14[часы],Таблица14[коэф],"1,2",Таблица14[р/р],"4/24",Таблица14[Ф. И. О.],B484)</f>
        <v>0</v>
      </c>
      <c r="X483" s="577">
        <f>SUMIFS(Таблица14[Столбец2],Таблица14[коэф],"1,2",Таблица14[р/р],"4/24",Таблица14[Ф. И. О.],B484)</f>
        <v>0</v>
      </c>
      <c r="Y483" s="754"/>
      <c r="Z483" s="750"/>
      <c r="AA483" s="740"/>
    </row>
    <row r="484" spans="1:27" ht="18.75">
      <c r="A484" s="740"/>
      <c r="B484" s="201" t="str">
        <f>база!B45</f>
        <v>Маргиева Фатима Александровна</v>
      </c>
      <c r="C484" s="743"/>
      <c r="D484" s="746"/>
      <c r="E484" s="414"/>
      <c r="F484" s="415"/>
      <c r="G484" s="416"/>
      <c r="H484" s="417"/>
      <c r="I484" s="418"/>
      <c r="J484" s="575"/>
      <c r="K484" s="419"/>
      <c r="L484" s="419"/>
      <c r="M484" s="419"/>
      <c r="N484" s="419"/>
      <c r="O484" s="419"/>
      <c r="P484" s="392"/>
      <c r="Q484" s="414">
        <f>база!$L$6</f>
        <v>261.04640000000001</v>
      </c>
      <c r="R484" s="415">
        <v>1.2</v>
      </c>
      <c r="S484" s="416">
        <f>SUMIFS(Таблица14[часы],Таблица14[коэф],"1,2",Таблица14[р/р],"5/16",Таблица14[Ф. И. О.],B484)</f>
        <v>0</v>
      </c>
      <c r="T484" s="417">
        <f>SUMIFS(Таблица14[Столбец2],Таблица14[коэф],"1,2",Таблица14[р/р],"5/16",Таблица14[Ф. И. О.],B484)</f>
        <v>0</v>
      </c>
      <c r="U484" s="576">
        <f>база!$M$6</f>
        <v>279.0496</v>
      </c>
      <c r="V484" s="415">
        <v>1.2</v>
      </c>
      <c r="W484" s="509">
        <f>SUMIFS(Таблица14[часы],Таблица14[коэф],"1,2",Таблица14[р/р],"5/24",Таблица14[Ф. И. О.],B484)</f>
        <v>0</v>
      </c>
      <c r="X484" s="577">
        <f>SUMIFS(Таблица14[Столбец2],Таблица14[коэф],"1,2",Таблица14[р/р],"5/24",Таблица14[Ф. И. О.],B484)</f>
        <v>0</v>
      </c>
      <c r="Y484" s="754"/>
      <c r="Z484" s="750"/>
      <c r="AA484" s="740"/>
    </row>
    <row r="485" spans="1:27" ht="18.75">
      <c r="A485" s="740"/>
      <c r="B485" s="201"/>
      <c r="C485" s="743"/>
      <c r="D485" s="746"/>
      <c r="E485" s="414"/>
      <c r="F485" s="415"/>
      <c r="G485" s="416"/>
      <c r="H485" s="417"/>
      <c r="I485" s="418"/>
      <c r="J485" s="575"/>
      <c r="K485" s="419"/>
      <c r="L485" s="419"/>
      <c r="M485" s="419"/>
      <c r="N485" s="419"/>
      <c r="O485" s="419"/>
      <c r="P485" s="392"/>
      <c r="Q485" s="414">
        <f>IF($D$6&lt;=3,база!$L$4,
IF($D$6=4,база!$L$5,
IF($D$6=5,база!$L$6)))</f>
        <v>231.45480000000001</v>
      </c>
      <c r="R485" s="415">
        <v>1.3</v>
      </c>
      <c r="S485" s="416">
        <f>SUMIFS(Таблица14[часы],Таблица14[коэф],"1,3",Таблица14[р/р],"3/16",Таблица14[Ф. И. О.],B484)</f>
        <v>0</v>
      </c>
      <c r="T485" s="417">
        <f>SUMIFS(Таблица14[Столбец2],Таблица14[коэф],"1,3",Таблица14[р/р],"3/16",Таблица14[Ф. И. О.],B484)</f>
        <v>0</v>
      </c>
      <c r="U485" s="576">
        <f>IF(D479&lt;=3,база!$M$4,
IF(D479=4,база!$M$5,
IF(D479=5,база!$M$6)))</f>
        <v>225.09719999999999</v>
      </c>
      <c r="V485" s="415">
        <v>1.3</v>
      </c>
      <c r="W485" s="509">
        <f>SUMIFS(Таблица14[часы],Таблица14[коэф],"1,3",Таблица14[р/р],"3/24",Таблица14[Ф. И. О.],B484)</f>
        <v>0</v>
      </c>
      <c r="X485" s="577">
        <f>SUMIFS(Таблица14[Столбец2],Таблица14[коэф],"1,3",Таблица14[р/р],"3/24",Таблица14[Ф. И. О.],B484)</f>
        <v>0</v>
      </c>
      <c r="Y485" s="754"/>
      <c r="Z485" s="750"/>
      <c r="AA485" s="740"/>
    </row>
    <row r="486" spans="1:27" ht="18.75">
      <c r="A486" s="740"/>
      <c r="B486" s="201"/>
      <c r="C486" s="743"/>
      <c r="D486" s="746"/>
      <c r="E486" s="414"/>
      <c r="F486" s="415"/>
      <c r="G486" s="416"/>
      <c r="H486" s="417"/>
      <c r="I486" s="418"/>
      <c r="J486" s="575"/>
      <c r="K486" s="419"/>
      <c r="L486" s="419"/>
      <c r="M486" s="419"/>
      <c r="N486" s="419"/>
      <c r="O486" s="419"/>
      <c r="P486" s="392"/>
      <c r="Q486" s="414">
        <f>база!$L$5</f>
        <v>231.45480000000001</v>
      </c>
      <c r="R486" s="415">
        <v>1.3</v>
      </c>
      <c r="S486" s="416">
        <f>SUMIFS(Таблица14[часы],Таблица14[коэф],"1,3",Таблица14[р/р],"4/16",Таблица14[Ф. И. О.],B484)</f>
        <v>0</v>
      </c>
      <c r="T486" s="417">
        <f>SUMIFS(Таблица14[Столбец2],Таблица14[коэф],"1,3",Таблица14[р/р],"4/16",Таблица14[Ф. И. О.],B484)</f>
        <v>0</v>
      </c>
      <c r="U486" s="576">
        <f>база!$M$5</f>
        <v>247.41720000000001</v>
      </c>
      <c r="V486" s="415">
        <v>1.3</v>
      </c>
      <c r="W486" s="509">
        <f>SUMIFS(Таблица14[часы],Таблица14[коэф],"1,3",Таблица14[р/р],"4/24",Таблица14[Ф. И. О.],B484)</f>
        <v>0</v>
      </c>
      <c r="X486" s="577">
        <f>SUMIFS(Таблица14[Столбец2],Таблица14[коэф],"1,3",Таблица14[р/р],"4/24",Таблица14[Ф. И. О.],B484)</f>
        <v>0</v>
      </c>
      <c r="Y486" s="754"/>
      <c r="Z486" s="750"/>
      <c r="AA486" s="740"/>
    </row>
    <row r="487" spans="1:27" ht="18.75">
      <c r="A487" s="740"/>
      <c r="B487" s="201"/>
      <c r="C487" s="743"/>
      <c r="D487" s="746"/>
      <c r="E487" s="414"/>
      <c r="F487" s="415"/>
      <c r="G487" s="416"/>
      <c r="H487" s="417"/>
      <c r="I487" s="418"/>
      <c r="J487" s="575"/>
      <c r="K487" s="419"/>
      <c r="L487" s="419"/>
      <c r="M487" s="419"/>
      <c r="N487" s="419"/>
      <c r="O487" s="419"/>
      <c r="P487" s="392"/>
      <c r="Q487" s="414">
        <f>IF(D479&lt;=3,база!$L$4,
IF(D479=4,база!$L$5,
IF(D479=5,база!$L$6)))</f>
        <v>210.57480000000001</v>
      </c>
      <c r="R487" s="415">
        <v>1.4</v>
      </c>
      <c r="S487" s="416">
        <f>SUMIFS(Таблица14[часы],Таблица14[коэф],"1,4",Таблица14[р/р],"3/16",Таблица14[Ф. И. О.],B484)</f>
        <v>0</v>
      </c>
      <c r="T487" s="417">
        <f>SUMIFS(Таблица14[Столбец2],Таблица14[коэф],"1,4",Таблица14[р/р],"3/16",Таблица14[Ф. И. О.],B484)</f>
        <v>0</v>
      </c>
      <c r="U487" s="576">
        <f>IF(D479&lt;=3,база!$M$4,
IF(D479=4,база!$M$5,
IF(D479=5,база!$M$6)))</f>
        <v>225.09719999999999</v>
      </c>
      <c r="V487" s="415">
        <v>1.4</v>
      </c>
      <c r="W487" s="509">
        <f>SUMIFS(Таблица14[часы],Таблица14[коэф],"1,4",Таблица14[р/р],"3/24",Таблица14[Ф. И. О.],B484)</f>
        <v>0</v>
      </c>
      <c r="X487" s="577">
        <f>SUMIFS(Таблица14[Столбец2],Таблица14[коэф],"1,4",Таблица14[р/р],"3/24",Таблица14[Ф. И. О.],B484)</f>
        <v>0</v>
      </c>
      <c r="Y487" s="754"/>
      <c r="Z487" s="750"/>
      <c r="AA487" s="740"/>
    </row>
    <row r="488" spans="1:27" ht="18.75">
      <c r="A488" s="740"/>
      <c r="B488" s="201"/>
      <c r="C488" s="743"/>
      <c r="D488" s="746"/>
      <c r="E488" s="414"/>
      <c r="F488" s="415"/>
      <c r="G488" s="416"/>
      <c r="H488" s="417"/>
      <c r="I488" s="418"/>
      <c r="J488" s="575"/>
      <c r="K488" s="419"/>
      <c r="L488" s="419"/>
      <c r="M488" s="419"/>
      <c r="N488" s="419"/>
      <c r="O488" s="419"/>
      <c r="P488" s="392"/>
      <c r="Q488" s="414">
        <f>база!$L$5</f>
        <v>231.45480000000001</v>
      </c>
      <c r="R488" s="415">
        <v>1.4</v>
      </c>
      <c r="S488" s="416">
        <f>SUMIFS(Таблица14[часы],Таблица14[коэф],"1,4",Таблица14[р/р],"4/16",Таблица14[Ф. И. О.],B484)</f>
        <v>0</v>
      </c>
      <c r="T488" s="417">
        <f>SUMIFS(Таблица14[Столбец2],Таблица14[коэф],"1,4",Таблица14[р/р],"4/16",Таблица14[Ф. И. О.],B484)</f>
        <v>0</v>
      </c>
      <c r="U488" s="576">
        <f>база!$M$5</f>
        <v>247.41720000000001</v>
      </c>
      <c r="V488" s="415">
        <v>1.4</v>
      </c>
      <c r="W488" s="509">
        <f>SUMIFS(Таблица14[часы],Таблица14[коэф],"1,4",Таблица14[р/р],"4/24",Таблица14[Ф. И. О.],B484)</f>
        <v>0</v>
      </c>
      <c r="X488" s="577">
        <f>SUMIFS(Таблица14[Столбец2],Таблица14[коэф],"1,4",Таблица14[р/р],"4/24",Таблица14[Ф. И. О.],B484)</f>
        <v>0</v>
      </c>
      <c r="Y488" s="754"/>
      <c r="Z488" s="750"/>
      <c r="AA488" s="740"/>
    </row>
    <row r="489" spans="1:27" ht="19.5" thickBot="1">
      <c r="A489" s="741"/>
      <c r="B489" s="188"/>
      <c r="C489" s="744"/>
      <c r="D489" s="747"/>
      <c r="E489" s="422"/>
      <c r="F489" s="423"/>
      <c r="G489" s="424"/>
      <c r="H489" s="511"/>
      <c r="I489" s="425"/>
      <c r="J489" s="588"/>
      <c r="K489" s="426"/>
      <c r="L489" s="426"/>
      <c r="M489" s="426"/>
      <c r="N489" s="426"/>
      <c r="O489" s="426"/>
      <c r="P489" s="514"/>
      <c r="Q489" s="422">
        <f>база!$L$6</f>
        <v>261.04640000000001</v>
      </c>
      <c r="R489" s="423">
        <v>1.4</v>
      </c>
      <c r="S489" s="424">
        <f>SUMIFS(Таблица14[часы],Таблица14[коэф],"1,4",Таблица14[р/р],"5/16",Таблица14[Ф. И. О.],B484)</f>
        <v>0</v>
      </c>
      <c r="T489" s="511">
        <f>SUMIFS(Таблица14[Столбец2],Таблица14[коэф],"1,4",Таблица14[р/р],"5/16",Таблица14[Ф. И. О.],B484)</f>
        <v>0</v>
      </c>
      <c r="U489" s="589">
        <f>база!$M$6</f>
        <v>279.0496</v>
      </c>
      <c r="V489" s="423">
        <v>1.4</v>
      </c>
      <c r="W489" s="516">
        <f>SUMIFS(Таблица14[часы],Таблица14[коэф],"1,4",Таблица14[р/р],"5/24",Таблица14[Ф. И. О.],B484)</f>
        <v>0</v>
      </c>
      <c r="X489" s="590">
        <f>SUMIFS(Таблица14[Столбец2],Таблица14[коэф],"1,4",Таблица14[р/р],"5/24",Таблица14[Ф. И. О.],B484)</f>
        <v>0</v>
      </c>
      <c r="Y489" s="755"/>
      <c r="Z489" s="751"/>
      <c r="AA489" s="741"/>
    </row>
    <row r="490" spans="1:27" ht="20.25" customHeight="1">
      <c r="A490" s="739">
        <v>45</v>
      </c>
      <c r="B490" s="201"/>
      <c r="C490" s="742">
        <f>INDEX(база!$E$2:$E$98, MATCH(B495,база!$B$2:$B$100,0))</f>
        <v>16779</v>
      </c>
      <c r="D490" s="745">
        <f>INDEX(база!$D$2:$D$121, MATCH(B495,база!$B$2:$B$100,0))</f>
        <v>3</v>
      </c>
      <c r="E490" s="414">
        <f>IF(D490&lt;=3,база!$I$4,
IF(D490=4,база!$I$5,
IF(D490=5,база!$I$6)))</f>
        <v>188.7912</v>
      </c>
      <c r="F490" s="415">
        <v>1</v>
      </c>
      <c r="G490" s="416">
        <f>SUMIFS(Таблица14[часы],Таблица14[коэф],"1",Таблица14[р/р],"2/4",Таблица14[Ф. И. О.],B495)</f>
        <v>0</v>
      </c>
      <c r="H490" s="417">
        <f>SUMIFS(Таблица14[Столбец2],Таблица14[коэф],"1",Таблица14[р/р],"2/4",Таблица14[Ф. И. О.],B495)</f>
        <v>0</v>
      </c>
      <c r="I490" s="418">
        <f>IF(D490&lt;=3,база!$J$4,
IF(D490=4,база!$J$5,
IF(D490=5,база!$J$6)))</f>
        <v>196.05240000000001</v>
      </c>
      <c r="J490" s="575">
        <v>1</v>
      </c>
      <c r="K490" s="419">
        <f>SUMIFS(Таблица14[часы],Таблица14[коэф],"1",Таблица14[р/р],"2/8",Таблица14[Ф. И. О.],B495)</f>
        <v>0</v>
      </c>
      <c r="L490" s="419">
        <f>SUMIFS(Таблица14[Столбец2],Таблица14[коэф],"1",Таблица14[р/р],"2/8",Таблица14[Ф. И. О.],B495)</f>
        <v>0</v>
      </c>
      <c r="M490" s="419"/>
      <c r="N490" s="419">
        <v>1</v>
      </c>
      <c r="O490" s="419">
        <f>SUMIFS(Data_Tech!$AM$3:$AM$67,Data_Tech!$E$3:$E$67,"1",Data_Tech!$G$3:$G$67,"3/12",Data_Tech!$F$3:$F$67,B495)</f>
        <v>0</v>
      </c>
      <c r="P490" s="392">
        <f>ROUND(M490*N490*O490,2)</f>
        <v>0</v>
      </c>
      <c r="Q490" s="414">
        <f>IF(D490&lt;=3,база!$L$4,
IF(D490=4,база!$L$5,
IF(D490=5,база!$L$6)))</f>
        <v>210.57480000000001</v>
      </c>
      <c r="R490" s="415">
        <v>1</v>
      </c>
      <c r="S490" s="416">
        <f>SUMIFS(Таблица14[часы],Таблица14[коэф],"1",Таблица14[р/р],"3/16",Таблица14[Ф. И. О.],B495)</f>
        <v>0</v>
      </c>
      <c r="T490" s="417">
        <f>SUMIFS(Таблица14[Столбец2],Таблица14[коэф],"1",Таблица14[р/р],"3/16",Таблица14[Ф. И. О.],B495)</f>
        <v>0</v>
      </c>
      <c r="U490" s="576">
        <f>IF(D490&lt;=3,база!$M$4,
IF(D490=4,база!$M$5,
IF(D490=5,база!$M$6)))</f>
        <v>225.09719999999999</v>
      </c>
      <c r="V490" s="415">
        <v>1</v>
      </c>
      <c r="W490" s="509">
        <f>SUMIFS(Таблица14[часы],Таблица14[коэф],"1",Таблица14[р/р],"3/24",Таблица14[Ф. И. О.],B495)</f>
        <v>0</v>
      </c>
      <c r="X490" s="577">
        <f>SUMIFS(Таблица14[Столбец2],Таблица14[коэф],"1",Таблица14[р/р],"3/24",Таблица14[Ф. И. О.],B495)</f>
        <v>0</v>
      </c>
      <c r="Y490" s="753">
        <f t="shared" ref="Y490" si="228">SUM(G490:G500,K490:K500,O490:O500,S490:S500,W490:W500)</f>
        <v>0</v>
      </c>
      <c r="Z490" s="752">
        <f t="shared" ref="Z490" si="229">IFERROR(SUM(H490:H500,L490:L500,T490:T500,X490:X500),"")</f>
        <v>0</v>
      </c>
      <c r="AA490" s="739"/>
    </row>
    <row r="491" spans="1:27" ht="18.75">
      <c r="A491" s="740"/>
      <c r="B491" s="201"/>
      <c r="C491" s="743"/>
      <c r="D491" s="746"/>
      <c r="E491" s="414">
        <f>IF(D490&lt;=3,база!$I$4,
IF(D490=4,база!$I$5,
IF(D490=5,база!$I$6)))</f>
        <v>188.7912</v>
      </c>
      <c r="F491" s="415">
        <v>1</v>
      </c>
      <c r="G491" s="416">
        <f>SUMIFS(Таблица14[часы],Таблица14[коэф],"1",Таблица14[р/р],"3/4",Таблица14[Ф. И. О.],B495)</f>
        <v>0</v>
      </c>
      <c r="H491" s="417">
        <f>SUMIFS(Таблица14[Столбец2],Таблица14[коэф],"1",Таблица14[р/р],"3/4",Таблица14[Ф. И. О.],B495)</f>
        <v>0</v>
      </c>
      <c r="I491" s="418">
        <f>IF(D490&lt;=3,база!$J$4,
IF(D490=4,база!$J$5,
IF(D490=5,база!$J$6)))</f>
        <v>196.05240000000001</v>
      </c>
      <c r="J491" s="575">
        <v>1</v>
      </c>
      <c r="K491" s="419">
        <f>SUMIFS(Таблица14[часы],Таблица14[коэф],"1",Таблица14[р/р],"3/8",Таблица14[Ф. И. О.],B495)</f>
        <v>0</v>
      </c>
      <c r="L491" s="419">
        <f>SUMIFS(Таблица14[Столбец2],Таблица14[коэф],"1",Таблица14[р/р],"3/8",Таблица14[Ф. И. О.],B495)</f>
        <v>0</v>
      </c>
      <c r="M491" s="419"/>
      <c r="N491" s="419">
        <v>1</v>
      </c>
      <c r="O491" s="419">
        <f>SUMIFS(Data_Tech!$AM$3:$AM$67,Data_Tech!$E$3:$E$67,"1",Data_Tech!$G$3:$G$67,"4/12",Data_Tech!$F$3:$F$67,B495)</f>
        <v>0</v>
      </c>
      <c r="P491" s="392">
        <f>ROUND(M491*O491,2)</f>
        <v>0</v>
      </c>
      <c r="Q491" s="414">
        <f>база!$L$5</f>
        <v>231.45480000000001</v>
      </c>
      <c r="R491" s="415">
        <v>1</v>
      </c>
      <c r="S491" s="416">
        <f>SUMIFS(Таблица14[часы],Таблица14[коэф],"1",Таблица14[р/р],"4/16",Таблица14[Ф. И. О.],B495)</f>
        <v>0</v>
      </c>
      <c r="T491" s="417">
        <f>SUMIFS(Таблица14[Столбец2],Таблица14[коэф],"1",Таблица14[р/р],"4/16",Таблица14[Ф. И. О.],B495)</f>
        <v>0</v>
      </c>
      <c r="U491" s="576">
        <f>база!$M$5</f>
        <v>247.41720000000001</v>
      </c>
      <c r="V491" s="415">
        <v>1</v>
      </c>
      <c r="W491" s="509">
        <f>SUMIFS(Таблица14[часы],Таблица14[коэф],"1",Таблица14[р/р],"4/24",Таблица14[Ф. И. О.],B495)</f>
        <v>0</v>
      </c>
      <c r="X491" s="577">
        <f>SUMIFS(Таблица14[Столбец2],Таблица14[коэф],"1",Таблица14[р/р],"4/24",Таблица14[Ф. И. О.],B495)</f>
        <v>0</v>
      </c>
      <c r="Y491" s="754"/>
      <c r="Z491" s="750"/>
      <c r="AA491" s="740"/>
    </row>
    <row r="492" spans="1:27" ht="18.75">
      <c r="A492" s="740"/>
      <c r="B492" s="201"/>
      <c r="C492" s="743"/>
      <c r="D492" s="746"/>
      <c r="E492" s="414"/>
      <c r="F492" s="415"/>
      <c r="G492" s="416"/>
      <c r="H492" s="417"/>
      <c r="I492" s="418"/>
      <c r="J492" s="575"/>
      <c r="K492" s="419"/>
      <c r="L492" s="419"/>
      <c r="M492" s="419"/>
      <c r="N492" s="419"/>
      <c r="O492" s="419"/>
      <c r="P492" s="392"/>
      <c r="Q492" s="414">
        <f>база!$L$6</f>
        <v>261.04640000000001</v>
      </c>
      <c r="R492" s="415">
        <v>1</v>
      </c>
      <c r="S492" s="416">
        <f>SUMIFS(Таблица14[часы],Таблица14[коэф],"1",Таблица14[р/р],"5/16",Таблица14[Ф. И. О.],B495)</f>
        <v>0</v>
      </c>
      <c r="T492" s="417">
        <f>SUMIFS(Таблица14[Столбец2],Таблица14[коэф],"1",Таблица14[р/р],"5/16",Таблица14[Ф. И. О.],B495)</f>
        <v>0</v>
      </c>
      <c r="U492" s="576">
        <f>база!$M$6</f>
        <v>279.0496</v>
      </c>
      <c r="V492" s="415">
        <v>1</v>
      </c>
      <c r="W492" s="509">
        <f>SUMIFS(Таблица14[часы],Таблица14[коэф],"1",Таблица14[р/р],"5/24",Таблица14[Ф. И. О.],B495)</f>
        <v>0</v>
      </c>
      <c r="X492" s="577">
        <f>SUMIFS(Таблица14[Столбец2],Таблица14[коэф],"1",Таблица14[р/р],"5/24",Таблица14[Ф. И. О.],B495)</f>
        <v>0</v>
      </c>
      <c r="Y492" s="754"/>
      <c r="Z492" s="750"/>
      <c r="AA492" s="740"/>
    </row>
    <row r="493" spans="1:27" ht="18.75">
      <c r="A493" s="740"/>
      <c r="B493" s="201"/>
      <c r="C493" s="743"/>
      <c r="D493" s="746"/>
      <c r="E493" s="414"/>
      <c r="F493" s="415"/>
      <c r="G493" s="416"/>
      <c r="H493" s="417"/>
      <c r="I493" s="418">
        <f>база!$J$5</f>
        <v>215.4924</v>
      </c>
      <c r="J493" s="575">
        <v>1.5</v>
      </c>
      <c r="K493" s="419">
        <f>SUMIFS(Таблица14[часы],Таблица14[коэф],"1,5",Таблица14[р/р],"4/8",Таблица14[Ф. И. О.],B495)</f>
        <v>0</v>
      </c>
      <c r="L493" s="419">
        <f>SUMIFS(Таблица14[Столбец2],Таблица14[коэф],"1,5",Таблица14[р/р],"4/8",Таблица14[Ф. И. О.],B495)</f>
        <v>0</v>
      </c>
      <c r="M493" s="419"/>
      <c r="N493" s="419"/>
      <c r="O493" s="419"/>
      <c r="P493" s="392"/>
      <c r="Q493" s="414">
        <f>IF(D490&lt;=3,база!$L$4,
IF(D490=4,база!$L$5,
IF(D490=5,база!$L$6)))</f>
        <v>210.57480000000001</v>
      </c>
      <c r="R493" s="415">
        <v>1.2</v>
      </c>
      <c r="S493" s="416">
        <f>SUMIFS(Таблица14[часы],Таблица14[коэф],"1,2",Таблица14[р/р],"3/16",Таблица14[Ф. И. О.],B495)</f>
        <v>0</v>
      </c>
      <c r="T493" s="417">
        <f>SUMIFS(Таблица14[Столбец2],Таблица14[коэф],"1,2",Таблица14[р/р],"3/16",Таблица14[Ф. И. О.],B495)</f>
        <v>0</v>
      </c>
      <c r="U493" s="576">
        <f>IF(D490&lt;=3,база!$M$4,
IF(D490=4,база!$M$5,
IF(D490=5,база!$M$6)))</f>
        <v>225.09719999999999</v>
      </c>
      <c r="V493" s="415">
        <v>1.2</v>
      </c>
      <c r="W493" s="509">
        <f>SUMIFS(Таблица14[часы],Таблица14[коэф],"1,2",Таблица14[р/р],"3/24",Таблица14[Ф. И. О.],B495)</f>
        <v>0</v>
      </c>
      <c r="X493" s="577">
        <f>SUMIFS(Таблица14[Столбец2],Таблица14[коэф],"1,2",Таблица14[р/р],"3/24",Таблица14[Ф. И. О.],B495)</f>
        <v>0</v>
      </c>
      <c r="Y493" s="754"/>
      <c r="Z493" s="750"/>
      <c r="AA493" s="740"/>
    </row>
    <row r="494" spans="1:27" ht="18.75">
      <c r="A494" s="740"/>
      <c r="B494" s="201"/>
      <c r="C494" s="743"/>
      <c r="D494" s="746"/>
      <c r="E494" s="414"/>
      <c r="F494" s="415"/>
      <c r="G494" s="416"/>
      <c r="H494" s="417"/>
      <c r="I494" s="418">
        <f>база!$J$6</f>
        <v>243.04319999999998</v>
      </c>
      <c r="J494" s="575">
        <v>1.5</v>
      </c>
      <c r="K494" s="419">
        <f>SUMIFS(Таблица14[часы],Таблица14[коэф],"1,5",Таблица14[р/р],"5/8",Таблица14[Ф. И. О.],B495)</f>
        <v>0</v>
      </c>
      <c r="L494" s="419">
        <f>SUMIFS(Таблица14[Столбец2],Таблица14[коэф],"1,5",Таблица14[р/р],"5/8",Таблица14[Ф. И. О.],B495)</f>
        <v>0</v>
      </c>
      <c r="M494" s="419"/>
      <c r="N494" s="419"/>
      <c r="O494" s="419"/>
      <c r="P494" s="392"/>
      <c r="Q494" s="414">
        <f>база!$L$5</f>
        <v>231.45480000000001</v>
      </c>
      <c r="R494" s="415">
        <v>1.2</v>
      </c>
      <c r="S494" s="416">
        <f>SUMIFS(Таблица14[часы],Таблица14[коэф],"1,2",Таблица14[р/р],"4/16",Таблица14[Ф. И. О.],B495)</f>
        <v>0</v>
      </c>
      <c r="T494" s="417">
        <f>SUMIFS(Таблица14[Столбец2],Таблица14[коэф],"1,2",Таблица14[р/р],"4/16",Таблица14[Ф. И. О.],B495)</f>
        <v>0</v>
      </c>
      <c r="U494" s="576">
        <f>база!$M$5</f>
        <v>247.41720000000001</v>
      </c>
      <c r="V494" s="415">
        <v>1.2</v>
      </c>
      <c r="W494" s="509">
        <f>SUMIFS(Таблица14[часы],Таблица14[коэф],"1,2",Таблица14[р/р],"4/24",Таблица14[Ф. И. О.],B495)</f>
        <v>0</v>
      </c>
      <c r="X494" s="577">
        <f>SUMIFS(Таблица14[Столбец2],Таблица14[коэф],"1,2",Таблица14[р/р],"4/24",Таблица14[Ф. И. О.],B495)</f>
        <v>0</v>
      </c>
      <c r="Y494" s="754"/>
      <c r="Z494" s="750"/>
      <c r="AA494" s="740"/>
    </row>
    <row r="495" spans="1:27" ht="18.75">
      <c r="A495" s="740"/>
      <c r="B495" s="201" t="str">
        <f>база!B46</f>
        <v>Маркова Ольга Евгеньевна</v>
      </c>
      <c r="C495" s="743"/>
      <c r="D495" s="746"/>
      <c r="E495" s="414"/>
      <c r="F495" s="415"/>
      <c r="G495" s="416"/>
      <c r="H495" s="417"/>
      <c r="I495" s="418"/>
      <c r="J495" s="575"/>
      <c r="K495" s="419"/>
      <c r="L495" s="419"/>
      <c r="M495" s="419"/>
      <c r="N495" s="419"/>
      <c r="O495" s="419"/>
      <c r="P495" s="392"/>
      <c r="Q495" s="414">
        <f>база!$L$6</f>
        <v>261.04640000000001</v>
      </c>
      <c r="R495" s="415">
        <v>1.2</v>
      </c>
      <c r="S495" s="416">
        <f>SUMIFS(Таблица14[часы],Таблица14[коэф],"1,2",Таблица14[р/р],"5/16",Таблица14[Ф. И. О.],B495)</f>
        <v>0</v>
      </c>
      <c r="T495" s="417">
        <f>SUMIFS(Таблица14[Столбец2],Таблица14[коэф],"1,2",Таблица14[р/р],"5/16",Таблица14[Ф. И. О.],B495)</f>
        <v>0</v>
      </c>
      <c r="U495" s="576">
        <f>база!$M$6</f>
        <v>279.0496</v>
      </c>
      <c r="V495" s="415">
        <v>1.2</v>
      </c>
      <c r="W495" s="509">
        <f>SUMIFS(Таблица14[часы],Таблица14[коэф],"1,2",Таблица14[р/р],"5/24",Таблица14[Ф. И. О.],B495)</f>
        <v>0</v>
      </c>
      <c r="X495" s="577">
        <f>SUMIFS(Таблица14[Столбец2],Таблица14[коэф],"1,2",Таблица14[р/р],"5/24",Таблица14[Ф. И. О.],B495)</f>
        <v>0</v>
      </c>
      <c r="Y495" s="754"/>
      <c r="Z495" s="750"/>
      <c r="AA495" s="740"/>
    </row>
    <row r="496" spans="1:27" ht="18.75">
      <c r="A496" s="740"/>
      <c r="B496" s="201"/>
      <c r="C496" s="743"/>
      <c r="D496" s="746"/>
      <c r="E496" s="414"/>
      <c r="F496" s="415"/>
      <c r="G496" s="416"/>
      <c r="H496" s="417"/>
      <c r="I496" s="418"/>
      <c r="J496" s="575"/>
      <c r="K496" s="419"/>
      <c r="L496" s="419"/>
      <c r="M496" s="419"/>
      <c r="N496" s="419"/>
      <c r="O496" s="419"/>
      <c r="P496" s="392"/>
      <c r="Q496" s="414">
        <f>IF($D$6&lt;=3,база!$L$4,
IF($D$6=4,база!$L$5,
IF($D$6=5,база!$L$6)))</f>
        <v>231.45480000000001</v>
      </c>
      <c r="R496" s="415">
        <v>1.3</v>
      </c>
      <c r="S496" s="416">
        <f>SUMIFS(Таблица14[часы],Таблица14[коэф],"1,3",Таблица14[р/р],"3/16",Таблица14[Ф. И. О.],B495)</f>
        <v>0</v>
      </c>
      <c r="T496" s="417">
        <f>SUMIFS(Таблица14[Столбец2],Таблица14[коэф],"1,3",Таблица14[р/р],"3/16",Таблица14[Ф. И. О.],B495)</f>
        <v>0</v>
      </c>
      <c r="U496" s="576">
        <f>IF(D490&lt;=3,база!$M$4,
IF(D490=4,база!$M$5,
IF(D490=5,база!$M$6)))</f>
        <v>225.09719999999999</v>
      </c>
      <c r="V496" s="415">
        <v>1.3</v>
      </c>
      <c r="W496" s="509">
        <f>SUMIFS(Таблица14[часы],Таблица14[коэф],"1,3",Таблица14[р/р],"3/24",Таблица14[Ф. И. О.],B495)</f>
        <v>0</v>
      </c>
      <c r="X496" s="577">
        <f>SUMIFS(Таблица14[Столбец2],Таблица14[коэф],"1,3",Таблица14[р/р],"3/24",Таблица14[Ф. И. О.],B495)</f>
        <v>0</v>
      </c>
      <c r="Y496" s="754"/>
      <c r="Z496" s="750"/>
      <c r="AA496" s="740"/>
    </row>
    <row r="497" spans="1:27" ht="18.75">
      <c r="A497" s="740"/>
      <c r="B497" s="201"/>
      <c r="C497" s="743"/>
      <c r="D497" s="746"/>
      <c r="E497" s="414"/>
      <c r="F497" s="415"/>
      <c r="G497" s="416"/>
      <c r="H497" s="417"/>
      <c r="I497" s="418"/>
      <c r="J497" s="575"/>
      <c r="K497" s="419"/>
      <c r="L497" s="419"/>
      <c r="M497" s="419"/>
      <c r="N497" s="419"/>
      <c r="O497" s="419"/>
      <c r="P497" s="392"/>
      <c r="Q497" s="414">
        <f>база!$L$5</f>
        <v>231.45480000000001</v>
      </c>
      <c r="R497" s="415">
        <v>1.3</v>
      </c>
      <c r="S497" s="416">
        <f>SUMIFS(Таблица14[часы],Таблица14[коэф],"1,3",Таблица14[р/р],"4/16",Таблица14[Ф. И. О.],B495)</f>
        <v>0</v>
      </c>
      <c r="T497" s="417">
        <f>SUMIFS(Таблица14[Столбец2],Таблица14[коэф],"1,3",Таблица14[р/р],"4/16",Таблица14[Ф. И. О.],B495)</f>
        <v>0</v>
      </c>
      <c r="U497" s="576">
        <f>база!$M$5</f>
        <v>247.41720000000001</v>
      </c>
      <c r="V497" s="415">
        <v>1.3</v>
      </c>
      <c r="W497" s="509">
        <f>SUMIFS(Таблица14[часы],Таблица14[коэф],"1,3",Таблица14[р/р],"4/24",Таблица14[Ф. И. О.],B495)</f>
        <v>0</v>
      </c>
      <c r="X497" s="577">
        <f>SUMIFS(Таблица14[Столбец2],Таблица14[коэф],"1,3",Таблица14[р/р],"4/24",Таблица14[Ф. И. О.],B495)</f>
        <v>0</v>
      </c>
      <c r="Y497" s="754"/>
      <c r="Z497" s="750"/>
      <c r="AA497" s="740"/>
    </row>
    <row r="498" spans="1:27" ht="18.75">
      <c r="A498" s="740"/>
      <c r="B498" s="201"/>
      <c r="C498" s="743"/>
      <c r="D498" s="746"/>
      <c r="E498" s="414"/>
      <c r="F498" s="415"/>
      <c r="G498" s="416"/>
      <c r="H498" s="417"/>
      <c r="I498" s="418"/>
      <c r="J498" s="575"/>
      <c r="K498" s="419"/>
      <c r="L498" s="419"/>
      <c r="M498" s="419"/>
      <c r="N498" s="419"/>
      <c r="O498" s="419"/>
      <c r="P498" s="392"/>
      <c r="Q498" s="414">
        <f>IF(D490&lt;=3,база!$L$4,
IF(D490=4,база!$L$5,
IF(D490=5,база!$L$6)))</f>
        <v>210.57480000000001</v>
      </c>
      <c r="R498" s="415">
        <v>1.4</v>
      </c>
      <c r="S498" s="416">
        <f>SUMIFS(Таблица14[часы],Таблица14[коэф],"1,4",Таблица14[р/р],"3/16",Таблица14[Ф. И. О.],B495)</f>
        <v>0</v>
      </c>
      <c r="T498" s="417">
        <f>SUMIFS(Таблица14[Столбец2],Таблица14[коэф],"1,4",Таблица14[р/р],"3/16",Таблица14[Ф. И. О.],B495)</f>
        <v>0</v>
      </c>
      <c r="U498" s="576">
        <f>IF(D490&lt;=3,база!$M$4,
IF(D490=4,база!$M$5,
IF(D490=5,база!$M$6)))</f>
        <v>225.09719999999999</v>
      </c>
      <c r="V498" s="415">
        <v>1.4</v>
      </c>
      <c r="W498" s="509">
        <f>SUMIFS(Таблица14[часы],Таблица14[коэф],"1,4",Таблица14[р/р],"3/24",Таблица14[Ф. И. О.],B495)</f>
        <v>0</v>
      </c>
      <c r="X498" s="577">
        <f>SUMIFS(Таблица14[Столбец2],Таблица14[коэф],"1,4",Таблица14[р/р],"3/24",Таблица14[Ф. И. О.],B495)</f>
        <v>0</v>
      </c>
      <c r="Y498" s="754"/>
      <c r="Z498" s="750"/>
      <c r="AA498" s="740"/>
    </row>
    <row r="499" spans="1:27" ht="18.75">
      <c r="A499" s="740"/>
      <c r="B499" s="201"/>
      <c r="C499" s="743"/>
      <c r="D499" s="746"/>
      <c r="E499" s="414"/>
      <c r="F499" s="415"/>
      <c r="G499" s="416"/>
      <c r="H499" s="417"/>
      <c r="I499" s="418"/>
      <c r="J499" s="575"/>
      <c r="K499" s="419"/>
      <c r="L499" s="419"/>
      <c r="M499" s="419"/>
      <c r="N499" s="419"/>
      <c r="O499" s="419"/>
      <c r="P499" s="392"/>
      <c r="Q499" s="414">
        <f>база!$L$5</f>
        <v>231.45480000000001</v>
      </c>
      <c r="R499" s="415">
        <v>1.4</v>
      </c>
      <c r="S499" s="416">
        <f>SUMIFS(Таблица14[часы],Таблица14[коэф],"1,4",Таблица14[р/р],"4/16",Таблица14[Ф. И. О.],B495)</f>
        <v>0</v>
      </c>
      <c r="T499" s="417">
        <f>SUMIFS(Таблица14[Столбец2],Таблица14[коэф],"1,4",Таблица14[р/р],"4/16",Таблица14[Ф. И. О.],B495)</f>
        <v>0</v>
      </c>
      <c r="U499" s="576">
        <f>база!$M$5</f>
        <v>247.41720000000001</v>
      </c>
      <c r="V499" s="415">
        <v>1.4</v>
      </c>
      <c r="W499" s="509">
        <f>SUMIFS(Таблица14[часы],Таблица14[коэф],"1,4",Таблица14[р/р],"4/24",Таблица14[Ф. И. О.],B495)</f>
        <v>0</v>
      </c>
      <c r="X499" s="577">
        <f>SUMIFS(Таблица14[Столбец2],Таблица14[коэф],"1,4",Таблица14[р/р],"4/24",Таблица14[Ф. И. О.],B495)</f>
        <v>0</v>
      </c>
      <c r="Y499" s="754"/>
      <c r="Z499" s="750"/>
      <c r="AA499" s="740"/>
    </row>
    <row r="500" spans="1:27" ht="19.5" thickBot="1">
      <c r="A500" s="741"/>
      <c r="B500" s="188"/>
      <c r="C500" s="744"/>
      <c r="D500" s="747"/>
      <c r="E500" s="422"/>
      <c r="F500" s="423"/>
      <c r="G500" s="424"/>
      <c r="H500" s="511"/>
      <c r="I500" s="425"/>
      <c r="J500" s="588"/>
      <c r="K500" s="426"/>
      <c r="L500" s="426"/>
      <c r="M500" s="426"/>
      <c r="N500" s="426"/>
      <c r="O500" s="426"/>
      <c r="P500" s="514"/>
      <c r="Q500" s="422">
        <f>база!$L$6</f>
        <v>261.04640000000001</v>
      </c>
      <c r="R500" s="423">
        <v>1.4</v>
      </c>
      <c r="S500" s="424">
        <f>SUMIFS(Таблица14[часы],Таблица14[коэф],"1,4",Таблица14[р/р],"5/16",Таблица14[Ф. И. О.],B495)</f>
        <v>0</v>
      </c>
      <c r="T500" s="511">
        <f>SUMIFS(Таблица14[Столбец2],Таблица14[коэф],"1,4",Таблица14[р/р],"5/16",Таблица14[Ф. И. О.],B495)</f>
        <v>0</v>
      </c>
      <c r="U500" s="589">
        <f>база!$M$6</f>
        <v>279.0496</v>
      </c>
      <c r="V500" s="423">
        <v>1.4</v>
      </c>
      <c r="W500" s="516">
        <f>SUMIFS(Таблица14[часы],Таблица14[коэф],"1,4",Таблица14[р/р],"5/24",Таблица14[Ф. И. О.],B495)</f>
        <v>0</v>
      </c>
      <c r="X500" s="590">
        <f>SUMIFS(Таблица14[Столбец2],Таблица14[коэф],"1,4",Таблица14[р/р],"5/24",Таблица14[Ф. И. О.],B495)</f>
        <v>0</v>
      </c>
      <c r="Y500" s="755"/>
      <c r="Z500" s="751"/>
      <c r="AA500" s="741"/>
    </row>
    <row r="501" spans="1:27" ht="20.25" customHeight="1">
      <c r="A501" s="739">
        <v>46</v>
      </c>
      <c r="B501" s="201"/>
      <c r="C501" s="742">
        <f>INDEX(база!$E$2:$E$98, MATCH(B506,база!$B$2:$B$100,0))</f>
        <v>16872</v>
      </c>
      <c r="D501" s="745">
        <f>INDEX(база!$D$2:$D$121, MATCH(B506,база!$B$2:$B$100,0))</f>
        <v>3</v>
      </c>
      <c r="E501" s="414">
        <f>IF(D501&lt;=3,база!$I$4,
IF(D501=4,база!$I$5,
IF(D501=5,база!$I$6)))</f>
        <v>188.7912</v>
      </c>
      <c r="F501" s="415">
        <v>1</v>
      </c>
      <c r="G501" s="416">
        <f>SUMIFS(Таблица14[часы],Таблица14[коэф],"1",Таблица14[р/р],"2/4",Таблица14[Ф. И. О.],B506)</f>
        <v>0</v>
      </c>
      <c r="H501" s="417">
        <f>SUMIFS(Таблица14[Столбец2],Таблица14[коэф],"1",Таблица14[р/р],"2/4",Таблица14[Ф. И. О.],B506)</f>
        <v>0</v>
      </c>
      <c r="I501" s="418">
        <f>IF(D501&lt;=3,база!$J$4,
IF(D501=4,база!$J$5,
IF(D501=5,база!$J$6)))</f>
        <v>196.05240000000001</v>
      </c>
      <c r="J501" s="575">
        <v>1</v>
      </c>
      <c r="K501" s="419">
        <f>SUMIFS(Таблица14[часы],Таблица14[коэф],"1",Таблица14[р/р],"2/8",Таблица14[Ф. И. О.],B506)</f>
        <v>0</v>
      </c>
      <c r="L501" s="419">
        <f>SUMIFS(Таблица14[Столбец2],Таблица14[коэф],"1",Таблица14[р/р],"2/8",Таблица14[Ф. И. О.],B506)</f>
        <v>0</v>
      </c>
      <c r="M501" s="419"/>
      <c r="N501" s="419">
        <v>1</v>
      </c>
      <c r="O501" s="419">
        <f>SUMIFS(Data_Tech!$AM$3:$AM$67,Data_Tech!$E$3:$E$67,"1",Data_Tech!$G$3:$G$67,"3/12",Data_Tech!$F$3:$F$67,B506)</f>
        <v>0</v>
      </c>
      <c r="P501" s="392">
        <f>ROUND(M501*N501*O501,2)</f>
        <v>0</v>
      </c>
      <c r="Q501" s="414">
        <f>IF(D501&lt;=3,база!$L$4,
IF(D501=4,база!$L$5,
IF(D501=5,база!$L$6)))</f>
        <v>210.57480000000001</v>
      </c>
      <c r="R501" s="415">
        <v>1</v>
      </c>
      <c r="S501" s="416">
        <f>SUMIFS(Таблица14[часы],Таблица14[коэф],"1",Таблица14[р/р],"3/16",Таблица14[Ф. И. О.],B506)</f>
        <v>0</v>
      </c>
      <c r="T501" s="417">
        <f>SUMIFS(Таблица14[Столбец2],Таблица14[коэф],"1",Таблица14[р/р],"3/16",Таблица14[Ф. И. О.],B506)</f>
        <v>0</v>
      </c>
      <c r="U501" s="576">
        <f>IF(D501&lt;=3,база!$M$4,
IF(D501=4,база!$M$5,
IF(D501=5,база!$M$6)))</f>
        <v>225.09719999999999</v>
      </c>
      <c r="V501" s="415">
        <v>1</v>
      </c>
      <c r="W501" s="509">
        <f>SUMIFS(Таблица14[часы],Таблица14[коэф],"1",Таблица14[р/р],"3/24",Таблица14[Ф. И. О.],B506)</f>
        <v>0</v>
      </c>
      <c r="X501" s="577">
        <f>SUMIFS(Таблица14[Столбец2],Таблица14[коэф],"1",Таблица14[р/р],"3/24",Таблица14[Ф. И. О.],B506)</f>
        <v>0</v>
      </c>
      <c r="Y501" s="753">
        <f t="shared" ref="Y501" si="230">SUM(G501:G511,K501:K511,O501:O511,S501:S511,W501:W511)</f>
        <v>0</v>
      </c>
      <c r="Z501" s="752">
        <f t="shared" ref="Z501" si="231">IFERROR(SUM(H501:H511,L501:L511,T501:T511,X501:X511),"")</f>
        <v>0</v>
      </c>
      <c r="AA501" s="739"/>
    </row>
    <row r="502" spans="1:27" ht="18.75">
      <c r="A502" s="740"/>
      <c r="B502" s="201"/>
      <c r="C502" s="743"/>
      <c r="D502" s="746"/>
      <c r="E502" s="414">
        <f>IF(D501&lt;=3,база!$I$4,
IF(D501=4,база!$I$5,
IF(D501=5,база!$I$6)))</f>
        <v>188.7912</v>
      </c>
      <c r="F502" s="415">
        <v>1</v>
      </c>
      <c r="G502" s="416">
        <f>SUMIFS(Таблица14[часы],Таблица14[коэф],"1",Таблица14[р/р],"3/4",Таблица14[Ф. И. О.],B506)</f>
        <v>0</v>
      </c>
      <c r="H502" s="417">
        <f>SUMIFS(Таблица14[Столбец2],Таблица14[коэф],"1",Таблица14[р/р],"3/4",Таблица14[Ф. И. О.],B506)</f>
        <v>0</v>
      </c>
      <c r="I502" s="418">
        <f>IF(D501&lt;=3,база!$J$4,
IF(D501=4,база!$J$5,
IF(D501=5,база!$J$6)))</f>
        <v>196.05240000000001</v>
      </c>
      <c r="J502" s="575">
        <v>1</v>
      </c>
      <c r="K502" s="419">
        <f>SUMIFS(Таблица14[часы],Таблица14[коэф],"1",Таблица14[р/р],"3/8",Таблица14[Ф. И. О.],B506)</f>
        <v>0</v>
      </c>
      <c r="L502" s="419">
        <f>SUMIFS(Таблица14[Столбец2],Таблица14[коэф],"1",Таблица14[р/р],"3/8",Таблица14[Ф. И. О.],B506)</f>
        <v>0</v>
      </c>
      <c r="M502" s="419"/>
      <c r="N502" s="419">
        <v>1</v>
      </c>
      <c r="O502" s="419">
        <f>SUMIFS(Data_Tech!$AM$3:$AM$67,Data_Tech!$E$3:$E$67,"1",Data_Tech!$G$3:$G$67,"4/12",Data_Tech!$F$3:$F$67,B506)</f>
        <v>0</v>
      </c>
      <c r="P502" s="392">
        <f>ROUND(M502*O502,2)</f>
        <v>0</v>
      </c>
      <c r="Q502" s="414">
        <f>база!$L$5</f>
        <v>231.45480000000001</v>
      </c>
      <c r="R502" s="415">
        <v>1</v>
      </c>
      <c r="S502" s="416">
        <f>SUMIFS(Таблица14[часы],Таблица14[коэф],"1",Таблица14[р/р],"4/16",Таблица14[Ф. И. О.],B506)</f>
        <v>0</v>
      </c>
      <c r="T502" s="417">
        <f>SUMIFS(Таблица14[Столбец2],Таблица14[коэф],"1",Таблица14[р/р],"4/16",Таблица14[Ф. И. О.],B506)</f>
        <v>0</v>
      </c>
      <c r="U502" s="576">
        <f>база!$M$5</f>
        <v>247.41720000000001</v>
      </c>
      <c r="V502" s="415">
        <v>1</v>
      </c>
      <c r="W502" s="509">
        <f>SUMIFS(Таблица14[часы],Таблица14[коэф],"1",Таблица14[р/р],"4/24",Таблица14[Ф. И. О.],B506)</f>
        <v>0</v>
      </c>
      <c r="X502" s="577">
        <f>SUMIFS(Таблица14[Столбец2],Таблица14[коэф],"1",Таблица14[р/р],"4/24",Таблица14[Ф. И. О.],B506)</f>
        <v>0</v>
      </c>
      <c r="Y502" s="754"/>
      <c r="Z502" s="750"/>
      <c r="AA502" s="740"/>
    </row>
    <row r="503" spans="1:27" ht="18.75">
      <c r="A503" s="740"/>
      <c r="B503" s="201"/>
      <c r="C503" s="743"/>
      <c r="D503" s="746"/>
      <c r="E503" s="414"/>
      <c r="F503" s="415"/>
      <c r="G503" s="416"/>
      <c r="H503" s="417"/>
      <c r="I503" s="418"/>
      <c r="J503" s="575"/>
      <c r="K503" s="419"/>
      <c r="L503" s="419"/>
      <c r="M503" s="419"/>
      <c r="N503" s="419"/>
      <c r="O503" s="419"/>
      <c r="P503" s="392"/>
      <c r="Q503" s="414">
        <f>база!$L$6</f>
        <v>261.04640000000001</v>
      </c>
      <c r="R503" s="415">
        <v>1</v>
      </c>
      <c r="S503" s="416">
        <f>SUMIFS(Таблица14[часы],Таблица14[коэф],"1",Таблица14[р/р],"5/16",Таблица14[Ф. И. О.],B506)</f>
        <v>0</v>
      </c>
      <c r="T503" s="417">
        <f>SUMIFS(Таблица14[Столбец2],Таблица14[коэф],"1",Таблица14[р/р],"5/16",Таблица14[Ф. И. О.],B506)</f>
        <v>0</v>
      </c>
      <c r="U503" s="576">
        <f>база!$M$6</f>
        <v>279.0496</v>
      </c>
      <c r="V503" s="415">
        <v>1</v>
      </c>
      <c r="W503" s="509">
        <f>SUMIFS(Таблица14[часы],Таблица14[коэф],"1",Таблица14[р/р],"5/24",Таблица14[Ф. И. О.],B506)</f>
        <v>0</v>
      </c>
      <c r="X503" s="577">
        <f>SUMIFS(Таблица14[Столбец2],Таблица14[коэф],"1",Таблица14[р/р],"5/24",Таблица14[Ф. И. О.],B506)</f>
        <v>0</v>
      </c>
      <c r="Y503" s="754"/>
      <c r="Z503" s="750"/>
      <c r="AA503" s="740"/>
    </row>
    <row r="504" spans="1:27" ht="18.75">
      <c r="A504" s="740"/>
      <c r="B504" s="201"/>
      <c r="C504" s="743"/>
      <c r="D504" s="746"/>
      <c r="E504" s="414"/>
      <c r="F504" s="415"/>
      <c r="G504" s="416"/>
      <c r="H504" s="417"/>
      <c r="I504" s="418">
        <f>база!$J$5</f>
        <v>215.4924</v>
      </c>
      <c r="J504" s="575">
        <v>1.5</v>
      </c>
      <c r="K504" s="419">
        <f>SUMIFS(Таблица14[часы],Таблица14[коэф],"1,5",Таблица14[р/р],"4/8",Таблица14[Ф. И. О.],B506)</f>
        <v>0</v>
      </c>
      <c r="L504" s="419">
        <f>SUMIFS(Таблица14[Столбец2],Таблица14[коэф],"1,5",Таблица14[р/р],"4/8",Таблица14[Ф. И. О.],B506)</f>
        <v>0</v>
      </c>
      <c r="M504" s="419"/>
      <c r="N504" s="419"/>
      <c r="O504" s="419"/>
      <c r="P504" s="392"/>
      <c r="Q504" s="414">
        <f>IF(D501&lt;=3,база!$L$4,
IF(D501=4,база!$L$5,
IF(D501=5,база!$L$6)))</f>
        <v>210.57480000000001</v>
      </c>
      <c r="R504" s="415">
        <v>1.2</v>
      </c>
      <c r="S504" s="416">
        <f>SUMIFS(Таблица14[часы],Таблица14[коэф],"1,2",Таблица14[р/р],"3/16",Таблица14[Ф. И. О.],B506)</f>
        <v>0</v>
      </c>
      <c r="T504" s="417">
        <f>SUMIFS(Таблица14[Столбец2],Таблица14[коэф],"1,2",Таблица14[р/р],"3/16",Таблица14[Ф. И. О.],B506)</f>
        <v>0</v>
      </c>
      <c r="U504" s="576">
        <f>IF(D501&lt;=3,база!$M$4,
IF(D501=4,база!$M$5,
IF(D501=5,база!$M$6)))</f>
        <v>225.09719999999999</v>
      </c>
      <c r="V504" s="415">
        <v>1.2</v>
      </c>
      <c r="W504" s="509">
        <f>SUMIFS(Таблица14[часы],Таблица14[коэф],"1,2",Таблица14[р/р],"3/24",Таблица14[Ф. И. О.],B506)</f>
        <v>0</v>
      </c>
      <c r="X504" s="577">
        <f>SUMIFS(Таблица14[Столбец2],Таблица14[коэф],"1,2",Таблица14[р/р],"3/24",Таблица14[Ф. И. О.],B506)</f>
        <v>0</v>
      </c>
      <c r="Y504" s="754"/>
      <c r="Z504" s="750"/>
      <c r="AA504" s="740"/>
    </row>
    <row r="505" spans="1:27" ht="18.75">
      <c r="A505" s="740"/>
      <c r="B505" s="201"/>
      <c r="C505" s="743"/>
      <c r="D505" s="746"/>
      <c r="E505" s="414"/>
      <c r="F505" s="415"/>
      <c r="G505" s="416"/>
      <c r="H505" s="417"/>
      <c r="I505" s="418">
        <f>база!$J$6</f>
        <v>243.04319999999998</v>
      </c>
      <c r="J505" s="575">
        <v>1.5</v>
      </c>
      <c r="K505" s="419">
        <f>SUMIFS(Таблица14[часы],Таблица14[коэф],"1,5",Таблица14[р/р],"5/8",Таблица14[Ф. И. О.],B506)</f>
        <v>0</v>
      </c>
      <c r="L505" s="419">
        <f>SUMIFS(Таблица14[Столбец2],Таблица14[коэф],"1,5",Таблица14[р/р],"5/8",Таблица14[Ф. И. О.],B506)</f>
        <v>0</v>
      </c>
      <c r="M505" s="419"/>
      <c r="N505" s="419"/>
      <c r="O505" s="419"/>
      <c r="P505" s="392"/>
      <c r="Q505" s="414">
        <f>база!$L$5</f>
        <v>231.45480000000001</v>
      </c>
      <c r="R505" s="415">
        <v>1.2</v>
      </c>
      <c r="S505" s="416">
        <f>SUMIFS(Таблица14[часы],Таблица14[коэф],"1,2",Таблица14[р/р],"4/16",Таблица14[Ф. И. О.],B506)</f>
        <v>0</v>
      </c>
      <c r="T505" s="417">
        <f>SUMIFS(Таблица14[Столбец2],Таблица14[коэф],"1,2",Таблица14[р/р],"4/16",Таблица14[Ф. И. О.],B506)</f>
        <v>0</v>
      </c>
      <c r="U505" s="576">
        <f>база!$M$5</f>
        <v>247.41720000000001</v>
      </c>
      <c r="V505" s="415">
        <v>1.2</v>
      </c>
      <c r="W505" s="509">
        <f>SUMIFS(Таблица14[часы],Таблица14[коэф],"1,2",Таблица14[р/р],"4/24",Таблица14[Ф. И. О.],B506)</f>
        <v>0</v>
      </c>
      <c r="X505" s="577">
        <f>SUMIFS(Таблица14[Столбец2],Таблица14[коэф],"1,2",Таблица14[р/р],"4/24",Таблица14[Ф. И. О.],B506)</f>
        <v>0</v>
      </c>
      <c r="Y505" s="754"/>
      <c r="Z505" s="750"/>
      <c r="AA505" s="740"/>
    </row>
    <row r="506" spans="1:27" ht="18.75">
      <c r="A506" s="740"/>
      <c r="B506" s="201" t="str">
        <f>база!B47</f>
        <v>Марченко Ирина Вячеславовна</v>
      </c>
      <c r="C506" s="743"/>
      <c r="D506" s="746"/>
      <c r="E506" s="414"/>
      <c r="F506" s="415"/>
      <c r="G506" s="416"/>
      <c r="H506" s="417"/>
      <c r="I506" s="418"/>
      <c r="J506" s="575"/>
      <c r="K506" s="419"/>
      <c r="L506" s="419"/>
      <c r="M506" s="419"/>
      <c r="N506" s="419"/>
      <c r="O506" s="419"/>
      <c r="P506" s="392"/>
      <c r="Q506" s="414">
        <f>база!$L$6</f>
        <v>261.04640000000001</v>
      </c>
      <c r="R506" s="415">
        <v>1.2</v>
      </c>
      <c r="S506" s="416">
        <f>SUMIFS(Таблица14[часы],Таблица14[коэф],"1,2",Таблица14[р/р],"5/16",Таблица14[Ф. И. О.],B506)</f>
        <v>0</v>
      </c>
      <c r="T506" s="417">
        <f>SUMIFS(Таблица14[Столбец2],Таблица14[коэф],"1,2",Таблица14[р/р],"5/16",Таблица14[Ф. И. О.],B506)</f>
        <v>0</v>
      </c>
      <c r="U506" s="576">
        <f>база!$M$6</f>
        <v>279.0496</v>
      </c>
      <c r="V506" s="415">
        <v>1.2</v>
      </c>
      <c r="W506" s="509">
        <f>SUMIFS(Таблица14[часы],Таблица14[коэф],"1,2",Таблица14[р/р],"5/24",Таблица14[Ф. И. О.],B506)</f>
        <v>0</v>
      </c>
      <c r="X506" s="577">
        <f>SUMIFS(Таблица14[Столбец2],Таблица14[коэф],"1,2",Таблица14[р/р],"5/24",Таблица14[Ф. И. О.],B506)</f>
        <v>0</v>
      </c>
      <c r="Y506" s="754"/>
      <c r="Z506" s="750"/>
      <c r="AA506" s="740"/>
    </row>
    <row r="507" spans="1:27" ht="18.75">
      <c r="A507" s="740"/>
      <c r="B507" s="201"/>
      <c r="C507" s="743"/>
      <c r="D507" s="746"/>
      <c r="E507" s="414"/>
      <c r="F507" s="415"/>
      <c r="G507" s="416"/>
      <c r="H507" s="417"/>
      <c r="I507" s="418"/>
      <c r="J507" s="575"/>
      <c r="K507" s="419"/>
      <c r="L507" s="419"/>
      <c r="M507" s="419"/>
      <c r="N507" s="419"/>
      <c r="O507" s="419"/>
      <c r="P507" s="392"/>
      <c r="Q507" s="414">
        <f>IF($D$6&lt;=3,база!$L$4,
IF($D$6=4,база!$L$5,
IF($D$6=5,база!$L$6)))</f>
        <v>231.45480000000001</v>
      </c>
      <c r="R507" s="415">
        <v>1.3</v>
      </c>
      <c r="S507" s="416">
        <f>SUMIFS(Таблица14[часы],Таблица14[коэф],"1,3",Таблица14[р/р],"3/16",Таблица14[Ф. И. О.],B506)</f>
        <v>0</v>
      </c>
      <c r="T507" s="417">
        <f>SUMIFS(Таблица14[Столбец2],Таблица14[коэф],"1,3",Таблица14[р/р],"3/16",Таблица14[Ф. И. О.],B506)</f>
        <v>0</v>
      </c>
      <c r="U507" s="576">
        <f>IF(D501&lt;=3,база!$M$4,
IF(D501=4,база!$M$5,
IF(D501=5,база!$M$6)))</f>
        <v>225.09719999999999</v>
      </c>
      <c r="V507" s="415">
        <v>1.3</v>
      </c>
      <c r="W507" s="509">
        <f>SUMIFS(Таблица14[часы],Таблица14[коэф],"1,3",Таблица14[р/р],"3/24",Таблица14[Ф. И. О.],B506)</f>
        <v>0</v>
      </c>
      <c r="X507" s="577">
        <f>SUMIFS(Таблица14[Столбец2],Таблица14[коэф],"1,3",Таблица14[р/р],"3/24",Таблица14[Ф. И. О.],B506)</f>
        <v>0</v>
      </c>
      <c r="Y507" s="754"/>
      <c r="Z507" s="750"/>
      <c r="AA507" s="740"/>
    </row>
    <row r="508" spans="1:27" ht="18.75">
      <c r="A508" s="740"/>
      <c r="B508" s="201"/>
      <c r="C508" s="743"/>
      <c r="D508" s="746"/>
      <c r="E508" s="414"/>
      <c r="F508" s="415"/>
      <c r="G508" s="416"/>
      <c r="H508" s="417"/>
      <c r="I508" s="418"/>
      <c r="J508" s="575"/>
      <c r="K508" s="419"/>
      <c r="L508" s="419"/>
      <c r="M508" s="419"/>
      <c r="N508" s="419"/>
      <c r="O508" s="419"/>
      <c r="P508" s="392"/>
      <c r="Q508" s="414">
        <f>база!$L$5</f>
        <v>231.45480000000001</v>
      </c>
      <c r="R508" s="415">
        <v>1.3</v>
      </c>
      <c r="S508" s="416">
        <f>SUMIFS(Таблица14[часы],Таблица14[коэф],"1,3",Таблица14[р/р],"4/16",Таблица14[Ф. И. О.],B506)</f>
        <v>0</v>
      </c>
      <c r="T508" s="417">
        <f>SUMIFS(Таблица14[Столбец2],Таблица14[коэф],"1,3",Таблица14[р/р],"4/16",Таблица14[Ф. И. О.],B506)</f>
        <v>0</v>
      </c>
      <c r="U508" s="576">
        <f>база!$M$5</f>
        <v>247.41720000000001</v>
      </c>
      <c r="V508" s="415">
        <v>1.3</v>
      </c>
      <c r="W508" s="509">
        <f>SUMIFS(Таблица14[часы],Таблица14[коэф],"1,3",Таблица14[р/р],"4/24",Таблица14[Ф. И. О.],B506)</f>
        <v>0</v>
      </c>
      <c r="X508" s="577">
        <f>SUMIFS(Таблица14[Столбец2],Таблица14[коэф],"1,3",Таблица14[р/р],"4/24",Таблица14[Ф. И. О.],B506)</f>
        <v>0</v>
      </c>
      <c r="Y508" s="754"/>
      <c r="Z508" s="750"/>
      <c r="AA508" s="740"/>
    </row>
    <row r="509" spans="1:27" ht="18.75">
      <c r="A509" s="740"/>
      <c r="B509" s="201"/>
      <c r="C509" s="743"/>
      <c r="D509" s="746"/>
      <c r="E509" s="414"/>
      <c r="F509" s="415"/>
      <c r="G509" s="416"/>
      <c r="H509" s="417"/>
      <c r="I509" s="418"/>
      <c r="J509" s="575"/>
      <c r="K509" s="419"/>
      <c r="L509" s="419"/>
      <c r="M509" s="419"/>
      <c r="N509" s="419"/>
      <c r="O509" s="419"/>
      <c r="P509" s="392"/>
      <c r="Q509" s="414">
        <f>IF(D501&lt;=3,база!$L$4,
IF(D501=4,база!$L$5,
IF(D501=5,база!$L$6)))</f>
        <v>210.57480000000001</v>
      </c>
      <c r="R509" s="415">
        <v>1.4</v>
      </c>
      <c r="S509" s="416">
        <f>SUMIFS(Таблица14[часы],Таблица14[коэф],"1,4",Таблица14[р/р],"3/16",Таблица14[Ф. И. О.],B506)</f>
        <v>0</v>
      </c>
      <c r="T509" s="417">
        <f>SUMIFS(Таблица14[Столбец2],Таблица14[коэф],"1,4",Таблица14[р/р],"3/16",Таблица14[Ф. И. О.],B506)</f>
        <v>0</v>
      </c>
      <c r="U509" s="576">
        <f>IF(D501&lt;=3,база!$M$4,
IF(D501=4,база!$M$5,
IF(D501=5,база!$M$6)))</f>
        <v>225.09719999999999</v>
      </c>
      <c r="V509" s="415">
        <v>1.4</v>
      </c>
      <c r="W509" s="509">
        <f>SUMIFS(Таблица14[часы],Таблица14[коэф],"1,4",Таблица14[р/р],"3/24",Таблица14[Ф. И. О.],B506)</f>
        <v>0</v>
      </c>
      <c r="X509" s="577">
        <f>SUMIFS(Таблица14[Столбец2],Таблица14[коэф],"1,4",Таблица14[р/р],"3/24",Таблица14[Ф. И. О.],B506)</f>
        <v>0</v>
      </c>
      <c r="Y509" s="754"/>
      <c r="Z509" s="750"/>
      <c r="AA509" s="740"/>
    </row>
    <row r="510" spans="1:27" ht="18.75">
      <c r="A510" s="740"/>
      <c r="B510" s="201"/>
      <c r="C510" s="743"/>
      <c r="D510" s="746"/>
      <c r="E510" s="414"/>
      <c r="F510" s="415"/>
      <c r="G510" s="416"/>
      <c r="H510" s="417"/>
      <c r="I510" s="418"/>
      <c r="J510" s="575"/>
      <c r="K510" s="419"/>
      <c r="L510" s="419"/>
      <c r="M510" s="419"/>
      <c r="N510" s="419"/>
      <c r="O510" s="419"/>
      <c r="P510" s="392"/>
      <c r="Q510" s="414">
        <f>база!$L$5</f>
        <v>231.45480000000001</v>
      </c>
      <c r="R510" s="415">
        <v>1.4</v>
      </c>
      <c r="S510" s="416">
        <f>SUMIFS(Таблица14[часы],Таблица14[коэф],"1,4",Таблица14[р/р],"4/16",Таблица14[Ф. И. О.],B506)</f>
        <v>0</v>
      </c>
      <c r="T510" s="417">
        <f>SUMIFS(Таблица14[Столбец2],Таблица14[коэф],"1,4",Таблица14[р/р],"4/16",Таблица14[Ф. И. О.],B506)</f>
        <v>0</v>
      </c>
      <c r="U510" s="576">
        <f>база!$M$5</f>
        <v>247.41720000000001</v>
      </c>
      <c r="V510" s="415">
        <v>1.4</v>
      </c>
      <c r="W510" s="509">
        <f>SUMIFS(Таблица14[часы],Таблица14[коэф],"1,4",Таблица14[р/р],"4/24",Таблица14[Ф. И. О.],B506)</f>
        <v>0</v>
      </c>
      <c r="X510" s="577">
        <f>SUMIFS(Таблица14[Столбец2],Таблица14[коэф],"1,4",Таблица14[р/р],"4/24",Таблица14[Ф. И. О.],B506)</f>
        <v>0</v>
      </c>
      <c r="Y510" s="754"/>
      <c r="Z510" s="750"/>
      <c r="AA510" s="740"/>
    </row>
    <row r="511" spans="1:27" ht="19.5" thickBot="1">
      <c r="A511" s="741"/>
      <c r="B511" s="188"/>
      <c r="C511" s="744"/>
      <c r="D511" s="747"/>
      <c r="E511" s="422"/>
      <c r="F511" s="423"/>
      <c r="G511" s="424"/>
      <c r="H511" s="511"/>
      <c r="I511" s="425"/>
      <c r="J511" s="588"/>
      <c r="K511" s="426"/>
      <c r="L511" s="426"/>
      <c r="M511" s="426"/>
      <c r="N511" s="426"/>
      <c r="O511" s="426"/>
      <c r="P511" s="514"/>
      <c r="Q511" s="422">
        <f>база!$L$6</f>
        <v>261.04640000000001</v>
      </c>
      <c r="R511" s="423">
        <v>1.4</v>
      </c>
      <c r="S511" s="424">
        <f>SUMIFS(Таблица14[часы],Таблица14[коэф],"1,4",Таблица14[р/р],"5/16",Таблица14[Ф. И. О.],B506)</f>
        <v>0</v>
      </c>
      <c r="T511" s="511">
        <f>SUMIFS(Таблица14[Столбец2],Таблица14[коэф],"1,4",Таблица14[р/р],"5/16",Таблица14[Ф. И. О.],B506)</f>
        <v>0</v>
      </c>
      <c r="U511" s="589">
        <f>база!$M$6</f>
        <v>279.0496</v>
      </c>
      <c r="V511" s="423">
        <v>1.4</v>
      </c>
      <c r="W511" s="516">
        <f>SUMIFS(Таблица14[часы],Таблица14[коэф],"1,4",Таблица14[р/р],"5/24",Таблица14[Ф. И. О.],B506)</f>
        <v>0</v>
      </c>
      <c r="X511" s="590">
        <f>SUMIFS(Таблица14[Столбец2],Таблица14[коэф],"1,4",Таблица14[р/р],"5/24",Таблица14[Ф. И. О.],B506)</f>
        <v>0</v>
      </c>
      <c r="Y511" s="755"/>
      <c r="Z511" s="751"/>
      <c r="AA511" s="741"/>
    </row>
    <row r="512" spans="1:27" ht="18.75">
      <c r="A512" s="740">
        <v>47</v>
      </c>
      <c r="B512" s="201"/>
      <c r="C512" s="742">
        <f>INDEX(база!$E$2:$E$98, MATCH(B517,база!$B$2:$B$100,0))</f>
        <v>15082</v>
      </c>
      <c r="D512" s="745">
        <f>INDEX(база!$D$2:$D$121, MATCH(B517,база!$B$2:$B$100,0))</f>
        <v>3</v>
      </c>
      <c r="E512" s="458">
        <f>IF(D512&lt;=3,база!$I$4,
IF(D512=4,база!$I$5,
IF(D512=5,база!$I$6)))</f>
        <v>188.7912</v>
      </c>
      <c r="F512" s="394">
        <v>1</v>
      </c>
      <c r="G512" s="395">
        <f>SUMIFS(Таблица14[часы],Таблица14[коэф],"1",Таблица14[р/р],"2/4",Таблица14[Ф. И. О.],B517)</f>
        <v>0</v>
      </c>
      <c r="H512" s="379">
        <f>SUMIFS(Таблица14[Столбец2],Таблица14[коэф],"1",Таблица14[р/р],"2/4",Таблица14[Ф. И. О.],B517)</f>
        <v>0</v>
      </c>
      <c r="I512" s="429">
        <f>IF(D512&lt;=3,база!$J$4,
IF(D512=4,база!$J$5,
IF(D512=5,база!$J$6)))</f>
        <v>196.05240000000001</v>
      </c>
      <c r="J512" s="452">
        <v>1</v>
      </c>
      <c r="K512" s="430">
        <f>SUMIFS(Таблица14[часы],Таблица14[коэф],"1",Таблица14[р/р],"2/8",Таблица14[Ф. И. О.],B517)</f>
        <v>0</v>
      </c>
      <c r="L512" s="430">
        <f>SUMIFS(Таблица14[Столбец2],Таблица14[коэф],"1",Таблица14[р/р],"2/8",Таблица14[Ф. И. О.],B517)</f>
        <v>0</v>
      </c>
      <c r="M512" s="430"/>
      <c r="N512" s="430">
        <v>1</v>
      </c>
      <c r="O512" s="430">
        <f>SUMIFS(Data_Tech!$AM$3:$AM$67,Data_Tech!$E$3:$E$67,"1",Data_Tech!$G$3:$G$67,"3/12",Data_Tech!$F$3:$F$67,B517)</f>
        <v>0</v>
      </c>
      <c r="P512" s="375">
        <f>ROUND(M512*N512*O512,2)</f>
        <v>0</v>
      </c>
      <c r="Q512" s="458">
        <f>IF(D512&lt;=3,база!$L$4,
IF(D512=4,база!$L$5,
IF(D512=5,база!$L$6)))</f>
        <v>210.57480000000001</v>
      </c>
      <c r="R512" s="394">
        <v>1</v>
      </c>
      <c r="S512" s="395">
        <f>SUMIFS(Таблица14[часы],Таблица14[коэф],"1",Таблица14[р/р],"3/16",Таблица14[Ф. И. О.],B517)</f>
        <v>0</v>
      </c>
      <c r="T512" s="379">
        <f>SUMIFS(Таблица14[Столбец2],Таблица14[коэф],"1",Таблица14[р/р],"3/16",Таблица14[Ф. И. О.],B517)</f>
        <v>0</v>
      </c>
      <c r="U512" s="460">
        <f>IF(D512&lt;=3,база!$M$4,
IF(D512=4,база!$M$5,
IF(D512=5,база!$M$6)))</f>
        <v>225.09719999999999</v>
      </c>
      <c r="V512" s="394">
        <v>1</v>
      </c>
      <c r="W512" s="432">
        <f>SUMIFS(Таблица14[часы],Таблица14[коэф],"1",Таблица14[р/р],"3/24",Таблица14[Ф. И. О.],B517)</f>
        <v>0</v>
      </c>
      <c r="X512" s="528">
        <f>SUMIFS(Таблица14[Столбец2],Таблица14[коэф],"1",Таблица14[р/р],"3/24",Таблица14[Ф. И. О.],B517)</f>
        <v>0</v>
      </c>
      <c r="Y512" s="748">
        <f t="shared" ref="Y512" si="232">SUM(G512:G522,K512:K522,O512:O522,S512:S522,W512:W522)</f>
        <v>0</v>
      </c>
      <c r="Z512" s="750">
        <f t="shared" ref="Z512" si="233">IFERROR(SUM(H512:H522,L512:L522,T512:T522,X512:X522),"")</f>
        <v>0</v>
      </c>
      <c r="AA512" s="740"/>
    </row>
    <row r="513" spans="1:27" ht="18.75">
      <c r="A513" s="740"/>
      <c r="B513" s="201"/>
      <c r="C513" s="743"/>
      <c r="D513" s="746"/>
      <c r="E513" s="366">
        <f>IF(D512&lt;=3,база!$I$4,
IF(D512=4,база!$I$5,
IF(D512=5,база!$I$6)))</f>
        <v>188.7912</v>
      </c>
      <c r="F513" s="367">
        <v>1</v>
      </c>
      <c r="G513" s="377">
        <f>SUMIFS(Таблица14[часы],Таблица14[коэф],"1",Таблица14[р/р],"3/4",Таблица14[Ф. И. О.],B517)</f>
        <v>0</v>
      </c>
      <c r="H513" s="369">
        <f>SUMIFS(Таблица14[Столбец2],Таблица14[коэф],"1",Таблица14[р/р],"3/4",Таблица14[Ф. И. О.],B517)</f>
        <v>0</v>
      </c>
      <c r="I513" s="409">
        <f>IF(D512&lt;=3,база!$J$4,
IF(D512=4,база!$J$5,
IF(D512=5,база!$J$6)))</f>
        <v>196.05240000000001</v>
      </c>
      <c r="J513" s="410">
        <v>1</v>
      </c>
      <c r="K513" s="411">
        <f>SUMIFS(Таблица14[часы],Таблица14[коэф],"1",Таблица14[р/р],"3/8",Таблица14[Ф. И. О.],B517)</f>
        <v>0</v>
      </c>
      <c r="L513" s="411">
        <f>SUMIFS(Таблица14[Столбец2],Таблица14[коэф],"1",Таблица14[р/р],"3/8",Таблица14[Ф. И. О.],B517)</f>
        <v>0</v>
      </c>
      <c r="M513" s="411"/>
      <c r="N513" s="411">
        <v>1</v>
      </c>
      <c r="O513" s="411">
        <f>SUMIFS(Data_Tech!$AM$3:$AM$67,Data_Tech!$E$3:$E$67,"1",Data_Tech!$G$3:$G$67,"4/12",Data_Tech!$F$3:$F$67,B517)</f>
        <v>0</v>
      </c>
      <c r="P513" s="383">
        <f>ROUND(M513*O513,2)</f>
        <v>0</v>
      </c>
      <c r="Q513" s="366">
        <f>база!$L$5</f>
        <v>231.45480000000001</v>
      </c>
      <c r="R513" s="367">
        <v>1</v>
      </c>
      <c r="S513" s="377">
        <f>SUMIFS(Таблица14[часы],Таблица14[коэф],"1",Таблица14[р/р],"4/16",Таблица14[Ф. И. О.],B517)</f>
        <v>0</v>
      </c>
      <c r="T513" s="369">
        <f>SUMIFS(Таблица14[Столбец2],Таблица14[коэф],"1",Таблица14[р/р],"4/16",Таблица14[Ф. И. О.],B517)</f>
        <v>0</v>
      </c>
      <c r="U513" s="455">
        <f>база!$M$5</f>
        <v>247.41720000000001</v>
      </c>
      <c r="V513" s="367">
        <v>1</v>
      </c>
      <c r="W513" s="389">
        <f>SUMIFS(Таблица14[часы],Таблица14[коэф],"1",Таблица14[р/р],"4/24",Таблица14[Ф. И. О.],B517)</f>
        <v>0</v>
      </c>
      <c r="X513" s="521">
        <f>SUMIFS(Таблица14[Столбец2],Таблица14[коэф],"1",Таблица14[р/р],"4/24",Таблица14[Ф. И. О.],B517)</f>
        <v>0</v>
      </c>
      <c r="Y513" s="748"/>
      <c r="Z513" s="750"/>
      <c r="AA513" s="740"/>
    </row>
    <row r="514" spans="1:27" ht="18.75">
      <c r="A514" s="740"/>
      <c r="B514" s="201"/>
      <c r="C514" s="743"/>
      <c r="D514" s="746"/>
      <c r="E514" s="366"/>
      <c r="F514" s="367"/>
      <c r="G514" s="377"/>
      <c r="H514" s="369"/>
      <c r="I514" s="409"/>
      <c r="J514" s="410"/>
      <c r="K514" s="411"/>
      <c r="L514" s="411"/>
      <c r="M514" s="411"/>
      <c r="N514" s="411"/>
      <c r="O514" s="411"/>
      <c r="P514" s="383"/>
      <c r="Q514" s="366">
        <f>база!$L$6</f>
        <v>261.04640000000001</v>
      </c>
      <c r="R514" s="367">
        <v>1</v>
      </c>
      <c r="S514" s="377">
        <f>SUMIFS(Таблица14[часы],Таблица14[коэф],"1",Таблица14[р/р],"5/16",Таблица14[Ф. И. О.],B517)</f>
        <v>0</v>
      </c>
      <c r="T514" s="369">
        <f>SUMIFS(Таблица14[Столбец2],Таблица14[коэф],"1",Таблица14[р/р],"5/16",Таблица14[Ф. И. О.],B517)</f>
        <v>0</v>
      </c>
      <c r="U514" s="455">
        <f>база!$M$6</f>
        <v>279.0496</v>
      </c>
      <c r="V514" s="367">
        <v>1</v>
      </c>
      <c r="W514" s="389">
        <f>SUMIFS(Таблица14[часы],Таблица14[коэф],"1",Таблица14[р/р],"5/24",Таблица14[Ф. И. О.],B517)</f>
        <v>0</v>
      </c>
      <c r="X514" s="521">
        <f>SUMIFS(Таблица14[Столбец2],Таблица14[коэф],"1",Таблица14[р/р],"5/24",Таблица14[Ф. И. О.],B517)</f>
        <v>0</v>
      </c>
      <c r="Y514" s="748"/>
      <c r="Z514" s="750"/>
      <c r="AA514" s="740"/>
    </row>
    <row r="515" spans="1:27" ht="18.75">
      <c r="A515" s="740"/>
      <c r="B515" s="201"/>
      <c r="C515" s="743"/>
      <c r="D515" s="746"/>
      <c r="E515" s="366"/>
      <c r="F515" s="367"/>
      <c r="G515" s="377"/>
      <c r="H515" s="369"/>
      <c r="I515" s="409">
        <f>база!$J$5</f>
        <v>215.4924</v>
      </c>
      <c r="J515" s="410">
        <v>1.5</v>
      </c>
      <c r="K515" s="411">
        <f>SUMIFS(Таблица14[часы],Таблица14[коэф],"1,5",Таблица14[р/р],"4/8",Таблица14[Ф. И. О.],B517)</f>
        <v>0</v>
      </c>
      <c r="L515" s="411">
        <f>SUMIFS(Таблица14[Столбец2],Таблица14[коэф],"1,5",Таблица14[р/р],"4/8",Таблица14[Ф. И. О.],B517)</f>
        <v>0</v>
      </c>
      <c r="M515" s="411"/>
      <c r="N515" s="411"/>
      <c r="O515" s="411"/>
      <c r="P515" s="383"/>
      <c r="Q515" s="366">
        <f>IF(D512&lt;=3,база!$L$4,
IF(D512=4,база!$L$5,
IF(D512=5,база!$L$6)))</f>
        <v>210.57480000000001</v>
      </c>
      <c r="R515" s="367">
        <v>1.2</v>
      </c>
      <c r="S515" s="377">
        <f>SUMIFS(Таблица14[часы],Таблица14[коэф],"1,2",Таблица14[р/р],"3/16",Таблица14[Ф. И. О.],B517)</f>
        <v>0</v>
      </c>
      <c r="T515" s="369">
        <f>SUMIFS(Таблица14[Столбец2],Таблица14[коэф],"1,2",Таблица14[р/р],"3/16",Таблица14[Ф. И. О.],B517)</f>
        <v>0</v>
      </c>
      <c r="U515" s="455">
        <f>IF(D512&lt;=3,база!$M$4,
IF(D512=4,база!$M$5,
IF(D512=5,база!$M$6)))</f>
        <v>225.09719999999999</v>
      </c>
      <c r="V515" s="367">
        <v>1.2</v>
      </c>
      <c r="W515" s="389">
        <f>SUMIFS(Таблица14[часы],Таблица14[коэф],"1,2",Таблица14[р/р],"3/24",Таблица14[Ф. И. О.],B517)</f>
        <v>0</v>
      </c>
      <c r="X515" s="521">
        <f>SUMIFS(Таблица14[Столбец2],Таблица14[коэф],"1,2",Таблица14[р/р],"3/24",Таблица14[Ф. И. О.],B517)</f>
        <v>0</v>
      </c>
      <c r="Y515" s="748"/>
      <c r="Z515" s="750"/>
      <c r="AA515" s="740"/>
    </row>
    <row r="516" spans="1:27" ht="18.75">
      <c r="A516" s="740"/>
      <c r="B516" s="201"/>
      <c r="C516" s="743"/>
      <c r="D516" s="746"/>
      <c r="E516" s="366"/>
      <c r="F516" s="367"/>
      <c r="G516" s="377"/>
      <c r="H516" s="369"/>
      <c r="I516" s="409">
        <f>база!$J$6</f>
        <v>243.04319999999998</v>
      </c>
      <c r="J516" s="410">
        <v>1.5</v>
      </c>
      <c r="K516" s="411">
        <f>SUMIFS(Таблица14[часы],Таблица14[коэф],"1,5",Таблица14[р/р],"5/8",Таблица14[Ф. И. О.],B517)</f>
        <v>0</v>
      </c>
      <c r="L516" s="411">
        <f>SUMIFS(Таблица14[Столбец2],Таблица14[коэф],"1,5",Таблица14[р/р],"5/8",Таблица14[Ф. И. О.],B517)</f>
        <v>0</v>
      </c>
      <c r="M516" s="411"/>
      <c r="N516" s="411"/>
      <c r="O516" s="411"/>
      <c r="P516" s="383"/>
      <c r="Q516" s="366">
        <f>база!$L$5</f>
        <v>231.45480000000001</v>
      </c>
      <c r="R516" s="367">
        <v>1.2</v>
      </c>
      <c r="S516" s="377">
        <f>SUMIFS(Таблица14[часы],Таблица14[коэф],"1,2",Таблица14[р/р],"4/16",Таблица14[Ф. И. О.],B517)</f>
        <v>0</v>
      </c>
      <c r="T516" s="369">
        <f>SUMIFS(Таблица14[Столбец2],Таблица14[коэф],"1,2",Таблица14[р/р],"4/16",Таблица14[Ф. И. О.],B517)</f>
        <v>0</v>
      </c>
      <c r="U516" s="455">
        <f>база!$M$5</f>
        <v>247.41720000000001</v>
      </c>
      <c r="V516" s="367">
        <v>1.2</v>
      </c>
      <c r="W516" s="389">
        <f>SUMIFS(Таблица14[часы],Таблица14[коэф],"1,2",Таблица14[р/р],"4/24",Таблица14[Ф. И. О.],B517)</f>
        <v>0</v>
      </c>
      <c r="X516" s="521">
        <f>SUMIFS(Таблица14[Столбец2],Таблица14[коэф],"1,2",Таблица14[р/р],"4/24",Таблица14[Ф. И. О.],B517)</f>
        <v>0</v>
      </c>
      <c r="Y516" s="748"/>
      <c r="Z516" s="750"/>
      <c r="AA516" s="740"/>
    </row>
    <row r="517" spans="1:27" ht="18.75">
      <c r="A517" s="740"/>
      <c r="B517" s="201" t="str">
        <f>база!B48</f>
        <v>Матыгулина Наталья Энвировна</v>
      </c>
      <c r="C517" s="743"/>
      <c r="D517" s="746"/>
      <c r="E517" s="366"/>
      <c r="F517" s="367"/>
      <c r="G517" s="377"/>
      <c r="H517" s="369"/>
      <c r="I517" s="409"/>
      <c r="J517" s="410"/>
      <c r="K517" s="411"/>
      <c r="L517" s="411"/>
      <c r="M517" s="411"/>
      <c r="N517" s="411"/>
      <c r="O517" s="411"/>
      <c r="P517" s="383"/>
      <c r="Q517" s="366">
        <f>база!$L$6</f>
        <v>261.04640000000001</v>
      </c>
      <c r="R517" s="367">
        <v>1.2</v>
      </c>
      <c r="S517" s="377">
        <f>SUMIFS(Таблица14[часы],Таблица14[коэф],"1,2",Таблица14[р/р],"5/16",Таблица14[Ф. И. О.],B517)</f>
        <v>0</v>
      </c>
      <c r="T517" s="369">
        <f>SUMIFS(Таблица14[Столбец2],Таблица14[коэф],"1,2",Таблица14[р/р],"5/16",Таблица14[Ф. И. О.],B517)</f>
        <v>0</v>
      </c>
      <c r="U517" s="455">
        <f>база!$M$6</f>
        <v>279.0496</v>
      </c>
      <c r="V517" s="367">
        <v>1.2</v>
      </c>
      <c r="W517" s="389">
        <f>SUMIFS(Таблица14[часы],Таблица14[коэф],"1,2",Таблица14[р/р],"5/24",Таблица14[Ф. И. О.],B517)</f>
        <v>0</v>
      </c>
      <c r="X517" s="521">
        <f>SUMIFS(Таблица14[Столбец2],Таблица14[коэф],"1,2",Таблица14[р/р],"5/24",Таблица14[Ф. И. О.],B517)</f>
        <v>0</v>
      </c>
      <c r="Y517" s="748"/>
      <c r="Z517" s="750"/>
      <c r="AA517" s="740"/>
    </row>
    <row r="518" spans="1:27" ht="18.75">
      <c r="A518" s="740"/>
      <c r="B518" s="201"/>
      <c r="C518" s="743"/>
      <c r="D518" s="746"/>
      <c r="E518" s="366"/>
      <c r="F518" s="367"/>
      <c r="G518" s="377"/>
      <c r="H518" s="369"/>
      <c r="I518" s="409"/>
      <c r="J518" s="410"/>
      <c r="K518" s="411"/>
      <c r="L518" s="411"/>
      <c r="M518" s="411"/>
      <c r="N518" s="411"/>
      <c r="O518" s="411"/>
      <c r="P518" s="383"/>
      <c r="Q518" s="366">
        <f>IF($D$6&lt;=3,база!$L$4,
IF($D$6=4,база!$L$5,
IF($D$6=5,база!$L$6)))</f>
        <v>231.45480000000001</v>
      </c>
      <c r="R518" s="367">
        <v>1.3</v>
      </c>
      <c r="S518" s="377">
        <f>SUMIFS(Таблица14[часы],Таблица14[коэф],"1,3",Таблица14[р/р],"3/16",Таблица14[Ф. И. О.],B517)</f>
        <v>0</v>
      </c>
      <c r="T518" s="369">
        <f>SUMIFS(Таблица14[Столбец2],Таблица14[коэф],"1,3",Таблица14[р/р],"3/16",Таблица14[Ф. И. О.],B517)</f>
        <v>0</v>
      </c>
      <c r="U518" s="455">
        <f>IF(D512&lt;=3,база!$M$4,
IF(D512=4,база!$M$5,
IF(D512=5,база!$M$6)))</f>
        <v>225.09719999999999</v>
      </c>
      <c r="V518" s="367">
        <v>1.3</v>
      </c>
      <c r="W518" s="389">
        <f>SUMIFS(Таблица14[часы],Таблица14[коэф],"1,3",Таблица14[р/р],"3/24",Таблица14[Ф. И. О.],B517)</f>
        <v>0</v>
      </c>
      <c r="X518" s="521">
        <f>SUMIFS(Таблица14[Столбец2],Таблица14[коэф],"1,3",Таблица14[р/р],"3/24",Таблица14[Ф. И. О.],B517)</f>
        <v>0</v>
      </c>
      <c r="Y518" s="748"/>
      <c r="Z518" s="750"/>
      <c r="AA518" s="740"/>
    </row>
    <row r="519" spans="1:27" ht="18.75">
      <c r="A519" s="740"/>
      <c r="B519" s="201"/>
      <c r="C519" s="743"/>
      <c r="D519" s="746"/>
      <c r="E519" s="366"/>
      <c r="F519" s="367"/>
      <c r="G519" s="377"/>
      <c r="H519" s="369"/>
      <c r="I519" s="409"/>
      <c r="J519" s="410"/>
      <c r="K519" s="411"/>
      <c r="L519" s="411"/>
      <c r="M519" s="411"/>
      <c r="N519" s="411"/>
      <c r="O519" s="411"/>
      <c r="P519" s="383"/>
      <c r="Q519" s="366">
        <f>база!$L$5</f>
        <v>231.45480000000001</v>
      </c>
      <c r="R519" s="367">
        <v>1.3</v>
      </c>
      <c r="S519" s="377">
        <f>SUMIFS(Таблица14[часы],Таблица14[коэф],"1,3",Таблица14[р/р],"4/16",Таблица14[Ф. И. О.],B517)</f>
        <v>0</v>
      </c>
      <c r="T519" s="369">
        <f>SUMIFS(Таблица14[Столбец2],Таблица14[коэф],"1,3",Таблица14[р/р],"4/16",Таблица14[Ф. И. О.],B517)</f>
        <v>0</v>
      </c>
      <c r="U519" s="455">
        <f>база!$M$5</f>
        <v>247.41720000000001</v>
      </c>
      <c r="V519" s="367">
        <v>1.3</v>
      </c>
      <c r="W519" s="389">
        <f>SUMIFS(Таблица14[часы],Таблица14[коэф],"1,3",Таблица14[р/р],"4/24",Таблица14[Ф. И. О.],B517)</f>
        <v>0</v>
      </c>
      <c r="X519" s="521">
        <f>SUMIFS(Таблица14[Столбец2],Таблица14[коэф],"1,3",Таблица14[р/р],"4/24",Таблица14[Ф. И. О.],B517)</f>
        <v>0</v>
      </c>
      <c r="Y519" s="748"/>
      <c r="Z519" s="750"/>
      <c r="AA519" s="740"/>
    </row>
    <row r="520" spans="1:27" ht="18.75">
      <c r="A520" s="740"/>
      <c r="B520" s="201"/>
      <c r="C520" s="743"/>
      <c r="D520" s="746"/>
      <c r="E520" s="366"/>
      <c r="F520" s="367"/>
      <c r="G520" s="377"/>
      <c r="H520" s="369"/>
      <c r="I520" s="409"/>
      <c r="J520" s="410"/>
      <c r="K520" s="411"/>
      <c r="L520" s="411"/>
      <c r="M520" s="411"/>
      <c r="N520" s="411"/>
      <c r="O520" s="411"/>
      <c r="P520" s="383"/>
      <c r="Q520" s="366">
        <f>IF(D512&lt;=3,база!$L$4,
IF(D512=4,база!$L$5,
IF(D512=5,база!$L$6)))</f>
        <v>210.57480000000001</v>
      </c>
      <c r="R520" s="367">
        <v>1.4</v>
      </c>
      <c r="S520" s="377">
        <f>SUMIFS(Таблица14[часы],Таблица14[коэф],"1,4",Таблица14[р/р],"3/16",Таблица14[Ф. И. О.],B517)</f>
        <v>0</v>
      </c>
      <c r="T520" s="369">
        <f>SUMIFS(Таблица14[Столбец2],Таблица14[коэф],"1,4",Таблица14[р/р],"3/16",Таблица14[Ф. И. О.],B517)</f>
        <v>0</v>
      </c>
      <c r="U520" s="455">
        <f>IF(D512&lt;=3,база!$M$4,
IF(D512=4,база!$M$5,
IF(D512=5,база!$M$6)))</f>
        <v>225.09719999999999</v>
      </c>
      <c r="V520" s="367">
        <v>1.4</v>
      </c>
      <c r="W520" s="389">
        <f>SUMIFS(Таблица14[часы],Таблица14[коэф],"1,4",Таблица14[р/р],"3/24",Таблица14[Ф. И. О.],B517)</f>
        <v>0</v>
      </c>
      <c r="X520" s="521">
        <f>SUMIFS(Таблица14[Столбец2],Таблица14[коэф],"1,4",Таблица14[р/р],"3/24",Таблица14[Ф. И. О.],B517)</f>
        <v>0</v>
      </c>
      <c r="Y520" s="748"/>
      <c r="Z520" s="750"/>
      <c r="AA520" s="740"/>
    </row>
    <row r="521" spans="1:27" ht="18.75">
      <c r="A521" s="740"/>
      <c r="B521" s="201"/>
      <c r="C521" s="743"/>
      <c r="D521" s="746"/>
      <c r="E521" s="366"/>
      <c r="F521" s="367"/>
      <c r="G521" s="377"/>
      <c r="H521" s="369"/>
      <c r="I521" s="409"/>
      <c r="J521" s="410"/>
      <c r="K521" s="411"/>
      <c r="L521" s="411"/>
      <c r="M521" s="411"/>
      <c r="N521" s="411"/>
      <c r="O521" s="411"/>
      <c r="P521" s="383"/>
      <c r="Q521" s="366">
        <f>база!$L$5</f>
        <v>231.45480000000001</v>
      </c>
      <c r="R521" s="367">
        <v>1.4</v>
      </c>
      <c r="S521" s="377">
        <f>SUMIFS(Таблица14[часы],Таблица14[коэф],"1,4",Таблица14[р/р],"4/16",Таблица14[Ф. И. О.],B517)</f>
        <v>0</v>
      </c>
      <c r="T521" s="369">
        <f>SUMIFS(Таблица14[Столбец2],Таблица14[коэф],"1,4",Таблица14[р/р],"4/16",Таблица14[Ф. И. О.],B517)</f>
        <v>0</v>
      </c>
      <c r="U521" s="455">
        <f>база!$M$5</f>
        <v>247.41720000000001</v>
      </c>
      <c r="V521" s="367">
        <v>1.4</v>
      </c>
      <c r="W521" s="389">
        <f>SUMIFS(Таблица14[часы],Таблица14[коэф],"1,4",Таблица14[р/р],"4/24",Таблица14[Ф. И. О.],B517)</f>
        <v>0</v>
      </c>
      <c r="X521" s="521">
        <f>SUMIFS(Таблица14[Столбец2],Таблица14[коэф],"1,4",Таблица14[р/р],"4/24",Таблица14[Ф. И. О.],B517)</f>
        <v>0</v>
      </c>
      <c r="Y521" s="748"/>
      <c r="Z521" s="750"/>
      <c r="AA521" s="740"/>
    </row>
    <row r="522" spans="1:27" ht="19.5" thickBot="1">
      <c r="A522" s="741"/>
      <c r="B522" s="329"/>
      <c r="C522" s="744"/>
      <c r="D522" s="747"/>
      <c r="E522" s="450"/>
      <c r="F522" s="441"/>
      <c r="G522" s="628"/>
      <c r="H522" s="445"/>
      <c r="I522" s="622"/>
      <c r="J522" s="433"/>
      <c r="K522" s="623"/>
      <c r="L522" s="434"/>
      <c r="M522" s="622"/>
      <c r="N522" s="623"/>
      <c r="O522" s="623"/>
      <c r="P522" s="453"/>
      <c r="Q522" s="629">
        <f>база!$L$6</f>
        <v>261.04640000000001</v>
      </c>
      <c r="R522" s="441">
        <v>1.4</v>
      </c>
      <c r="S522" s="442">
        <f>SUMIFS(Таблица14[часы],Таблица14[коэф],"1,4",Таблица14[р/р],"5/16",Таблица14[Ф. И. О.],B517)</f>
        <v>0</v>
      </c>
      <c r="T522" s="445">
        <f>SUMIFS(Таблица14[Столбец2],Таблица14[коэф],"1,4",Таблица14[р/р],"5/16",Таблица14[Ф. И. О.],B517)</f>
        <v>0</v>
      </c>
      <c r="U522" s="440">
        <f>база!$M$6</f>
        <v>279.0496</v>
      </c>
      <c r="V522" s="441">
        <v>1.4</v>
      </c>
      <c r="W522" s="442">
        <f>SUMIFS(Таблица14[часы],Таблица14[коэф],"1,4",Таблица14[р/р],"5/24",Таблица14[Ф. И. О.],B517)</f>
        <v>0</v>
      </c>
      <c r="X522" s="445">
        <f>SUMIFS(Таблица14[Столбец2],Таблица14[коэф],"1,4",Таблица14[р/р],"5/24",Таблица14[Ф. И. О.],B517)</f>
        <v>0</v>
      </c>
      <c r="Y522" s="749"/>
      <c r="Z522" s="751"/>
      <c r="AA522" s="741"/>
    </row>
    <row r="523" spans="1:27" ht="18.75">
      <c r="A523" s="740">
        <v>48</v>
      </c>
      <c r="B523" s="201"/>
      <c r="C523" s="742">
        <f>INDEX(база!$E$2:$E$98, MATCH(B528,база!$B$2:$B$100,0))</f>
        <v>17121</v>
      </c>
      <c r="D523" s="745">
        <f>INDEX(база!$D$2:$D$121, MATCH(B528,база!$B$2:$B$100,0))</f>
        <v>3</v>
      </c>
      <c r="E523" s="458">
        <f>IF(D523&lt;=3,база!$I$4,
IF(D523=4,база!$I$5,
IF(D523=5,база!$I$6)))</f>
        <v>188.7912</v>
      </c>
      <c r="F523" s="394">
        <v>1</v>
      </c>
      <c r="G523" s="395">
        <f>SUMIFS(Таблица14[часы],Таблица14[коэф],"1",Таблица14[р/р],"2/4",Таблица14[Ф. И. О.],B528)</f>
        <v>0</v>
      </c>
      <c r="H523" s="379">
        <f>SUMIFS(Таблица14[Столбец2],Таблица14[коэф],"1",Таблица14[р/р],"2/4",Таблица14[Ф. И. О.],B528)</f>
        <v>0</v>
      </c>
      <c r="I523" s="429">
        <f>IF(D523&lt;=3,база!$J$4,
IF(D523=4,база!$J$5,
IF(D523=5,база!$J$6)))</f>
        <v>196.05240000000001</v>
      </c>
      <c r="J523" s="452">
        <v>1</v>
      </c>
      <c r="K523" s="430">
        <f>SUMIFS(Таблица14[часы],Таблица14[коэф],"1",Таблица14[р/р],"2/8",Таблица14[Ф. И. О.],B528)</f>
        <v>0</v>
      </c>
      <c r="L523" s="430">
        <f>SUMIFS(Таблица14[Столбец2],Таблица14[коэф],"1",Таблица14[р/р],"2/8",Таблица14[Ф. И. О.],B528)</f>
        <v>0</v>
      </c>
      <c r="M523" s="430"/>
      <c r="N523" s="430">
        <v>1</v>
      </c>
      <c r="O523" s="430">
        <f>SUMIFS(Data_Tech!$AM$3:$AM$67,Data_Tech!$E$3:$E$67,"1",Data_Tech!$G$3:$G$67,"3/12",Data_Tech!$F$3:$F$67,B528)</f>
        <v>0</v>
      </c>
      <c r="P523" s="375">
        <f>ROUND(M523*N523*O523,2)</f>
        <v>0</v>
      </c>
      <c r="Q523" s="458">
        <f>IF(D523&lt;=3,база!$L$4,
IF(D523=4,база!$L$5,
IF(D523=5,база!$L$6)))</f>
        <v>210.57480000000001</v>
      </c>
      <c r="R523" s="394">
        <v>1</v>
      </c>
      <c r="S523" s="395">
        <f>SUMIFS(Таблица14[часы],Таблица14[коэф],"1",Таблица14[р/р],"3/16",Таблица14[Ф. И. О.],B528)</f>
        <v>0</v>
      </c>
      <c r="T523" s="379">
        <f>SUMIFS(Таблица14[Столбец2],Таблица14[коэф],"1",Таблица14[р/р],"3/16",Таблица14[Ф. И. О.],B528)</f>
        <v>0</v>
      </c>
      <c r="U523" s="460">
        <f>IF(D523&lt;=3,база!$M$4,
IF(D523=4,база!$M$5,
IF(D523=5,база!$M$6)))</f>
        <v>225.09719999999999</v>
      </c>
      <c r="V523" s="394">
        <v>1</v>
      </c>
      <c r="W523" s="432">
        <f>SUMIFS(Таблица14[часы],Таблица14[коэф],"1",Таблица14[р/р],"3/24",Таблица14[Ф. И. О.],B528)</f>
        <v>0</v>
      </c>
      <c r="X523" s="528">
        <f>SUMIFS(Таблица14[Столбец2],Таблица14[коэф],"1",Таблица14[р/р],"3/24",Таблица14[Ф. И. О.],B528)</f>
        <v>0</v>
      </c>
      <c r="Y523" s="748">
        <f t="shared" ref="Y523" si="234">SUM(G523:G533,K523:K533,O523:O533,S523:S533,W523:W533)</f>
        <v>0</v>
      </c>
      <c r="Z523" s="750">
        <f t="shared" ref="Z523" si="235">IFERROR(SUM(H523:H533,L523:L533,T523:T533,X523:X533),"")</f>
        <v>0</v>
      </c>
      <c r="AA523" s="740"/>
    </row>
    <row r="524" spans="1:27" ht="18.75">
      <c r="A524" s="740"/>
      <c r="B524" s="201"/>
      <c r="C524" s="743"/>
      <c r="D524" s="746"/>
      <c r="E524" s="366">
        <f>IF(D523&lt;=3,база!$I$4,
IF(D523=4,база!$I$5,
IF(D523=5,база!$I$6)))</f>
        <v>188.7912</v>
      </c>
      <c r="F524" s="367">
        <v>1</v>
      </c>
      <c r="G524" s="377">
        <f>SUMIFS(Таблица14[часы],Таблица14[коэф],"1",Таблица14[р/р],"3/4",Таблица14[Ф. И. О.],B528)</f>
        <v>0</v>
      </c>
      <c r="H524" s="369">
        <f>SUMIFS(Таблица14[Столбец2],Таблица14[коэф],"1",Таблица14[р/р],"3/4",Таблица14[Ф. И. О.],B528)</f>
        <v>0</v>
      </c>
      <c r="I524" s="409">
        <f>IF(D523&lt;=3,база!$J$4,
IF(D523=4,база!$J$5,
IF(D523=5,база!$J$6)))</f>
        <v>196.05240000000001</v>
      </c>
      <c r="J524" s="410">
        <v>1</v>
      </c>
      <c r="K524" s="411">
        <f>SUMIFS(Таблица14[часы],Таблица14[коэф],"1",Таблица14[р/р],"3/8",Таблица14[Ф. И. О.],B528)</f>
        <v>0</v>
      </c>
      <c r="L524" s="411">
        <f>SUMIFS(Таблица14[Столбец2],Таблица14[коэф],"1",Таблица14[р/р],"3/8",Таблица14[Ф. И. О.],B528)</f>
        <v>0</v>
      </c>
      <c r="M524" s="411"/>
      <c r="N524" s="411">
        <v>1</v>
      </c>
      <c r="O524" s="411">
        <f>SUMIFS(Data_Tech!$AM$3:$AM$67,Data_Tech!$E$3:$E$67,"1",Data_Tech!$G$3:$G$67,"4/12",Data_Tech!$F$3:$F$67,B528)</f>
        <v>0</v>
      </c>
      <c r="P524" s="383">
        <f>ROUND(M524*O524,2)</f>
        <v>0</v>
      </c>
      <c r="Q524" s="366">
        <f>база!$L$5</f>
        <v>231.45480000000001</v>
      </c>
      <c r="R524" s="367">
        <v>1</v>
      </c>
      <c r="S524" s="377">
        <f>SUMIFS(Таблица14[часы],Таблица14[коэф],"1",Таблица14[р/р],"4/16",Таблица14[Ф. И. О.],B528)</f>
        <v>0</v>
      </c>
      <c r="T524" s="369">
        <f>SUMIFS(Таблица14[Столбец2],Таблица14[коэф],"1",Таблица14[р/р],"4/16",Таблица14[Ф. И. О.],B528)</f>
        <v>0</v>
      </c>
      <c r="U524" s="455">
        <f>база!$M$5</f>
        <v>247.41720000000001</v>
      </c>
      <c r="V524" s="367">
        <v>1</v>
      </c>
      <c r="W524" s="389">
        <f>SUMIFS(Таблица14[часы],Таблица14[коэф],"1",Таблица14[р/р],"4/24",Таблица14[Ф. И. О.],B528)</f>
        <v>0</v>
      </c>
      <c r="X524" s="521">
        <f>SUMIFS(Таблица14[Столбец2],Таблица14[коэф],"1",Таблица14[р/р],"4/24",Таблица14[Ф. И. О.],B528)</f>
        <v>0</v>
      </c>
      <c r="Y524" s="748"/>
      <c r="Z524" s="750"/>
      <c r="AA524" s="740"/>
    </row>
    <row r="525" spans="1:27" ht="18.75">
      <c r="A525" s="740"/>
      <c r="B525" s="201"/>
      <c r="C525" s="743"/>
      <c r="D525" s="746"/>
      <c r="E525" s="366"/>
      <c r="F525" s="367"/>
      <c r="G525" s="377"/>
      <c r="H525" s="369"/>
      <c r="I525" s="409"/>
      <c r="J525" s="410"/>
      <c r="K525" s="411"/>
      <c r="L525" s="411"/>
      <c r="M525" s="411"/>
      <c r="N525" s="411"/>
      <c r="O525" s="411"/>
      <c r="P525" s="383"/>
      <c r="Q525" s="366">
        <f>база!$L$6</f>
        <v>261.04640000000001</v>
      </c>
      <c r="R525" s="367">
        <v>1</v>
      </c>
      <c r="S525" s="377">
        <f>SUMIFS(Таблица14[часы],Таблица14[коэф],"1",Таблица14[р/р],"5/16",Таблица14[Ф. И. О.],B528)</f>
        <v>0</v>
      </c>
      <c r="T525" s="369">
        <f>SUMIFS(Таблица14[Столбец2],Таблица14[коэф],"1",Таблица14[р/р],"5/16",Таблица14[Ф. И. О.],B528)</f>
        <v>0</v>
      </c>
      <c r="U525" s="455">
        <f>база!$M$6</f>
        <v>279.0496</v>
      </c>
      <c r="V525" s="367">
        <v>1</v>
      </c>
      <c r="W525" s="389">
        <f>SUMIFS(Таблица14[часы],Таблица14[коэф],"1",Таблица14[р/р],"5/24",Таблица14[Ф. И. О.],B528)</f>
        <v>0</v>
      </c>
      <c r="X525" s="521">
        <f>SUMIFS(Таблица14[Столбец2],Таблица14[коэф],"1",Таблица14[р/р],"5/24",Таблица14[Ф. И. О.],B528)</f>
        <v>0</v>
      </c>
      <c r="Y525" s="748"/>
      <c r="Z525" s="750"/>
      <c r="AA525" s="740"/>
    </row>
    <row r="526" spans="1:27" ht="18.75">
      <c r="A526" s="740"/>
      <c r="B526" s="201"/>
      <c r="C526" s="743"/>
      <c r="D526" s="746"/>
      <c r="E526" s="366"/>
      <c r="F526" s="367"/>
      <c r="G526" s="377"/>
      <c r="H526" s="369"/>
      <c r="I526" s="409">
        <f>база!$J$5</f>
        <v>215.4924</v>
      </c>
      <c r="J526" s="410">
        <v>1.5</v>
      </c>
      <c r="K526" s="411">
        <f>SUMIFS(Таблица14[часы],Таблица14[коэф],"1,5",Таблица14[р/р],"4/8",Таблица14[Ф. И. О.],B528)</f>
        <v>0</v>
      </c>
      <c r="L526" s="411">
        <f>SUMIFS(Таблица14[Столбец2],Таблица14[коэф],"1,5",Таблица14[р/р],"4/8",Таблица14[Ф. И. О.],B528)</f>
        <v>0</v>
      </c>
      <c r="M526" s="411"/>
      <c r="N526" s="411"/>
      <c r="O526" s="411"/>
      <c r="P526" s="383"/>
      <c r="Q526" s="366">
        <f>IF(D523&lt;=3,база!$L$4,
IF(D523=4,база!$L$5,
IF(D523=5,база!$L$6)))</f>
        <v>210.57480000000001</v>
      </c>
      <c r="R526" s="367">
        <v>1.2</v>
      </c>
      <c r="S526" s="377">
        <f>SUMIFS(Таблица14[часы],Таблица14[коэф],"1,2",Таблица14[р/р],"3/16",Таблица14[Ф. И. О.],B528)</f>
        <v>0</v>
      </c>
      <c r="T526" s="369">
        <f>SUMIFS(Таблица14[Столбец2],Таблица14[коэф],"1,2",Таблица14[р/р],"3/16",Таблица14[Ф. И. О.],B528)</f>
        <v>0</v>
      </c>
      <c r="U526" s="455">
        <f>IF(D523&lt;=3,база!$M$4,
IF(D523=4,база!$M$5,
IF(D523=5,база!$M$6)))</f>
        <v>225.09719999999999</v>
      </c>
      <c r="V526" s="367">
        <v>1.2</v>
      </c>
      <c r="W526" s="389">
        <f>SUMIFS(Таблица14[часы],Таблица14[коэф],"1,2",Таблица14[р/р],"3/24",Таблица14[Ф. И. О.],B528)</f>
        <v>0</v>
      </c>
      <c r="X526" s="521">
        <f>SUMIFS(Таблица14[Столбец2],Таблица14[коэф],"1,2",Таблица14[р/р],"3/24",Таблица14[Ф. И. О.],B528)</f>
        <v>0</v>
      </c>
      <c r="Y526" s="748"/>
      <c r="Z526" s="750"/>
      <c r="AA526" s="740"/>
    </row>
    <row r="527" spans="1:27" ht="18.75">
      <c r="A527" s="740"/>
      <c r="B527" s="201"/>
      <c r="C527" s="743"/>
      <c r="D527" s="746"/>
      <c r="E527" s="366"/>
      <c r="F527" s="367"/>
      <c r="G527" s="377"/>
      <c r="H527" s="369"/>
      <c r="I527" s="409">
        <f>база!$J$6</f>
        <v>243.04319999999998</v>
      </c>
      <c r="J527" s="410">
        <v>1.5</v>
      </c>
      <c r="K527" s="411">
        <f>SUMIFS(Таблица14[часы],Таблица14[коэф],"1,5",Таблица14[р/р],"5/8",Таблица14[Ф. И. О.],B528)</f>
        <v>0</v>
      </c>
      <c r="L527" s="411">
        <f>SUMIFS(Таблица14[Столбец2],Таблица14[коэф],"1,5",Таблица14[р/р],"5/8",Таблица14[Ф. И. О.],B528)</f>
        <v>0</v>
      </c>
      <c r="M527" s="411"/>
      <c r="N527" s="411"/>
      <c r="O527" s="411"/>
      <c r="P527" s="383"/>
      <c r="Q527" s="366">
        <f>база!$L$5</f>
        <v>231.45480000000001</v>
      </c>
      <c r="R527" s="367">
        <v>1.2</v>
      </c>
      <c r="S527" s="377">
        <f>SUMIFS(Таблица14[часы],Таблица14[коэф],"1,2",Таблица14[р/р],"4/16",Таблица14[Ф. И. О.],B528)</f>
        <v>0</v>
      </c>
      <c r="T527" s="369">
        <f>SUMIFS(Таблица14[Столбец2],Таблица14[коэф],"1,2",Таблица14[р/р],"4/16",Таблица14[Ф. И. О.],B528)</f>
        <v>0</v>
      </c>
      <c r="U527" s="455">
        <f>база!$M$5</f>
        <v>247.41720000000001</v>
      </c>
      <c r="V527" s="367">
        <v>1.2</v>
      </c>
      <c r="W527" s="389">
        <f>SUMIFS(Таблица14[часы],Таблица14[коэф],"1,2",Таблица14[р/р],"4/24",Таблица14[Ф. И. О.],B528)</f>
        <v>0</v>
      </c>
      <c r="X527" s="521">
        <f>SUMIFS(Таблица14[Столбец2],Таблица14[коэф],"1,2",Таблица14[р/р],"4/24",Таблица14[Ф. И. О.],B528)</f>
        <v>0</v>
      </c>
      <c r="Y527" s="748"/>
      <c r="Z527" s="750"/>
      <c r="AA527" s="740"/>
    </row>
    <row r="528" spans="1:27" ht="18.75">
      <c r="A528" s="740"/>
      <c r="B528" s="201" t="str">
        <f>база!B49</f>
        <v>Мельникова Анна Юрьевна</v>
      </c>
      <c r="C528" s="743"/>
      <c r="D528" s="746"/>
      <c r="E528" s="366"/>
      <c r="F528" s="367"/>
      <c r="G528" s="377"/>
      <c r="H528" s="369"/>
      <c r="I528" s="409"/>
      <c r="J528" s="410"/>
      <c r="K528" s="411"/>
      <c r="L528" s="411"/>
      <c r="M528" s="411"/>
      <c r="N528" s="411"/>
      <c r="O528" s="411"/>
      <c r="P528" s="383"/>
      <c r="Q528" s="366">
        <f>база!$L$6</f>
        <v>261.04640000000001</v>
      </c>
      <c r="R528" s="367">
        <v>1.2</v>
      </c>
      <c r="S528" s="377">
        <f>SUMIFS(Таблица14[часы],Таблица14[коэф],"1,2",Таблица14[р/р],"5/16",Таблица14[Ф. И. О.],B528)</f>
        <v>0</v>
      </c>
      <c r="T528" s="369">
        <f>SUMIFS(Таблица14[Столбец2],Таблица14[коэф],"1,2",Таблица14[р/р],"5/16",Таблица14[Ф. И. О.],B528)</f>
        <v>0</v>
      </c>
      <c r="U528" s="455">
        <f>база!$M$6</f>
        <v>279.0496</v>
      </c>
      <c r="V528" s="367">
        <v>1.2</v>
      </c>
      <c r="W528" s="389">
        <f>SUMIFS(Таблица14[часы],Таблица14[коэф],"1,2",Таблица14[р/р],"5/24",Таблица14[Ф. И. О.],B528)</f>
        <v>0</v>
      </c>
      <c r="X528" s="521">
        <f>SUMIFS(Таблица14[Столбец2],Таблица14[коэф],"1,2",Таблица14[р/р],"5/24",Таблица14[Ф. И. О.],B528)</f>
        <v>0</v>
      </c>
      <c r="Y528" s="748"/>
      <c r="Z528" s="750"/>
      <c r="AA528" s="740"/>
    </row>
    <row r="529" spans="1:27" ht="18.75">
      <c r="A529" s="740"/>
      <c r="B529" s="201"/>
      <c r="C529" s="743"/>
      <c r="D529" s="746"/>
      <c r="E529" s="366"/>
      <c r="F529" s="367"/>
      <c r="G529" s="377"/>
      <c r="H529" s="369"/>
      <c r="I529" s="409"/>
      <c r="J529" s="410"/>
      <c r="K529" s="411"/>
      <c r="L529" s="411"/>
      <c r="M529" s="411"/>
      <c r="N529" s="411"/>
      <c r="O529" s="411"/>
      <c r="P529" s="383"/>
      <c r="Q529" s="366">
        <f>IF($D$6&lt;=3,база!$L$4,
IF($D$6=4,база!$L$5,
IF($D$6=5,база!$L$6)))</f>
        <v>231.45480000000001</v>
      </c>
      <c r="R529" s="367">
        <v>1.3</v>
      </c>
      <c r="S529" s="377">
        <f>SUMIFS(Таблица14[часы],Таблица14[коэф],"1,3",Таблица14[р/р],"3/16",Таблица14[Ф. И. О.],B528)</f>
        <v>0</v>
      </c>
      <c r="T529" s="369">
        <f>SUMIFS(Таблица14[Столбец2],Таблица14[коэф],"1,3",Таблица14[р/р],"3/16",Таблица14[Ф. И. О.],B528)</f>
        <v>0</v>
      </c>
      <c r="U529" s="455">
        <f>IF(D523&lt;=3,база!$M$4,
IF(D523=4,база!$M$5,
IF(D523=5,база!$M$6)))</f>
        <v>225.09719999999999</v>
      </c>
      <c r="V529" s="367">
        <v>1.3</v>
      </c>
      <c r="W529" s="389">
        <f>SUMIFS(Таблица14[часы],Таблица14[коэф],"1,3",Таблица14[р/р],"3/24",Таблица14[Ф. И. О.],B528)</f>
        <v>0</v>
      </c>
      <c r="X529" s="521">
        <f>SUMIFS(Таблица14[Столбец2],Таблица14[коэф],"1,3",Таблица14[р/р],"3/24",Таблица14[Ф. И. О.],B528)</f>
        <v>0</v>
      </c>
      <c r="Y529" s="748"/>
      <c r="Z529" s="750"/>
      <c r="AA529" s="740"/>
    </row>
    <row r="530" spans="1:27" ht="18.75">
      <c r="A530" s="740"/>
      <c r="B530" s="201"/>
      <c r="C530" s="743"/>
      <c r="D530" s="746"/>
      <c r="E530" s="366"/>
      <c r="F530" s="367"/>
      <c r="G530" s="377"/>
      <c r="H530" s="369"/>
      <c r="I530" s="409"/>
      <c r="J530" s="410"/>
      <c r="K530" s="411"/>
      <c r="L530" s="411"/>
      <c r="M530" s="411"/>
      <c r="N530" s="411"/>
      <c r="O530" s="411"/>
      <c r="P530" s="383"/>
      <c r="Q530" s="366">
        <f>база!$L$5</f>
        <v>231.45480000000001</v>
      </c>
      <c r="R530" s="367">
        <v>1.3</v>
      </c>
      <c r="S530" s="377">
        <f>SUMIFS(Таблица14[часы],Таблица14[коэф],"1,3",Таблица14[р/р],"4/16",Таблица14[Ф. И. О.],B528)</f>
        <v>0</v>
      </c>
      <c r="T530" s="369">
        <f>SUMIFS(Таблица14[Столбец2],Таблица14[коэф],"1,3",Таблица14[р/р],"4/16",Таблица14[Ф. И. О.],B528)</f>
        <v>0</v>
      </c>
      <c r="U530" s="455">
        <f>база!$M$5</f>
        <v>247.41720000000001</v>
      </c>
      <c r="V530" s="367">
        <v>1.3</v>
      </c>
      <c r="W530" s="389">
        <f>SUMIFS(Таблица14[часы],Таблица14[коэф],"1,3",Таблица14[р/р],"4/24",Таблица14[Ф. И. О.],B528)</f>
        <v>0</v>
      </c>
      <c r="X530" s="521">
        <f>SUMIFS(Таблица14[Столбец2],Таблица14[коэф],"1,3",Таблица14[р/р],"4/24",Таблица14[Ф. И. О.],B528)</f>
        <v>0</v>
      </c>
      <c r="Y530" s="748"/>
      <c r="Z530" s="750"/>
      <c r="AA530" s="740"/>
    </row>
    <row r="531" spans="1:27" ht="18.75">
      <c r="A531" s="740"/>
      <c r="B531" s="201"/>
      <c r="C531" s="743"/>
      <c r="D531" s="746"/>
      <c r="E531" s="366"/>
      <c r="F531" s="367"/>
      <c r="G531" s="377"/>
      <c r="H531" s="369"/>
      <c r="I531" s="409"/>
      <c r="J531" s="410"/>
      <c r="K531" s="411"/>
      <c r="L531" s="411"/>
      <c r="M531" s="411"/>
      <c r="N531" s="411"/>
      <c r="O531" s="411"/>
      <c r="P531" s="383"/>
      <c r="Q531" s="366">
        <f>IF(D523&lt;=3,база!$L$4,
IF(D523=4,база!$L$5,
IF(D523=5,база!$L$6)))</f>
        <v>210.57480000000001</v>
      </c>
      <c r="R531" s="367">
        <v>1.4</v>
      </c>
      <c r="S531" s="377">
        <f>SUMIFS(Таблица14[часы],Таблица14[коэф],"1,4",Таблица14[р/р],"3/16",Таблица14[Ф. И. О.],B528)</f>
        <v>0</v>
      </c>
      <c r="T531" s="369">
        <f>SUMIFS(Таблица14[Столбец2],Таблица14[коэф],"1,4",Таблица14[р/р],"3/16",Таблица14[Ф. И. О.],B528)</f>
        <v>0</v>
      </c>
      <c r="U531" s="455">
        <f>IF(D523&lt;=3,база!$M$4,
IF(D523=4,база!$M$5,
IF(D523=5,база!$M$6)))</f>
        <v>225.09719999999999</v>
      </c>
      <c r="V531" s="367">
        <v>1.4</v>
      </c>
      <c r="W531" s="389">
        <f>SUMIFS(Таблица14[часы],Таблица14[коэф],"1,4",Таблица14[р/р],"3/24",Таблица14[Ф. И. О.],B528)</f>
        <v>0</v>
      </c>
      <c r="X531" s="521">
        <f>SUMIFS(Таблица14[Столбец2],Таблица14[коэф],"1,4",Таблица14[р/р],"3/24",Таблица14[Ф. И. О.],B528)</f>
        <v>0</v>
      </c>
      <c r="Y531" s="748"/>
      <c r="Z531" s="750"/>
      <c r="AA531" s="740"/>
    </row>
    <row r="532" spans="1:27" ht="18.75">
      <c r="A532" s="740"/>
      <c r="B532" s="201"/>
      <c r="C532" s="743"/>
      <c r="D532" s="746"/>
      <c r="E532" s="366"/>
      <c r="F532" s="367"/>
      <c r="G532" s="377"/>
      <c r="H532" s="369"/>
      <c r="I532" s="409"/>
      <c r="J532" s="410"/>
      <c r="K532" s="411"/>
      <c r="L532" s="411"/>
      <c r="M532" s="411"/>
      <c r="N532" s="411"/>
      <c r="O532" s="411"/>
      <c r="P532" s="383"/>
      <c r="Q532" s="366">
        <f>база!$L$5</f>
        <v>231.45480000000001</v>
      </c>
      <c r="R532" s="367">
        <v>1.4</v>
      </c>
      <c r="S532" s="377">
        <f>SUMIFS(Таблица14[часы],Таблица14[коэф],"1,4",Таблица14[р/р],"4/16",Таблица14[Ф. И. О.],B528)</f>
        <v>0</v>
      </c>
      <c r="T532" s="369">
        <f>SUMIFS(Таблица14[Столбец2],Таблица14[коэф],"1,4",Таблица14[р/р],"4/16",Таблица14[Ф. И. О.],B528)</f>
        <v>0</v>
      </c>
      <c r="U532" s="455">
        <f>база!$M$5</f>
        <v>247.41720000000001</v>
      </c>
      <c r="V532" s="367">
        <v>1.4</v>
      </c>
      <c r="W532" s="389">
        <f>SUMIFS(Таблица14[часы],Таблица14[коэф],"1,4",Таблица14[р/р],"4/24",Таблица14[Ф. И. О.],B528)</f>
        <v>0</v>
      </c>
      <c r="X532" s="521">
        <f>SUMIFS(Таблица14[Столбец2],Таблица14[коэф],"1,4",Таблица14[р/р],"4/24",Таблица14[Ф. И. О.],B528)</f>
        <v>0</v>
      </c>
      <c r="Y532" s="748"/>
      <c r="Z532" s="750"/>
      <c r="AA532" s="740"/>
    </row>
    <row r="533" spans="1:27" ht="19.5" thickBot="1">
      <c r="A533" s="741"/>
      <c r="B533" s="329"/>
      <c r="C533" s="744"/>
      <c r="D533" s="747"/>
      <c r="E533" s="450"/>
      <c r="F533" s="441"/>
      <c r="G533" s="628"/>
      <c r="H533" s="445"/>
      <c r="I533" s="622"/>
      <c r="J533" s="433"/>
      <c r="K533" s="623"/>
      <c r="L533" s="434"/>
      <c r="M533" s="622"/>
      <c r="N533" s="623"/>
      <c r="O533" s="623"/>
      <c r="P533" s="453"/>
      <c r="Q533" s="629">
        <f>база!$L$6</f>
        <v>261.04640000000001</v>
      </c>
      <c r="R533" s="441">
        <v>1.4</v>
      </c>
      <c r="S533" s="442">
        <f>SUMIFS(Таблица14[часы],Таблица14[коэф],"1,4",Таблица14[р/р],"5/16",Таблица14[Ф. И. О.],B528)</f>
        <v>0</v>
      </c>
      <c r="T533" s="445">
        <f>SUMIFS(Таблица14[Столбец2],Таблица14[коэф],"1,4",Таблица14[р/р],"5/16",Таблица14[Ф. И. О.],B528)</f>
        <v>0</v>
      </c>
      <c r="U533" s="440">
        <f>база!$M$6</f>
        <v>279.0496</v>
      </c>
      <c r="V533" s="441">
        <v>1.4</v>
      </c>
      <c r="W533" s="442">
        <f>SUMIFS(Таблица14[часы],Таблица14[коэф],"1,4",Таблица14[р/р],"5/24",Таблица14[Ф. И. О.],B528)</f>
        <v>0</v>
      </c>
      <c r="X533" s="445">
        <f>SUMIFS(Таблица14[Столбец2],Таблица14[коэф],"1,4",Таблица14[р/р],"5/24",Таблица14[Ф. И. О.],B528)</f>
        <v>0</v>
      </c>
      <c r="Y533" s="749"/>
      <c r="Z533" s="751"/>
      <c r="AA533" s="741"/>
    </row>
    <row r="534" spans="1:27" ht="18.75">
      <c r="A534" s="740">
        <v>49</v>
      </c>
      <c r="B534" s="201"/>
      <c r="C534" s="742">
        <f>INDEX(база!$E$2:$E$98, MATCH(B539,база!$B$2:$B$100,0))</f>
        <v>14883</v>
      </c>
      <c r="D534" s="745">
        <f>INDEX(база!$D$2:$D$121, MATCH(B539,база!$B$2:$B$100,0))</f>
        <v>4</v>
      </c>
      <c r="E534" s="458">
        <f>IF(D534&lt;=3,база!$I$4,
IF(D534=4,база!$I$5,
IF(D534=5,база!$I$6)))</f>
        <v>207.5112</v>
      </c>
      <c r="F534" s="394">
        <v>1</v>
      </c>
      <c r="G534" s="395">
        <f>SUMIFS(Таблица14[часы],Таблица14[коэф],"1",Таблица14[р/р],"2/4",Таблица14[Ф. И. О.],B539)</f>
        <v>0</v>
      </c>
      <c r="H534" s="379">
        <f>SUMIFS(Таблица14[Столбец2],Таблица14[коэф],"1",Таблица14[р/р],"2/4",Таблица14[Ф. И. О.],B539)</f>
        <v>0</v>
      </c>
      <c r="I534" s="429">
        <f>IF(D534&lt;=3,база!$J$4,
IF(D534=4,база!$J$5,
IF(D534=5,база!$J$6)))</f>
        <v>215.4924</v>
      </c>
      <c r="J534" s="452">
        <v>1</v>
      </c>
      <c r="K534" s="430">
        <f>SUMIFS(Таблица14[часы],Таблица14[коэф],"1",Таблица14[р/р],"2/8",Таблица14[Ф. И. О.],B539)</f>
        <v>0</v>
      </c>
      <c r="L534" s="430">
        <f>SUMIFS(Таблица14[Столбец2],Таблица14[коэф],"1",Таблица14[р/р],"2/8",Таблица14[Ф. И. О.],B539)</f>
        <v>0</v>
      </c>
      <c r="M534" s="430"/>
      <c r="N534" s="430">
        <v>1</v>
      </c>
      <c r="O534" s="430">
        <f>SUMIFS(Data_Tech!$AM$3:$AM$67,Data_Tech!$E$3:$E$67,"1",Data_Tech!$G$3:$G$67,"3/12",Data_Tech!$F$3:$F$67,B539)</f>
        <v>0</v>
      </c>
      <c r="P534" s="375">
        <f>ROUND(M534*N534*O534,2)</f>
        <v>0</v>
      </c>
      <c r="Q534" s="458">
        <f>IF(D534&lt;=3,база!$L$4,
IF(D534=4,база!$L$5,
IF(D534=5,база!$L$6)))</f>
        <v>231.45480000000001</v>
      </c>
      <c r="R534" s="394">
        <v>1</v>
      </c>
      <c r="S534" s="395">
        <f>SUMIFS(Таблица14[часы],Таблица14[коэф],"1",Таблица14[р/р],"3/16",Таблица14[Ф. И. О.],B539)</f>
        <v>0</v>
      </c>
      <c r="T534" s="379">
        <f>SUMIFS(Таблица14[Столбец2],Таблица14[коэф],"1",Таблица14[р/р],"3/16",Таблица14[Ф. И. О.],B539)</f>
        <v>0</v>
      </c>
      <c r="U534" s="460">
        <f>IF(D534&lt;=3,база!$M$4,
IF(D534=4,база!$M$5,
IF(D534=5,база!$M$6)))</f>
        <v>247.41720000000001</v>
      </c>
      <c r="V534" s="394">
        <v>1</v>
      </c>
      <c r="W534" s="432">
        <f>SUMIFS(Таблица14[часы],Таблица14[коэф],"1",Таблица14[р/р],"3/24",Таблица14[Ф. И. О.],B539)</f>
        <v>0</v>
      </c>
      <c r="X534" s="528">
        <f>SUMIFS(Таблица14[Столбец2],Таблица14[коэф],"1",Таблица14[р/р],"3/24",Таблица14[Ф. И. О.],B539)</f>
        <v>0</v>
      </c>
      <c r="Y534" s="754">
        <f t="shared" ref="Y534" si="236">SUM(G534:G544,K534:K544,O534:O544,S534:S544,W534:W544)</f>
        <v>0</v>
      </c>
      <c r="Z534" s="750">
        <f t="shared" ref="Z534" si="237">IFERROR(SUM(H534:H544,L534:L544,T534:T544,X534:X544),"")</f>
        <v>0</v>
      </c>
      <c r="AA534" s="740"/>
    </row>
    <row r="535" spans="1:27" ht="18.75">
      <c r="A535" s="740"/>
      <c r="B535" s="201"/>
      <c r="C535" s="743"/>
      <c r="D535" s="746"/>
      <c r="E535" s="366">
        <f>IF(D534&lt;=3,база!$I$4,
IF(D534=4,база!$I$5,
IF(D534=5,база!$I$6)))</f>
        <v>207.5112</v>
      </c>
      <c r="F535" s="367">
        <v>1</v>
      </c>
      <c r="G535" s="377">
        <f>SUMIFS(Таблица14[часы],Таблица14[коэф],"1",Таблица14[р/р],"3/4",Таблица14[Ф. И. О.],B539)</f>
        <v>0</v>
      </c>
      <c r="H535" s="369">
        <f>SUMIFS(Таблица14[Столбец2],Таблица14[коэф],"1",Таблица14[р/р],"3/4",Таблица14[Ф. И. О.],B539)</f>
        <v>0</v>
      </c>
      <c r="I535" s="409">
        <f>IF(D534&lt;=3,база!$J$4,
IF(D534=4,база!$J$5,
IF(D534=5,база!$J$6)))</f>
        <v>215.4924</v>
      </c>
      <c r="J535" s="410">
        <v>1</v>
      </c>
      <c r="K535" s="411">
        <f>SUMIFS(Таблица14[часы],Таблица14[коэф],"1",Таблица14[р/р],"3/8",Таблица14[Ф. И. О.],B539)</f>
        <v>0</v>
      </c>
      <c r="L535" s="411">
        <f>SUMIFS(Таблица14[Столбец2],Таблица14[коэф],"1",Таблица14[р/р],"3/8",Таблица14[Ф. И. О.],B539)</f>
        <v>0</v>
      </c>
      <c r="M535" s="411"/>
      <c r="N535" s="411">
        <v>1</v>
      </c>
      <c r="O535" s="411">
        <f>SUMIFS(Data_Tech!$AM$3:$AM$67,Data_Tech!$E$3:$E$67,"1",Data_Tech!$G$3:$G$67,"4/12",Data_Tech!$F$3:$F$67,B539)</f>
        <v>0</v>
      </c>
      <c r="P535" s="383">
        <f>ROUND(M535*O535,2)</f>
        <v>0</v>
      </c>
      <c r="Q535" s="366">
        <f>база!$L$5</f>
        <v>231.45480000000001</v>
      </c>
      <c r="R535" s="367">
        <v>1</v>
      </c>
      <c r="S535" s="377">
        <f>SUMIFS(Таблица14[часы],Таблица14[коэф],"1",Таблица14[р/р],"4/16",Таблица14[Ф. И. О.],B539)</f>
        <v>0</v>
      </c>
      <c r="T535" s="369">
        <f>SUMIFS(Таблица14[Столбец2],Таблица14[коэф],"1",Таблица14[р/р],"4/16",Таблица14[Ф. И. О.],B539)</f>
        <v>0</v>
      </c>
      <c r="U535" s="455">
        <f>база!$M$5</f>
        <v>247.41720000000001</v>
      </c>
      <c r="V535" s="367">
        <v>1</v>
      </c>
      <c r="W535" s="389">
        <f>SUMIFS(Таблица14[часы],Таблица14[коэф],"1",Таблица14[р/р],"4/24",Таблица14[Ф. И. О.],B539)</f>
        <v>0</v>
      </c>
      <c r="X535" s="521">
        <f>SUMIFS(Таблица14[Столбец2],Таблица14[коэф],"1",Таблица14[р/р],"4/24",Таблица14[Ф. И. О.],B539)</f>
        <v>0</v>
      </c>
      <c r="Y535" s="754"/>
      <c r="Z535" s="750"/>
      <c r="AA535" s="740"/>
    </row>
    <row r="536" spans="1:27" ht="18.75">
      <c r="A536" s="740"/>
      <c r="B536" s="201"/>
      <c r="C536" s="743"/>
      <c r="D536" s="746"/>
      <c r="E536" s="366"/>
      <c r="F536" s="367"/>
      <c r="G536" s="377"/>
      <c r="H536" s="369"/>
      <c r="I536" s="409"/>
      <c r="J536" s="410"/>
      <c r="K536" s="411"/>
      <c r="L536" s="411"/>
      <c r="M536" s="411"/>
      <c r="N536" s="411"/>
      <c r="O536" s="411"/>
      <c r="P536" s="383"/>
      <c r="Q536" s="366">
        <f>база!$L$6</f>
        <v>261.04640000000001</v>
      </c>
      <c r="R536" s="367">
        <v>1</v>
      </c>
      <c r="S536" s="377">
        <f>SUMIFS(Таблица14[часы],Таблица14[коэф],"1",Таблица14[р/р],"5/16",Таблица14[Ф. И. О.],B539)</f>
        <v>0</v>
      </c>
      <c r="T536" s="369">
        <f>SUMIFS(Таблица14[Столбец2],Таблица14[коэф],"1",Таблица14[р/р],"5/16",Таблица14[Ф. И. О.],B539)</f>
        <v>0</v>
      </c>
      <c r="U536" s="455">
        <f>база!$M$6</f>
        <v>279.0496</v>
      </c>
      <c r="V536" s="367">
        <v>1</v>
      </c>
      <c r="W536" s="389">
        <f>SUMIFS(Таблица14[часы],Таблица14[коэф],"1",Таблица14[р/р],"5/24",Таблица14[Ф. И. О.],B539)</f>
        <v>0</v>
      </c>
      <c r="X536" s="521">
        <f>SUMIFS(Таблица14[Столбец2],Таблица14[коэф],"1",Таблица14[р/р],"5/24",Таблица14[Ф. И. О.],B539)</f>
        <v>0</v>
      </c>
      <c r="Y536" s="754"/>
      <c r="Z536" s="750"/>
      <c r="AA536" s="740"/>
    </row>
    <row r="537" spans="1:27" ht="18.75">
      <c r="A537" s="740"/>
      <c r="B537" s="201"/>
      <c r="C537" s="743"/>
      <c r="D537" s="746"/>
      <c r="E537" s="366"/>
      <c r="F537" s="367"/>
      <c r="G537" s="377"/>
      <c r="H537" s="369"/>
      <c r="I537" s="409">
        <f>база!$J$5</f>
        <v>215.4924</v>
      </c>
      <c r="J537" s="410">
        <v>1.5</v>
      </c>
      <c r="K537" s="411">
        <f>SUMIFS(Таблица14[часы],Таблица14[коэф],"1,5",Таблица14[р/р],"4/8",Таблица14[Ф. И. О.],B539)</f>
        <v>0</v>
      </c>
      <c r="L537" s="411">
        <f>SUMIFS(Таблица14[Столбец2],Таблица14[коэф],"1,5",Таблица14[р/р],"4/8",Таблица14[Ф. И. О.],B539)</f>
        <v>0</v>
      </c>
      <c r="M537" s="411"/>
      <c r="N537" s="411"/>
      <c r="O537" s="411"/>
      <c r="P537" s="383"/>
      <c r="Q537" s="366">
        <f>IF(D534&lt;=3,база!$L$4,
IF(D534=4,база!$L$5,
IF(D534=5,база!$L$6)))</f>
        <v>231.45480000000001</v>
      </c>
      <c r="R537" s="367">
        <v>1.2</v>
      </c>
      <c r="S537" s="377">
        <f>SUMIFS(Таблица14[часы],Таблица14[коэф],"1,2",Таблица14[р/р],"3/16",Таблица14[Ф. И. О.],B539)</f>
        <v>0</v>
      </c>
      <c r="T537" s="369">
        <f>SUMIFS(Таблица14[Столбец2],Таблица14[коэф],"1,2",Таблица14[р/р],"3/16",Таблица14[Ф. И. О.],B539)</f>
        <v>0</v>
      </c>
      <c r="U537" s="455">
        <f>IF(D534&lt;=3,база!$M$4,
IF(D534=4,база!$M$5,
IF(D534=5,база!$M$6)))</f>
        <v>247.41720000000001</v>
      </c>
      <c r="V537" s="367">
        <v>1.2</v>
      </c>
      <c r="W537" s="389">
        <f>SUMIFS(Таблица14[часы],Таблица14[коэф],"1,2",Таблица14[р/р],"3/24",Таблица14[Ф. И. О.],B539)</f>
        <v>0</v>
      </c>
      <c r="X537" s="521">
        <f>SUMIFS(Таблица14[Столбец2],Таблица14[коэф],"1,2",Таблица14[р/р],"3/24",Таблица14[Ф. И. О.],B539)</f>
        <v>0</v>
      </c>
      <c r="Y537" s="754"/>
      <c r="Z537" s="750"/>
      <c r="AA537" s="740"/>
    </row>
    <row r="538" spans="1:27" ht="18.75">
      <c r="A538" s="740"/>
      <c r="B538" s="201"/>
      <c r="C538" s="743"/>
      <c r="D538" s="746"/>
      <c r="E538" s="366"/>
      <c r="F538" s="367"/>
      <c r="G538" s="377"/>
      <c r="H538" s="369"/>
      <c r="I538" s="409">
        <f>база!$J$6</f>
        <v>243.04319999999998</v>
      </c>
      <c r="J538" s="410">
        <v>1.5</v>
      </c>
      <c r="K538" s="411">
        <f>SUMIFS(Таблица14[часы],Таблица14[коэф],"1,5",Таблица14[р/р],"5/8",Таблица14[Ф. И. О.],B539)</f>
        <v>0</v>
      </c>
      <c r="L538" s="411">
        <f>SUMIFS(Таблица14[Столбец2],Таблица14[коэф],"1,5",Таблица14[р/р],"5/8",Таблица14[Ф. И. О.],B539)</f>
        <v>0</v>
      </c>
      <c r="M538" s="411"/>
      <c r="N538" s="411"/>
      <c r="O538" s="411"/>
      <c r="P538" s="383"/>
      <c r="Q538" s="366">
        <f>база!$L$5</f>
        <v>231.45480000000001</v>
      </c>
      <c r="R538" s="367">
        <v>1.2</v>
      </c>
      <c r="S538" s="377">
        <f>SUMIFS(Таблица14[часы],Таблица14[коэф],"1,2",Таблица14[р/р],"4/16",Таблица14[Ф. И. О.],B539)</f>
        <v>0</v>
      </c>
      <c r="T538" s="369">
        <f>SUMIFS(Таблица14[Столбец2],Таблица14[коэф],"1,2",Таблица14[р/р],"4/16",Таблица14[Ф. И. О.],B539)</f>
        <v>0</v>
      </c>
      <c r="U538" s="455">
        <f>база!$M$5</f>
        <v>247.41720000000001</v>
      </c>
      <c r="V538" s="367">
        <v>1.2</v>
      </c>
      <c r="W538" s="389">
        <f>SUMIFS(Таблица14[часы],Таблица14[коэф],"1,2",Таблица14[р/р],"4/24",Таблица14[Ф. И. О.],B539)</f>
        <v>0</v>
      </c>
      <c r="X538" s="521">
        <f>SUMIFS(Таблица14[Столбец2],Таблица14[коэф],"1,2",Таблица14[р/р],"4/24",Таблица14[Ф. И. О.],B539)</f>
        <v>0</v>
      </c>
      <c r="Y538" s="754"/>
      <c r="Z538" s="750"/>
      <c r="AA538" s="740"/>
    </row>
    <row r="539" spans="1:27" ht="18.75">
      <c r="A539" s="740"/>
      <c r="B539" s="201" t="str">
        <f>база!B50</f>
        <v>Минко Елена Анатольевна</v>
      </c>
      <c r="C539" s="743"/>
      <c r="D539" s="746"/>
      <c r="E539" s="366"/>
      <c r="F539" s="367"/>
      <c r="G539" s="377"/>
      <c r="H539" s="369"/>
      <c r="I539" s="409"/>
      <c r="J539" s="410"/>
      <c r="K539" s="411"/>
      <c r="L539" s="411"/>
      <c r="M539" s="411"/>
      <c r="N539" s="411"/>
      <c r="O539" s="411"/>
      <c r="P539" s="383"/>
      <c r="Q539" s="366">
        <f>база!$L$6</f>
        <v>261.04640000000001</v>
      </c>
      <c r="R539" s="367">
        <v>1.2</v>
      </c>
      <c r="S539" s="377">
        <f>SUMIFS(Таблица14[часы],Таблица14[коэф],"1,2",Таблица14[р/р],"5/16",Таблица14[Ф. И. О.],B539)</f>
        <v>0</v>
      </c>
      <c r="T539" s="369">
        <f>SUMIFS(Таблица14[Столбец2],Таблица14[коэф],"1,2",Таблица14[р/р],"5/16",Таблица14[Ф. И. О.],B539)</f>
        <v>0</v>
      </c>
      <c r="U539" s="455">
        <f>база!$M$6</f>
        <v>279.0496</v>
      </c>
      <c r="V539" s="367">
        <v>1.2</v>
      </c>
      <c r="W539" s="389">
        <f>SUMIFS(Таблица14[часы],Таблица14[коэф],"1,2",Таблица14[р/р],"5/24",Таблица14[Ф. И. О.],B539)</f>
        <v>0</v>
      </c>
      <c r="X539" s="521">
        <f>SUMIFS(Таблица14[Столбец2],Таблица14[коэф],"1,2",Таблица14[р/р],"5/24",Таблица14[Ф. И. О.],B539)</f>
        <v>0</v>
      </c>
      <c r="Y539" s="754"/>
      <c r="Z539" s="750"/>
      <c r="AA539" s="740"/>
    </row>
    <row r="540" spans="1:27" ht="18.75">
      <c r="A540" s="740"/>
      <c r="B540" s="201"/>
      <c r="C540" s="743"/>
      <c r="D540" s="746"/>
      <c r="E540" s="366"/>
      <c r="F540" s="367"/>
      <c r="G540" s="377"/>
      <c r="H540" s="369"/>
      <c r="I540" s="409"/>
      <c r="J540" s="410"/>
      <c r="K540" s="411"/>
      <c r="L540" s="411"/>
      <c r="M540" s="411"/>
      <c r="N540" s="411"/>
      <c r="O540" s="411"/>
      <c r="P540" s="383"/>
      <c r="Q540" s="366">
        <f>IF($D$6&lt;=3,база!$L$4,
IF($D$6=4,база!$L$5,
IF($D$6=5,база!$L$6)))</f>
        <v>231.45480000000001</v>
      </c>
      <c r="R540" s="367">
        <v>1.3</v>
      </c>
      <c r="S540" s="377">
        <f>SUMIFS(Таблица14[часы],Таблица14[коэф],"1,3",Таблица14[р/р],"3/16",Таблица14[Ф. И. О.],B539)</f>
        <v>0</v>
      </c>
      <c r="T540" s="369">
        <f>SUMIFS(Таблица14[Столбец2],Таблица14[коэф],"1,3",Таблица14[р/р],"3/16",Таблица14[Ф. И. О.],B539)</f>
        <v>0</v>
      </c>
      <c r="U540" s="455">
        <f>IF(D534&lt;=3,база!$M$4,
IF(D534=4,база!$M$5,
IF(D534=5,база!$M$6)))</f>
        <v>247.41720000000001</v>
      </c>
      <c r="V540" s="367">
        <v>1.3</v>
      </c>
      <c r="W540" s="389">
        <f>SUMIFS(Таблица14[часы],Таблица14[коэф],"1,3",Таблица14[р/р],"3/24",Таблица14[Ф. И. О.],B539)</f>
        <v>0</v>
      </c>
      <c r="X540" s="521">
        <f>SUMIFS(Таблица14[Столбец2],Таблица14[коэф],"1,3",Таблица14[р/р],"3/24",Таблица14[Ф. И. О.],B539)</f>
        <v>0</v>
      </c>
      <c r="Y540" s="754"/>
      <c r="Z540" s="750"/>
      <c r="AA540" s="740"/>
    </row>
    <row r="541" spans="1:27" ht="18.75">
      <c r="A541" s="740"/>
      <c r="B541" s="201"/>
      <c r="C541" s="743"/>
      <c r="D541" s="746"/>
      <c r="E541" s="366"/>
      <c r="F541" s="367"/>
      <c r="G541" s="377"/>
      <c r="H541" s="369"/>
      <c r="I541" s="409"/>
      <c r="J541" s="410"/>
      <c r="K541" s="411"/>
      <c r="L541" s="411"/>
      <c r="M541" s="411"/>
      <c r="N541" s="411"/>
      <c r="O541" s="411"/>
      <c r="P541" s="383"/>
      <c r="Q541" s="366">
        <f>база!$L$5</f>
        <v>231.45480000000001</v>
      </c>
      <c r="R541" s="367">
        <v>1.3</v>
      </c>
      <c r="S541" s="377">
        <f>SUMIFS(Таблица14[часы],Таблица14[коэф],"1,3",Таблица14[р/р],"4/16",Таблица14[Ф. И. О.],B539)</f>
        <v>0</v>
      </c>
      <c r="T541" s="369">
        <f>SUMIFS(Таблица14[Столбец2],Таблица14[коэф],"1,3",Таблица14[р/р],"4/16",Таблица14[Ф. И. О.],B539)</f>
        <v>0</v>
      </c>
      <c r="U541" s="455">
        <f>база!$M$5</f>
        <v>247.41720000000001</v>
      </c>
      <c r="V541" s="367">
        <v>1.3</v>
      </c>
      <c r="W541" s="389">
        <f>SUMIFS(Таблица14[часы],Таблица14[коэф],"1,3",Таблица14[р/р],"4/24",Таблица14[Ф. И. О.],B539)</f>
        <v>0</v>
      </c>
      <c r="X541" s="521">
        <f>SUMIFS(Таблица14[Столбец2],Таблица14[коэф],"1,3",Таблица14[р/р],"4/24",Таблица14[Ф. И. О.],B539)</f>
        <v>0</v>
      </c>
      <c r="Y541" s="754"/>
      <c r="Z541" s="750"/>
      <c r="AA541" s="740"/>
    </row>
    <row r="542" spans="1:27" ht="18.75">
      <c r="A542" s="740"/>
      <c r="B542" s="201"/>
      <c r="C542" s="743"/>
      <c r="D542" s="746"/>
      <c r="E542" s="366"/>
      <c r="F542" s="367"/>
      <c r="G542" s="377"/>
      <c r="H542" s="369"/>
      <c r="I542" s="409"/>
      <c r="J542" s="410"/>
      <c r="K542" s="411"/>
      <c r="L542" s="411"/>
      <c r="M542" s="411"/>
      <c r="N542" s="411"/>
      <c r="O542" s="411"/>
      <c r="P542" s="383"/>
      <c r="Q542" s="366">
        <f>IF(D534&lt;=3,база!$L$4,
IF(D534=4,база!$L$5,
IF(D534=5,база!$L$6)))</f>
        <v>231.45480000000001</v>
      </c>
      <c r="R542" s="367">
        <v>1.4</v>
      </c>
      <c r="S542" s="377">
        <f>SUMIFS(Таблица14[часы],Таблица14[коэф],"1,4",Таблица14[р/р],"3/16",Таблица14[Ф. И. О.],B539)</f>
        <v>0</v>
      </c>
      <c r="T542" s="369">
        <f>SUMIFS(Таблица14[Столбец2],Таблица14[коэф],"1,4",Таблица14[р/р],"3/16",Таблица14[Ф. И. О.],B539)</f>
        <v>0</v>
      </c>
      <c r="U542" s="455">
        <f>IF(D534&lt;=3,база!$M$4,
IF(D534=4,база!$M$5,
IF(D534=5,база!$M$6)))</f>
        <v>247.41720000000001</v>
      </c>
      <c r="V542" s="367">
        <v>1.4</v>
      </c>
      <c r="W542" s="389">
        <f>SUMIFS(Таблица14[часы],Таблица14[коэф],"1,4",Таблица14[р/р],"3/24",Таблица14[Ф. И. О.],B539)</f>
        <v>0</v>
      </c>
      <c r="X542" s="521">
        <f>SUMIFS(Таблица14[Столбец2],Таблица14[коэф],"1,4",Таблица14[р/р],"3/24",Таблица14[Ф. И. О.],B539)</f>
        <v>0</v>
      </c>
      <c r="Y542" s="754"/>
      <c r="Z542" s="750"/>
      <c r="AA542" s="740"/>
    </row>
    <row r="543" spans="1:27" ht="18.75">
      <c r="A543" s="740"/>
      <c r="B543" s="201"/>
      <c r="C543" s="743"/>
      <c r="D543" s="746"/>
      <c r="E543" s="366"/>
      <c r="F543" s="367"/>
      <c r="G543" s="377"/>
      <c r="H543" s="369"/>
      <c r="I543" s="409"/>
      <c r="J543" s="410"/>
      <c r="K543" s="411"/>
      <c r="L543" s="411"/>
      <c r="M543" s="411"/>
      <c r="N543" s="411"/>
      <c r="O543" s="411"/>
      <c r="P543" s="383"/>
      <c r="Q543" s="366">
        <f>база!$L$5</f>
        <v>231.45480000000001</v>
      </c>
      <c r="R543" s="367">
        <v>1.4</v>
      </c>
      <c r="S543" s="377">
        <f>SUMIFS(Таблица14[часы],Таблица14[коэф],"1,4",Таблица14[р/р],"4/16",Таблица14[Ф. И. О.],B539)</f>
        <v>0</v>
      </c>
      <c r="T543" s="369">
        <f>SUMIFS(Таблица14[Столбец2],Таблица14[коэф],"1,4",Таблица14[р/р],"4/16",Таблица14[Ф. И. О.],B539)</f>
        <v>0</v>
      </c>
      <c r="U543" s="455">
        <f>база!$M$5</f>
        <v>247.41720000000001</v>
      </c>
      <c r="V543" s="367">
        <v>1.4</v>
      </c>
      <c r="W543" s="389">
        <f>SUMIFS(Таблица14[часы],Таблица14[коэф],"1,4",Таблица14[р/р],"4/24",Таблица14[Ф. И. О.],B539)</f>
        <v>0</v>
      </c>
      <c r="X543" s="521">
        <f>SUMIFS(Таблица14[Столбец2],Таблица14[коэф],"1,4",Таблица14[р/р],"4/24",Таблица14[Ф. И. О.],B539)</f>
        <v>0</v>
      </c>
      <c r="Y543" s="754"/>
      <c r="Z543" s="750"/>
      <c r="AA543" s="740"/>
    </row>
    <row r="544" spans="1:27" ht="19.5" thickBot="1">
      <c r="A544" s="741"/>
      <c r="B544" s="329"/>
      <c r="C544" s="744"/>
      <c r="D544" s="747"/>
      <c r="E544" s="422"/>
      <c r="F544" s="423"/>
      <c r="G544" s="624"/>
      <c r="H544" s="511"/>
      <c r="I544" s="625"/>
      <c r="J544" s="588"/>
      <c r="K544" s="626"/>
      <c r="L544" s="434"/>
      <c r="M544" s="625"/>
      <c r="N544" s="626"/>
      <c r="O544" s="626"/>
      <c r="P544" s="514"/>
      <c r="Q544" s="627">
        <f>база!$L$6</f>
        <v>261.04640000000001</v>
      </c>
      <c r="R544" s="423">
        <v>1.4</v>
      </c>
      <c r="S544" s="424">
        <f>SUMIFS(Таблица14[часы],Таблица14[коэф],"1,4",Таблица14[р/р],"5/16",Таблица14[Ф. И. О.],B539)</f>
        <v>0</v>
      </c>
      <c r="T544" s="511">
        <f>SUMIFS(Таблица14[Столбец2],Таблица14[коэф],"1,4",Таблица14[р/р],"5/16",Таблица14[Ф. И. О.],B539)</f>
        <v>0</v>
      </c>
      <c r="U544" s="512">
        <f>база!$M$6</f>
        <v>279.0496</v>
      </c>
      <c r="V544" s="441">
        <v>1.4</v>
      </c>
      <c r="W544" s="424">
        <f>SUMIFS(Таблица14[часы],Таблица14[коэф],"1,4",Таблица14[р/р],"5/24",Таблица14[Ф. И. О.],B539)</f>
        <v>0</v>
      </c>
      <c r="X544" s="511">
        <f>SUMIFS(Таблица14[Столбец2],Таблица14[коэф],"1,4",Таблица14[р/р],"5/24",Таблица14[Ф. И. О.],B539)</f>
        <v>0</v>
      </c>
      <c r="Y544" s="755"/>
      <c r="Z544" s="751"/>
      <c r="AA544" s="741"/>
    </row>
    <row r="545" spans="1:27" ht="18.75">
      <c r="A545" s="740">
        <v>50</v>
      </c>
      <c r="B545" s="201"/>
      <c r="C545" s="742">
        <f>INDEX(база!$E$2:$E$98, MATCH(B550,база!$B$2:$B$100,0))</f>
        <v>17312</v>
      </c>
      <c r="D545" s="745">
        <f>INDEX(база!$D$2:$D$121, MATCH(B550,база!$B$2:$B$100,0))</f>
        <v>3</v>
      </c>
      <c r="E545" s="458">
        <f>IF(D545&lt;=3,база!$I$4,
IF(D545=4,база!$I$5,
IF(D545=5,база!$I$6)))</f>
        <v>188.7912</v>
      </c>
      <c r="F545" s="394">
        <v>1</v>
      </c>
      <c r="G545" s="395">
        <f>SUMIFS(Таблица14[часы],Таблица14[коэф],"1",Таблица14[р/р],"2/4",Таблица14[Ф. И. О.],B550)</f>
        <v>0</v>
      </c>
      <c r="H545" s="379">
        <f>SUMIFS(Таблица14[Столбец2],Таблица14[коэф],"1",Таблица14[р/р],"2/4",Таблица14[Ф. И. О.],B550)</f>
        <v>0</v>
      </c>
      <c r="I545" s="429">
        <f>IF(D545&lt;=3,база!$J$4,
IF(D545=4,база!$J$5,
IF(D545=5,база!$J$6)))</f>
        <v>196.05240000000001</v>
      </c>
      <c r="J545" s="452">
        <v>1</v>
      </c>
      <c r="K545" s="430">
        <f>SUMIFS(Таблица14[часы],Таблица14[коэф],"1",Таблица14[р/р],"2/8",Таблица14[Ф. И. О.],B550)</f>
        <v>0</v>
      </c>
      <c r="L545" s="430">
        <f>SUMIFS(Таблица14[Столбец2],Таблица14[коэф],"1",Таблица14[р/р],"2/8",Таблица14[Ф. И. О.],B550)</f>
        <v>0</v>
      </c>
      <c r="M545" s="430"/>
      <c r="N545" s="430">
        <v>1</v>
      </c>
      <c r="O545" s="430">
        <f>SUMIFS(Data_Tech!$AM$3:$AM$67,Data_Tech!$E$3:$E$67,"1",Data_Tech!$G$3:$G$67,"3/12",Data_Tech!$F$3:$F$67,B550)</f>
        <v>0</v>
      </c>
      <c r="P545" s="375">
        <f>ROUND(M545*N545*O545,2)</f>
        <v>0</v>
      </c>
      <c r="Q545" s="458">
        <f>IF(D545&lt;=3,база!$L$4,
IF(D545=4,база!$L$5,
IF(D545=5,база!$L$6)))</f>
        <v>210.57480000000001</v>
      </c>
      <c r="R545" s="394">
        <v>1</v>
      </c>
      <c r="S545" s="395">
        <f>SUMIFS(Таблица14[часы],Таблица14[коэф],"1",Таблица14[р/р],"3/16",Таблица14[Ф. И. О.],B550)</f>
        <v>0</v>
      </c>
      <c r="T545" s="379">
        <f>SUMIFS(Таблица14[Столбец2],Таблица14[коэф],"1",Таблица14[р/р],"3/16",Таблица14[Ф. И. О.],B550)</f>
        <v>0</v>
      </c>
      <c r="U545" s="460">
        <f>IF(D545&lt;=3,база!$M$4,
IF(D545=4,база!$M$5,
IF(D545=5,база!$M$6)))</f>
        <v>225.09719999999999</v>
      </c>
      <c r="V545" s="394">
        <v>1</v>
      </c>
      <c r="W545" s="432">
        <f>SUMIFS(Таблица14[часы],Таблица14[коэф],"1",Таблица14[р/р],"3/24",Таблица14[Ф. И. О.],B550)</f>
        <v>0</v>
      </c>
      <c r="X545" s="528">
        <f>SUMIFS(Таблица14[Столбец2],Таблица14[коэф],"1",Таблица14[р/р],"3/24",Таблица14[Ф. И. О.],B550)</f>
        <v>0</v>
      </c>
      <c r="Y545" s="748">
        <f t="shared" ref="Y545" si="238">SUM(G545:G555,K545:K555,O545:O555,S545:S555,W545:W555)</f>
        <v>0</v>
      </c>
      <c r="Z545" s="750">
        <f t="shared" ref="Z545" si="239">IFERROR(SUM(H545:H555,L545:L555,T545:T555,X545:X555),"")</f>
        <v>0</v>
      </c>
      <c r="AA545" s="740"/>
    </row>
    <row r="546" spans="1:27" ht="18.75">
      <c r="A546" s="740"/>
      <c r="B546" s="201"/>
      <c r="C546" s="743"/>
      <c r="D546" s="746"/>
      <c r="E546" s="366">
        <f>IF(D545&lt;=3,база!$I$4,
IF(D545=4,база!$I$5,
IF(D545=5,база!$I$6)))</f>
        <v>188.7912</v>
      </c>
      <c r="F546" s="367">
        <v>1</v>
      </c>
      <c r="G546" s="377">
        <f>SUMIFS(Таблица14[часы],Таблица14[коэф],"1",Таблица14[р/р],"3/4",Таблица14[Ф. И. О.],B550)</f>
        <v>0</v>
      </c>
      <c r="H546" s="369">
        <f>SUMIFS(Таблица14[Столбец2],Таблица14[коэф],"1",Таблица14[р/р],"3/4",Таблица14[Ф. И. О.],B550)</f>
        <v>0</v>
      </c>
      <c r="I546" s="409">
        <f>IF(D545&lt;=3,база!$J$4,
IF(D545=4,база!$J$5,
IF(D545=5,база!$J$6)))</f>
        <v>196.05240000000001</v>
      </c>
      <c r="J546" s="410">
        <v>1</v>
      </c>
      <c r="K546" s="411">
        <f>SUMIFS(Таблица14[часы],Таблица14[коэф],"1",Таблица14[р/р],"3/8",Таблица14[Ф. И. О.],B550)</f>
        <v>0</v>
      </c>
      <c r="L546" s="411">
        <f>SUMIFS(Таблица14[Столбец2],Таблица14[коэф],"1",Таблица14[р/р],"3/8",Таблица14[Ф. И. О.],B550)</f>
        <v>0</v>
      </c>
      <c r="M546" s="411"/>
      <c r="N546" s="411">
        <v>1</v>
      </c>
      <c r="O546" s="411">
        <f>SUMIFS(Data_Tech!$AM$3:$AM$67,Data_Tech!$E$3:$E$67,"1",Data_Tech!$G$3:$G$67,"4/12",Data_Tech!$F$3:$F$67,B550)</f>
        <v>0</v>
      </c>
      <c r="P546" s="383">
        <f>ROUND(M546*O546,2)</f>
        <v>0</v>
      </c>
      <c r="Q546" s="366">
        <f>база!$L$5</f>
        <v>231.45480000000001</v>
      </c>
      <c r="R546" s="367">
        <v>1</v>
      </c>
      <c r="S546" s="377">
        <f>SUMIFS(Таблица14[часы],Таблица14[коэф],"1",Таблица14[р/р],"4/16",Таблица14[Ф. И. О.],B550)</f>
        <v>0</v>
      </c>
      <c r="T546" s="369">
        <f>SUMIFS(Таблица14[Столбец2],Таблица14[коэф],"1",Таблица14[р/р],"4/16",Таблица14[Ф. И. О.],B550)</f>
        <v>0</v>
      </c>
      <c r="U546" s="455">
        <f>база!$M$5</f>
        <v>247.41720000000001</v>
      </c>
      <c r="V546" s="367">
        <v>1</v>
      </c>
      <c r="W546" s="389">
        <f>SUMIFS(Таблица14[часы],Таблица14[коэф],"1",Таблица14[р/р],"4/24",Таблица14[Ф. И. О.],B550)</f>
        <v>0</v>
      </c>
      <c r="X546" s="521">
        <f>SUMIFS(Таблица14[Столбец2],Таблица14[коэф],"1",Таблица14[р/р],"4/24",Таблица14[Ф. И. О.],B550)</f>
        <v>0</v>
      </c>
      <c r="Y546" s="748"/>
      <c r="Z546" s="750"/>
      <c r="AA546" s="740"/>
    </row>
    <row r="547" spans="1:27" ht="18.75">
      <c r="A547" s="740"/>
      <c r="B547" s="201"/>
      <c r="C547" s="743"/>
      <c r="D547" s="746"/>
      <c r="E547" s="366"/>
      <c r="F547" s="367"/>
      <c r="G547" s="377"/>
      <c r="H547" s="369"/>
      <c r="I547" s="409"/>
      <c r="J547" s="410"/>
      <c r="K547" s="411"/>
      <c r="L547" s="411"/>
      <c r="M547" s="411"/>
      <c r="N547" s="411"/>
      <c r="O547" s="411"/>
      <c r="P547" s="383"/>
      <c r="Q547" s="366">
        <f>база!$L$6</f>
        <v>261.04640000000001</v>
      </c>
      <c r="R547" s="367">
        <v>1</v>
      </c>
      <c r="S547" s="377">
        <f>SUMIFS(Таблица14[часы],Таблица14[коэф],"1",Таблица14[р/р],"5/16",Таблица14[Ф. И. О.],B550)</f>
        <v>0</v>
      </c>
      <c r="T547" s="369">
        <f>SUMIFS(Таблица14[Столбец2],Таблица14[коэф],"1",Таблица14[р/р],"5/16",Таблица14[Ф. И. О.],B550)</f>
        <v>0</v>
      </c>
      <c r="U547" s="455">
        <f>база!$M$6</f>
        <v>279.0496</v>
      </c>
      <c r="V547" s="367">
        <v>1</v>
      </c>
      <c r="W547" s="389">
        <f>SUMIFS(Таблица14[часы],Таблица14[коэф],"1",Таблица14[р/р],"5/24",Таблица14[Ф. И. О.],B550)</f>
        <v>0</v>
      </c>
      <c r="X547" s="521">
        <f>SUMIFS(Таблица14[Столбец2],Таблица14[коэф],"1",Таблица14[р/р],"5/24",Таблица14[Ф. И. О.],B550)</f>
        <v>0</v>
      </c>
      <c r="Y547" s="748"/>
      <c r="Z547" s="750"/>
      <c r="AA547" s="740"/>
    </row>
    <row r="548" spans="1:27" ht="18.75">
      <c r="A548" s="740"/>
      <c r="B548" s="201"/>
      <c r="C548" s="743"/>
      <c r="D548" s="746"/>
      <c r="E548" s="366"/>
      <c r="F548" s="367"/>
      <c r="G548" s="377"/>
      <c r="H548" s="369"/>
      <c r="I548" s="409">
        <f>база!$J$5</f>
        <v>215.4924</v>
      </c>
      <c r="J548" s="410">
        <v>1.5</v>
      </c>
      <c r="K548" s="411">
        <f>SUMIFS(Таблица14[часы],Таблица14[коэф],"1,5",Таблица14[р/р],"4/8",Таблица14[Ф. И. О.],B550)</f>
        <v>0</v>
      </c>
      <c r="L548" s="411">
        <f>SUMIFS(Таблица14[Столбец2],Таблица14[коэф],"1,5",Таблица14[р/р],"4/8",Таблица14[Ф. И. О.],B550)</f>
        <v>0</v>
      </c>
      <c r="M548" s="411"/>
      <c r="N548" s="411"/>
      <c r="O548" s="411"/>
      <c r="P548" s="383"/>
      <c r="Q548" s="366">
        <f>IF(D545&lt;=3,база!$L$4,
IF(D545=4,база!$L$5,
IF(D545=5,база!$L$6)))</f>
        <v>210.57480000000001</v>
      </c>
      <c r="R548" s="367">
        <v>1.2</v>
      </c>
      <c r="S548" s="377">
        <f>SUMIFS(Таблица14[часы],Таблица14[коэф],"1,2",Таблица14[р/р],"3/16",Таблица14[Ф. И. О.],B550)</f>
        <v>0</v>
      </c>
      <c r="T548" s="369">
        <f>SUMIFS(Таблица14[Столбец2],Таблица14[коэф],"1,2",Таблица14[р/р],"3/16",Таблица14[Ф. И. О.],B550)</f>
        <v>0</v>
      </c>
      <c r="U548" s="455">
        <f>IF(D545&lt;=3,база!$M$4,
IF(D545=4,база!$M$5,
IF(D545=5,база!$M$6)))</f>
        <v>225.09719999999999</v>
      </c>
      <c r="V548" s="367">
        <v>1.2</v>
      </c>
      <c r="W548" s="389">
        <f>SUMIFS(Таблица14[часы],Таблица14[коэф],"1,2",Таблица14[р/р],"3/24",Таблица14[Ф. И. О.],B550)</f>
        <v>0</v>
      </c>
      <c r="X548" s="521">
        <f>SUMIFS(Таблица14[Столбец2],Таблица14[коэф],"1,2",Таблица14[р/р],"3/24",Таблица14[Ф. И. О.],B550)</f>
        <v>0</v>
      </c>
      <c r="Y548" s="748"/>
      <c r="Z548" s="750"/>
      <c r="AA548" s="740"/>
    </row>
    <row r="549" spans="1:27" ht="18.75">
      <c r="A549" s="740"/>
      <c r="B549" s="201"/>
      <c r="C549" s="743"/>
      <c r="D549" s="746"/>
      <c r="E549" s="366"/>
      <c r="F549" s="367"/>
      <c r="G549" s="377"/>
      <c r="H549" s="369"/>
      <c r="I549" s="409">
        <f>база!$J$6</f>
        <v>243.04319999999998</v>
      </c>
      <c r="J549" s="410">
        <v>1.5</v>
      </c>
      <c r="K549" s="411">
        <f>SUMIFS(Таблица14[часы],Таблица14[коэф],"1,5",Таблица14[р/р],"5/8",Таблица14[Ф. И. О.],B550)</f>
        <v>0</v>
      </c>
      <c r="L549" s="411">
        <f>SUMIFS(Таблица14[Столбец2],Таблица14[коэф],"1,5",Таблица14[р/р],"5/8",Таблица14[Ф. И. О.],B550)</f>
        <v>0</v>
      </c>
      <c r="M549" s="411"/>
      <c r="N549" s="411"/>
      <c r="O549" s="411"/>
      <c r="P549" s="383"/>
      <c r="Q549" s="366">
        <f>база!$L$5</f>
        <v>231.45480000000001</v>
      </c>
      <c r="R549" s="367">
        <v>1.2</v>
      </c>
      <c r="S549" s="377">
        <f>SUMIFS(Таблица14[часы],Таблица14[коэф],"1,2",Таблица14[р/р],"4/16",Таблица14[Ф. И. О.],B550)</f>
        <v>0</v>
      </c>
      <c r="T549" s="369">
        <f>SUMIFS(Таблица14[Столбец2],Таблица14[коэф],"1,2",Таблица14[р/р],"4/16",Таблица14[Ф. И. О.],B550)</f>
        <v>0</v>
      </c>
      <c r="U549" s="455">
        <f>база!$M$5</f>
        <v>247.41720000000001</v>
      </c>
      <c r="V549" s="367">
        <v>1.2</v>
      </c>
      <c r="W549" s="389">
        <f>SUMIFS(Таблица14[часы],Таблица14[коэф],"1,2",Таблица14[р/р],"4/24",Таблица14[Ф. И. О.],B550)</f>
        <v>0</v>
      </c>
      <c r="X549" s="521">
        <f>SUMIFS(Таблица14[Столбец2],Таблица14[коэф],"1,2",Таблица14[р/р],"4/24",Таблица14[Ф. И. О.],B550)</f>
        <v>0</v>
      </c>
      <c r="Y549" s="748"/>
      <c r="Z549" s="750"/>
      <c r="AA549" s="740"/>
    </row>
    <row r="550" spans="1:27" ht="18.75">
      <c r="A550" s="740"/>
      <c r="B550" s="201" t="str">
        <f>база!B51</f>
        <v>Михалочкина Наталья Ивановна</v>
      </c>
      <c r="C550" s="743"/>
      <c r="D550" s="746"/>
      <c r="E550" s="366"/>
      <c r="F550" s="367"/>
      <c r="G550" s="377"/>
      <c r="H550" s="369"/>
      <c r="I550" s="409"/>
      <c r="J550" s="410"/>
      <c r="K550" s="411"/>
      <c r="L550" s="411"/>
      <c r="M550" s="411"/>
      <c r="N550" s="411"/>
      <c r="O550" s="411"/>
      <c r="P550" s="383"/>
      <c r="Q550" s="366">
        <f>база!$L$6</f>
        <v>261.04640000000001</v>
      </c>
      <c r="R550" s="367">
        <v>1.2</v>
      </c>
      <c r="S550" s="377">
        <f>SUMIFS(Таблица14[часы],Таблица14[коэф],"1,2",Таблица14[р/р],"5/16",Таблица14[Ф. И. О.],B550)</f>
        <v>0</v>
      </c>
      <c r="T550" s="369">
        <f>SUMIFS(Таблица14[Столбец2],Таблица14[коэф],"1,2",Таблица14[р/р],"5/16",Таблица14[Ф. И. О.],B550)</f>
        <v>0</v>
      </c>
      <c r="U550" s="455">
        <f>база!$M$6</f>
        <v>279.0496</v>
      </c>
      <c r="V550" s="367">
        <v>1.2</v>
      </c>
      <c r="W550" s="389">
        <f>SUMIFS(Таблица14[часы],Таблица14[коэф],"1,2",Таблица14[р/р],"5/24",Таблица14[Ф. И. О.],B550)</f>
        <v>0</v>
      </c>
      <c r="X550" s="521">
        <f>SUMIFS(Таблица14[Столбец2],Таблица14[коэф],"1,2",Таблица14[р/р],"5/24",Таблица14[Ф. И. О.],B550)</f>
        <v>0</v>
      </c>
      <c r="Y550" s="748"/>
      <c r="Z550" s="750"/>
      <c r="AA550" s="740"/>
    </row>
    <row r="551" spans="1:27" ht="18.75">
      <c r="A551" s="740"/>
      <c r="B551" s="201"/>
      <c r="C551" s="743"/>
      <c r="D551" s="746"/>
      <c r="E551" s="366"/>
      <c r="F551" s="367"/>
      <c r="G551" s="377"/>
      <c r="H551" s="369"/>
      <c r="I551" s="409"/>
      <c r="J551" s="410"/>
      <c r="K551" s="411"/>
      <c r="L551" s="411"/>
      <c r="M551" s="411"/>
      <c r="N551" s="411"/>
      <c r="O551" s="411"/>
      <c r="P551" s="383"/>
      <c r="Q551" s="366">
        <f>IF($D$6&lt;=3,база!$L$4,
IF($D$6=4,база!$L$5,
IF($D$6=5,база!$L$6)))</f>
        <v>231.45480000000001</v>
      </c>
      <c r="R551" s="367">
        <v>1.3</v>
      </c>
      <c r="S551" s="377">
        <f>SUMIFS(Таблица14[часы],Таблица14[коэф],"1,3",Таблица14[р/р],"3/16",Таблица14[Ф. И. О.],B550)</f>
        <v>0</v>
      </c>
      <c r="T551" s="369">
        <f>SUMIFS(Таблица14[Столбец2],Таблица14[коэф],"1,3",Таблица14[р/р],"3/16",Таблица14[Ф. И. О.],B550)</f>
        <v>0</v>
      </c>
      <c r="U551" s="455">
        <f>IF(D545&lt;=3,база!$M$4,
IF(D545=4,база!$M$5,
IF(D545=5,база!$M$6)))</f>
        <v>225.09719999999999</v>
      </c>
      <c r="V551" s="367">
        <v>1.3</v>
      </c>
      <c r="W551" s="389">
        <f>SUMIFS(Таблица14[часы],Таблица14[коэф],"1,3",Таблица14[р/р],"3/24",Таблица14[Ф. И. О.],B550)</f>
        <v>0</v>
      </c>
      <c r="X551" s="521">
        <f>SUMIFS(Таблица14[Столбец2],Таблица14[коэф],"1,3",Таблица14[р/р],"3/24",Таблица14[Ф. И. О.],B550)</f>
        <v>0</v>
      </c>
      <c r="Y551" s="748"/>
      <c r="Z551" s="750"/>
      <c r="AA551" s="740"/>
    </row>
    <row r="552" spans="1:27" ht="18.75">
      <c r="A552" s="740"/>
      <c r="B552" s="201"/>
      <c r="C552" s="743"/>
      <c r="D552" s="746"/>
      <c r="E552" s="366"/>
      <c r="F552" s="367"/>
      <c r="G552" s="377"/>
      <c r="H552" s="369"/>
      <c r="I552" s="409"/>
      <c r="J552" s="410"/>
      <c r="K552" s="411"/>
      <c r="L552" s="411"/>
      <c r="M552" s="411"/>
      <c r="N552" s="411"/>
      <c r="O552" s="411"/>
      <c r="P552" s="383"/>
      <c r="Q552" s="366">
        <f>база!$L$5</f>
        <v>231.45480000000001</v>
      </c>
      <c r="R552" s="367">
        <v>1.3</v>
      </c>
      <c r="S552" s="377">
        <f>SUMIFS(Таблица14[часы],Таблица14[коэф],"1,3",Таблица14[р/р],"4/16",Таблица14[Ф. И. О.],B550)</f>
        <v>0</v>
      </c>
      <c r="T552" s="369">
        <f>SUMIFS(Таблица14[Столбец2],Таблица14[коэф],"1,3",Таблица14[р/р],"4/16",Таблица14[Ф. И. О.],B550)</f>
        <v>0</v>
      </c>
      <c r="U552" s="455">
        <f>база!$M$5</f>
        <v>247.41720000000001</v>
      </c>
      <c r="V552" s="367">
        <v>1.3</v>
      </c>
      <c r="W552" s="389">
        <f>SUMIFS(Таблица14[часы],Таблица14[коэф],"1,3",Таблица14[р/р],"4/24",Таблица14[Ф. И. О.],B550)</f>
        <v>0</v>
      </c>
      <c r="X552" s="521">
        <f>SUMIFS(Таблица14[Столбец2],Таблица14[коэф],"1,3",Таблица14[р/р],"4/24",Таблица14[Ф. И. О.],B550)</f>
        <v>0</v>
      </c>
      <c r="Y552" s="748"/>
      <c r="Z552" s="750"/>
      <c r="AA552" s="740"/>
    </row>
    <row r="553" spans="1:27" ht="18.75">
      <c r="A553" s="740"/>
      <c r="B553" s="201"/>
      <c r="C553" s="743"/>
      <c r="D553" s="746"/>
      <c r="E553" s="366"/>
      <c r="F553" s="367"/>
      <c r="G553" s="377"/>
      <c r="H553" s="369"/>
      <c r="I553" s="409"/>
      <c r="J553" s="410"/>
      <c r="K553" s="411"/>
      <c r="L553" s="411"/>
      <c r="M553" s="411"/>
      <c r="N553" s="411"/>
      <c r="O553" s="411"/>
      <c r="P553" s="383"/>
      <c r="Q553" s="366">
        <f>IF(D545&lt;=3,база!$L$4,
IF(D545=4,база!$L$5,
IF(D545=5,база!$L$6)))</f>
        <v>210.57480000000001</v>
      </c>
      <c r="R553" s="367">
        <v>1.4</v>
      </c>
      <c r="S553" s="377">
        <f>SUMIFS(Таблица14[часы],Таблица14[коэф],"1,4",Таблица14[р/р],"3/16",Таблица14[Ф. И. О.],B550)</f>
        <v>0</v>
      </c>
      <c r="T553" s="369">
        <f>SUMIFS(Таблица14[Столбец2],Таблица14[коэф],"1,4",Таблица14[р/р],"3/16",Таблица14[Ф. И. О.],B550)</f>
        <v>0</v>
      </c>
      <c r="U553" s="455">
        <f>IF(D545&lt;=3,база!$M$4,
IF(D545=4,база!$M$5,
IF(D545=5,база!$M$6)))</f>
        <v>225.09719999999999</v>
      </c>
      <c r="V553" s="367">
        <v>1.4</v>
      </c>
      <c r="W553" s="389">
        <f>SUMIFS(Таблица14[часы],Таблица14[коэф],"1,4",Таблица14[р/р],"3/24",Таблица14[Ф. И. О.],B550)</f>
        <v>0</v>
      </c>
      <c r="X553" s="521">
        <f>SUMIFS(Таблица14[Столбец2],Таблица14[коэф],"1,4",Таблица14[р/р],"3/24",Таблица14[Ф. И. О.],B550)</f>
        <v>0</v>
      </c>
      <c r="Y553" s="748"/>
      <c r="Z553" s="750"/>
      <c r="AA553" s="740"/>
    </row>
    <row r="554" spans="1:27" ht="18.75">
      <c r="A554" s="740"/>
      <c r="B554" s="201"/>
      <c r="C554" s="743"/>
      <c r="D554" s="746"/>
      <c r="E554" s="366"/>
      <c r="F554" s="367"/>
      <c r="G554" s="377"/>
      <c r="H554" s="369"/>
      <c r="I554" s="409"/>
      <c r="J554" s="410"/>
      <c r="K554" s="411"/>
      <c r="L554" s="411"/>
      <c r="M554" s="411"/>
      <c r="N554" s="411"/>
      <c r="O554" s="411"/>
      <c r="P554" s="383"/>
      <c r="Q554" s="366">
        <f>база!$L$5</f>
        <v>231.45480000000001</v>
      </c>
      <c r="R554" s="367">
        <v>1.4</v>
      </c>
      <c r="S554" s="377">
        <f>SUMIFS(Таблица14[часы],Таблица14[коэф],"1,4",Таблица14[р/р],"4/16",Таблица14[Ф. И. О.],B550)</f>
        <v>0</v>
      </c>
      <c r="T554" s="369">
        <f>SUMIFS(Таблица14[Столбец2],Таблица14[коэф],"1,4",Таблица14[р/р],"4/16",Таблица14[Ф. И. О.],B550)</f>
        <v>0</v>
      </c>
      <c r="U554" s="455">
        <f>база!$M$5</f>
        <v>247.41720000000001</v>
      </c>
      <c r="V554" s="367">
        <v>1.4</v>
      </c>
      <c r="W554" s="389">
        <f>SUMIFS(Таблица14[часы],Таблица14[коэф],"1,4",Таблица14[р/р],"4/24",Таблица14[Ф. И. О.],B550)</f>
        <v>0</v>
      </c>
      <c r="X554" s="521">
        <f>SUMIFS(Таблица14[Столбец2],Таблица14[коэф],"1,4",Таблица14[р/р],"4/24",Таблица14[Ф. И. О.],B550)</f>
        <v>0</v>
      </c>
      <c r="Y554" s="748"/>
      <c r="Z554" s="750"/>
      <c r="AA554" s="740"/>
    </row>
    <row r="555" spans="1:27" ht="19.5" thickBot="1">
      <c r="A555" s="741"/>
      <c r="B555" s="329"/>
      <c r="C555" s="744"/>
      <c r="D555" s="747"/>
      <c r="E555" s="450"/>
      <c r="F555" s="441"/>
      <c r="G555" s="628"/>
      <c r="H555" s="445"/>
      <c r="I555" s="622"/>
      <c r="J555" s="433"/>
      <c r="K555" s="623"/>
      <c r="L555" s="434"/>
      <c r="M555" s="622"/>
      <c r="N555" s="623"/>
      <c r="O555" s="623"/>
      <c r="P555" s="453"/>
      <c r="Q555" s="629">
        <f>база!$L$6</f>
        <v>261.04640000000001</v>
      </c>
      <c r="R555" s="441">
        <v>1.4</v>
      </c>
      <c r="S555" s="442">
        <f>SUMIFS(Таблица14[часы],Таблица14[коэф],"1,4",Таблица14[р/р],"5/16",Таблица14[Ф. И. О.],B550)</f>
        <v>0</v>
      </c>
      <c r="T555" s="445">
        <f>SUMIFS(Таблица14[Столбец2],Таблица14[коэф],"1,4",Таблица14[р/р],"5/16",Таблица14[Ф. И. О.],B550)</f>
        <v>0</v>
      </c>
      <c r="U555" s="440">
        <f>база!$M$6</f>
        <v>279.0496</v>
      </c>
      <c r="V555" s="441">
        <v>1.4</v>
      </c>
      <c r="W555" s="442">
        <f>SUMIFS(Таблица14[часы],Таблица14[коэф],"1,4",Таблица14[р/р],"5/24",Таблица14[Ф. И. О.],B550)</f>
        <v>0</v>
      </c>
      <c r="X555" s="445">
        <f>SUMIFS(Таблица14[Столбец2],Таблица14[коэф],"1,4",Таблица14[р/р],"5/24",Таблица14[Ф. И. О.],B550)</f>
        <v>0</v>
      </c>
      <c r="Y555" s="749"/>
      <c r="Z555" s="751"/>
      <c r="AA555" s="741"/>
    </row>
    <row r="556" spans="1:27" ht="18.75">
      <c r="A556" s="740">
        <v>51</v>
      </c>
      <c r="B556" s="201"/>
      <c r="C556" s="742">
        <f>INDEX(база!$E$2:$E$98, MATCH(B561,база!$B$2:$B$100,0))</f>
        <v>15239</v>
      </c>
      <c r="D556" s="745">
        <f>INDEX(база!$D$2:$D$121, MATCH(B561,база!$B$2:$B$100,0))</f>
        <v>3</v>
      </c>
      <c r="E556" s="458">
        <f>IF(D556&lt;=3,база!$I$4,
IF(D556=4,база!$I$5,
IF(D556=5,база!$I$6)))</f>
        <v>188.7912</v>
      </c>
      <c r="F556" s="394">
        <v>1</v>
      </c>
      <c r="G556" s="395">
        <f>SUMIFS(Таблица14[часы],Таблица14[коэф],"1",Таблица14[р/р],"2/4",Таблица14[Ф. И. О.],B561)</f>
        <v>0</v>
      </c>
      <c r="H556" s="379">
        <f>SUMIFS(Таблица14[Столбец2],Таблица14[коэф],"1",Таблица14[р/р],"2/4",Таблица14[Ф. И. О.],B561)</f>
        <v>0</v>
      </c>
      <c r="I556" s="429">
        <f>IF(D556&lt;=3,база!$J$4,
IF(D556=4,база!$J$5,
IF(D556=5,база!$J$6)))</f>
        <v>196.05240000000001</v>
      </c>
      <c r="J556" s="452">
        <v>1</v>
      </c>
      <c r="K556" s="430">
        <f>SUMIFS(Таблица14[часы],Таблица14[коэф],"1",Таблица14[р/р],"2/8",Таблица14[Ф. И. О.],B561)</f>
        <v>0</v>
      </c>
      <c r="L556" s="430">
        <f>SUMIFS(Таблица14[Столбец2],Таблица14[коэф],"1",Таблица14[р/р],"2/8",Таблица14[Ф. И. О.],B561)</f>
        <v>0</v>
      </c>
      <c r="M556" s="430"/>
      <c r="N556" s="430">
        <v>1</v>
      </c>
      <c r="O556" s="430">
        <f>SUMIFS(Data_Tech!$AM$3:$AM$67,Data_Tech!$E$3:$E$67,"1",Data_Tech!$G$3:$G$67,"3/12",Data_Tech!$F$3:$F$67,B561)</f>
        <v>0</v>
      </c>
      <c r="P556" s="375">
        <f>ROUND(M556*N556*O556,2)</f>
        <v>0</v>
      </c>
      <c r="Q556" s="458">
        <f>IF(D556&lt;=3,база!$L$4,
IF(D556=4,база!$L$5,
IF(D556=5,база!$L$6)))</f>
        <v>210.57480000000001</v>
      </c>
      <c r="R556" s="394">
        <v>1</v>
      </c>
      <c r="S556" s="395">
        <f>SUMIFS(Таблица14[часы],Таблица14[коэф],"1",Таблица14[р/р],"3/16",Таблица14[Ф. И. О.],B561)</f>
        <v>0</v>
      </c>
      <c r="T556" s="379">
        <f>SUMIFS(Таблица14[Столбец2],Таблица14[коэф],"1",Таблица14[р/р],"3/16",Таблица14[Ф. И. О.],B561)</f>
        <v>0</v>
      </c>
      <c r="U556" s="460">
        <f>IF(D556&lt;=3,база!$M$4,
IF(D556=4,база!$M$5,
IF(D556=5,база!$M$6)))</f>
        <v>225.09719999999999</v>
      </c>
      <c r="V556" s="394">
        <v>1</v>
      </c>
      <c r="W556" s="432">
        <f>SUMIFS(Таблица14[часы],Таблица14[коэф],"1",Таблица14[р/р],"3/24",Таблица14[Ф. И. О.],B561)</f>
        <v>0</v>
      </c>
      <c r="X556" s="528">
        <f>SUMIFS(Таблица14[Столбец2],Таблица14[коэф],"1",Таблица14[р/р],"3/24",Таблица14[Ф. И. О.],B561)</f>
        <v>0</v>
      </c>
      <c r="Y556" s="748">
        <f t="shared" ref="Y556" si="240">SUM(G556:G566,K556:K566,O556:O566,S556:S566,W556:W566)</f>
        <v>0</v>
      </c>
      <c r="Z556" s="750">
        <f t="shared" ref="Z556" si="241">IFERROR(SUM(H556:H566,L556:L566,T556:T566,X556:X566),"")</f>
        <v>0</v>
      </c>
      <c r="AA556" s="740"/>
    </row>
    <row r="557" spans="1:27" ht="18.75">
      <c r="A557" s="740"/>
      <c r="B557" s="201"/>
      <c r="C557" s="743"/>
      <c r="D557" s="746"/>
      <c r="E557" s="366">
        <f>IF(D556&lt;=3,база!$I$4,
IF(D556=4,база!$I$5,
IF(D556=5,база!$I$6)))</f>
        <v>188.7912</v>
      </c>
      <c r="F557" s="367">
        <v>1</v>
      </c>
      <c r="G557" s="377">
        <f>SUMIFS(Таблица14[часы],Таблица14[коэф],"1",Таблица14[р/р],"3/4",Таблица14[Ф. И. О.],B561)</f>
        <v>0</v>
      </c>
      <c r="H557" s="369">
        <f>SUMIFS(Таблица14[Столбец2],Таблица14[коэф],"1",Таблица14[р/р],"3/4",Таблица14[Ф. И. О.],B561)</f>
        <v>0</v>
      </c>
      <c r="I557" s="409">
        <f>IF(D556&lt;=3,база!$J$4,
IF(D556=4,база!$J$5,
IF(D556=5,база!$J$6)))</f>
        <v>196.05240000000001</v>
      </c>
      <c r="J557" s="410">
        <v>1</v>
      </c>
      <c r="K557" s="411">
        <f>SUMIFS(Таблица14[часы],Таблица14[коэф],"1",Таблица14[р/р],"3/8",Таблица14[Ф. И. О.],B561)</f>
        <v>0</v>
      </c>
      <c r="L557" s="411">
        <f>SUMIFS(Таблица14[Столбец2],Таблица14[коэф],"1",Таблица14[р/р],"3/8",Таблица14[Ф. И. О.],B561)</f>
        <v>0</v>
      </c>
      <c r="M557" s="411"/>
      <c r="N557" s="411">
        <v>1</v>
      </c>
      <c r="O557" s="411">
        <f>SUMIFS(Data_Tech!$AM$3:$AM$67,Data_Tech!$E$3:$E$67,"1",Data_Tech!$G$3:$G$67,"4/12",Data_Tech!$F$3:$F$67,B561)</f>
        <v>0</v>
      </c>
      <c r="P557" s="383">
        <f>ROUND(M557*O557,2)</f>
        <v>0</v>
      </c>
      <c r="Q557" s="366">
        <f>база!$L$5</f>
        <v>231.45480000000001</v>
      </c>
      <c r="R557" s="367">
        <v>1</v>
      </c>
      <c r="S557" s="377">
        <f>SUMIFS(Таблица14[часы],Таблица14[коэф],"1",Таблица14[р/р],"4/16",Таблица14[Ф. И. О.],B561)</f>
        <v>0</v>
      </c>
      <c r="T557" s="369">
        <f>SUMIFS(Таблица14[Столбец2],Таблица14[коэф],"1",Таблица14[р/р],"4/16",Таблица14[Ф. И. О.],B561)</f>
        <v>0</v>
      </c>
      <c r="U557" s="455">
        <f>база!$M$5</f>
        <v>247.41720000000001</v>
      </c>
      <c r="V557" s="367">
        <v>1</v>
      </c>
      <c r="W557" s="389">
        <f>SUMIFS(Таблица14[часы],Таблица14[коэф],"1",Таблица14[р/р],"4/24",Таблица14[Ф. И. О.],B561)</f>
        <v>0</v>
      </c>
      <c r="X557" s="521">
        <f>SUMIFS(Таблица14[Столбец2],Таблица14[коэф],"1",Таблица14[р/р],"4/24",Таблица14[Ф. И. О.],B561)</f>
        <v>0</v>
      </c>
      <c r="Y557" s="748"/>
      <c r="Z557" s="750"/>
      <c r="AA557" s="740"/>
    </row>
    <row r="558" spans="1:27" ht="18.75">
      <c r="A558" s="740"/>
      <c r="B558" s="201"/>
      <c r="C558" s="743"/>
      <c r="D558" s="746"/>
      <c r="E558" s="366"/>
      <c r="F558" s="367"/>
      <c r="G558" s="377"/>
      <c r="H558" s="369"/>
      <c r="I558" s="409"/>
      <c r="J558" s="410"/>
      <c r="K558" s="411"/>
      <c r="L558" s="411"/>
      <c r="M558" s="411"/>
      <c r="N558" s="411"/>
      <c r="O558" s="411"/>
      <c r="P558" s="383"/>
      <c r="Q558" s="366">
        <f>база!$L$6</f>
        <v>261.04640000000001</v>
      </c>
      <c r="R558" s="367">
        <v>1</v>
      </c>
      <c r="S558" s="377">
        <f>SUMIFS(Таблица14[часы],Таблица14[коэф],"1",Таблица14[р/р],"5/16",Таблица14[Ф. И. О.],B561)</f>
        <v>0</v>
      </c>
      <c r="T558" s="369">
        <f>SUMIFS(Таблица14[Столбец2],Таблица14[коэф],"1",Таблица14[р/р],"5/16",Таблица14[Ф. И. О.],B561)</f>
        <v>0</v>
      </c>
      <c r="U558" s="455">
        <f>база!$M$6</f>
        <v>279.0496</v>
      </c>
      <c r="V558" s="367">
        <v>1</v>
      </c>
      <c r="W558" s="389">
        <f>SUMIFS(Таблица14[часы],Таблица14[коэф],"1",Таблица14[р/р],"5/24",Таблица14[Ф. И. О.],B561)</f>
        <v>0</v>
      </c>
      <c r="X558" s="521">
        <f>SUMIFS(Таблица14[Столбец2],Таблица14[коэф],"1",Таблица14[р/р],"5/24",Таблица14[Ф. И. О.],B561)</f>
        <v>0</v>
      </c>
      <c r="Y558" s="748"/>
      <c r="Z558" s="750"/>
      <c r="AA558" s="740"/>
    </row>
    <row r="559" spans="1:27" ht="18.75">
      <c r="A559" s="740"/>
      <c r="B559" s="201"/>
      <c r="C559" s="743"/>
      <c r="D559" s="746"/>
      <c r="E559" s="366"/>
      <c r="F559" s="367"/>
      <c r="G559" s="377"/>
      <c r="H559" s="369"/>
      <c r="I559" s="409">
        <f>база!$J$5</f>
        <v>215.4924</v>
      </c>
      <c r="J559" s="410">
        <v>1.5</v>
      </c>
      <c r="K559" s="411">
        <f>SUMIFS(Таблица14[часы],Таблица14[коэф],"1,5",Таблица14[р/р],"4/8",Таблица14[Ф. И. О.],B561)</f>
        <v>0</v>
      </c>
      <c r="L559" s="411">
        <f>SUMIFS(Таблица14[Столбец2],Таблица14[коэф],"1,5",Таблица14[р/р],"4/8",Таблица14[Ф. И. О.],B561)</f>
        <v>0</v>
      </c>
      <c r="M559" s="411"/>
      <c r="N559" s="411"/>
      <c r="O559" s="411"/>
      <c r="P559" s="383"/>
      <c r="Q559" s="366">
        <f>IF(D556&lt;=3,база!$L$4,
IF(D556=4,база!$L$5,
IF(D556=5,база!$L$6)))</f>
        <v>210.57480000000001</v>
      </c>
      <c r="R559" s="367">
        <v>1.2</v>
      </c>
      <c r="S559" s="377">
        <f>SUMIFS(Таблица14[часы],Таблица14[коэф],"1,2",Таблица14[р/р],"3/16",Таблица14[Ф. И. О.],B561)</f>
        <v>0</v>
      </c>
      <c r="T559" s="369">
        <f>SUMIFS(Таблица14[Столбец2],Таблица14[коэф],"1,2",Таблица14[р/р],"3/16",Таблица14[Ф. И. О.],B561)</f>
        <v>0</v>
      </c>
      <c r="U559" s="455">
        <f>IF(D556&lt;=3,база!$M$4,
IF(D556=4,база!$M$5,
IF(D556=5,база!$M$6)))</f>
        <v>225.09719999999999</v>
      </c>
      <c r="V559" s="367">
        <v>1.2</v>
      </c>
      <c r="W559" s="389">
        <f>SUMIFS(Таблица14[часы],Таблица14[коэф],"1,2",Таблица14[р/р],"3/24",Таблица14[Ф. И. О.],B561)</f>
        <v>0</v>
      </c>
      <c r="X559" s="521">
        <f>SUMIFS(Таблица14[Столбец2],Таблица14[коэф],"1,2",Таблица14[р/р],"3/24",Таблица14[Ф. И. О.],B561)</f>
        <v>0</v>
      </c>
      <c r="Y559" s="748"/>
      <c r="Z559" s="750"/>
      <c r="AA559" s="740"/>
    </row>
    <row r="560" spans="1:27" ht="18.75">
      <c r="A560" s="740"/>
      <c r="B560" s="201"/>
      <c r="C560" s="743"/>
      <c r="D560" s="746"/>
      <c r="E560" s="366"/>
      <c r="F560" s="367"/>
      <c r="G560" s="377"/>
      <c r="H560" s="369"/>
      <c r="I560" s="409">
        <f>база!$J$6</f>
        <v>243.04319999999998</v>
      </c>
      <c r="J560" s="410">
        <v>1.5</v>
      </c>
      <c r="K560" s="411">
        <f>SUMIFS(Таблица14[часы],Таблица14[коэф],"1,5",Таблица14[р/р],"5/8",Таблица14[Ф. И. О.],B561)</f>
        <v>0</v>
      </c>
      <c r="L560" s="411">
        <f>SUMIFS(Таблица14[Столбец2],Таблица14[коэф],"1,5",Таблица14[р/р],"5/8",Таблица14[Ф. И. О.],B561)</f>
        <v>0</v>
      </c>
      <c r="M560" s="411"/>
      <c r="N560" s="411"/>
      <c r="O560" s="411"/>
      <c r="P560" s="383"/>
      <c r="Q560" s="366">
        <f>база!$L$5</f>
        <v>231.45480000000001</v>
      </c>
      <c r="R560" s="367">
        <v>1.2</v>
      </c>
      <c r="S560" s="377">
        <f>SUMIFS(Таблица14[часы],Таблица14[коэф],"1,2",Таблица14[р/р],"4/16",Таблица14[Ф. И. О.],B561)</f>
        <v>0</v>
      </c>
      <c r="T560" s="369">
        <f>SUMIFS(Таблица14[Столбец2],Таблица14[коэф],"1,2",Таблица14[р/р],"4/16",Таблица14[Ф. И. О.],B561)</f>
        <v>0</v>
      </c>
      <c r="U560" s="455">
        <f>база!$M$5</f>
        <v>247.41720000000001</v>
      </c>
      <c r="V560" s="367">
        <v>1.2</v>
      </c>
      <c r="W560" s="389">
        <f>SUMIFS(Таблица14[часы],Таблица14[коэф],"1,2",Таблица14[р/р],"4/24",Таблица14[Ф. И. О.],B561)</f>
        <v>0</v>
      </c>
      <c r="X560" s="521">
        <f>SUMIFS(Таблица14[Столбец2],Таблица14[коэф],"1,2",Таблица14[р/р],"4/24",Таблица14[Ф. И. О.],B561)</f>
        <v>0</v>
      </c>
      <c r="Y560" s="748"/>
      <c r="Z560" s="750"/>
      <c r="AA560" s="740"/>
    </row>
    <row r="561" spans="1:27" ht="18.75">
      <c r="A561" s="740"/>
      <c r="B561" s="201" t="str">
        <f>база!B52</f>
        <v>Михно Татьяна Николаевна</v>
      </c>
      <c r="C561" s="743"/>
      <c r="D561" s="746"/>
      <c r="E561" s="366"/>
      <c r="F561" s="367"/>
      <c r="G561" s="377"/>
      <c r="H561" s="369"/>
      <c r="I561" s="409"/>
      <c r="J561" s="410"/>
      <c r="K561" s="411"/>
      <c r="L561" s="411"/>
      <c r="M561" s="411"/>
      <c r="N561" s="411"/>
      <c r="O561" s="411"/>
      <c r="P561" s="383"/>
      <c r="Q561" s="366">
        <f>база!$L$6</f>
        <v>261.04640000000001</v>
      </c>
      <c r="R561" s="367">
        <v>1.2</v>
      </c>
      <c r="S561" s="377">
        <f>SUMIFS(Таблица14[часы],Таблица14[коэф],"1,2",Таблица14[р/р],"5/16",Таблица14[Ф. И. О.],B561)</f>
        <v>0</v>
      </c>
      <c r="T561" s="369">
        <f>SUMIFS(Таблица14[Столбец2],Таблица14[коэф],"1,2",Таблица14[р/р],"5/16",Таблица14[Ф. И. О.],B561)</f>
        <v>0</v>
      </c>
      <c r="U561" s="455">
        <f>база!$M$6</f>
        <v>279.0496</v>
      </c>
      <c r="V561" s="367">
        <v>1.2</v>
      </c>
      <c r="W561" s="389">
        <f>SUMIFS(Таблица14[часы],Таблица14[коэф],"1,2",Таблица14[р/р],"5/24",Таблица14[Ф. И. О.],B561)</f>
        <v>0</v>
      </c>
      <c r="X561" s="521">
        <f>SUMIFS(Таблица14[Столбец2],Таблица14[коэф],"1,2",Таблица14[р/р],"5/24",Таблица14[Ф. И. О.],B561)</f>
        <v>0</v>
      </c>
      <c r="Y561" s="748"/>
      <c r="Z561" s="750"/>
      <c r="AA561" s="740"/>
    </row>
    <row r="562" spans="1:27" ht="18.75">
      <c r="A562" s="740"/>
      <c r="B562" s="201"/>
      <c r="C562" s="743"/>
      <c r="D562" s="746"/>
      <c r="E562" s="366"/>
      <c r="F562" s="367"/>
      <c r="G562" s="377"/>
      <c r="H562" s="369"/>
      <c r="I562" s="409"/>
      <c r="J562" s="410"/>
      <c r="K562" s="411"/>
      <c r="L562" s="411"/>
      <c r="M562" s="411"/>
      <c r="N562" s="411"/>
      <c r="O562" s="411"/>
      <c r="P562" s="383"/>
      <c r="Q562" s="366">
        <f>IF($D$6&lt;=3,база!$L$4,
IF($D$6=4,база!$L$5,
IF($D$6=5,база!$L$6)))</f>
        <v>231.45480000000001</v>
      </c>
      <c r="R562" s="367">
        <v>1.3</v>
      </c>
      <c r="S562" s="377">
        <f>SUMIFS(Таблица14[часы],Таблица14[коэф],"1,3",Таблица14[р/р],"3/16",Таблица14[Ф. И. О.],B561)</f>
        <v>0</v>
      </c>
      <c r="T562" s="369">
        <f>SUMIFS(Таблица14[Столбец2],Таблица14[коэф],"1,3",Таблица14[р/р],"3/16",Таблица14[Ф. И. О.],B561)</f>
        <v>0</v>
      </c>
      <c r="U562" s="455">
        <f>IF(D556&lt;=3,база!$M$4,
IF(D556=4,база!$M$5,
IF(D556=5,база!$M$6)))</f>
        <v>225.09719999999999</v>
      </c>
      <c r="V562" s="367">
        <v>1.3</v>
      </c>
      <c r="W562" s="389">
        <f>SUMIFS(Таблица14[часы],Таблица14[коэф],"1,3",Таблица14[р/р],"3/24",Таблица14[Ф. И. О.],B561)</f>
        <v>0</v>
      </c>
      <c r="X562" s="521">
        <f>SUMIFS(Таблица14[Столбец2],Таблица14[коэф],"1,3",Таблица14[р/р],"3/24",Таблица14[Ф. И. О.],B561)</f>
        <v>0</v>
      </c>
      <c r="Y562" s="748"/>
      <c r="Z562" s="750"/>
      <c r="AA562" s="740"/>
    </row>
    <row r="563" spans="1:27" ht="18.75">
      <c r="A563" s="740"/>
      <c r="B563" s="201"/>
      <c r="C563" s="743"/>
      <c r="D563" s="746"/>
      <c r="E563" s="366"/>
      <c r="F563" s="367"/>
      <c r="G563" s="377"/>
      <c r="H563" s="369"/>
      <c r="I563" s="409"/>
      <c r="J563" s="410"/>
      <c r="K563" s="411"/>
      <c r="L563" s="411"/>
      <c r="M563" s="411"/>
      <c r="N563" s="411"/>
      <c r="O563" s="411"/>
      <c r="P563" s="383"/>
      <c r="Q563" s="366">
        <f>база!$L$5</f>
        <v>231.45480000000001</v>
      </c>
      <c r="R563" s="367">
        <v>1.3</v>
      </c>
      <c r="S563" s="377">
        <f>SUMIFS(Таблица14[часы],Таблица14[коэф],"1,3",Таблица14[р/р],"4/16",Таблица14[Ф. И. О.],B561)</f>
        <v>0</v>
      </c>
      <c r="T563" s="369">
        <f>SUMIFS(Таблица14[Столбец2],Таблица14[коэф],"1,3",Таблица14[р/р],"4/16",Таблица14[Ф. И. О.],B561)</f>
        <v>0</v>
      </c>
      <c r="U563" s="455">
        <f>база!$M$5</f>
        <v>247.41720000000001</v>
      </c>
      <c r="V563" s="367">
        <v>1.3</v>
      </c>
      <c r="W563" s="389">
        <f>SUMIFS(Таблица14[часы],Таблица14[коэф],"1,3",Таблица14[р/р],"4/24",Таблица14[Ф. И. О.],B561)</f>
        <v>0</v>
      </c>
      <c r="X563" s="521">
        <f>SUMIFS(Таблица14[Столбец2],Таблица14[коэф],"1,3",Таблица14[р/р],"4/24",Таблица14[Ф. И. О.],B561)</f>
        <v>0</v>
      </c>
      <c r="Y563" s="748"/>
      <c r="Z563" s="750"/>
      <c r="AA563" s="740"/>
    </row>
    <row r="564" spans="1:27" ht="18.75">
      <c r="A564" s="740"/>
      <c r="B564" s="201"/>
      <c r="C564" s="743"/>
      <c r="D564" s="746"/>
      <c r="E564" s="366"/>
      <c r="F564" s="367"/>
      <c r="G564" s="377"/>
      <c r="H564" s="369"/>
      <c r="I564" s="409"/>
      <c r="J564" s="410"/>
      <c r="K564" s="411"/>
      <c r="L564" s="411"/>
      <c r="M564" s="411"/>
      <c r="N564" s="411"/>
      <c r="O564" s="411"/>
      <c r="P564" s="383"/>
      <c r="Q564" s="366">
        <f>IF(D556&lt;=3,база!$L$4,
IF(D556=4,база!$L$5,
IF(D556=5,база!$L$6)))</f>
        <v>210.57480000000001</v>
      </c>
      <c r="R564" s="367">
        <v>1.4</v>
      </c>
      <c r="S564" s="377">
        <f>SUMIFS(Таблица14[часы],Таблица14[коэф],"1,4",Таблица14[р/р],"3/16",Таблица14[Ф. И. О.],B561)</f>
        <v>0</v>
      </c>
      <c r="T564" s="369">
        <f>SUMIFS(Таблица14[Столбец2],Таблица14[коэф],"1,4",Таблица14[р/р],"3/16",Таблица14[Ф. И. О.],B561)</f>
        <v>0</v>
      </c>
      <c r="U564" s="455">
        <f>IF(D556&lt;=3,база!$M$4,
IF(D556=4,база!$M$5,
IF(D556=5,база!$M$6)))</f>
        <v>225.09719999999999</v>
      </c>
      <c r="V564" s="367">
        <v>1.4</v>
      </c>
      <c r="W564" s="389">
        <f>SUMIFS(Таблица14[часы],Таблица14[коэф],"1,4",Таблица14[р/р],"3/24",Таблица14[Ф. И. О.],B561)</f>
        <v>0</v>
      </c>
      <c r="X564" s="521">
        <f>SUMIFS(Таблица14[Столбец2],Таблица14[коэф],"1,4",Таблица14[р/р],"3/24",Таблица14[Ф. И. О.],B561)</f>
        <v>0</v>
      </c>
      <c r="Y564" s="748"/>
      <c r="Z564" s="750"/>
      <c r="AA564" s="740"/>
    </row>
    <row r="565" spans="1:27" ht="18.75">
      <c r="A565" s="740"/>
      <c r="B565" s="201"/>
      <c r="C565" s="743"/>
      <c r="D565" s="746"/>
      <c r="E565" s="366"/>
      <c r="F565" s="367"/>
      <c r="G565" s="377"/>
      <c r="H565" s="369"/>
      <c r="I565" s="409"/>
      <c r="J565" s="410"/>
      <c r="K565" s="411"/>
      <c r="L565" s="411"/>
      <c r="M565" s="411"/>
      <c r="N565" s="411"/>
      <c r="O565" s="411"/>
      <c r="P565" s="383"/>
      <c r="Q565" s="366">
        <f>база!$L$5</f>
        <v>231.45480000000001</v>
      </c>
      <c r="R565" s="367">
        <v>1.4</v>
      </c>
      <c r="S565" s="377">
        <f>SUMIFS(Таблица14[часы],Таблица14[коэф],"1,4",Таблица14[р/р],"4/16",Таблица14[Ф. И. О.],B561)</f>
        <v>0</v>
      </c>
      <c r="T565" s="369">
        <f>SUMIFS(Таблица14[Столбец2],Таблица14[коэф],"1,4",Таблица14[р/р],"4/16",Таблица14[Ф. И. О.],B561)</f>
        <v>0</v>
      </c>
      <c r="U565" s="455">
        <f>база!$M$5</f>
        <v>247.41720000000001</v>
      </c>
      <c r="V565" s="367">
        <v>1.4</v>
      </c>
      <c r="W565" s="389">
        <f>SUMIFS(Таблица14[часы],Таблица14[коэф],"1,4",Таблица14[р/р],"4/24",Таблица14[Ф. И. О.],B561)</f>
        <v>0</v>
      </c>
      <c r="X565" s="521">
        <f>SUMIFS(Таблица14[Столбец2],Таблица14[коэф],"1,4",Таблица14[р/р],"4/24",Таблица14[Ф. И. О.],B561)</f>
        <v>0</v>
      </c>
      <c r="Y565" s="748"/>
      <c r="Z565" s="750"/>
      <c r="AA565" s="740"/>
    </row>
    <row r="566" spans="1:27" ht="19.5" thickBot="1">
      <c r="A566" s="741"/>
      <c r="B566" s="329"/>
      <c r="C566" s="744"/>
      <c r="D566" s="747"/>
      <c r="E566" s="450"/>
      <c r="F566" s="441"/>
      <c r="G566" s="628"/>
      <c r="H566" s="445"/>
      <c r="I566" s="622"/>
      <c r="J566" s="433"/>
      <c r="K566" s="623"/>
      <c r="L566" s="434"/>
      <c r="M566" s="622"/>
      <c r="N566" s="623"/>
      <c r="O566" s="623"/>
      <c r="P566" s="453"/>
      <c r="Q566" s="629">
        <f>база!$L$6</f>
        <v>261.04640000000001</v>
      </c>
      <c r="R566" s="441">
        <v>1.4</v>
      </c>
      <c r="S566" s="442">
        <f>SUMIFS(Таблица14[часы],Таблица14[коэф],"1,4",Таблица14[р/р],"5/16",Таблица14[Ф. И. О.],B561)</f>
        <v>0</v>
      </c>
      <c r="T566" s="445">
        <f>SUMIFS(Таблица14[Столбец2],Таблица14[коэф],"1,4",Таблица14[р/р],"5/16",Таблица14[Ф. И. О.],B561)</f>
        <v>0</v>
      </c>
      <c r="U566" s="440">
        <f>база!$M$6</f>
        <v>279.0496</v>
      </c>
      <c r="V566" s="441">
        <v>1.4</v>
      </c>
      <c r="W566" s="442">
        <f>SUMIFS(Таблица14[часы],Таблица14[коэф],"1,4",Таблица14[р/р],"5/24",Таблица14[Ф. И. О.],B561)</f>
        <v>0</v>
      </c>
      <c r="X566" s="445">
        <f>SUMIFS(Таблица14[Столбец2],Таблица14[коэф],"1,4",Таблица14[р/р],"5/24",Таблица14[Ф. И. О.],B561)</f>
        <v>0</v>
      </c>
      <c r="Y566" s="749"/>
      <c r="Z566" s="751"/>
      <c r="AA566" s="741"/>
    </row>
    <row r="567" spans="1:27" ht="18.75">
      <c r="A567" s="740">
        <v>52</v>
      </c>
      <c r="B567" s="201"/>
      <c r="C567" s="742">
        <f>INDEX(база!$E$2:$E$98, MATCH(B572,база!$B$2:$B$100,0))</f>
        <v>15041</v>
      </c>
      <c r="D567" s="745">
        <f>INDEX(база!$D$2:$D$121, MATCH(B572,база!$B$2:$B$100,0))</f>
        <v>3</v>
      </c>
      <c r="E567" s="458">
        <f>IF(D567&lt;=3,база!$I$4,
IF(D567=4,база!$I$5,
IF(D567=5,база!$I$6)))</f>
        <v>188.7912</v>
      </c>
      <c r="F567" s="394">
        <v>1</v>
      </c>
      <c r="G567" s="395">
        <f>SUMIFS(Таблица14[часы],Таблица14[коэф],"1",Таблица14[р/р],"2/4",Таблица14[Ф. И. О.],B572)</f>
        <v>0</v>
      </c>
      <c r="H567" s="379">
        <f>SUMIFS(Таблица14[Столбец2],Таблица14[коэф],"1",Таблица14[р/р],"2/4",Таблица14[Ф. И. О.],B572)</f>
        <v>0</v>
      </c>
      <c r="I567" s="429">
        <f>IF(D567&lt;=3,база!$J$4,
IF(D567=4,база!$J$5,
IF(D567=5,база!$J$6)))</f>
        <v>196.05240000000001</v>
      </c>
      <c r="J567" s="452">
        <v>1</v>
      </c>
      <c r="K567" s="430">
        <f>SUMIFS(Таблица14[часы],Таблица14[коэф],"1",Таблица14[р/р],"2/8",Таблица14[Ф. И. О.],B572)</f>
        <v>0</v>
      </c>
      <c r="L567" s="430">
        <f>SUMIFS(Таблица14[Столбец2],Таблица14[коэф],"1",Таблица14[р/р],"2/8",Таблица14[Ф. И. О.],B572)</f>
        <v>0</v>
      </c>
      <c r="M567" s="430"/>
      <c r="N567" s="430">
        <v>1</v>
      </c>
      <c r="O567" s="430">
        <f>SUMIFS(Data_Tech!$AM$3:$AM$67,Data_Tech!$E$3:$E$67,"1",Data_Tech!$G$3:$G$67,"3/12",Data_Tech!$F$3:$F$67,B572)</f>
        <v>0</v>
      </c>
      <c r="P567" s="375">
        <f>ROUND(M567*N567*O567,2)</f>
        <v>0</v>
      </c>
      <c r="Q567" s="458">
        <f>IF(D567&lt;=3,база!$L$4,
IF(D567=4,база!$L$5,
IF(D567=5,база!$L$6)))</f>
        <v>210.57480000000001</v>
      </c>
      <c r="R567" s="394">
        <v>1</v>
      </c>
      <c r="S567" s="395">
        <f>SUMIFS(Таблица14[часы],Таблица14[коэф],"1",Таблица14[р/р],"3/16",Таблица14[Ф. И. О.],B572)</f>
        <v>0</v>
      </c>
      <c r="T567" s="379">
        <f>SUMIFS(Таблица14[Столбец2],Таблица14[коэф],"1",Таблица14[р/р],"3/16",Таблица14[Ф. И. О.],B572)</f>
        <v>0</v>
      </c>
      <c r="U567" s="460">
        <f>IF(D567&lt;=3,база!$M$4,
IF(D567=4,база!$M$5,
IF(D567=5,база!$M$6)))</f>
        <v>225.09719999999999</v>
      </c>
      <c r="V567" s="394">
        <v>1</v>
      </c>
      <c r="W567" s="432">
        <f>SUMIFS(Таблица14[часы],Таблица14[коэф],"1",Таблица14[р/р],"3/24",Таблица14[Ф. И. О.],B572)</f>
        <v>0</v>
      </c>
      <c r="X567" s="528">
        <f>SUMIFS(Таблица14[Столбец2],Таблица14[коэф],"1",Таблица14[р/р],"3/24",Таблица14[Ф. И. О.],B572)</f>
        <v>0</v>
      </c>
      <c r="Y567" s="748">
        <f t="shared" ref="Y567" si="242">SUM(G567:G577,K567:K577,O567:O577,S567:S577,W567:W577)</f>
        <v>0</v>
      </c>
      <c r="Z567" s="750">
        <f t="shared" ref="Z567" si="243">IFERROR(SUM(H567:H577,L567:L577,T567:T577,X567:X577),"")</f>
        <v>0</v>
      </c>
      <c r="AA567" s="740"/>
    </row>
    <row r="568" spans="1:27" ht="18.75">
      <c r="A568" s="740"/>
      <c r="B568" s="201"/>
      <c r="C568" s="743"/>
      <c r="D568" s="746"/>
      <c r="E568" s="366">
        <f>IF(D567&lt;=3,база!$I$4,
IF(D567=4,база!$I$5,
IF(D567=5,база!$I$6)))</f>
        <v>188.7912</v>
      </c>
      <c r="F568" s="367">
        <v>1</v>
      </c>
      <c r="G568" s="377">
        <f>SUMIFS(Таблица14[часы],Таблица14[коэф],"1",Таблица14[р/р],"3/4",Таблица14[Ф. И. О.],B572)</f>
        <v>0</v>
      </c>
      <c r="H568" s="369">
        <f>SUMIFS(Таблица14[Столбец2],Таблица14[коэф],"1",Таблица14[р/р],"3/4",Таблица14[Ф. И. О.],B572)</f>
        <v>0</v>
      </c>
      <c r="I568" s="409">
        <f>IF(D567&lt;=3,база!$J$4,
IF(D567=4,база!$J$5,
IF(D567=5,база!$J$6)))</f>
        <v>196.05240000000001</v>
      </c>
      <c r="J568" s="410">
        <v>1</v>
      </c>
      <c r="K568" s="411">
        <f>SUMIFS(Таблица14[часы],Таблица14[коэф],"1",Таблица14[р/р],"3/8",Таблица14[Ф. И. О.],B572)</f>
        <v>0</v>
      </c>
      <c r="L568" s="411">
        <f>SUMIFS(Таблица14[Столбец2],Таблица14[коэф],"1",Таблица14[р/р],"3/8",Таблица14[Ф. И. О.],B572)</f>
        <v>0</v>
      </c>
      <c r="M568" s="411"/>
      <c r="N568" s="411">
        <v>1</v>
      </c>
      <c r="O568" s="411">
        <f>SUMIFS(Data_Tech!$AM$3:$AM$67,Data_Tech!$E$3:$E$67,"1",Data_Tech!$G$3:$G$67,"4/12",Data_Tech!$F$3:$F$67,B572)</f>
        <v>0</v>
      </c>
      <c r="P568" s="383">
        <f>ROUND(M568*O568,2)</f>
        <v>0</v>
      </c>
      <c r="Q568" s="366">
        <f>база!$L$5</f>
        <v>231.45480000000001</v>
      </c>
      <c r="R568" s="367">
        <v>1</v>
      </c>
      <c r="S568" s="377">
        <f>SUMIFS(Таблица14[часы],Таблица14[коэф],"1",Таблица14[р/р],"4/16",Таблица14[Ф. И. О.],B572)</f>
        <v>0</v>
      </c>
      <c r="T568" s="369">
        <f>SUMIFS(Таблица14[Столбец2],Таблица14[коэф],"1",Таблица14[р/р],"4/16",Таблица14[Ф. И. О.],B572)</f>
        <v>0</v>
      </c>
      <c r="U568" s="455">
        <f>база!$M$5</f>
        <v>247.41720000000001</v>
      </c>
      <c r="V568" s="367">
        <v>1</v>
      </c>
      <c r="W568" s="389">
        <f>SUMIFS(Таблица14[часы],Таблица14[коэф],"1",Таблица14[р/р],"4/24",Таблица14[Ф. И. О.],B572)</f>
        <v>0</v>
      </c>
      <c r="X568" s="521">
        <f>SUMIFS(Таблица14[Столбец2],Таблица14[коэф],"1",Таблица14[р/р],"4/24",Таблица14[Ф. И. О.],B572)</f>
        <v>0</v>
      </c>
      <c r="Y568" s="748"/>
      <c r="Z568" s="750"/>
      <c r="AA568" s="740"/>
    </row>
    <row r="569" spans="1:27" ht="18.75">
      <c r="A569" s="740"/>
      <c r="B569" s="201"/>
      <c r="C569" s="743"/>
      <c r="D569" s="746"/>
      <c r="E569" s="366"/>
      <c r="F569" s="367"/>
      <c r="G569" s="377"/>
      <c r="H569" s="369"/>
      <c r="I569" s="409"/>
      <c r="J569" s="410"/>
      <c r="K569" s="411"/>
      <c r="L569" s="411"/>
      <c r="M569" s="411"/>
      <c r="N569" s="411"/>
      <c r="O569" s="411"/>
      <c r="P569" s="383"/>
      <c r="Q569" s="366">
        <f>база!$L$6</f>
        <v>261.04640000000001</v>
      </c>
      <c r="R569" s="367">
        <v>1</v>
      </c>
      <c r="S569" s="377">
        <f>SUMIFS(Таблица14[часы],Таблица14[коэф],"1",Таблица14[р/р],"5/16",Таблица14[Ф. И. О.],B572)</f>
        <v>0</v>
      </c>
      <c r="T569" s="369">
        <f>SUMIFS(Таблица14[Столбец2],Таблица14[коэф],"1",Таблица14[р/р],"5/16",Таблица14[Ф. И. О.],B572)</f>
        <v>0</v>
      </c>
      <c r="U569" s="455">
        <f>база!$M$6</f>
        <v>279.0496</v>
      </c>
      <c r="V569" s="367">
        <v>1</v>
      </c>
      <c r="W569" s="389">
        <f>SUMIFS(Таблица14[часы],Таблица14[коэф],"1",Таблица14[р/р],"5/24",Таблица14[Ф. И. О.],B572)</f>
        <v>0</v>
      </c>
      <c r="X569" s="521">
        <f>SUMIFS(Таблица14[Столбец2],Таблица14[коэф],"1",Таблица14[р/р],"5/24",Таблица14[Ф. И. О.],B572)</f>
        <v>0</v>
      </c>
      <c r="Y569" s="748"/>
      <c r="Z569" s="750"/>
      <c r="AA569" s="740"/>
    </row>
    <row r="570" spans="1:27" ht="18.75">
      <c r="A570" s="740"/>
      <c r="B570" s="201"/>
      <c r="C570" s="743"/>
      <c r="D570" s="746"/>
      <c r="E570" s="366"/>
      <c r="F570" s="367"/>
      <c r="G570" s="377"/>
      <c r="H570" s="369"/>
      <c r="I570" s="409">
        <f>база!$J$5</f>
        <v>215.4924</v>
      </c>
      <c r="J570" s="410">
        <v>1.5</v>
      </c>
      <c r="K570" s="411">
        <f>SUMIFS(Таблица14[часы],Таблица14[коэф],"1,5",Таблица14[р/р],"4/8",Таблица14[Ф. И. О.],B572)</f>
        <v>0</v>
      </c>
      <c r="L570" s="411">
        <f>SUMIFS(Таблица14[Столбец2],Таблица14[коэф],"1,5",Таблица14[р/р],"4/8",Таблица14[Ф. И. О.],B572)</f>
        <v>0</v>
      </c>
      <c r="M570" s="411"/>
      <c r="N570" s="411"/>
      <c r="O570" s="411"/>
      <c r="P570" s="383"/>
      <c r="Q570" s="366">
        <f>IF(D567&lt;=3,база!$L$4,
IF(D567=4,база!$L$5,
IF(D567=5,база!$L$6)))</f>
        <v>210.57480000000001</v>
      </c>
      <c r="R570" s="367">
        <v>1.2</v>
      </c>
      <c r="S570" s="377">
        <f>SUMIFS(Таблица14[часы],Таблица14[коэф],"1,2",Таблица14[р/р],"3/16",Таблица14[Ф. И. О.],B572)</f>
        <v>0</v>
      </c>
      <c r="T570" s="369">
        <f>SUMIFS(Таблица14[Столбец2],Таблица14[коэф],"1,2",Таблица14[р/р],"3/16",Таблица14[Ф. И. О.],B572)</f>
        <v>0</v>
      </c>
      <c r="U570" s="455">
        <f>IF(D567&lt;=3,база!$M$4,
IF(D567=4,база!$M$5,
IF(D567=5,база!$M$6)))</f>
        <v>225.09719999999999</v>
      </c>
      <c r="V570" s="367">
        <v>1.2</v>
      </c>
      <c r="W570" s="389">
        <f>SUMIFS(Таблица14[часы],Таблица14[коэф],"1,2",Таблица14[р/р],"3/24",Таблица14[Ф. И. О.],B572)</f>
        <v>0</v>
      </c>
      <c r="X570" s="521">
        <f>SUMIFS(Таблица14[Столбец2],Таблица14[коэф],"1,2",Таблица14[р/р],"3/24",Таблица14[Ф. И. О.],B572)</f>
        <v>0</v>
      </c>
      <c r="Y570" s="748"/>
      <c r="Z570" s="750"/>
      <c r="AA570" s="740"/>
    </row>
    <row r="571" spans="1:27" ht="18.75">
      <c r="A571" s="740"/>
      <c r="B571" s="201"/>
      <c r="C571" s="743"/>
      <c r="D571" s="746"/>
      <c r="E571" s="366"/>
      <c r="F571" s="367"/>
      <c r="G571" s="377"/>
      <c r="H571" s="369"/>
      <c r="I571" s="409">
        <f>база!$J$6</f>
        <v>243.04319999999998</v>
      </c>
      <c r="J571" s="410">
        <v>1.5</v>
      </c>
      <c r="K571" s="411">
        <f>SUMIFS(Таблица14[часы],Таблица14[коэф],"1,5",Таблица14[р/р],"5/8",Таблица14[Ф. И. О.],B572)</f>
        <v>0</v>
      </c>
      <c r="L571" s="411">
        <f>SUMIFS(Таблица14[Столбец2],Таблица14[коэф],"1,5",Таблица14[р/р],"5/8",Таблица14[Ф. И. О.],B572)</f>
        <v>0</v>
      </c>
      <c r="M571" s="411"/>
      <c r="N571" s="411"/>
      <c r="O571" s="411"/>
      <c r="P571" s="383"/>
      <c r="Q571" s="366">
        <f>база!$L$5</f>
        <v>231.45480000000001</v>
      </c>
      <c r="R571" s="367">
        <v>1.2</v>
      </c>
      <c r="S571" s="377">
        <f>SUMIFS(Таблица14[часы],Таблица14[коэф],"1,2",Таблица14[р/р],"4/16",Таблица14[Ф. И. О.],B572)</f>
        <v>0</v>
      </c>
      <c r="T571" s="369">
        <f>SUMIFS(Таблица14[Столбец2],Таблица14[коэф],"1,2",Таблица14[р/р],"4/16",Таблица14[Ф. И. О.],B572)</f>
        <v>0</v>
      </c>
      <c r="U571" s="455">
        <f>база!$M$5</f>
        <v>247.41720000000001</v>
      </c>
      <c r="V571" s="367">
        <v>1.2</v>
      </c>
      <c r="W571" s="389">
        <f>SUMIFS(Таблица14[часы],Таблица14[коэф],"1,2",Таблица14[р/р],"4/24",Таблица14[Ф. И. О.],B572)</f>
        <v>0</v>
      </c>
      <c r="X571" s="521">
        <f>SUMIFS(Таблица14[Столбец2],Таблица14[коэф],"1,2",Таблица14[р/р],"4/24",Таблица14[Ф. И. О.],B572)</f>
        <v>0</v>
      </c>
      <c r="Y571" s="748"/>
      <c r="Z571" s="750"/>
      <c r="AA571" s="740"/>
    </row>
    <row r="572" spans="1:27" ht="18.75">
      <c r="A572" s="740"/>
      <c r="B572" s="201" t="str">
        <f>база!B53</f>
        <v>Набойченко Седа Хамидовна</v>
      </c>
      <c r="C572" s="743"/>
      <c r="D572" s="746"/>
      <c r="E572" s="366"/>
      <c r="F572" s="367"/>
      <c r="G572" s="377"/>
      <c r="H572" s="369"/>
      <c r="I572" s="409"/>
      <c r="J572" s="410"/>
      <c r="K572" s="411"/>
      <c r="L572" s="411"/>
      <c r="M572" s="411"/>
      <c r="N572" s="411"/>
      <c r="O572" s="411"/>
      <c r="P572" s="383"/>
      <c r="Q572" s="366">
        <f>база!$L$6</f>
        <v>261.04640000000001</v>
      </c>
      <c r="R572" s="367">
        <v>1.2</v>
      </c>
      <c r="S572" s="377">
        <f>SUMIFS(Таблица14[часы],Таблица14[коэф],"1,2",Таблица14[р/р],"5/16",Таблица14[Ф. И. О.],B572)</f>
        <v>0</v>
      </c>
      <c r="T572" s="369">
        <f>SUMIFS(Таблица14[Столбец2],Таблица14[коэф],"1,2",Таблица14[р/р],"5/16",Таблица14[Ф. И. О.],B572)</f>
        <v>0</v>
      </c>
      <c r="U572" s="455">
        <f>база!$M$6</f>
        <v>279.0496</v>
      </c>
      <c r="V572" s="367">
        <v>1.2</v>
      </c>
      <c r="W572" s="389">
        <f>SUMIFS(Таблица14[часы],Таблица14[коэф],"1,2",Таблица14[р/р],"5/24",Таблица14[Ф. И. О.],B572)</f>
        <v>0</v>
      </c>
      <c r="X572" s="521">
        <f>SUMIFS(Таблица14[Столбец2],Таблица14[коэф],"1,2",Таблица14[р/р],"5/24",Таблица14[Ф. И. О.],B572)</f>
        <v>0</v>
      </c>
      <c r="Y572" s="748"/>
      <c r="Z572" s="750"/>
      <c r="AA572" s="740"/>
    </row>
    <row r="573" spans="1:27" ht="18.75">
      <c r="A573" s="740"/>
      <c r="B573" s="201"/>
      <c r="C573" s="743"/>
      <c r="D573" s="746"/>
      <c r="E573" s="366"/>
      <c r="F573" s="367"/>
      <c r="G573" s="377"/>
      <c r="H573" s="369"/>
      <c r="I573" s="409"/>
      <c r="J573" s="410"/>
      <c r="K573" s="411"/>
      <c r="L573" s="411"/>
      <c r="M573" s="411"/>
      <c r="N573" s="411"/>
      <c r="O573" s="411"/>
      <c r="P573" s="383"/>
      <c r="Q573" s="366">
        <f>IF($D$6&lt;=3,база!$L$4,
IF($D$6=4,база!$L$5,
IF($D$6=5,база!$L$6)))</f>
        <v>231.45480000000001</v>
      </c>
      <c r="R573" s="367">
        <v>1.3</v>
      </c>
      <c r="S573" s="377">
        <f>SUMIFS(Таблица14[часы],Таблица14[коэф],"1,3",Таблица14[р/р],"3/16",Таблица14[Ф. И. О.],B572)</f>
        <v>0</v>
      </c>
      <c r="T573" s="369">
        <f>SUMIFS(Таблица14[Столбец2],Таблица14[коэф],"1,3",Таблица14[р/р],"3/16",Таблица14[Ф. И. О.],B572)</f>
        <v>0</v>
      </c>
      <c r="U573" s="455">
        <f>IF(D567&lt;=3,база!$M$4,
IF(D567=4,база!$M$5,
IF(D567=5,база!$M$6)))</f>
        <v>225.09719999999999</v>
      </c>
      <c r="V573" s="367">
        <v>1.3</v>
      </c>
      <c r="W573" s="389">
        <f>SUMIFS(Таблица14[часы],Таблица14[коэф],"1,3",Таблица14[р/р],"3/24",Таблица14[Ф. И. О.],B572)</f>
        <v>0</v>
      </c>
      <c r="X573" s="521">
        <f>SUMIFS(Таблица14[Столбец2],Таблица14[коэф],"1,3",Таблица14[р/р],"3/24",Таблица14[Ф. И. О.],B572)</f>
        <v>0</v>
      </c>
      <c r="Y573" s="748"/>
      <c r="Z573" s="750"/>
      <c r="AA573" s="740"/>
    </row>
    <row r="574" spans="1:27" ht="18.75">
      <c r="A574" s="740"/>
      <c r="B574" s="201"/>
      <c r="C574" s="743"/>
      <c r="D574" s="746"/>
      <c r="E574" s="366"/>
      <c r="F574" s="367"/>
      <c r="G574" s="377"/>
      <c r="H574" s="369"/>
      <c r="I574" s="409"/>
      <c r="J574" s="410"/>
      <c r="K574" s="411"/>
      <c r="L574" s="411"/>
      <c r="M574" s="411"/>
      <c r="N574" s="411"/>
      <c r="O574" s="411"/>
      <c r="P574" s="383"/>
      <c r="Q574" s="366">
        <f>база!$L$5</f>
        <v>231.45480000000001</v>
      </c>
      <c r="R574" s="367">
        <v>1.3</v>
      </c>
      <c r="S574" s="377">
        <f>SUMIFS(Таблица14[часы],Таблица14[коэф],"1,3",Таблица14[р/р],"4/16",Таблица14[Ф. И. О.],B572)</f>
        <v>0</v>
      </c>
      <c r="T574" s="369">
        <f>SUMIFS(Таблица14[Столбец2],Таблица14[коэф],"1,3",Таблица14[р/р],"4/16",Таблица14[Ф. И. О.],B572)</f>
        <v>0</v>
      </c>
      <c r="U574" s="455">
        <f>база!$M$5</f>
        <v>247.41720000000001</v>
      </c>
      <c r="V574" s="367">
        <v>1.3</v>
      </c>
      <c r="W574" s="389">
        <f>SUMIFS(Таблица14[часы],Таблица14[коэф],"1,3",Таблица14[р/р],"4/24",Таблица14[Ф. И. О.],B572)</f>
        <v>0</v>
      </c>
      <c r="X574" s="521">
        <f>SUMIFS(Таблица14[Столбец2],Таблица14[коэф],"1,3",Таблица14[р/р],"4/24",Таблица14[Ф. И. О.],B572)</f>
        <v>0</v>
      </c>
      <c r="Y574" s="748"/>
      <c r="Z574" s="750"/>
      <c r="AA574" s="740"/>
    </row>
    <row r="575" spans="1:27" ht="18.75">
      <c r="A575" s="740"/>
      <c r="B575" s="201"/>
      <c r="C575" s="743"/>
      <c r="D575" s="746"/>
      <c r="E575" s="366"/>
      <c r="F575" s="367"/>
      <c r="G575" s="377"/>
      <c r="H575" s="369"/>
      <c r="I575" s="409"/>
      <c r="J575" s="410"/>
      <c r="K575" s="411"/>
      <c r="L575" s="411"/>
      <c r="M575" s="411"/>
      <c r="N575" s="411"/>
      <c r="O575" s="411"/>
      <c r="P575" s="383"/>
      <c r="Q575" s="366">
        <f>IF(D567&lt;=3,база!$L$4,
IF(D567=4,база!$L$5,
IF(D567=5,база!$L$6)))</f>
        <v>210.57480000000001</v>
      </c>
      <c r="R575" s="367">
        <v>1.4</v>
      </c>
      <c r="S575" s="377">
        <f>SUMIFS(Таблица14[часы],Таблица14[коэф],"1,4",Таблица14[р/р],"3/16",Таблица14[Ф. И. О.],B572)</f>
        <v>0</v>
      </c>
      <c r="T575" s="369">
        <f>SUMIFS(Таблица14[Столбец2],Таблица14[коэф],"1,4",Таблица14[р/р],"3/16",Таблица14[Ф. И. О.],B572)</f>
        <v>0</v>
      </c>
      <c r="U575" s="455">
        <f>IF(D567&lt;=3,база!$M$4,
IF(D567=4,база!$M$5,
IF(D567=5,база!$M$6)))</f>
        <v>225.09719999999999</v>
      </c>
      <c r="V575" s="367">
        <v>1.4</v>
      </c>
      <c r="W575" s="389">
        <f>SUMIFS(Таблица14[часы],Таблица14[коэф],"1,4",Таблица14[р/р],"3/24",Таблица14[Ф. И. О.],B572)</f>
        <v>0</v>
      </c>
      <c r="X575" s="521">
        <f>SUMIFS(Таблица14[Столбец2],Таблица14[коэф],"1,4",Таблица14[р/р],"3/24",Таблица14[Ф. И. О.],B572)</f>
        <v>0</v>
      </c>
      <c r="Y575" s="748"/>
      <c r="Z575" s="750"/>
      <c r="AA575" s="740"/>
    </row>
    <row r="576" spans="1:27" ht="18.75">
      <c r="A576" s="740"/>
      <c r="B576" s="201"/>
      <c r="C576" s="743"/>
      <c r="D576" s="746"/>
      <c r="E576" s="366"/>
      <c r="F576" s="367"/>
      <c r="G576" s="377"/>
      <c r="H576" s="369"/>
      <c r="I576" s="409"/>
      <c r="J576" s="410"/>
      <c r="K576" s="411"/>
      <c r="L576" s="411"/>
      <c r="M576" s="411"/>
      <c r="N576" s="411"/>
      <c r="O576" s="411"/>
      <c r="P576" s="383"/>
      <c r="Q576" s="366">
        <f>база!$L$5</f>
        <v>231.45480000000001</v>
      </c>
      <c r="R576" s="367">
        <v>1.4</v>
      </c>
      <c r="S576" s="377">
        <f>SUMIFS(Таблица14[часы],Таблица14[коэф],"1,4",Таблица14[р/р],"4/16",Таблица14[Ф. И. О.],B572)</f>
        <v>0</v>
      </c>
      <c r="T576" s="369">
        <f>SUMIFS(Таблица14[Столбец2],Таблица14[коэф],"1,4",Таблица14[р/р],"4/16",Таблица14[Ф. И. О.],B572)</f>
        <v>0</v>
      </c>
      <c r="U576" s="455">
        <f>база!$M$5</f>
        <v>247.41720000000001</v>
      </c>
      <c r="V576" s="367">
        <v>1.4</v>
      </c>
      <c r="W576" s="389">
        <f>SUMIFS(Таблица14[часы],Таблица14[коэф],"1,4",Таблица14[р/р],"4/24",Таблица14[Ф. И. О.],B572)</f>
        <v>0</v>
      </c>
      <c r="X576" s="521">
        <f>SUMIFS(Таблица14[Столбец2],Таблица14[коэф],"1,4",Таблица14[р/р],"4/24",Таблица14[Ф. И. О.],B572)</f>
        <v>0</v>
      </c>
      <c r="Y576" s="748"/>
      <c r="Z576" s="750"/>
      <c r="AA576" s="740"/>
    </row>
    <row r="577" spans="1:27" ht="19.5" thickBot="1">
      <c r="A577" s="741"/>
      <c r="B577" s="329"/>
      <c r="C577" s="744"/>
      <c r="D577" s="747"/>
      <c r="E577" s="450"/>
      <c r="F577" s="441"/>
      <c r="G577" s="628"/>
      <c r="H577" s="445"/>
      <c r="I577" s="622"/>
      <c r="J577" s="433"/>
      <c r="K577" s="623"/>
      <c r="L577" s="434"/>
      <c r="M577" s="622"/>
      <c r="N577" s="623"/>
      <c r="O577" s="623"/>
      <c r="P577" s="453"/>
      <c r="Q577" s="629">
        <f>база!$L$6</f>
        <v>261.04640000000001</v>
      </c>
      <c r="R577" s="441">
        <v>1.4</v>
      </c>
      <c r="S577" s="442">
        <f>SUMIFS(Таблица14[часы],Таблица14[коэф],"1,4",Таблица14[р/р],"5/16",Таблица14[Ф. И. О.],B572)</f>
        <v>0</v>
      </c>
      <c r="T577" s="445">
        <f>SUMIFS(Таблица14[Столбец2],Таблица14[коэф],"1,4",Таблица14[р/р],"5/16",Таблица14[Ф. И. О.],B572)</f>
        <v>0</v>
      </c>
      <c r="U577" s="440">
        <f>база!$M$6</f>
        <v>279.0496</v>
      </c>
      <c r="V577" s="441">
        <v>1.4</v>
      </c>
      <c r="W577" s="442">
        <f>SUMIFS(Таблица14[часы],Таблица14[коэф],"1,4",Таблица14[р/р],"5/24",Таблица14[Ф. И. О.],B572)</f>
        <v>0</v>
      </c>
      <c r="X577" s="445">
        <f>SUMIFS(Таблица14[Столбец2],Таблица14[коэф],"1,4",Таблица14[р/р],"5/24",Таблица14[Ф. И. О.],B572)</f>
        <v>0</v>
      </c>
      <c r="Y577" s="749"/>
      <c r="Z577" s="751"/>
      <c r="AA577" s="741"/>
    </row>
    <row r="578" spans="1:27" ht="18.75">
      <c r="A578" s="740">
        <v>53</v>
      </c>
      <c r="B578" s="201"/>
      <c r="C578" s="742">
        <f>INDEX(база!$E$2:$E$98, MATCH(B583,база!$B$2:$B$100,0))</f>
        <v>17164</v>
      </c>
      <c r="D578" s="745">
        <f>INDEX(база!$D$2:$D$121, MATCH(B583,база!$B$2:$B$100,0))</f>
        <v>3</v>
      </c>
      <c r="E578" s="458">
        <f>IF(D578&lt;=3,база!$I$4,
IF(D578=4,база!$I$5,
IF(D578=5,база!$I$6)))</f>
        <v>188.7912</v>
      </c>
      <c r="F578" s="394">
        <v>1</v>
      </c>
      <c r="G578" s="395">
        <f>SUMIFS(Таблица14[часы],Таблица14[коэф],"1",Таблица14[р/р],"2/4",Таблица14[Ф. И. О.],B583)</f>
        <v>0</v>
      </c>
      <c r="H578" s="379">
        <f>SUMIFS(Таблица14[Столбец2],Таблица14[коэф],"1",Таблица14[р/р],"2/4",Таблица14[Ф. И. О.],B583)</f>
        <v>0</v>
      </c>
      <c r="I578" s="429">
        <f>IF(D578&lt;=3,база!$J$4,
IF(D578=4,база!$J$5,
IF(D578=5,база!$J$6)))</f>
        <v>196.05240000000001</v>
      </c>
      <c r="J578" s="452">
        <v>1</v>
      </c>
      <c r="K578" s="430">
        <f>SUMIFS(Таблица14[часы],Таблица14[коэф],"1",Таблица14[р/р],"2/8",Таблица14[Ф. И. О.],B583)</f>
        <v>0</v>
      </c>
      <c r="L578" s="430">
        <f>SUMIFS(Таблица14[Столбец2],Таблица14[коэф],"1",Таблица14[р/р],"2/8",Таблица14[Ф. И. О.],B583)</f>
        <v>0</v>
      </c>
      <c r="M578" s="430"/>
      <c r="N578" s="430">
        <v>1</v>
      </c>
      <c r="O578" s="430">
        <f>SUMIFS(Data_Tech!$AM$3:$AM$67,Data_Tech!$E$3:$E$67,"1",Data_Tech!$G$3:$G$67,"3/12",Data_Tech!$F$3:$F$67,B583)</f>
        <v>0</v>
      </c>
      <c r="P578" s="375">
        <f>ROUND(M578*N578*O578,2)</f>
        <v>0</v>
      </c>
      <c r="Q578" s="458">
        <f>IF(D578&lt;=3,база!$L$4,
IF(D578=4,база!$L$5,
IF(D578=5,база!$L$6)))</f>
        <v>210.57480000000001</v>
      </c>
      <c r="R578" s="394">
        <v>1</v>
      </c>
      <c r="S578" s="395">
        <f>SUMIFS(Таблица14[часы],Таблица14[коэф],"1",Таблица14[р/р],"3/16",Таблица14[Ф. И. О.],B583)</f>
        <v>0</v>
      </c>
      <c r="T578" s="379">
        <f>SUMIFS(Таблица14[Столбец2],Таблица14[коэф],"1",Таблица14[р/р],"3/16",Таблица14[Ф. И. О.],B583)</f>
        <v>0</v>
      </c>
      <c r="U578" s="460">
        <f>IF(D578&lt;=3,база!$M$4,
IF(D578=4,база!$M$5,
IF(D578=5,база!$M$6)))</f>
        <v>225.09719999999999</v>
      </c>
      <c r="V578" s="394">
        <v>1</v>
      </c>
      <c r="W578" s="432">
        <f>SUMIFS(Таблица14[часы],Таблица14[коэф],"1",Таблица14[р/р],"3/24",Таблица14[Ф. И. О.],B583)</f>
        <v>0</v>
      </c>
      <c r="X578" s="528">
        <f>SUMIFS(Таблица14[Столбец2],Таблица14[коэф],"1",Таблица14[р/р],"3/24",Таблица14[Ф. И. О.],B583)</f>
        <v>0</v>
      </c>
      <c r="Y578" s="748">
        <f t="shared" ref="Y578" si="244">SUM(G578:G588,K578:K588,O578:O588,S578:S588,W578:W588)</f>
        <v>0</v>
      </c>
      <c r="Z578" s="750">
        <f t="shared" ref="Z578" si="245">IFERROR(SUM(H578:H588,L578:L588,T578:T588,X578:X588),"")</f>
        <v>0</v>
      </c>
      <c r="AA578" s="740"/>
    </row>
    <row r="579" spans="1:27" ht="18.75">
      <c r="A579" s="740"/>
      <c r="B579" s="201"/>
      <c r="C579" s="743"/>
      <c r="D579" s="746"/>
      <c r="E579" s="366">
        <f>IF(D578&lt;=3,база!$I$4,
IF(D578=4,база!$I$5,
IF(D578=5,база!$I$6)))</f>
        <v>188.7912</v>
      </c>
      <c r="F579" s="367">
        <v>1</v>
      </c>
      <c r="G579" s="377">
        <f>SUMIFS(Таблица14[часы],Таблица14[коэф],"1",Таблица14[р/р],"3/4",Таблица14[Ф. И. О.],B583)</f>
        <v>0</v>
      </c>
      <c r="H579" s="369">
        <f>SUMIFS(Таблица14[Столбец2],Таблица14[коэф],"1",Таблица14[р/р],"3/4",Таблица14[Ф. И. О.],B583)</f>
        <v>0</v>
      </c>
      <c r="I579" s="409">
        <f>IF(D578&lt;=3,база!$J$4,
IF(D578=4,база!$J$5,
IF(D578=5,база!$J$6)))</f>
        <v>196.05240000000001</v>
      </c>
      <c r="J579" s="410">
        <v>1</v>
      </c>
      <c r="K579" s="411">
        <f>SUMIFS(Таблица14[часы],Таблица14[коэф],"1",Таблица14[р/р],"3/8",Таблица14[Ф. И. О.],B583)</f>
        <v>0</v>
      </c>
      <c r="L579" s="411">
        <f>SUMIFS(Таблица14[Столбец2],Таблица14[коэф],"1",Таблица14[р/р],"3/8",Таблица14[Ф. И. О.],B583)</f>
        <v>0</v>
      </c>
      <c r="M579" s="411"/>
      <c r="N579" s="411">
        <v>1</v>
      </c>
      <c r="O579" s="411">
        <f>SUMIFS(Data_Tech!$AM$3:$AM$67,Data_Tech!$E$3:$E$67,"1",Data_Tech!$G$3:$G$67,"4/12",Data_Tech!$F$3:$F$67,B583)</f>
        <v>0</v>
      </c>
      <c r="P579" s="383">
        <f>ROUND(M579*O579,2)</f>
        <v>0</v>
      </c>
      <c r="Q579" s="366">
        <f>база!$L$5</f>
        <v>231.45480000000001</v>
      </c>
      <c r="R579" s="367">
        <v>1</v>
      </c>
      <c r="S579" s="377">
        <f>SUMIFS(Таблица14[часы],Таблица14[коэф],"1",Таблица14[р/р],"4/16",Таблица14[Ф. И. О.],B583)</f>
        <v>0</v>
      </c>
      <c r="T579" s="369">
        <f>SUMIFS(Таблица14[Столбец2],Таблица14[коэф],"1",Таблица14[р/р],"4/16",Таблица14[Ф. И. О.],B583)</f>
        <v>0</v>
      </c>
      <c r="U579" s="455">
        <f>база!$M$5</f>
        <v>247.41720000000001</v>
      </c>
      <c r="V579" s="367">
        <v>1</v>
      </c>
      <c r="W579" s="389">
        <f>SUMIFS(Таблица14[часы],Таблица14[коэф],"1",Таблица14[р/р],"4/24",Таблица14[Ф. И. О.],B583)</f>
        <v>0</v>
      </c>
      <c r="X579" s="521">
        <f>SUMIFS(Таблица14[Столбец2],Таблица14[коэф],"1",Таблица14[р/р],"4/24",Таблица14[Ф. И. О.],B583)</f>
        <v>0</v>
      </c>
      <c r="Y579" s="748"/>
      <c r="Z579" s="750"/>
      <c r="AA579" s="740"/>
    </row>
    <row r="580" spans="1:27" ht="18.75">
      <c r="A580" s="740"/>
      <c r="B580" s="201"/>
      <c r="C580" s="743"/>
      <c r="D580" s="746"/>
      <c r="E580" s="366"/>
      <c r="F580" s="367"/>
      <c r="G580" s="377"/>
      <c r="H580" s="369"/>
      <c r="I580" s="409"/>
      <c r="J580" s="410"/>
      <c r="K580" s="411"/>
      <c r="L580" s="411"/>
      <c r="M580" s="411"/>
      <c r="N580" s="411"/>
      <c r="O580" s="411"/>
      <c r="P580" s="383"/>
      <c r="Q580" s="366">
        <f>база!$L$6</f>
        <v>261.04640000000001</v>
      </c>
      <c r="R580" s="367">
        <v>1</v>
      </c>
      <c r="S580" s="377">
        <f>SUMIFS(Таблица14[часы],Таблица14[коэф],"1",Таблица14[р/р],"5/16",Таблица14[Ф. И. О.],B583)</f>
        <v>0</v>
      </c>
      <c r="T580" s="369">
        <f>SUMIFS(Таблица14[Столбец2],Таблица14[коэф],"1",Таблица14[р/р],"5/16",Таблица14[Ф. И. О.],B583)</f>
        <v>0</v>
      </c>
      <c r="U580" s="455">
        <f>база!$M$6</f>
        <v>279.0496</v>
      </c>
      <c r="V580" s="367">
        <v>1</v>
      </c>
      <c r="W580" s="389">
        <f>SUMIFS(Таблица14[часы],Таблица14[коэф],"1",Таблица14[р/р],"5/24",Таблица14[Ф. И. О.],B583)</f>
        <v>0</v>
      </c>
      <c r="X580" s="521">
        <f>SUMIFS(Таблица14[Столбец2],Таблица14[коэф],"1",Таблица14[р/р],"5/24",Таблица14[Ф. И. О.],B583)</f>
        <v>0</v>
      </c>
      <c r="Y580" s="748"/>
      <c r="Z580" s="750"/>
      <c r="AA580" s="740"/>
    </row>
    <row r="581" spans="1:27" ht="18.75">
      <c r="A581" s="740"/>
      <c r="B581" s="201"/>
      <c r="C581" s="743"/>
      <c r="D581" s="746"/>
      <c r="E581" s="366"/>
      <c r="F581" s="367"/>
      <c r="G581" s="377"/>
      <c r="H581" s="369"/>
      <c r="I581" s="409">
        <f>база!$J$5</f>
        <v>215.4924</v>
      </c>
      <c r="J581" s="410">
        <v>1.5</v>
      </c>
      <c r="K581" s="411">
        <f>SUMIFS(Таблица14[часы],Таблица14[коэф],"1,5",Таблица14[р/р],"4/8",Таблица14[Ф. И. О.],B583)</f>
        <v>0</v>
      </c>
      <c r="L581" s="411">
        <f>SUMIFS(Таблица14[Столбец2],Таблица14[коэф],"1,5",Таблица14[р/р],"4/8",Таблица14[Ф. И. О.],B583)</f>
        <v>0</v>
      </c>
      <c r="M581" s="411"/>
      <c r="N581" s="411"/>
      <c r="O581" s="411"/>
      <c r="P581" s="383"/>
      <c r="Q581" s="366">
        <f>IF(D578&lt;=3,база!$L$4,
IF(D578=4,база!$L$5,
IF(D578=5,база!$L$6)))</f>
        <v>210.57480000000001</v>
      </c>
      <c r="R581" s="367">
        <v>1.2</v>
      </c>
      <c r="S581" s="377">
        <f>SUMIFS(Таблица14[часы],Таблица14[коэф],"1,2",Таблица14[р/р],"3/16",Таблица14[Ф. И. О.],B583)</f>
        <v>0</v>
      </c>
      <c r="T581" s="369">
        <f>SUMIFS(Таблица14[Столбец2],Таблица14[коэф],"1,2",Таблица14[р/р],"3/16",Таблица14[Ф. И. О.],B583)</f>
        <v>0</v>
      </c>
      <c r="U581" s="455">
        <f>IF(D578&lt;=3,база!$M$4,
IF(D578=4,база!$M$5,
IF(D578=5,база!$M$6)))</f>
        <v>225.09719999999999</v>
      </c>
      <c r="V581" s="367">
        <v>1.2</v>
      </c>
      <c r="W581" s="389">
        <f>SUMIFS(Таблица14[часы],Таблица14[коэф],"1,2",Таблица14[р/р],"3/24",Таблица14[Ф. И. О.],B583)</f>
        <v>0</v>
      </c>
      <c r="X581" s="521">
        <f>SUMIFS(Таблица14[Столбец2],Таблица14[коэф],"1,2",Таблица14[р/р],"3/24",Таблица14[Ф. И. О.],B583)</f>
        <v>0</v>
      </c>
      <c r="Y581" s="748"/>
      <c r="Z581" s="750"/>
      <c r="AA581" s="740"/>
    </row>
    <row r="582" spans="1:27" ht="18.75">
      <c r="A582" s="740"/>
      <c r="B582" s="201"/>
      <c r="C582" s="743"/>
      <c r="D582" s="746"/>
      <c r="E582" s="366"/>
      <c r="F582" s="367"/>
      <c r="G582" s="377"/>
      <c r="H582" s="369"/>
      <c r="I582" s="409">
        <f>база!$J$6</f>
        <v>243.04319999999998</v>
      </c>
      <c r="J582" s="410">
        <v>1.5</v>
      </c>
      <c r="K582" s="411">
        <f>SUMIFS(Таблица14[часы],Таблица14[коэф],"1,5",Таблица14[р/р],"5/8",Таблица14[Ф. И. О.],B583)</f>
        <v>0</v>
      </c>
      <c r="L582" s="411">
        <f>SUMIFS(Таблица14[Столбец2],Таблица14[коэф],"1,5",Таблица14[р/р],"5/8",Таблица14[Ф. И. О.],B583)</f>
        <v>0</v>
      </c>
      <c r="M582" s="411"/>
      <c r="N582" s="411"/>
      <c r="O582" s="411"/>
      <c r="P582" s="383"/>
      <c r="Q582" s="366">
        <f>база!$L$5</f>
        <v>231.45480000000001</v>
      </c>
      <c r="R582" s="367">
        <v>1.2</v>
      </c>
      <c r="S582" s="377">
        <f>SUMIFS(Таблица14[часы],Таблица14[коэф],"1,2",Таблица14[р/р],"4/16",Таблица14[Ф. И. О.],B583)</f>
        <v>0</v>
      </c>
      <c r="T582" s="369">
        <f>SUMIFS(Таблица14[Столбец2],Таблица14[коэф],"1,2",Таблица14[р/р],"4/16",Таблица14[Ф. И. О.],B583)</f>
        <v>0</v>
      </c>
      <c r="U582" s="455">
        <f>база!$M$5</f>
        <v>247.41720000000001</v>
      </c>
      <c r="V582" s="367">
        <v>1.2</v>
      </c>
      <c r="W582" s="389">
        <f>SUMIFS(Таблица14[часы],Таблица14[коэф],"1,2",Таблица14[р/р],"4/24",Таблица14[Ф. И. О.],B583)</f>
        <v>0</v>
      </c>
      <c r="X582" s="521">
        <f>SUMIFS(Таблица14[Столбец2],Таблица14[коэф],"1,2",Таблица14[р/р],"4/24",Таблица14[Ф. И. О.],B583)</f>
        <v>0</v>
      </c>
      <c r="Y582" s="748"/>
      <c r="Z582" s="750"/>
      <c r="AA582" s="740"/>
    </row>
    <row r="583" spans="1:27" ht="18.75">
      <c r="A583" s="740"/>
      <c r="B583" s="201" t="str">
        <f>база!B54</f>
        <v>Никифорова Юлия Анатольевна</v>
      </c>
      <c r="C583" s="743"/>
      <c r="D583" s="746"/>
      <c r="E583" s="366"/>
      <c r="F583" s="367"/>
      <c r="G583" s="377"/>
      <c r="H583" s="369"/>
      <c r="I583" s="409"/>
      <c r="J583" s="410"/>
      <c r="K583" s="411"/>
      <c r="L583" s="411"/>
      <c r="M583" s="411"/>
      <c r="N583" s="411"/>
      <c r="O583" s="411"/>
      <c r="P583" s="383"/>
      <c r="Q583" s="366">
        <f>база!$L$6</f>
        <v>261.04640000000001</v>
      </c>
      <c r="R583" s="367">
        <v>1.2</v>
      </c>
      <c r="S583" s="377">
        <f>SUMIFS(Таблица14[часы],Таблица14[коэф],"1,2",Таблица14[р/р],"5/16",Таблица14[Ф. И. О.],B583)</f>
        <v>0</v>
      </c>
      <c r="T583" s="369">
        <f>SUMIFS(Таблица14[Столбец2],Таблица14[коэф],"1,2",Таблица14[р/р],"5/16",Таблица14[Ф. И. О.],B583)</f>
        <v>0</v>
      </c>
      <c r="U583" s="455">
        <f>база!$M$6</f>
        <v>279.0496</v>
      </c>
      <c r="V583" s="367">
        <v>1.2</v>
      </c>
      <c r="W583" s="389">
        <f>SUMIFS(Таблица14[часы],Таблица14[коэф],"1,2",Таблица14[р/р],"5/24",Таблица14[Ф. И. О.],B583)</f>
        <v>0</v>
      </c>
      <c r="X583" s="521">
        <f>SUMIFS(Таблица14[Столбец2],Таблица14[коэф],"1,2",Таблица14[р/р],"5/24",Таблица14[Ф. И. О.],B583)</f>
        <v>0</v>
      </c>
      <c r="Y583" s="748"/>
      <c r="Z583" s="750"/>
      <c r="AA583" s="740"/>
    </row>
    <row r="584" spans="1:27" ht="18.75">
      <c r="A584" s="740"/>
      <c r="B584" s="201"/>
      <c r="C584" s="743"/>
      <c r="D584" s="746"/>
      <c r="E584" s="366"/>
      <c r="F584" s="367"/>
      <c r="G584" s="377"/>
      <c r="H584" s="369"/>
      <c r="I584" s="409"/>
      <c r="J584" s="410"/>
      <c r="K584" s="411"/>
      <c r="L584" s="411"/>
      <c r="M584" s="411"/>
      <c r="N584" s="411"/>
      <c r="O584" s="411"/>
      <c r="P584" s="383"/>
      <c r="Q584" s="366">
        <f>IF($D$6&lt;=3,база!$L$4,
IF($D$6=4,база!$L$5,
IF($D$6=5,база!$L$6)))</f>
        <v>231.45480000000001</v>
      </c>
      <c r="R584" s="367">
        <v>1.3</v>
      </c>
      <c r="S584" s="377">
        <f>SUMIFS(Таблица14[часы],Таблица14[коэф],"1,3",Таблица14[р/р],"3/16",Таблица14[Ф. И. О.],B583)</f>
        <v>0</v>
      </c>
      <c r="T584" s="369">
        <f>SUMIFS(Таблица14[Столбец2],Таблица14[коэф],"1,3",Таблица14[р/р],"3/16",Таблица14[Ф. И. О.],B583)</f>
        <v>0</v>
      </c>
      <c r="U584" s="455">
        <f>IF(D578&lt;=3,база!$M$4,
IF(D578=4,база!$M$5,
IF(D578=5,база!$M$6)))</f>
        <v>225.09719999999999</v>
      </c>
      <c r="V584" s="367">
        <v>1.3</v>
      </c>
      <c r="W584" s="389">
        <f>SUMIFS(Таблица14[часы],Таблица14[коэф],"1,3",Таблица14[р/р],"3/24",Таблица14[Ф. И. О.],B583)</f>
        <v>0</v>
      </c>
      <c r="X584" s="521">
        <f>SUMIFS(Таблица14[Столбец2],Таблица14[коэф],"1,3",Таблица14[р/р],"3/24",Таблица14[Ф. И. О.],B583)</f>
        <v>0</v>
      </c>
      <c r="Y584" s="748"/>
      <c r="Z584" s="750"/>
      <c r="AA584" s="740"/>
    </row>
    <row r="585" spans="1:27" ht="18.75">
      <c r="A585" s="740"/>
      <c r="B585" s="201"/>
      <c r="C585" s="743"/>
      <c r="D585" s="746"/>
      <c r="E585" s="366"/>
      <c r="F585" s="367"/>
      <c r="G585" s="377"/>
      <c r="H585" s="369"/>
      <c r="I585" s="409"/>
      <c r="J585" s="410"/>
      <c r="K585" s="411"/>
      <c r="L585" s="411"/>
      <c r="M585" s="411"/>
      <c r="N585" s="411"/>
      <c r="O585" s="411"/>
      <c r="P585" s="383"/>
      <c r="Q585" s="366">
        <f>база!$L$5</f>
        <v>231.45480000000001</v>
      </c>
      <c r="R585" s="367">
        <v>1.3</v>
      </c>
      <c r="S585" s="377">
        <f>SUMIFS(Таблица14[часы],Таблица14[коэф],"1,3",Таблица14[р/р],"4/16",Таблица14[Ф. И. О.],B583)</f>
        <v>0</v>
      </c>
      <c r="T585" s="369">
        <f>SUMIFS(Таблица14[Столбец2],Таблица14[коэф],"1,3",Таблица14[р/р],"4/16",Таблица14[Ф. И. О.],B583)</f>
        <v>0</v>
      </c>
      <c r="U585" s="455">
        <f>база!$M$5</f>
        <v>247.41720000000001</v>
      </c>
      <c r="V585" s="367">
        <v>1.3</v>
      </c>
      <c r="W585" s="389">
        <f>SUMIFS(Таблица14[часы],Таблица14[коэф],"1,3",Таблица14[р/р],"4/24",Таблица14[Ф. И. О.],B583)</f>
        <v>0</v>
      </c>
      <c r="X585" s="521">
        <f>SUMIFS(Таблица14[Столбец2],Таблица14[коэф],"1,3",Таблица14[р/р],"4/24",Таблица14[Ф. И. О.],B583)</f>
        <v>0</v>
      </c>
      <c r="Y585" s="748"/>
      <c r="Z585" s="750"/>
      <c r="AA585" s="740"/>
    </row>
    <row r="586" spans="1:27" ht="18.75">
      <c r="A586" s="740"/>
      <c r="B586" s="201"/>
      <c r="C586" s="743"/>
      <c r="D586" s="746"/>
      <c r="E586" s="366"/>
      <c r="F586" s="367"/>
      <c r="G586" s="377"/>
      <c r="H586" s="369"/>
      <c r="I586" s="409"/>
      <c r="J586" s="410"/>
      <c r="K586" s="411"/>
      <c r="L586" s="411"/>
      <c r="M586" s="411"/>
      <c r="N586" s="411"/>
      <c r="O586" s="411"/>
      <c r="P586" s="383"/>
      <c r="Q586" s="366">
        <f>IF(D578&lt;=3,база!$L$4,
IF(D578=4,база!$L$5,
IF(D578=5,база!$L$6)))</f>
        <v>210.57480000000001</v>
      </c>
      <c r="R586" s="367">
        <v>1.4</v>
      </c>
      <c r="S586" s="377">
        <f>SUMIFS(Таблица14[часы],Таблица14[коэф],"1,4",Таблица14[р/р],"3/16",Таблица14[Ф. И. О.],B583)</f>
        <v>0</v>
      </c>
      <c r="T586" s="369">
        <f>SUMIFS(Таблица14[Столбец2],Таблица14[коэф],"1,4",Таблица14[р/р],"3/16",Таблица14[Ф. И. О.],B583)</f>
        <v>0</v>
      </c>
      <c r="U586" s="455">
        <f>IF(D578&lt;=3,база!$M$4,
IF(D578=4,база!$M$5,
IF(D578=5,база!$M$6)))</f>
        <v>225.09719999999999</v>
      </c>
      <c r="V586" s="367">
        <v>1.4</v>
      </c>
      <c r="W586" s="389">
        <f>SUMIFS(Таблица14[часы],Таблица14[коэф],"1,4",Таблица14[р/р],"3/24",Таблица14[Ф. И. О.],B583)</f>
        <v>0</v>
      </c>
      <c r="X586" s="521">
        <f>SUMIFS(Таблица14[Столбец2],Таблица14[коэф],"1,4",Таблица14[р/р],"3/24",Таблица14[Ф. И. О.],B583)</f>
        <v>0</v>
      </c>
      <c r="Y586" s="748"/>
      <c r="Z586" s="750"/>
      <c r="AA586" s="740"/>
    </row>
    <row r="587" spans="1:27" ht="18.75">
      <c r="A587" s="740"/>
      <c r="B587" s="201"/>
      <c r="C587" s="743"/>
      <c r="D587" s="746"/>
      <c r="E587" s="366"/>
      <c r="F587" s="367"/>
      <c r="G587" s="377"/>
      <c r="H587" s="369"/>
      <c r="I587" s="409"/>
      <c r="J587" s="410"/>
      <c r="K587" s="411"/>
      <c r="L587" s="411"/>
      <c r="M587" s="411"/>
      <c r="N587" s="411"/>
      <c r="O587" s="411"/>
      <c r="P587" s="383"/>
      <c r="Q587" s="366">
        <f>база!$L$5</f>
        <v>231.45480000000001</v>
      </c>
      <c r="R587" s="367">
        <v>1.4</v>
      </c>
      <c r="S587" s="377">
        <f>SUMIFS(Таблица14[часы],Таблица14[коэф],"1,4",Таблица14[р/р],"4/16",Таблица14[Ф. И. О.],B583)</f>
        <v>0</v>
      </c>
      <c r="T587" s="369">
        <f>SUMIFS(Таблица14[Столбец2],Таблица14[коэф],"1,4",Таблица14[р/р],"4/16",Таблица14[Ф. И. О.],B583)</f>
        <v>0</v>
      </c>
      <c r="U587" s="455">
        <f>база!$M$5</f>
        <v>247.41720000000001</v>
      </c>
      <c r="V587" s="367">
        <v>1.4</v>
      </c>
      <c r="W587" s="389">
        <f>SUMIFS(Таблица14[часы],Таблица14[коэф],"1,4",Таблица14[р/р],"4/24",Таблица14[Ф. И. О.],B583)</f>
        <v>0</v>
      </c>
      <c r="X587" s="521">
        <f>SUMIFS(Таблица14[Столбец2],Таблица14[коэф],"1,4",Таблица14[р/р],"4/24",Таблица14[Ф. И. О.],B583)</f>
        <v>0</v>
      </c>
      <c r="Y587" s="748"/>
      <c r="Z587" s="750"/>
      <c r="AA587" s="740"/>
    </row>
    <row r="588" spans="1:27" ht="19.5" thickBot="1">
      <c r="A588" s="741"/>
      <c r="B588" s="329"/>
      <c r="C588" s="744"/>
      <c r="D588" s="747"/>
      <c r="E588" s="450"/>
      <c r="F588" s="441"/>
      <c r="G588" s="628"/>
      <c r="H588" s="445"/>
      <c r="I588" s="622"/>
      <c r="J588" s="433"/>
      <c r="K588" s="623"/>
      <c r="L588" s="434"/>
      <c r="M588" s="622"/>
      <c r="N588" s="623"/>
      <c r="O588" s="623"/>
      <c r="P588" s="453"/>
      <c r="Q588" s="629">
        <f>база!$L$6</f>
        <v>261.04640000000001</v>
      </c>
      <c r="R588" s="441">
        <v>1.4</v>
      </c>
      <c r="S588" s="442">
        <f>SUMIFS(Таблица14[часы],Таблица14[коэф],"1,4",Таблица14[р/р],"5/16",Таблица14[Ф. И. О.],B583)</f>
        <v>0</v>
      </c>
      <c r="T588" s="445">
        <f>SUMIFS(Таблица14[Столбец2],Таблица14[коэф],"1,4",Таблица14[р/р],"5/16",Таблица14[Ф. И. О.],B583)</f>
        <v>0</v>
      </c>
      <c r="U588" s="440">
        <f>база!$M$6</f>
        <v>279.0496</v>
      </c>
      <c r="V588" s="441">
        <v>1.4</v>
      </c>
      <c r="W588" s="442">
        <f>SUMIFS(Таблица14[часы],Таблица14[коэф],"1,4",Таблица14[р/р],"5/24",Таблица14[Ф. И. О.],B583)</f>
        <v>0</v>
      </c>
      <c r="X588" s="445">
        <f>SUMIFS(Таблица14[Столбец2],Таблица14[коэф],"1,4",Таблица14[р/р],"5/24",Таблица14[Ф. И. О.],B583)</f>
        <v>0</v>
      </c>
      <c r="Y588" s="749"/>
      <c r="Z588" s="751"/>
      <c r="AA588" s="741"/>
    </row>
    <row r="589" spans="1:27" ht="18.75">
      <c r="A589" s="740">
        <v>54</v>
      </c>
      <c r="B589" s="201"/>
      <c r="C589" s="742">
        <f>INDEX(база!$E$2:$E$98, MATCH(B594,база!$B$2:$B$100,0))</f>
        <v>17307</v>
      </c>
      <c r="D589" s="745">
        <f>INDEX(база!$D$2:$D$121, MATCH(B594,база!$B$2:$B$100,0))</f>
        <v>3</v>
      </c>
      <c r="E589" s="458">
        <f>IF(D589&lt;=3,база!$I$4,
IF(D589=4,база!$I$5,
IF(D589=5,база!$I$6)))</f>
        <v>188.7912</v>
      </c>
      <c r="F589" s="394">
        <v>1</v>
      </c>
      <c r="G589" s="395">
        <f>SUMIFS(Таблица14[часы],Таблица14[коэф],"1",Таблица14[р/р],"2/4",Таблица14[Ф. И. О.],B594)</f>
        <v>0</v>
      </c>
      <c r="H589" s="379">
        <f>SUMIFS(Таблица14[Столбец2],Таблица14[коэф],"1",Таблица14[р/р],"2/4",Таблица14[Ф. И. О.],B594)</f>
        <v>0</v>
      </c>
      <c r="I589" s="429">
        <f>IF(D589&lt;=3,база!$J$4,
IF(D589=4,база!$J$5,
IF(D589=5,база!$J$6)))</f>
        <v>196.05240000000001</v>
      </c>
      <c r="J589" s="452">
        <v>1</v>
      </c>
      <c r="K589" s="430">
        <f>SUMIFS(Таблица14[часы],Таблица14[коэф],"1",Таблица14[р/р],"2/8",Таблица14[Ф. И. О.],B594)</f>
        <v>0</v>
      </c>
      <c r="L589" s="430">
        <f>SUMIFS(Таблица14[Столбец2],Таблица14[коэф],"1",Таблица14[р/р],"2/8",Таблица14[Ф. И. О.],B594)</f>
        <v>0</v>
      </c>
      <c r="M589" s="430"/>
      <c r="N589" s="430">
        <v>1</v>
      </c>
      <c r="O589" s="430">
        <f>SUMIFS(Data_Tech!$AM$3:$AM$67,Data_Tech!$E$3:$E$67,"1",Data_Tech!$G$3:$G$67,"3/12",Data_Tech!$F$3:$F$67,B594)</f>
        <v>0</v>
      </c>
      <c r="P589" s="375">
        <f>ROUND(M589*N589*O589,2)</f>
        <v>0</v>
      </c>
      <c r="Q589" s="458">
        <f>IF(D589&lt;=3,база!$L$4,
IF(D589=4,база!$L$5,
IF(D589=5,база!$L$6)))</f>
        <v>210.57480000000001</v>
      </c>
      <c r="R589" s="394">
        <v>1</v>
      </c>
      <c r="S589" s="395">
        <f>SUMIFS(Таблица14[часы],Таблица14[коэф],"1",Таблица14[р/р],"3/16",Таблица14[Ф. И. О.],B594)</f>
        <v>0</v>
      </c>
      <c r="T589" s="379">
        <f>SUMIFS(Таблица14[Столбец2],Таблица14[коэф],"1",Таблица14[р/р],"3/16",Таблица14[Ф. И. О.],B594)</f>
        <v>0</v>
      </c>
      <c r="U589" s="460">
        <f>IF(D589&lt;=3,база!$M$4,
IF(D589=4,база!$M$5,
IF(D589=5,база!$M$6)))</f>
        <v>225.09719999999999</v>
      </c>
      <c r="V589" s="394">
        <v>1</v>
      </c>
      <c r="W589" s="432">
        <f>SUMIFS(Таблица14[часы],Таблица14[коэф],"1",Таблица14[р/р],"3/24",Таблица14[Ф. И. О.],B594)</f>
        <v>0</v>
      </c>
      <c r="X589" s="528">
        <f>SUMIFS(Таблица14[Столбец2],Таблица14[коэф],"1",Таблица14[р/р],"3/24",Таблица14[Ф. И. О.],B594)</f>
        <v>0</v>
      </c>
      <c r="Y589" s="748">
        <f t="shared" ref="Y589" si="246">SUM(G589:G599,K589:K599,O589:O599,S589:S599,W589:W599)</f>
        <v>0</v>
      </c>
      <c r="Z589" s="750">
        <f t="shared" ref="Z589" si="247">IFERROR(SUM(H589:H599,L589:L599,T589:T599,X589:X599),"")</f>
        <v>0</v>
      </c>
      <c r="AA589" s="740"/>
    </row>
    <row r="590" spans="1:27" ht="18.75">
      <c r="A590" s="740"/>
      <c r="B590" s="201"/>
      <c r="C590" s="743"/>
      <c r="D590" s="746"/>
      <c r="E590" s="366">
        <f>IF(D589&lt;=3,база!$I$4,
IF(D589=4,база!$I$5,
IF(D589=5,база!$I$6)))</f>
        <v>188.7912</v>
      </c>
      <c r="F590" s="367">
        <v>1</v>
      </c>
      <c r="G590" s="377">
        <f>SUMIFS(Таблица14[часы],Таблица14[коэф],"1",Таблица14[р/р],"3/4",Таблица14[Ф. И. О.],B594)</f>
        <v>0</v>
      </c>
      <c r="H590" s="369">
        <f>SUMIFS(Таблица14[Столбец2],Таблица14[коэф],"1",Таблица14[р/р],"3/4",Таблица14[Ф. И. О.],B594)</f>
        <v>0</v>
      </c>
      <c r="I590" s="409">
        <f>IF(D589&lt;=3,база!$J$4,
IF(D589=4,база!$J$5,
IF(D589=5,база!$J$6)))</f>
        <v>196.05240000000001</v>
      </c>
      <c r="J590" s="410">
        <v>1</v>
      </c>
      <c r="K590" s="411">
        <f>SUMIFS(Таблица14[часы],Таблица14[коэф],"1",Таблица14[р/р],"3/8",Таблица14[Ф. И. О.],B594)</f>
        <v>0</v>
      </c>
      <c r="L590" s="411">
        <f>SUMIFS(Таблица14[Столбец2],Таблица14[коэф],"1",Таблица14[р/р],"3/8",Таблица14[Ф. И. О.],B594)</f>
        <v>0</v>
      </c>
      <c r="M590" s="411"/>
      <c r="N590" s="411">
        <v>1</v>
      </c>
      <c r="O590" s="411">
        <f>SUMIFS(Data_Tech!$AM$3:$AM$67,Data_Tech!$E$3:$E$67,"1",Data_Tech!$G$3:$G$67,"4/12",Data_Tech!$F$3:$F$67,B594)</f>
        <v>0</v>
      </c>
      <c r="P590" s="383">
        <f>ROUND(M590*O590,2)</f>
        <v>0</v>
      </c>
      <c r="Q590" s="366">
        <f>база!$L$5</f>
        <v>231.45480000000001</v>
      </c>
      <c r="R590" s="367">
        <v>1</v>
      </c>
      <c r="S590" s="377">
        <f>SUMIFS(Таблица14[часы],Таблица14[коэф],"1",Таблица14[р/р],"4/16",Таблица14[Ф. И. О.],B594)</f>
        <v>0</v>
      </c>
      <c r="T590" s="369">
        <f>SUMIFS(Таблица14[Столбец2],Таблица14[коэф],"1",Таблица14[р/р],"4/16",Таблица14[Ф. И. О.],B594)</f>
        <v>0</v>
      </c>
      <c r="U590" s="455">
        <f>база!$M$5</f>
        <v>247.41720000000001</v>
      </c>
      <c r="V590" s="367">
        <v>1</v>
      </c>
      <c r="W590" s="389">
        <f>SUMIFS(Таблица14[часы],Таблица14[коэф],"1",Таблица14[р/р],"4/24",Таблица14[Ф. И. О.],B594)</f>
        <v>0</v>
      </c>
      <c r="X590" s="521">
        <f>SUMIFS(Таблица14[Столбец2],Таблица14[коэф],"1",Таблица14[р/р],"4/24",Таблица14[Ф. И. О.],B594)</f>
        <v>0</v>
      </c>
      <c r="Y590" s="748"/>
      <c r="Z590" s="750"/>
      <c r="AA590" s="740"/>
    </row>
    <row r="591" spans="1:27" ht="18.75">
      <c r="A591" s="740"/>
      <c r="B591" s="201"/>
      <c r="C591" s="743"/>
      <c r="D591" s="746"/>
      <c r="E591" s="366"/>
      <c r="F591" s="367"/>
      <c r="G591" s="377"/>
      <c r="H591" s="369"/>
      <c r="I591" s="409"/>
      <c r="J591" s="410"/>
      <c r="K591" s="411"/>
      <c r="L591" s="411"/>
      <c r="M591" s="411"/>
      <c r="N591" s="411"/>
      <c r="O591" s="411"/>
      <c r="P591" s="383"/>
      <c r="Q591" s="366">
        <f>база!$L$6</f>
        <v>261.04640000000001</v>
      </c>
      <c r="R591" s="367">
        <v>1</v>
      </c>
      <c r="S591" s="377">
        <f>SUMIFS(Таблица14[часы],Таблица14[коэф],"1",Таблица14[р/р],"5/16",Таблица14[Ф. И. О.],B594)</f>
        <v>0</v>
      </c>
      <c r="T591" s="369">
        <f>SUMIFS(Таблица14[Столбец2],Таблица14[коэф],"1",Таблица14[р/р],"5/16",Таблица14[Ф. И. О.],B594)</f>
        <v>0</v>
      </c>
      <c r="U591" s="455">
        <f>база!$M$6</f>
        <v>279.0496</v>
      </c>
      <c r="V591" s="367">
        <v>1</v>
      </c>
      <c r="W591" s="389">
        <f>SUMIFS(Таблица14[часы],Таблица14[коэф],"1",Таблица14[р/р],"5/24",Таблица14[Ф. И. О.],B594)</f>
        <v>0</v>
      </c>
      <c r="X591" s="521">
        <f>SUMIFS(Таблица14[Столбец2],Таблица14[коэф],"1",Таблица14[р/р],"5/24",Таблица14[Ф. И. О.],B594)</f>
        <v>0</v>
      </c>
      <c r="Y591" s="748"/>
      <c r="Z591" s="750"/>
      <c r="AA591" s="740"/>
    </row>
    <row r="592" spans="1:27" ht="18.75">
      <c r="A592" s="740"/>
      <c r="B592" s="201"/>
      <c r="C592" s="743"/>
      <c r="D592" s="746"/>
      <c r="E592" s="366"/>
      <c r="F592" s="367"/>
      <c r="G592" s="377"/>
      <c r="H592" s="369"/>
      <c r="I592" s="409">
        <f>база!$J$5</f>
        <v>215.4924</v>
      </c>
      <c r="J592" s="410">
        <v>1.5</v>
      </c>
      <c r="K592" s="411">
        <f>SUMIFS(Таблица14[часы],Таблица14[коэф],"1,5",Таблица14[р/р],"4/8",Таблица14[Ф. И. О.],B594)</f>
        <v>0</v>
      </c>
      <c r="L592" s="411">
        <f>SUMIFS(Таблица14[Столбец2],Таблица14[коэф],"1,5",Таблица14[р/р],"4/8",Таблица14[Ф. И. О.],B594)</f>
        <v>0</v>
      </c>
      <c r="M592" s="411"/>
      <c r="N592" s="411"/>
      <c r="O592" s="411"/>
      <c r="P592" s="383"/>
      <c r="Q592" s="366">
        <f>IF(D589&lt;=3,база!$L$4,
IF(D589=4,база!$L$5,
IF(D589=5,база!$L$6)))</f>
        <v>210.57480000000001</v>
      </c>
      <c r="R592" s="367">
        <v>1.2</v>
      </c>
      <c r="S592" s="377">
        <f>SUMIFS(Таблица14[часы],Таблица14[коэф],"1,2",Таблица14[р/р],"3/16",Таблица14[Ф. И. О.],B594)</f>
        <v>0</v>
      </c>
      <c r="T592" s="369">
        <f>SUMIFS(Таблица14[Столбец2],Таблица14[коэф],"1,2",Таблица14[р/р],"3/16",Таблица14[Ф. И. О.],B594)</f>
        <v>0</v>
      </c>
      <c r="U592" s="455">
        <f>IF(D589&lt;=3,база!$M$4,
IF(D589=4,база!$M$5,
IF(D589=5,база!$M$6)))</f>
        <v>225.09719999999999</v>
      </c>
      <c r="V592" s="367">
        <v>1.2</v>
      </c>
      <c r="W592" s="389">
        <f>SUMIFS(Таблица14[часы],Таблица14[коэф],"1,2",Таблица14[р/р],"3/24",Таблица14[Ф. И. О.],B594)</f>
        <v>0</v>
      </c>
      <c r="X592" s="521">
        <f>SUMIFS(Таблица14[Столбец2],Таблица14[коэф],"1,2",Таблица14[р/р],"3/24",Таблица14[Ф. И. О.],B594)</f>
        <v>0</v>
      </c>
      <c r="Y592" s="748"/>
      <c r="Z592" s="750"/>
      <c r="AA592" s="740"/>
    </row>
    <row r="593" spans="1:27" ht="18.75">
      <c r="A593" s="740"/>
      <c r="B593" s="201"/>
      <c r="C593" s="743"/>
      <c r="D593" s="746"/>
      <c r="E593" s="366"/>
      <c r="F593" s="367"/>
      <c r="G593" s="377"/>
      <c r="H593" s="369"/>
      <c r="I593" s="409">
        <f>база!$J$6</f>
        <v>243.04319999999998</v>
      </c>
      <c r="J593" s="410">
        <v>1.5</v>
      </c>
      <c r="K593" s="411">
        <f>SUMIFS(Таблица14[часы],Таблица14[коэф],"1,5",Таблица14[р/р],"5/8",Таблица14[Ф. И. О.],B594)</f>
        <v>0</v>
      </c>
      <c r="L593" s="411">
        <f>SUMIFS(Таблица14[Столбец2],Таблица14[коэф],"1,5",Таблица14[р/р],"5/8",Таблица14[Ф. И. О.],B594)</f>
        <v>0</v>
      </c>
      <c r="M593" s="411"/>
      <c r="N593" s="411"/>
      <c r="O593" s="411"/>
      <c r="P593" s="383"/>
      <c r="Q593" s="366">
        <f>база!$L$5</f>
        <v>231.45480000000001</v>
      </c>
      <c r="R593" s="367">
        <v>1.2</v>
      </c>
      <c r="S593" s="377">
        <f>SUMIFS(Таблица14[часы],Таблица14[коэф],"1,2",Таблица14[р/р],"4/16",Таблица14[Ф. И. О.],B594)</f>
        <v>0</v>
      </c>
      <c r="T593" s="369">
        <f>SUMIFS(Таблица14[Столбец2],Таблица14[коэф],"1,2",Таблица14[р/р],"4/16",Таблица14[Ф. И. О.],B594)</f>
        <v>0</v>
      </c>
      <c r="U593" s="455">
        <f>база!$M$5</f>
        <v>247.41720000000001</v>
      </c>
      <c r="V593" s="367">
        <v>1.2</v>
      </c>
      <c r="W593" s="389">
        <f>SUMIFS(Таблица14[часы],Таблица14[коэф],"1,2",Таблица14[р/р],"4/24",Таблица14[Ф. И. О.],B594)</f>
        <v>0</v>
      </c>
      <c r="X593" s="521">
        <f>SUMIFS(Таблица14[Столбец2],Таблица14[коэф],"1,2",Таблица14[р/р],"4/24",Таблица14[Ф. И. О.],B594)</f>
        <v>0</v>
      </c>
      <c r="Y593" s="748"/>
      <c r="Z593" s="750"/>
      <c r="AA593" s="740"/>
    </row>
    <row r="594" spans="1:27" ht="37.5">
      <c r="A594" s="740"/>
      <c r="B594" s="201" t="str">
        <f>база!B55</f>
        <v>Новикова Александра Владимировна</v>
      </c>
      <c r="C594" s="743"/>
      <c r="D594" s="746"/>
      <c r="E594" s="366"/>
      <c r="F594" s="367"/>
      <c r="G594" s="377"/>
      <c r="H594" s="369"/>
      <c r="I594" s="409"/>
      <c r="J594" s="410"/>
      <c r="K594" s="411"/>
      <c r="L594" s="411"/>
      <c r="M594" s="411"/>
      <c r="N594" s="411"/>
      <c r="O594" s="411"/>
      <c r="P594" s="383"/>
      <c r="Q594" s="366">
        <f>база!$L$6</f>
        <v>261.04640000000001</v>
      </c>
      <c r="R594" s="367">
        <v>1.2</v>
      </c>
      <c r="S594" s="377">
        <f>SUMIFS(Таблица14[часы],Таблица14[коэф],"1,2",Таблица14[р/р],"5/16",Таблица14[Ф. И. О.],B594)</f>
        <v>0</v>
      </c>
      <c r="T594" s="369">
        <f>SUMIFS(Таблица14[Столбец2],Таблица14[коэф],"1,2",Таблица14[р/р],"5/16",Таблица14[Ф. И. О.],B594)</f>
        <v>0</v>
      </c>
      <c r="U594" s="455">
        <f>база!$M$6</f>
        <v>279.0496</v>
      </c>
      <c r="V594" s="367">
        <v>1.2</v>
      </c>
      <c r="W594" s="389">
        <f>SUMIFS(Таблица14[часы],Таблица14[коэф],"1,2",Таблица14[р/р],"5/24",Таблица14[Ф. И. О.],B594)</f>
        <v>0</v>
      </c>
      <c r="X594" s="521">
        <f>SUMIFS(Таблица14[Столбец2],Таблица14[коэф],"1,2",Таблица14[р/р],"5/24",Таблица14[Ф. И. О.],B594)</f>
        <v>0</v>
      </c>
      <c r="Y594" s="748"/>
      <c r="Z594" s="750"/>
      <c r="AA594" s="740"/>
    </row>
    <row r="595" spans="1:27" ht="18.75">
      <c r="A595" s="740"/>
      <c r="B595" s="201"/>
      <c r="C595" s="743"/>
      <c r="D595" s="746"/>
      <c r="E595" s="366"/>
      <c r="F595" s="367"/>
      <c r="G595" s="377"/>
      <c r="H595" s="369"/>
      <c r="I595" s="409"/>
      <c r="J595" s="410"/>
      <c r="K595" s="411"/>
      <c r="L595" s="411"/>
      <c r="M595" s="411"/>
      <c r="N595" s="411"/>
      <c r="O595" s="411"/>
      <c r="P595" s="383"/>
      <c r="Q595" s="366">
        <f>IF($D$6&lt;=3,база!$L$4,
IF($D$6=4,база!$L$5,
IF($D$6=5,база!$L$6)))</f>
        <v>231.45480000000001</v>
      </c>
      <c r="R595" s="367">
        <v>1.3</v>
      </c>
      <c r="S595" s="377">
        <f>SUMIFS(Таблица14[часы],Таблица14[коэф],"1,3",Таблица14[р/р],"3/16",Таблица14[Ф. И. О.],B594)</f>
        <v>0</v>
      </c>
      <c r="T595" s="369">
        <f>SUMIFS(Таблица14[Столбец2],Таблица14[коэф],"1,3",Таблица14[р/р],"3/16",Таблица14[Ф. И. О.],B594)</f>
        <v>0</v>
      </c>
      <c r="U595" s="455">
        <f>IF(D589&lt;=3,база!$M$4,
IF(D589=4,база!$M$5,
IF(D589=5,база!$M$6)))</f>
        <v>225.09719999999999</v>
      </c>
      <c r="V595" s="367">
        <v>1.3</v>
      </c>
      <c r="W595" s="389">
        <f>SUMIFS(Таблица14[часы],Таблица14[коэф],"1,3",Таблица14[р/р],"3/24",Таблица14[Ф. И. О.],B594)</f>
        <v>0</v>
      </c>
      <c r="X595" s="521">
        <f>SUMIFS(Таблица14[Столбец2],Таблица14[коэф],"1,3",Таблица14[р/р],"3/24",Таблица14[Ф. И. О.],B594)</f>
        <v>0</v>
      </c>
      <c r="Y595" s="748"/>
      <c r="Z595" s="750"/>
      <c r="AA595" s="740"/>
    </row>
    <row r="596" spans="1:27" ht="18.75">
      <c r="A596" s="740"/>
      <c r="B596" s="201"/>
      <c r="C596" s="743"/>
      <c r="D596" s="746"/>
      <c r="E596" s="366"/>
      <c r="F596" s="367"/>
      <c r="G596" s="377"/>
      <c r="H596" s="369"/>
      <c r="I596" s="409"/>
      <c r="J596" s="410"/>
      <c r="K596" s="411"/>
      <c r="L596" s="411"/>
      <c r="M596" s="411"/>
      <c r="N596" s="411"/>
      <c r="O596" s="411"/>
      <c r="P596" s="383"/>
      <c r="Q596" s="366">
        <f>база!$L$5</f>
        <v>231.45480000000001</v>
      </c>
      <c r="R596" s="367">
        <v>1.3</v>
      </c>
      <c r="S596" s="377">
        <f>SUMIFS(Таблица14[часы],Таблица14[коэф],"1,3",Таблица14[р/р],"4/16",Таблица14[Ф. И. О.],B594)</f>
        <v>0</v>
      </c>
      <c r="T596" s="369">
        <f>SUMIFS(Таблица14[Столбец2],Таблица14[коэф],"1,3",Таблица14[р/р],"4/16",Таблица14[Ф. И. О.],B594)</f>
        <v>0</v>
      </c>
      <c r="U596" s="455">
        <f>база!$M$5</f>
        <v>247.41720000000001</v>
      </c>
      <c r="V596" s="367">
        <v>1.3</v>
      </c>
      <c r="W596" s="389">
        <f>SUMIFS(Таблица14[часы],Таблица14[коэф],"1,3",Таблица14[р/р],"4/24",Таблица14[Ф. И. О.],B594)</f>
        <v>0</v>
      </c>
      <c r="X596" s="521">
        <f>SUMIFS(Таблица14[Столбец2],Таблица14[коэф],"1,3",Таблица14[р/р],"4/24",Таблица14[Ф. И. О.],B594)</f>
        <v>0</v>
      </c>
      <c r="Y596" s="748"/>
      <c r="Z596" s="750"/>
      <c r="AA596" s="740"/>
    </row>
    <row r="597" spans="1:27" ht="18.75">
      <c r="A597" s="740"/>
      <c r="B597" s="201"/>
      <c r="C597" s="743"/>
      <c r="D597" s="746"/>
      <c r="E597" s="366"/>
      <c r="F597" s="367"/>
      <c r="G597" s="377"/>
      <c r="H597" s="369"/>
      <c r="I597" s="409"/>
      <c r="J597" s="410"/>
      <c r="K597" s="411"/>
      <c r="L597" s="411"/>
      <c r="M597" s="411"/>
      <c r="N597" s="411"/>
      <c r="O597" s="411"/>
      <c r="P597" s="383"/>
      <c r="Q597" s="366">
        <f>IF(D589&lt;=3,база!$L$4,
IF(D589=4,база!$L$5,
IF(D589=5,база!$L$6)))</f>
        <v>210.57480000000001</v>
      </c>
      <c r="R597" s="367">
        <v>1.4</v>
      </c>
      <c r="S597" s="377">
        <f>SUMIFS(Таблица14[часы],Таблица14[коэф],"1,4",Таблица14[р/р],"3/16",Таблица14[Ф. И. О.],B594)</f>
        <v>0</v>
      </c>
      <c r="T597" s="369">
        <f>SUMIFS(Таблица14[Столбец2],Таблица14[коэф],"1,4",Таблица14[р/р],"3/16",Таблица14[Ф. И. О.],B594)</f>
        <v>0</v>
      </c>
      <c r="U597" s="455">
        <f>IF(D589&lt;=3,база!$M$4,
IF(D589=4,база!$M$5,
IF(D589=5,база!$M$6)))</f>
        <v>225.09719999999999</v>
      </c>
      <c r="V597" s="367">
        <v>1.4</v>
      </c>
      <c r="W597" s="389">
        <f>SUMIFS(Таблица14[часы],Таблица14[коэф],"1,4",Таблица14[р/р],"3/24",Таблица14[Ф. И. О.],B594)</f>
        <v>0</v>
      </c>
      <c r="X597" s="521">
        <f>SUMIFS(Таблица14[Столбец2],Таблица14[коэф],"1,4",Таблица14[р/р],"3/24",Таблица14[Ф. И. О.],B594)</f>
        <v>0</v>
      </c>
      <c r="Y597" s="748"/>
      <c r="Z597" s="750"/>
      <c r="AA597" s="740"/>
    </row>
    <row r="598" spans="1:27" ht="18.75">
      <c r="A598" s="740"/>
      <c r="B598" s="201"/>
      <c r="C598" s="743"/>
      <c r="D598" s="746"/>
      <c r="E598" s="366"/>
      <c r="F598" s="367"/>
      <c r="G598" s="377"/>
      <c r="H598" s="369"/>
      <c r="I598" s="409"/>
      <c r="J598" s="410"/>
      <c r="K598" s="411"/>
      <c r="L598" s="411"/>
      <c r="M598" s="411"/>
      <c r="N598" s="411"/>
      <c r="O598" s="411"/>
      <c r="P598" s="383"/>
      <c r="Q598" s="366">
        <f>база!$L$5</f>
        <v>231.45480000000001</v>
      </c>
      <c r="R598" s="367">
        <v>1.4</v>
      </c>
      <c r="S598" s="377">
        <f>SUMIFS(Таблица14[часы],Таблица14[коэф],"1,4",Таблица14[р/р],"4/16",Таблица14[Ф. И. О.],B594)</f>
        <v>0</v>
      </c>
      <c r="T598" s="369">
        <f>SUMIFS(Таблица14[Столбец2],Таблица14[коэф],"1,4",Таблица14[р/р],"4/16",Таблица14[Ф. И. О.],B594)</f>
        <v>0</v>
      </c>
      <c r="U598" s="455">
        <f>база!$M$5</f>
        <v>247.41720000000001</v>
      </c>
      <c r="V598" s="367">
        <v>1.4</v>
      </c>
      <c r="W598" s="389">
        <f>SUMIFS(Таблица14[часы],Таблица14[коэф],"1,4",Таблица14[р/р],"4/24",Таблица14[Ф. И. О.],B594)</f>
        <v>0</v>
      </c>
      <c r="X598" s="521">
        <f>SUMIFS(Таблица14[Столбец2],Таблица14[коэф],"1,4",Таблица14[р/р],"4/24",Таблица14[Ф. И. О.],B594)</f>
        <v>0</v>
      </c>
      <c r="Y598" s="748"/>
      <c r="Z598" s="750"/>
      <c r="AA598" s="740"/>
    </row>
    <row r="599" spans="1:27" ht="19.5" thickBot="1">
      <c r="A599" s="741"/>
      <c r="B599" s="329"/>
      <c r="C599" s="744"/>
      <c r="D599" s="747"/>
      <c r="E599" s="450"/>
      <c r="F599" s="441"/>
      <c r="G599" s="628"/>
      <c r="H599" s="445"/>
      <c r="I599" s="622"/>
      <c r="J599" s="433"/>
      <c r="K599" s="623"/>
      <c r="L599" s="434"/>
      <c r="M599" s="622"/>
      <c r="N599" s="623"/>
      <c r="O599" s="623"/>
      <c r="P599" s="453"/>
      <c r="Q599" s="629">
        <f>база!$L$6</f>
        <v>261.04640000000001</v>
      </c>
      <c r="R599" s="441">
        <v>1.4</v>
      </c>
      <c r="S599" s="442">
        <f>SUMIFS(Таблица14[часы],Таблица14[коэф],"1,4",Таблица14[р/р],"5/16",Таблица14[Ф. И. О.],B594)</f>
        <v>0</v>
      </c>
      <c r="T599" s="445">
        <f>SUMIFS(Таблица14[Столбец2],Таблица14[коэф],"1,4",Таблица14[р/р],"5/16",Таблица14[Ф. И. О.],B594)</f>
        <v>0</v>
      </c>
      <c r="U599" s="440">
        <f>база!$M$6</f>
        <v>279.0496</v>
      </c>
      <c r="V599" s="441">
        <v>1.4</v>
      </c>
      <c r="W599" s="442">
        <f>SUMIFS(Таблица14[часы],Таблица14[коэф],"1,4",Таблица14[р/р],"5/24",Таблица14[Ф. И. О.],B594)</f>
        <v>0</v>
      </c>
      <c r="X599" s="445">
        <f>SUMIFS(Таблица14[Столбец2],Таблица14[коэф],"1,4",Таблица14[р/р],"5/24",Таблица14[Ф. И. О.],B594)</f>
        <v>0</v>
      </c>
      <c r="Y599" s="749"/>
      <c r="Z599" s="751"/>
      <c r="AA599" s="741"/>
    </row>
    <row r="600" spans="1:27" ht="18.75">
      <c r="A600" s="740">
        <v>55</v>
      </c>
      <c r="B600" s="201"/>
      <c r="C600" s="742">
        <f>INDEX(база!$E$2:$E$98, MATCH(B605,база!$B$2:$B$100,0))</f>
        <v>16950</v>
      </c>
      <c r="D600" s="745">
        <f>INDEX(база!$D$2:$D$121, MATCH(B605,база!$B$2:$B$100,0))</f>
        <v>3</v>
      </c>
      <c r="E600" s="458">
        <f>IF(D600&lt;=3,база!$I$4,
IF(D600=4,база!$I$5,
IF(D600=5,база!$I$6)))</f>
        <v>188.7912</v>
      </c>
      <c r="F600" s="394">
        <v>1</v>
      </c>
      <c r="G600" s="395">
        <f>SUMIFS(Таблица14[часы],Таблица14[коэф],"1",Таблица14[р/р],"2/4",Таблица14[Ф. И. О.],B605)</f>
        <v>0</v>
      </c>
      <c r="H600" s="379">
        <f>SUMIFS(Таблица14[Столбец2],Таблица14[коэф],"1",Таблица14[р/р],"2/4",Таблица14[Ф. И. О.],B605)</f>
        <v>0</v>
      </c>
      <c r="I600" s="429">
        <f>IF(D600&lt;=3,база!$J$4,
IF(D600=4,база!$J$5,
IF(D600=5,база!$J$6)))</f>
        <v>196.05240000000001</v>
      </c>
      <c r="J600" s="452">
        <v>1</v>
      </c>
      <c r="K600" s="430">
        <f>SUMIFS(Таблица14[часы],Таблица14[коэф],"1",Таблица14[р/р],"2/8",Таблица14[Ф. И. О.],B605)</f>
        <v>0</v>
      </c>
      <c r="L600" s="430">
        <f>SUMIFS(Таблица14[Столбец2],Таблица14[коэф],"1",Таблица14[р/р],"2/8",Таблица14[Ф. И. О.],B605)</f>
        <v>0</v>
      </c>
      <c r="M600" s="430"/>
      <c r="N600" s="430">
        <v>1</v>
      </c>
      <c r="O600" s="430">
        <f>SUMIFS(Data_Tech!$AM$3:$AM$67,Data_Tech!$E$3:$E$67,"1",Data_Tech!$G$3:$G$67,"3/12",Data_Tech!$F$3:$F$67,B605)</f>
        <v>0</v>
      </c>
      <c r="P600" s="375">
        <f>ROUND(M600*N600*O600,2)</f>
        <v>0</v>
      </c>
      <c r="Q600" s="458">
        <f>IF(D600&lt;=3,база!$L$4,
IF(D600=4,база!$L$5,
IF(D600=5,база!$L$6)))</f>
        <v>210.57480000000001</v>
      </c>
      <c r="R600" s="394">
        <v>1</v>
      </c>
      <c r="S600" s="395">
        <f>SUMIFS(Таблица14[часы],Таблица14[коэф],"1",Таблица14[р/р],"3/16",Таблица14[Ф. И. О.],B605)</f>
        <v>0</v>
      </c>
      <c r="T600" s="379">
        <f>SUMIFS(Таблица14[Столбец2],Таблица14[коэф],"1",Таблица14[р/р],"3/16",Таблица14[Ф. И. О.],B605)</f>
        <v>0</v>
      </c>
      <c r="U600" s="460">
        <f>IF(D600&lt;=3,база!$M$4,
IF(D600=4,база!$M$5,
IF(D600=5,база!$M$6)))</f>
        <v>225.09719999999999</v>
      </c>
      <c r="V600" s="394">
        <v>1</v>
      </c>
      <c r="W600" s="432">
        <f>SUMIFS(Таблица14[часы],Таблица14[коэф],"1",Таблица14[р/р],"3/24",Таблица14[Ф. И. О.],B605)</f>
        <v>0</v>
      </c>
      <c r="X600" s="528">
        <f>SUMIFS(Таблица14[Столбец2],Таблица14[коэф],"1",Таблица14[р/р],"3/24",Таблица14[Ф. И. О.],B605)</f>
        <v>0</v>
      </c>
      <c r="Y600" s="748">
        <f t="shared" ref="Y600" si="248">SUM(G600:G610,K600:K610,O600:O610,S600:S610,W600:W610)</f>
        <v>0</v>
      </c>
      <c r="Z600" s="750">
        <f t="shared" ref="Z600" si="249">IFERROR(SUM(H600:H610,L600:L610,T600:T610,X600:X610),"")</f>
        <v>0</v>
      </c>
      <c r="AA600" s="740"/>
    </row>
    <row r="601" spans="1:27" ht="18.75">
      <c r="A601" s="740"/>
      <c r="B601" s="201"/>
      <c r="C601" s="743"/>
      <c r="D601" s="746"/>
      <c r="E601" s="366">
        <f>IF(D600&lt;=3,база!$I$4,
IF(D600=4,база!$I$5,
IF(D600=5,база!$I$6)))</f>
        <v>188.7912</v>
      </c>
      <c r="F601" s="367">
        <v>1</v>
      </c>
      <c r="G601" s="377">
        <f>SUMIFS(Таблица14[часы],Таблица14[коэф],"1",Таблица14[р/р],"3/4",Таблица14[Ф. И. О.],B605)</f>
        <v>0</v>
      </c>
      <c r="H601" s="369">
        <f>SUMIFS(Таблица14[Столбец2],Таблица14[коэф],"1",Таблица14[р/р],"3/4",Таблица14[Ф. И. О.],B605)</f>
        <v>0</v>
      </c>
      <c r="I601" s="409">
        <f>IF(D600&lt;=3,база!$J$4,
IF(D600=4,база!$J$5,
IF(D600=5,база!$J$6)))</f>
        <v>196.05240000000001</v>
      </c>
      <c r="J601" s="410">
        <v>1</v>
      </c>
      <c r="K601" s="411">
        <f>SUMIFS(Таблица14[часы],Таблица14[коэф],"1",Таблица14[р/р],"3/8",Таблица14[Ф. И. О.],B605)</f>
        <v>0</v>
      </c>
      <c r="L601" s="411">
        <f>SUMIFS(Таблица14[Столбец2],Таблица14[коэф],"1",Таблица14[р/р],"3/8",Таблица14[Ф. И. О.],B605)</f>
        <v>0</v>
      </c>
      <c r="M601" s="411"/>
      <c r="N601" s="411">
        <v>1</v>
      </c>
      <c r="O601" s="411">
        <f>SUMIFS(Data_Tech!$AM$3:$AM$67,Data_Tech!$E$3:$E$67,"1",Data_Tech!$G$3:$G$67,"4/12",Data_Tech!$F$3:$F$67,B605)</f>
        <v>0</v>
      </c>
      <c r="P601" s="383">
        <f>ROUND(M601*O601,2)</f>
        <v>0</v>
      </c>
      <c r="Q601" s="366">
        <f>база!$L$5</f>
        <v>231.45480000000001</v>
      </c>
      <c r="R601" s="367">
        <v>1</v>
      </c>
      <c r="S601" s="377">
        <f>SUMIFS(Таблица14[часы],Таблица14[коэф],"1",Таблица14[р/р],"4/16",Таблица14[Ф. И. О.],B605)</f>
        <v>0</v>
      </c>
      <c r="T601" s="369">
        <f>SUMIFS(Таблица14[Столбец2],Таблица14[коэф],"1",Таблица14[р/р],"4/16",Таблица14[Ф. И. О.],B605)</f>
        <v>0</v>
      </c>
      <c r="U601" s="455">
        <f>база!$M$5</f>
        <v>247.41720000000001</v>
      </c>
      <c r="V601" s="367">
        <v>1</v>
      </c>
      <c r="W601" s="389">
        <f>SUMIFS(Таблица14[часы],Таблица14[коэф],"1",Таблица14[р/р],"4/24",Таблица14[Ф. И. О.],B605)</f>
        <v>0</v>
      </c>
      <c r="X601" s="521">
        <f>SUMIFS(Таблица14[Столбец2],Таблица14[коэф],"1",Таблица14[р/р],"4/24",Таблица14[Ф. И. О.],B605)</f>
        <v>0</v>
      </c>
      <c r="Y601" s="748"/>
      <c r="Z601" s="750"/>
      <c r="AA601" s="740"/>
    </row>
    <row r="602" spans="1:27" ht="18.75">
      <c r="A602" s="740"/>
      <c r="B602" s="201"/>
      <c r="C602" s="743"/>
      <c r="D602" s="746"/>
      <c r="E602" s="366"/>
      <c r="F602" s="367"/>
      <c r="G602" s="377"/>
      <c r="H602" s="369"/>
      <c r="I602" s="409"/>
      <c r="J602" s="410"/>
      <c r="K602" s="411"/>
      <c r="L602" s="411"/>
      <c r="M602" s="411"/>
      <c r="N602" s="411"/>
      <c r="O602" s="411"/>
      <c r="P602" s="383"/>
      <c r="Q602" s="366">
        <f>база!$L$6</f>
        <v>261.04640000000001</v>
      </c>
      <c r="R602" s="367">
        <v>1</v>
      </c>
      <c r="S602" s="377">
        <f>SUMIFS(Таблица14[часы],Таблица14[коэф],"1",Таблица14[р/р],"5/16",Таблица14[Ф. И. О.],B605)</f>
        <v>0</v>
      </c>
      <c r="T602" s="369">
        <f>SUMIFS(Таблица14[Столбец2],Таблица14[коэф],"1",Таблица14[р/р],"5/16",Таблица14[Ф. И. О.],B605)</f>
        <v>0</v>
      </c>
      <c r="U602" s="455">
        <f>база!$M$6</f>
        <v>279.0496</v>
      </c>
      <c r="V602" s="367">
        <v>1</v>
      </c>
      <c r="W602" s="389">
        <f>SUMIFS(Таблица14[часы],Таблица14[коэф],"1",Таблица14[р/р],"5/24",Таблица14[Ф. И. О.],B605)</f>
        <v>0</v>
      </c>
      <c r="X602" s="521">
        <f>SUMIFS(Таблица14[Столбец2],Таблица14[коэф],"1",Таблица14[р/р],"5/24",Таблица14[Ф. И. О.],B605)</f>
        <v>0</v>
      </c>
      <c r="Y602" s="748"/>
      <c r="Z602" s="750"/>
      <c r="AA602" s="740"/>
    </row>
    <row r="603" spans="1:27" ht="18.75">
      <c r="A603" s="740"/>
      <c r="B603" s="201"/>
      <c r="C603" s="743"/>
      <c r="D603" s="746"/>
      <c r="E603" s="366"/>
      <c r="F603" s="367"/>
      <c r="G603" s="377"/>
      <c r="H603" s="369"/>
      <c r="I603" s="409">
        <f>база!$J$5</f>
        <v>215.4924</v>
      </c>
      <c r="J603" s="410">
        <v>1.5</v>
      </c>
      <c r="K603" s="411">
        <f>SUMIFS(Таблица14[часы],Таблица14[коэф],"1,5",Таблица14[р/р],"4/8",Таблица14[Ф. И. О.],B605)</f>
        <v>0</v>
      </c>
      <c r="L603" s="411">
        <f>SUMIFS(Таблица14[Столбец2],Таблица14[коэф],"1,5",Таблица14[р/р],"4/8",Таблица14[Ф. И. О.],B605)</f>
        <v>0</v>
      </c>
      <c r="M603" s="411"/>
      <c r="N603" s="411"/>
      <c r="O603" s="411"/>
      <c r="P603" s="383"/>
      <c r="Q603" s="366">
        <f>IF(D600&lt;=3,база!$L$4,
IF(D600=4,база!$L$5,
IF(D600=5,база!$L$6)))</f>
        <v>210.57480000000001</v>
      </c>
      <c r="R603" s="367">
        <v>1.2</v>
      </c>
      <c r="S603" s="377">
        <f>SUMIFS(Таблица14[часы],Таблица14[коэф],"1,2",Таблица14[р/р],"3/16",Таблица14[Ф. И. О.],B605)</f>
        <v>0</v>
      </c>
      <c r="T603" s="369">
        <f>SUMIFS(Таблица14[Столбец2],Таблица14[коэф],"1,2",Таблица14[р/р],"3/16",Таблица14[Ф. И. О.],B605)</f>
        <v>0</v>
      </c>
      <c r="U603" s="455">
        <f>IF(D600&lt;=3,база!$M$4,
IF(D600=4,база!$M$5,
IF(D600=5,база!$M$6)))</f>
        <v>225.09719999999999</v>
      </c>
      <c r="V603" s="367">
        <v>1.2</v>
      </c>
      <c r="W603" s="389">
        <f>SUMIFS(Таблица14[часы],Таблица14[коэф],"1,2",Таблица14[р/р],"3/24",Таблица14[Ф. И. О.],B605)</f>
        <v>0</v>
      </c>
      <c r="X603" s="521">
        <f>SUMIFS(Таблица14[Столбец2],Таблица14[коэф],"1,2",Таблица14[р/р],"3/24",Таблица14[Ф. И. О.],B605)</f>
        <v>0</v>
      </c>
      <c r="Y603" s="748"/>
      <c r="Z603" s="750"/>
      <c r="AA603" s="740"/>
    </row>
    <row r="604" spans="1:27" ht="18.75">
      <c r="A604" s="740"/>
      <c r="B604" s="201"/>
      <c r="C604" s="743"/>
      <c r="D604" s="746"/>
      <c r="E604" s="366"/>
      <c r="F604" s="367"/>
      <c r="G604" s="377"/>
      <c r="H604" s="369"/>
      <c r="I604" s="409">
        <f>база!$J$6</f>
        <v>243.04319999999998</v>
      </c>
      <c r="J604" s="410">
        <v>1.5</v>
      </c>
      <c r="K604" s="411">
        <f>SUMIFS(Таблица14[часы],Таблица14[коэф],"1,5",Таблица14[р/р],"5/8",Таблица14[Ф. И. О.],B605)</f>
        <v>0</v>
      </c>
      <c r="L604" s="411">
        <f>SUMIFS(Таблица14[Столбец2],Таблица14[коэф],"1,5",Таблица14[р/р],"5/8",Таблица14[Ф. И. О.],B605)</f>
        <v>0</v>
      </c>
      <c r="M604" s="411"/>
      <c r="N604" s="411"/>
      <c r="O604" s="411"/>
      <c r="P604" s="383"/>
      <c r="Q604" s="366">
        <f>база!$L$5</f>
        <v>231.45480000000001</v>
      </c>
      <c r="R604" s="367">
        <v>1.2</v>
      </c>
      <c r="S604" s="377">
        <f>SUMIFS(Таблица14[часы],Таблица14[коэф],"1,2",Таблица14[р/р],"4/16",Таблица14[Ф. И. О.],B605)</f>
        <v>0</v>
      </c>
      <c r="T604" s="369">
        <f>SUMIFS(Таблица14[Столбец2],Таблица14[коэф],"1,2",Таблица14[р/р],"4/16",Таблица14[Ф. И. О.],B605)</f>
        <v>0</v>
      </c>
      <c r="U604" s="455">
        <f>база!$M$5</f>
        <v>247.41720000000001</v>
      </c>
      <c r="V604" s="367">
        <v>1.2</v>
      </c>
      <c r="W604" s="389">
        <f>SUMIFS(Таблица14[часы],Таблица14[коэф],"1,2",Таблица14[р/р],"4/24",Таблица14[Ф. И. О.],B605)</f>
        <v>0</v>
      </c>
      <c r="X604" s="521">
        <f>SUMIFS(Таблица14[Столбец2],Таблица14[коэф],"1,2",Таблица14[р/р],"4/24",Таблица14[Ф. И. О.],B605)</f>
        <v>0</v>
      </c>
      <c r="Y604" s="748"/>
      <c r="Z604" s="750"/>
      <c r="AA604" s="740"/>
    </row>
    <row r="605" spans="1:27" ht="18.75">
      <c r="A605" s="740"/>
      <c r="B605" s="201" t="str">
        <f>база!B56</f>
        <v>Овчинников Глеб Эдуардович</v>
      </c>
      <c r="C605" s="743"/>
      <c r="D605" s="746"/>
      <c r="E605" s="366"/>
      <c r="F605" s="367"/>
      <c r="G605" s="377"/>
      <c r="H605" s="369"/>
      <c r="I605" s="409"/>
      <c r="J605" s="410"/>
      <c r="K605" s="411"/>
      <c r="L605" s="411"/>
      <c r="M605" s="411"/>
      <c r="N605" s="411"/>
      <c r="O605" s="411"/>
      <c r="P605" s="383"/>
      <c r="Q605" s="366">
        <f>база!$L$6</f>
        <v>261.04640000000001</v>
      </c>
      <c r="R605" s="367">
        <v>1.2</v>
      </c>
      <c r="S605" s="377">
        <f>SUMIFS(Таблица14[часы],Таблица14[коэф],"1,2",Таблица14[р/р],"5/16",Таблица14[Ф. И. О.],B605)</f>
        <v>0</v>
      </c>
      <c r="T605" s="369">
        <f>SUMIFS(Таблица14[Столбец2],Таблица14[коэф],"1,2",Таблица14[р/р],"5/16",Таблица14[Ф. И. О.],B605)</f>
        <v>0</v>
      </c>
      <c r="U605" s="455">
        <f>база!$M$6</f>
        <v>279.0496</v>
      </c>
      <c r="V605" s="367">
        <v>1.2</v>
      </c>
      <c r="W605" s="389">
        <f>SUMIFS(Таблица14[часы],Таблица14[коэф],"1,2",Таблица14[р/р],"5/24",Таблица14[Ф. И. О.],B605)</f>
        <v>0</v>
      </c>
      <c r="X605" s="521">
        <f>SUMIFS(Таблица14[Столбец2],Таблица14[коэф],"1,2",Таблица14[р/р],"5/24",Таблица14[Ф. И. О.],B605)</f>
        <v>0</v>
      </c>
      <c r="Y605" s="748"/>
      <c r="Z605" s="750"/>
      <c r="AA605" s="740"/>
    </row>
    <row r="606" spans="1:27" ht="18.75">
      <c r="A606" s="740"/>
      <c r="B606" s="201"/>
      <c r="C606" s="743"/>
      <c r="D606" s="746"/>
      <c r="E606" s="366"/>
      <c r="F606" s="367"/>
      <c r="G606" s="377"/>
      <c r="H606" s="369"/>
      <c r="I606" s="409"/>
      <c r="J606" s="410"/>
      <c r="K606" s="411"/>
      <c r="L606" s="411"/>
      <c r="M606" s="411"/>
      <c r="N606" s="411"/>
      <c r="O606" s="411"/>
      <c r="P606" s="383"/>
      <c r="Q606" s="366">
        <f>IF($D$6&lt;=3,база!$L$4,
IF($D$6=4,база!$L$5,
IF($D$6=5,база!$L$6)))</f>
        <v>231.45480000000001</v>
      </c>
      <c r="R606" s="367">
        <v>1.3</v>
      </c>
      <c r="S606" s="377">
        <f>SUMIFS(Таблица14[часы],Таблица14[коэф],"1,3",Таблица14[р/р],"3/16",Таблица14[Ф. И. О.],B605)</f>
        <v>0</v>
      </c>
      <c r="T606" s="369">
        <f>SUMIFS(Таблица14[Столбец2],Таблица14[коэф],"1,3",Таблица14[р/р],"3/16",Таблица14[Ф. И. О.],B605)</f>
        <v>0</v>
      </c>
      <c r="U606" s="455">
        <f>IF(D600&lt;=3,база!$M$4,
IF(D600=4,база!$M$5,
IF(D600=5,база!$M$6)))</f>
        <v>225.09719999999999</v>
      </c>
      <c r="V606" s="367">
        <v>1.3</v>
      </c>
      <c r="W606" s="389">
        <f>SUMIFS(Таблица14[часы],Таблица14[коэф],"1,3",Таблица14[р/р],"3/24",Таблица14[Ф. И. О.],B605)</f>
        <v>0</v>
      </c>
      <c r="X606" s="521">
        <f>SUMIFS(Таблица14[Столбец2],Таблица14[коэф],"1,3",Таблица14[р/р],"3/24",Таблица14[Ф. И. О.],B605)</f>
        <v>0</v>
      </c>
      <c r="Y606" s="748"/>
      <c r="Z606" s="750"/>
      <c r="AA606" s="740"/>
    </row>
    <row r="607" spans="1:27" ht="18.75">
      <c r="A607" s="740"/>
      <c r="B607" s="201"/>
      <c r="C607" s="743"/>
      <c r="D607" s="746"/>
      <c r="E607" s="366"/>
      <c r="F607" s="367"/>
      <c r="G607" s="377"/>
      <c r="H607" s="369"/>
      <c r="I607" s="409"/>
      <c r="J607" s="410"/>
      <c r="K607" s="411"/>
      <c r="L607" s="411"/>
      <c r="M607" s="411"/>
      <c r="N607" s="411"/>
      <c r="O607" s="411"/>
      <c r="P607" s="383"/>
      <c r="Q607" s="366">
        <f>база!$L$5</f>
        <v>231.45480000000001</v>
      </c>
      <c r="R607" s="367">
        <v>1.3</v>
      </c>
      <c r="S607" s="377">
        <f>SUMIFS(Таблица14[часы],Таблица14[коэф],"1,3",Таблица14[р/р],"4/16",Таблица14[Ф. И. О.],B605)</f>
        <v>0</v>
      </c>
      <c r="T607" s="369">
        <f>SUMIFS(Таблица14[Столбец2],Таблица14[коэф],"1,3",Таблица14[р/р],"4/16",Таблица14[Ф. И. О.],B605)</f>
        <v>0</v>
      </c>
      <c r="U607" s="455">
        <f>база!$M$5</f>
        <v>247.41720000000001</v>
      </c>
      <c r="V607" s="367">
        <v>1.3</v>
      </c>
      <c r="W607" s="389">
        <f>SUMIFS(Таблица14[часы],Таблица14[коэф],"1,3",Таблица14[р/р],"4/24",Таблица14[Ф. И. О.],B605)</f>
        <v>0</v>
      </c>
      <c r="X607" s="521">
        <f>SUMIFS(Таблица14[Столбец2],Таблица14[коэф],"1,3",Таблица14[р/р],"4/24",Таблица14[Ф. И. О.],B605)</f>
        <v>0</v>
      </c>
      <c r="Y607" s="748"/>
      <c r="Z607" s="750"/>
      <c r="AA607" s="740"/>
    </row>
    <row r="608" spans="1:27" ht="18.75">
      <c r="A608" s="740"/>
      <c r="B608" s="201"/>
      <c r="C608" s="743"/>
      <c r="D608" s="746"/>
      <c r="E608" s="366"/>
      <c r="F608" s="367"/>
      <c r="G608" s="377"/>
      <c r="H608" s="369"/>
      <c r="I608" s="409"/>
      <c r="J608" s="410"/>
      <c r="K608" s="411"/>
      <c r="L608" s="411"/>
      <c r="M608" s="411"/>
      <c r="N608" s="411"/>
      <c r="O608" s="411"/>
      <c r="P608" s="383"/>
      <c r="Q608" s="366">
        <f>IF(D600&lt;=3,база!$L$4,
IF(D600=4,база!$L$5,
IF(D600=5,база!$L$6)))</f>
        <v>210.57480000000001</v>
      </c>
      <c r="R608" s="367">
        <v>1.4</v>
      </c>
      <c r="S608" s="377">
        <f>SUMIFS(Таблица14[часы],Таблица14[коэф],"1,4",Таблица14[р/р],"3/16",Таблица14[Ф. И. О.],B605)</f>
        <v>0</v>
      </c>
      <c r="T608" s="369">
        <f>SUMIFS(Таблица14[Столбец2],Таблица14[коэф],"1,4",Таблица14[р/р],"3/16",Таблица14[Ф. И. О.],B605)</f>
        <v>0</v>
      </c>
      <c r="U608" s="455">
        <f>IF(D600&lt;=3,база!$M$4,
IF(D600=4,база!$M$5,
IF(D600=5,база!$M$6)))</f>
        <v>225.09719999999999</v>
      </c>
      <c r="V608" s="367">
        <v>1.4</v>
      </c>
      <c r="W608" s="389">
        <f>SUMIFS(Таблица14[часы],Таблица14[коэф],"1,4",Таблица14[р/р],"3/24",Таблица14[Ф. И. О.],B605)</f>
        <v>0</v>
      </c>
      <c r="X608" s="521">
        <f>SUMIFS(Таблица14[Столбец2],Таблица14[коэф],"1,4",Таблица14[р/р],"3/24",Таблица14[Ф. И. О.],B605)</f>
        <v>0</v>
      </c>
      <c r="Y608" s="748"/>
      <c r="Z608" s="750"/>
      <c r="AA608" s="740"/>
    </row>
    <row r="609" spans="1:27" ht="18.75">
      <c r="A609" s="740"/>
      <c r="B609" s="201"/>
      <c r="C609" s="743"/>
      <c r="D609" s="746"/>
      <c r="E609" s="366"/>
      <c r="F609" s="367"/>
      <c r="G609" s="377"/>
      <c r="H609" s="369"/>
      <c r="I609" s="409"/>
      <c r="J609" s="410"/>
      <c r="K609" s="411"/>
      <c r="L609" s="411"/>
      <c r="M609" s="411"/>
      <c r="N609" s="411"/>
      <c r="O609" s="411"/>
      <c r="P609" s="383"/>
      <c r="Q609" s="366">
        <f>база!$L$5</f>
        <v>231.45480000000001</v>
      </c>
      <c r="R609" s="367">
        <v>1.4</v>
      </c>
      <c r="S609" s="377">
        <f>SUMIFS(Таблица14[часы],Таблица14[коэф],"1,4",Таблица14[р/р],"4/16",Таблица14[Ф. И. О.],B605)</f>
        <v>0</v>
      </c>
      <c r="T609" s="369">
        <f>SUMIFS(Таблица14[Столбец2],Таблица14[коэф],"1,4",Таблица14[р/р],"4/16",Таблица14[Ф. И. О.],B605)</f>
        <v>0</v>
      </c>
      <c r="U609" s="455">
        <f>база!$M$5</f>
        <v>247.41720000000001</v>
      </c>
      <c r="V609" s="367">
        <v>1.4</v>
      </c>
      <c r="W609" s="389">
        <f>SUMIFS(Таблица14[часы],Таблица14[коэф],"1,4",Таблица14[р/р],"4/24",Таблица14[Ф. И. О.],B605)</f>
        <v>0</v>
      </c>
      <c r="X609" s="521">
        <f>SUMIFS(Таблица14[Столбец2],Таблица14[коэф],"1,4",Таблица14[р/р],"4/24",Таблица14[Ф. И. О.],B605)</f>
        <v>0</v>
      </c>
      <c r="Y609" s="748"/>
      <c r="Z609" s="750"/>
      <c r="AA609" s="740"/>
    </row>
    <row r="610" spans="1:27" ht="19.5" thickBot="1">
      <c r="A610" s="741"/>
      <c r="B610" s="329"/>
      <c r="C610" s="744"/>
      <c r="D610" s="747"/>
      <c r="E610" s="450"/>
      <c r="F610" s="441"/>
      <c r="G610" s="628"/>
      <c r="H610" s="445"/>
      <c r="I610" s="622"/>
      <c r="J610" s="433"/>
      <c r="K610" s="623"/>
      <c r="L610" s="434"/>
      <c r="M610" s="622"/>
      <c r="N610" s="623"/>
      <c r="O610" s="623"/>
      <c r="P610" s="453"/>
      <c r="Q610" s="629">
        <f>база!$L$6</f>
        <v>261.04640000000001</v>
      </c>
      <c r="R610" s="441">
        <v>1.4</v>
      </c>
      <c r="S610" s="442">
        <f>SUMIFS(Таблица14[часы],Таблица14[коэф],"1,4",Таблица14[р/р],"5/16",Таблица14[Ф. И. О.],B605)</f>
        <v>0</v>
      </c>
      <c r="T610" s="445">
        <f>SUMIFS(Таблица14[Столбец2],Таблица14[коэф],"1,4",Таблица14[р/р],"5/16",Таблица14[Ф. И. О.],B605)</f>
        <v>0</v>
      </c>
      <c r="U610" s="440">
        <f>база!$M$6</f>
        <v>279.0496</v>
      </c>
      <c r="V610" s="441">
        <v>1.4</v>
      </c>
      <c r="W610" s="442">
        <f>SUMIFS(Таблица14[часы],Таблица14[коэф],"1,4",Таблица14[р/р],"5/24",Таблица14[Ф. И. О.],B605)</f>
        <v>0</v>
      </c>
      <c r="X610" s="445">
        <f>SUMIFS(Таблица14[Столбец2],Таблица14[коэф],"1,4",Таблица14[р/р],"5/24",Таблица14[Ф. И. О.],B605)</f>
        <v>0</v>
      </c>
      <c r="Y610" s="749"/>
      <c r="Z610" s="751"/>
      <c r="AA610" s="741"/>
    </row>
    <row r="611" spans="1:27" ht="18.75">
      <c r="A611" s="740">
        <v>56</v>
      </c>
      <c r="B611" s="201"/>
      <c r="C611" s="742">
        <f>INDEX(база!$E$2:$E$98, MATCH(B616,база!$B$2:$B$100,0))</f>
        <v>16311</v>
      </c>
      <c r="D611" s="745">
        <f>INDEX(база!$D$2:$D$121, MATCH(B616,база!$B$2:$B$100,0))</f>
        <v>3</v>
      </c>
      <c r="E611" s="458">
        <f>IF(D611&lt;=3,база!$I$4,
IF(D611=4,база!$I$5,
IF(D611=5,база!$I$6)))</f>
        <v>188.7912</v>
      </c>
      <c r="F611" s="394">
        <v>1</v>
      </c>
      <c r="G611" s="395">
        <f>SUMIFS(Таблица14[часы],Таблица14[коэф],"1",Таблица14[р/р],"2/4",Таблица14[Ф. И. О.],B616)</f>
        <v>0</v>
      </c>
      <c r="H611" s="379">
        <f>SUMIFS(Таблица14[Столбец2],Таблица14[коэф],"1",Таблица14[р/р],"2/4",Таблица14[Ф. И. О.],B616)</f>
        <v>0</v>
      </c>
      <c r="I611" s="429">
        <f>IF(D611&lt;=3,база!$J$4,
IF(D611=4,база!$J$5,
IF(D611=5,база!$J$6)))</f>
        <v>196.05240000000001</v>
      </c>
      <c r="J611" s="452">
        <v>1</v>
      </c>
      <c r="K611" s="430">
        <f>SUMIFS(Таблица14[часы],Таблица14[коэф],"1",Таблица14[р/р],"2/8",Таблица14[Ф. И. О.],B616)</f>
        <v>0</v>
      </c>
      <c r="L611" s="430">
        <f>SUMIFS(Таблица14[Столбец2],Таблица14[коэф],"1",Таблица14[р/р],"2/8",Таблица14[Ф. И. О.],B616)</f>
        <v>0</v>
      </c>
      <c r="M611" s="430"/>
      <c r="N611" s="430">
        <v>1</v>
      </c>
      <c r="O611" s="430">
        <f>SUMIFS(Data_Tech!$AM$3:$AM$67,Data_Tech!$E$3:$E$67,"1",Data_Tech!$G$3:$G$67,"3/12",Data_Tech!$F$3:$F$67,B616)</f>
        <v>0</v>
      </c>
      <c r="P611" s="375">
        <f>ROUND(M611*N611*O611,2)</f>
        <v>0</v>
      </c>
      <c r="Q611" s="458">
        <f>IF(D611&lt;=3,база!$L$4,
IF(D611=4,база!$L$5,
IF(D611=5,база!$L$6)))</f>
        <v>210.57480000000001</v>
      </c>
      <c r="R611" s="394">
        <v>1</v>
      </c>
      <c r="S611" s="395">
        <f>SUMIFS(Таблица14[часы],Таблица14[коэф],"1",Таблица14[р/р],"3/16",Таблица14[Ф. И. О.],B616)</f>
        <v>0</v>
      </c>
      <c r="T611" s="379">
        <f>SUMIFS(Таблица14[Столбец2],Таблица14[коэф],"1",Таблица14[р/р],"3/16",Таблица14[Ф. И. О.],B616)</f>
        <v>0</v>
      </c>
      <c r="U611" s="460">
        <f>IF(D611&lt;=3,база!$M$4,
IF(D611=4,база!$M$5,
IF(D611=5,база!$M$6)))</f>
        <v>225.09719999999999</v>
      </c>
      <c r="V611" s="394">
        <v>1</v>
      </c>
      <c r="W611" s="432">
        <f>SUMIFS(Таблица14[часы],Таблица14[коэф],"1",Таблица14[р/р],"3/24",Таблица14[Ф. И. О.],B616)</f>
        <v>0</v>
      </c>
      <c r="X611" s="528">
        <f>SUMIFS(Таблица14[Столбец2],Таблица14[коэф],"1",Таблица14[р/р],"3/24",Таблица14[Ф. И. О.],B616)</f>
        <v>0</v>
      </c>
      <c r="Y611" s="748">
        <f t="shared" ref="Y611" si="250">SUM(G611:G621,K611:K621,O611:O621,S611:S621,W611:W621)</f>
        <v>0</v>
      </c>
      <c r="Z611" s="750">
        <f t="shared" ref="Z611" si="251">IFERROR(SUM(H611:H621,L611:L621,T611:T621,X611:X621),"")</f>
        <v>0</v>
      </c>
      <c r="AA611" s="740"/>
    </row>
    <row r="612" spans="1:27" ht="18.75">
      <c r="A612" s="740"/>
      <c r="B612" s="201"/>
      <c r="C612" s="743"/>
      <c r="D612" s="746"/>
      <c r="E612" s="366">
        <f>IF(D611&lt;=3,база!$I$4,
IF(D611=4,база!$I$5,
IF(D611=5,база!$I$6)))</f>
        <v>188.7912</v>
      </c>
      <c r="F612" s="367">
        <v>1</v>
      </c>
      <c r="G612" s="377">
        <f>SUMIFS(Таблица14[часы],Таблица14[коэф],"1",Таблица14[р/р],"3/4",Таблица14[Ф. И. О.],B616)</f>
        <v>0</v>
      </c>
      <c r="H612" s="369">
        <f>SUMIFS(Таблица14[Столбец2],Таблица14[коэф],"1",Таблица14[р/р],"3/4",Таблица14[Ф. И. О.],B616)</f>
        <v>0</v>
      </c>
      <c r="I612" s="409">
        <f>IF(D611&lt;=3,база!$J$4,
IF(D611=4,база!$J$5,
IF(D611=5,база!$J$6)))</f>
        <v>196.05240000000001</v>
      </c>
      <c r="J612" s="410">
        <v>1</v>
      </c>
      <c r="K612" s="411">
        <f>SUMIFS(Таблица14[часы],Таблица14[коэф],"1",Таблица14[р/р],"3/8",Таблица14[Ф. И. О.],B616)</f>
        <v>0</v>
      </c>
      <c r="L612" s="411">
        <f>SUMIFS(Таблица14[Столбец2],Таблица14[коэф],"1",Таблица14[р/р],"3/8",Таблица14[Ф. И. О.],B616)</f>
        <v>0</v>
      </c>
      <c r="M612" s="411"/>
      <c r="N612" s="411">
        <v>1</v>
      </c>
      <c r="O612" s="411">
        <f>SUMIFS(Data_Tech!$AM$3:$AM$67,Data_Tech!$E$3:$E$67,"1",Data_Tech!$G$3:$G$67,"4/12",Data_Tech!$F$3:$F$67,B616)</f>
        <v>0</v>
      </c>
      <c r="P612" s="383">
        <f>ROUND(M612*O612,2)</f>
        <v>0</v>
      </c>
      <c r="Q612" s="366">
        <f>база!$L$5</f>
        <v>231.45480000000001</v>
      </c>
      <c r="R612" s="367">
        <v>1</v>
      </c>
      <c r="S612" s="377">
        <f>SUMIFS(Таблица14[часы],Таблица14[коэф],"1",Таблица14[р/р],"4/16",Таблица14[Ф. И. О.],B616)</f>
        <v>0</v>
      </c>
      <c r="T612" s="369">
        <f>SUMIFS(Таблица14[Столбец2],Таблица14[коэф],"1",Таблица14[р/р],"4/16",Таблица14[Ф. И. О.],B616)</f>
        <v>0</v>
      </c>
      <c r="U612" s="455">
        <f>база!$M$5</f>
        <v>247.41720000000001</v>
      </c>
      <c r="V612" s="367">
        <v>1</v>
      </c>
      <c r="W612" s="389">
        <f>SUMIFS(Таблица14[часы],Таблица14[коэф],"1",Таблица14[р/р],"4/24",Таблица14[Ф. И. О.],B616)</f>
        <v>0</v>
      </c>
      <c r="X612" s="521">
        <f>SUMIFS(Таблица14[Столбец2],Таблица14[коэф],"1",Таблица14[р/р],"4/24",Таблица14[Ф. И. О.],B616)</f>
        <v>0</v>
      </c>
      <c r="Y612" s="748"/>
      <c r="Z612" s="750"/>
      <c r="AA612" s="740"/>
    </row>
    <row r="613" spans="1:27" ht="18.75">
      <c r="A613" s="740"/>
      <c r="B613" s="201"/>
      <c r="C613" s="743"/>
      <c r="D613" s="746"/>
      <c r="E613" s="366"/>
      <c r="F613" s="367"/>
      <c r="G613" s="377"/>
      <c r="H613" s="369"/>
      <c r="I613" s="409"/>
      <c r="J613" s="410"/>
      <c r="K613" s="411"/>
      <c r="L613" s="411"/>
      <c r="M613" s="411"/>
      <c r="N613" s="411"/>
      <c r="O613" s="411"/>
      <c r="P613" s="383"/>
      <c r="Q613" s="366">
        <f>база!$L$6</f>
        <v>261.04640000000001</v>
      </c>
      <c r="R613" s="367">
        <v>1</v>
      </c>
      <c r="S613" s="377">
        <f>SUMIFS(Таблица14[часы],Таблица14[коэф],"1",Таблица14[р/р],"5/16",Таблица14[Ф. И. О.],B616)</f>
        <v>0</v>
      </c>
      <c r="T613" s="369">
        <f>SUMIFS(Таблица14[Столбец2],Таблица14[коэф],"1",Таблица14[р/р],"5/16",Таблица14[Ф. И. О.],B616)</f>
        <v>0</v>
      </c>
      <c r="U613" s="455">
        <f>база!$M$6</f>
        <v>279.0496</v>
      </c>
      <c r="V613" s="367">
        <v>1</v>
      </c>
      <c r="W613" s="389">
        <f>SUMIFS(Таблица14[часы],Таблица14[коэф],"1",Таблица14[р/р],"5/24",Таблица14[Ф. И. О.],B616)</f>
        <v>0</v>
      </c>
      <c r="X613" s="521">
        <f>SUMIFS(Таблица14[Столбец2],Таблица14[коэф],"1",Таблица14[р/р],"5/24",Таблица14[Ф. И. О.],B616)</f>
        <v>0</v>
      </c>
      <c r="Y613" s="748"/>
      <c r="Z613" s="750"/>
      <c r="AA613" s="740"/>
    </row>
    <row r="614" spans="1:27" ht="18.75">
      <c r="A614" s="740"/>
      <c r="B614" s="201"/>
      <c r="C614" s="743"/>
      <c r="D614" s="746"/>
      <c r="E614" s="366"/>
      <c r="F614" s="367"/>
      <c r="G614" s="377"/>
      <c r="H614" s="369"/>
      <c r="I614" s="409">
        <f>база!$J$5</f>
        <v>215.4924</v>
      </c>
      <c r="J614" s="410">
        <v>1.5</v>
      </c>
      <c r="K614" s="411">
        <f>SUMIFS(Таблица14[часы],Таблица14[коэф],"1,5",Таблица14[р/р],"4/8",Таблица14[Ф. И. О.],B616)</f>
        <v>0</v>
      </c>
      <c r="L614" s="411">
        <f>SUMIFS(Таблица14[Столбец2],Таблица14[коэф],"1,5",Таблица14[р/р],"4/8",Таблица14[Ф. И. О.],B616)</f>
        <v>0</v>
      </c>
      <c r="M614" s="411"/>
      <c r="N614" s="411"/>
      <c r="O614" s="411"/>
      <c r="P614" s="383"/>
      <c r="Q614" s="366">
        <f>IF(D611&lt;=3,база!$L$4,
IF(D611=4,база!$L$5,
IF(D611=5,база!$L$6)))</f>
        <v>210.57480000000001</v>
      </c>
      <c r="R614" s="367">
        <v>1.2</v>
      </c>
      <c r="S614" s="377">
        <f>SUMIFS(Таблица14[часы],Таблица14[коэф],"1,2",Таблица14[р/р],"3/16",Таблица14[Ф. И. О.],B616)</f>
        <v>0</v>
      </c>
      <c r="T614" s="369">
        <f>SUMIFS(Таблица14[Столбец2],Таблица14[коэф],"1,2",Таблица14[р/р],"3/16",Таблица14[Ф. И. О.],B616)</f>
        <v>0</v>
      </c>
      <c r="U614" s="455">
        <f>IF(D611&lt;=3,база!$M$4,
IF(D611=4,база!$M$5,
IF(D611=5,база!$M$6)))</f>
        <v>225.09719999999999</v>
      </c>
      <c r="V614" s="367">
        <v>1.2</v>
      </c>
      <c r="W614" s="389">
        <f>SUMIFS(Таблица14[часы],Таблица14[коэф],"1,2",Таблица14[р/р],"3/24",Таблица14[Ф. И. О.],B616)</f>
        <v>0</v>
      </c>
      <c r="X614" s="521">
        <f>SUMIFS(Таблица14[Столбец2],Таблица14[коэф],"1,2",Таблица14[р/р],"3/24",Таблица14[Ф. И. О.],B616)</f>
        <v>0</v>
      </c>
      <c r="Y614" s="748"/>
      <c r="Z614" s="750"/>
      <c r="AA614" s="740"/>
    </row>
    <row r="615" spans="1:27" ht="18.75">
      <c r="A615" s="740"/>
      <c r="B615" s="201"/>
      <c r="C615" s="743"/>
      <c r="D615" s="746"/>
      <c r="E615" s="366"/>
      <c r="F615" s="367"/>
      <c r="G615" s="377"/>
      <c r="H615" s="369"/>
      <c r="I615" s="409">
        <f>база!$J$6</f>
        <v>243.04319999999998</v>
      </c>
      <c r="J615" s="410">
        <v>1.5</v>
      </c>
      <c r="K615" s="411">
        <f>SUMIFS(Таблица14[часы],Таблица14[коэф],"1,5",Таблица14[р/р],"5/8",Таблица14[Ф. И. О.],B616)</f>
        <v>0</v>
      </c>
      <c r="L615" s="411">
        <f>SUMIFS(Таблица14[Столбец2],Таблица14[коэф],"1,5",Таблица14[р/р],"5/8",Таблица14[Ф. И. О.],B616)</f>
        <v>0</v>
      </c>
      <c r="M615" s="411"/>
      <c r="N615" s="411"/>
      <c r="O615" s="411"/>
      <c r="P615" s="383"/>
      <c r="Q615" s="366">
        <f>база!$L$5</f>
        <v>231.45480000000001</v>
      </c>
      <c r="R615" s="367">
        <v>1.2</v>
      </c>
      <c r="S615" s="377">
        <f>SUMIFS(Таблица14[часы],Таблица14[коэф],"1,2",Таблица14[р/р],"4/16",Таблица14[Ф. И. О.],B616)</f>
        <v>0</v>
      </c>
      <c r="T615" s="369">
        <f>SUMIFS(Таблица14[Столбец2],Таблица14[коэф],"1,2",Таблица14[р/р],"4/16",Таблица14[Ф. И. О.],B616)</f>
        <v>0</v>
      </c>
      <c r="U615" s="455">
        <f>база!$M$5</f>
        <v>247.41720000000001</v>
      </c>
      <c r="V615" s="367">
        <v>1.2</v>
      </c>
      <c r="W615" s="389">
        <f>SUMIFS(Таблица14[часы],Таблица14[коэф],"1,2",Таблица14[р/р],"4/24",Таблица14[Ф. И. О.],B616)</f>
        <v>0</v>
      </c>
      <c r="X615" s="521">
        <f>SUMIFS(Таблица14[Столбец2],Таблица14[коэф],"1,2",Таблица14[р/р],"4/24",Таблица14[Ф. И. О.],B616)</f>
        <v>0</v>
      </c>
      <c r="Y615" s="748"/>
      <c r="Z615" s="750"/>
      <c r="AA615" s="740"/>
    </row>
    <row r="616" spans="1:27" ht="18.75">
      <c r="A616" s="740"/>
      <c r="B616" s="201" t="str">
        <f>база!B57</f>
        <v>Оленева Анна Викторовна</v>
      </c>
      <c r="C616" s="743"/>
      <c r="D616" s="746"/>
      <c r="E616" s="366"/>
      <c r="F616" s="367"/>
      <c r="G616" s="377"/>
      <c r="H616" s="369"/>
      <c r="I616" s="409"/>
      <c r="J616" s="410"/>
      <c r="K616" s="411"/>
      <c r="L616" s="411"/>
      <c r="M616" s="411"/>
      <c r="N616" s="411"/>
      <c r="O616" s="411"/>
      <c r="P616" s="383"/>
      <c r="Q616" s="366">
        <f>база!$L$6</f>
        <v>261.04640000000001</v>
      </c>
      <c r="R616" s="367">
        <v>1.2</v>
      </c>
      <c r="S616" s="377">
        <f>SUMIFS(Таблица14[часы],Таблица14[коэф],"1,2",Таблица14[р/р],"5/16",Таблица14[Ф. И. О.],B616)</f>
        <v>0</v>
      </c>
      <c r="T616" s="369">
        <f>SUMIFS(Таблица14[Столбец2],Таблица14[коэф],"1,2",Таблица14[р/р],"5/16",Таблица14[Ф. И. О.],B616)</f>
        <v>0</v>
      </c>
      <c r="U616" s="455">
        <f>база!$M$6</f>
        <v>279.0496</v>
      </c>
      <c r="V616" s="367">
        <v>1.2</v>
      </c>
      <c r="W616" s="389">
        <f>SUMIFS(Таблица14[часы],Таблица14[коэф],"1,2",Таблица14[р/р],"5/24",Таблица14[Ф. И. О.],B616)</f>
        <v>0</v>
      </c>
      <c r="X616" s="521">
        <f>SUMIFS(Таблица14[Столбец2],Таблица14[коэф],"1,2",Таблица14[р/р],"5/24",Таблица14[Ф. И. О.],B616)</f>
        <v>0</v>
      </c>
      <c r="Y616" s="748"/>
      <c r="Z616" s="750"/>
      <c r="AA616" s="740"/>
    </row>
    <row r="617" spans="1:27" ht="18.75">
      <c r="A617" s="740"/>
      <c r="B617" s="201"/>
      <c r="C617" s="743"/>
      <c r="D617" s="746"/>
      <c r="E617" s="366"/>
      <c r="F617" s="367"/>
      <c r="G617" s="377"/>
      <c r="H617" s="369"/>
      <c r="I617" s="409"/>
      <c r="J617" s="410"/>
      <c r="K617" s="411"/>
      <c r="L617" s="411"/>
      <c r="M617" s="411"/>
      <c r="N617" s="411"/>
      <c r="O617" s="411"/>
      <c r="P617" s="383"/>
      <c r="Q617" s="366">
        <f>IF($D$6&lt;=3,база!$L$4,
IF($D$6=4,база!$L$5,
IF($D$6=5,база!$L$6)))</f>
        <v>231.45480000000001</v>
      </c>
      <c r="R617" s="367">
        <v>1.3</v>
      </c>
      <c r="S617" s="377">
        <f>SUMIFS(Таблица14[часы],Таблица14[коэф],"1,3",Таблица14[р/р],"3/16",Таблица14[Ф. И. О.],B616)</f>
        <v>0</v>
      </c>
      <c r="T617" s="369">
        <f>SUMIFS(Таблица14[Столбец2],Таблица14[коэф],"1,3",Таблица14[р/р],"3/16",Таблица14[Ф. И. О.],B616)</f>
        <v>0</v>
      </c>
      <c r="U617" s="455">
        <f>IF(D611&lt;=3,база!$M$4,
IF(D611=4,база!$M$5,
IF(D611=5,база!$M$6)))</f>
        <v>225.09719999999999</v>
      </c>
      <c r="V617" s="367">
        <v>1.3</v>
      </c>
      <c r="W617" s="389">
        <f>SUMIFS(Таблица14[часы],Таблица14[коэф],"1,3",Таблица14[р/р],"3/24",Таблица14[Ф. И. О.],B616)</f>
        <v>0</v>
      </c>
      <c r="X617" s="521">
        <f>SUMIFS(Таблица14[Столбец2],Таблица14[коэф],"1,3",Таблица14[р/р],"3/24",Таблица14[Ф. И. О.],B616)</f>
        <v>0</v>
      </c>
      <c r="Y617" s="748"/>
      <c r="Z617" s="750"/>
      <c r="AA617" s="740"/>
    </row>
    <row r="618" spans="1:27" ht="18.75">
      <c r="A618" s="740"/>
      <c r="B618" s="201"/>
      <c r="C618" s="743"/>
      <c r="D618" s="746"/>
      <c r="E618" s="366"/>
      <c r="F618" s="367"/>
      <c r="G618" s="377"/>
      <c r="H618" s="369"/>
      <c r="I618" s="409"/>
      <c r="J618" s="410"/>
      <c r="K618" s="411"/>
      <c r="L618" s="411"/>
      <c r="M618" s="411"/>
      <c r="N618" s="411"/>
      <c r="O618" s="411"/>
      <c r="P618" s="383"/>
      <c r="Q618" s="366">
        <f>база!$L$5</f>
        <v>231.45480000000001</v>
      </c>
      <c r="R618" s="367">
        <v>1.3</v>
      </c>
      <c r="S618" s="377">
        <f>SUMIFS(Таблица14[часы],Таблица14[коэф],"1,3",Таблица14[р/р],"4/16",Таблица14[Ф. И. О.],B616)</f>
        <v>0</v>
      </c>
      <c r="T618" s="369">
        <f>SUMIFS(Таблица14[Столбец2],Таблица14[коэф],"1,3",Таблица14[р/р],"4/16",Таблица14[Ф. И. О.],B616)</f>
        <v>0</v>
      </c>
      <c r="U618" s="455">
        <f>база!$M$5</f>
        <v>247.41720000000001</v>
      </c>
      <c r="V618" s="367">
        <v>1.3</v>
      </c>
      <c r="W618" s="389">
        <f>SUMIFS(Таблица14[часы],Таблица14[коэф],"1,3",Таблица14[р/р],"4/24",Таблица14[Ф. И. О.],B616)</f>
        <v>0</v>
      </c>
      <c r="X618" s="521">
        <f>SUMIFS(Таблица14[Столбец2],Таблица14[коэф],"1,3",Таблица14[р/р],"4/24",Таблица14[Ф. И. О.],B616)</f>
        <v>0</v>
      </c>
      <c r="Y618" s="748"/>
      <c r="Z618" s="750"/>
      <c r="AA618" s="740"/>
    </row>
    <row r="619" spans="1:27" ht="18.75">
      <c r="A619" s="740"/>
      <c r="B619" s="201"/>
      <c r="C619" s="743"/>
      <c r="D619" s="746"/>
      <c r="E619" s="366"/>
      <c r="F619" s="367"/>
      <c r="G619" s="377"/>
      <c r="H619" s="369"/>
      <c r="I619" s="409"/>
      <c r="J619" s="410"/>
      <c r="K619" s="411"/>
      <c r="L619" s="411"/>
      <c r="M619" s="411"/>
      <c r="N619" s="411"/>
      <c r="O619" s="411"/>
      <c r="P619" s="383"/>
      <c r="Q619" s="366">
        <f>IF(D611&lt;=3,база!$L$4,
IF(D611=4,база!$L$5,
IF(D611=5,база!$L$6)))</f>
        <v>210.57480000000001</v>
      </c>
      <c r="R619" s="367">
        <v>1.4</v>
      </c>
      <c r="S619" s="377">
        <f>SUMIFS(Таблица14[часы],Таблица14[коэф],"1,4",Таблица14[р/р],"3/16",Таблица14[Ф. И. О.],B616)</f>
        <v>0</v>
      </c>
      <c r="T619" s="369">
        <f>SUMIFS(Таблица14[Столбец2],Таблица14[коэф],"1,4",Таблица14[р/р],"3/16",Таблица14[Ф. И. О.],B616)</f>
        <v>0</v>
      </c>
      <c r="U619" s="455">
        <f>IF(D611&lt;=3,база!$M$4,
IF(D611=4,база!$M$5,
IF(D611=5,база!$M$6)))</f>
        <v>225.09719999999999</v>
      </c>
      <c r="V619" s="367">
        <v>1.4</v>
      </c>
      <c r="W619" s="389">
        <f>SUMIFS(Таблица14[часы],Таблица14[коэф],"1,4",Таблица14[р/р],"3/24",Таблица14[Ф. И. О.],B616)</f>
        <v>0</v>
      </c>
      <c r="X619" s="521">
        <f>SUMIFS(Таблица14[Столбец2],Таблица14[коэф],"1,4",Таблица14[р/р],"3/24",Таблица14[Ф. И. О.],B616)</f>
        <v>0</v>
      </c>
      <c r="Y619" s="748"/>
      <c r="Z619" s="750"/>
      <c r="AA619" s="740"/>
    </row>
    <row r="620" spans="1:27" ht="18.75">
      <c r="A620" s="740"/>
      <c r="B620" s="201"/>
      <c r="C620" s="743"/>
      <c r="D620" s="746"/>
      <c r="E620" s="366"/>
      <c r="F620" s="367"/>
      <c r="G620" s="377"/>
      <c r="H620" s="369"/>
      <c r="I620" s="409"/>
      <c r="J620" s="410"/>
      <c r="K620" s="411"/>
      <c r="L620" s="411"/>
      <c r="M620" s="411"/>
      <c r="N620" s="411"/>
      <c r="O620" s="411"/>
      <c r="P620" s="383"/>
      <c r="Q620" s="366">
        <f>база!$L$5</f>
        <v>231.45480000000001</v>
      </c>
      <c r="R620" s="367">
        <v>1.4</v>
      </c>
      <c r="S620" s="377">
        <f>SUMIFS(Таблица14[часы],Таблица14[коэф],"1,4",Таблица14[р/р],"4/16",Таблица14[Ф. И. О.],B616)</f>
        <v>0</v>
      </c>
      <c r="T620" s="369">
        <f>SUMIFS(Таблица14[Столбец2],Таблица14[коэф],"1,4",Таблица14[р/р],"4/16",Таблица14[Ф. И. О.],B616)</f>
        <v>0</v>
      </c>
      <c r="U620" s="455">
        <f>база!$M$5</f>
        <v>247.41720000000001</v>
      </c>
      <c r="V620" s="367">
        <v>1.4</v>
      </c>
      <c r="W620" s="389">
        <f>SUMIFS(Таблица14[часы],Таблица14[коэф],"1,4",Таблица14[р/р],"4/24",Таблица14[Ф. И. О.],B616)</f>
        <v>0</v>
      </c>
      <c r="X620" s="521">
        <f>SUMIFS(Таблица14[Столбец2],Таблица14[коэф],"1,4",Таблица14[р/р],"4/24",Таблица14[Ф. И. О.],B616)</f>
        <v>0</v>
      </c>
      <c r="Y620" s="748"/>
      <c r="Z620" s="750"/>
      <c r="AA620" s="740"/>
    </row>
    <row r="621" spans="1:27" ht="19.5" thickBot="1">
      <c r="A621" s="741"/>
      <c r="B621" s="329"/>
      <c r="C621" s="744"/>
      <c r="D621" s="747"/>
      <c r="E621" s="450"/>
      <c r="F621" s="441"/>
      <c r="G621" s="628"/>
      <c r="H621" s="445"/>
      <c r="I621" s="622"/>
      <c r="J621" s="433"/>
      <c r="K621" s="623"/>
      <c r="L621" s="434"/>
      <c r="M621" s="622"/>
      <c r="N621" s="623"/>
      <c r="O621" s="623"/>
      <c r="P621" s="453"/>
      <c r="Q621" s="629">
        <f>база!$L$6</f>
        <v>261.04640000000001</v>
      </c>
      <c r="R621" s="441">
        <v>1.4</v>
      </c>
      <c r="S621" s="442">
        <f>SUMIFS(Таблица14[часы],Таблица14[коэф],"1,4",Таблица14[р/р],"5/16",Таблица14[Ф. И. О.],B616)</f>
        <v>0</v>
      </c>
      <c r="T621" s="445">
        <f>SUMIFS(Таблица14[Столбец2],Таблица14[коэф],"1,4",Таблица14[р/р],"5/16",Таблица14[Ф. И. О.],B616)</f>
        <v>0</v>
      </c>
      <c r="U621" s="440">
        <f>база!$M$6</f>
        <v>279.0496</v>
      </c>
      <c r="V621" s="441">
        <v>1.4</v>
      </c>
      <c r="W621" s="442">
        <f>SUMIFS(Таблица14[часы],Таблица14[коэф],"1,4",Таблица14[р/р],"5/24",Таблица14[Ф. И. О.],B616)</f>
        <v>0</v>
      </c>
      <c r="X621" s="445">
        <f>SUMIFS(Таблица14[Столбец2],Таблица14[коэф],"1,4",Таблица14[р/р],"5/24",Таблица14[Ф. И. О.],B616)</f>
        <v>0</v>
      </c>
      <c r="Y621" s="749"/>
      <c r="Z621" s="751"/>
      <c r="AA621" s="741"/>
    </row>
    <row r="622" spans="1:27" ht="18.75">
      <c r="A622" s="740">
        <v>57</v>
      </c>
      <c r="B622" s="201"/>
      <c r="C622" s="742">
        <f>INDEX(база!$E$2:$E$98, MATCH(B627,база!$B$2:$B$100,0))</f>
        <v>15556</v>
      </c>
      <c r="D622" s="745">
        <f>INDEX(база!$D$2:$D$121, MATCH(B627,база!$B$2:$B$100,0))</f>
        <v>3</v>
      </c>
      <c r="E622" s="458">
        <f>IF(D622&lt;=3,база!$I$4,
IF(D622=4,база!$I$5,
IF(D622=5,база!$I$6)))</f>
        <v>188.7912</v>
      </c>
      <c r="F622" s="394">
        <v>1</v>
      </c>
      <c r="G622" s="395">
        <f>SUMIFS(Таблица14[часы],Таблица14[коэф],"1",Таблица14[р/р],"2/4",Таблица14[Ф. И. О.],B627)</f>
        <v>0</v>
      </c>
      <c r="H622" s="379">
        <f>SUMIFS(Таблица14[Столбец2],Таблица14[коэф],"1",Таблица14[р/р],"2/4",Таблица14[Ф. И. О.],B627)</f>
        <v>0</v>
      </c>
      <c r="I622" s="429">
        <f>IF(D622&lt;=3,база!$J$4,
IF(D622=4,база!$J$5,
IF(D622=5,база!$J$6)))</f>
        <v>196.05240000000001</v>
      </c>
      <c r="J622" s="452">
        <v>1</v>
      </c>
      <c r="K622" s="430">
        <f>SUMIFS(Таблица14[часы],Таблица14[коэф],"1",Таблица14[р/р],"2/8",Таблица14[Ф. И. О.],B627)</f>
        <v>0</v>
      </c>
      <c r="L622" s="430">
        <f>SUMIFS(Таблица14[Столбец2],Таблица14[коэф],"1",Таблица14[р/р],"2/8",Таблица14[Ф. И. О.],B627)</f>
        <v>0</v>
      </c>
      <c r="M622" s="430"/>
      <c r="N622" s="430">
        <v>1</v>
      </c>
      <c r="O622" s="430">
        <f>SUMIFS(Data_Tech!$AM$3:$AM$67,Data_Tech!$E$3:$E$67,"1",Data_Tech!$G$3:$G$67,"3/12",Data_Tech!$F$3:$F$67,B627)</f>
        <v>0</v>
      </c>
      <c r="P622" s="375">
        <f>ROUND(M622*N622*O622,2)</f>
        <v>0</v>
      </c>
      <c r="Q622" s="458">
        <f>IF(D622&lt;=3,база!$L$4,
IF(D622=4,база!$L$5,
IF(D622=5,база!$L$6)))</f>
        <v>210.57480000000001</v>
      </c>
      <c r="R622" s="394">
        <v>1</v>
      </c>
      <c r="S622" s="395">
        <f>SUMIFS(Таблица14[часы],Таблица14[коэф],"1",Таблица14[р/р],"3/16",Таблица14[Ф. И. О.],B627)</f>
        <v>0</v>
      </c>
      <c r="T622" s="379">
        <f>SUMIFS(Таблица14[Столбец2],Таблица14[коэф],"1",Таблица14[р/р],"3/16",Таблица14[Ф. И. О.],B627)</f>
        <v>0</v>
      </c>
      <c r="U622" s="460">
        <f>IF(D622&lt;=3,база!$M$4,
IF(D622=4,база!$M$5,
IF(D622=5,база!$M$6)))</f>
        <v>225.09719999999999</v>
      </c>
      <c r="V622" s="394">
        <v>1</v>
      </c>
      <c r="W622" s="432">
        <f>SUMIFS(Таблица14[часы],Таблица14[коэф],"1",Таблица14[р/р],"3/24",Таблица14[Ф. И. О.],B627)</f>
        <v>0</v>
      </c>
      <c r="X622" s="528">
        <f>SUMIFS(Таблица14[Столбец2],Таблица14[коэф],"1",Таблица14[р/р],"3/24",Таблица14[Ф. И. О.],B627)</f>
        <v>0</v>
      </c>
      <c r="Y622" s="748">
        <f t="shared" ref="Y622" si="252">SUM(G622:G632,K622:K632,O622:O632,S622:S632,W622:W632)</f>
        <v>0</v>
      </c>
      <c r="Z622" s="750">
        <f t="shared" ref="Z622" si="253">IFERROR(SUM(H622:H632,L622:L632,T622:T632,X622:X632),"")</f>
        <v>0</v>
      </c>
      <c r="AA622" s="740"/>
    </row>
    <row r="623" spans="1:27" ht="18.75">
      <c r="A623" s="740"/>
      <c r="B623" s="201"/>
      <c r="C623" s="743"/>
      <c r="D623" s="746"/>
      <c r="E623" s="366">
        <f>IF(D622&lt;=3,база!$I$4,
IF(D622=4,база!$I$5,
IF(D622=5,база!$I$6)))</f>
        <v>188.7912</v>
      </c>
      <c r="F623" s="367">
        <v>1</v>
      </c>
      <c r="G623" s="377">
        <f>SUMIFS(Таблица14[часы],Таблица14[коэф],"1",Таблица14[р/р],"3/4",Таблица14[Ф. И. О.],B627)</f>
        <v>0</v>
      </c>
      <c r="H623" s="369">
        <f>SUMIFS(Таблица14[Столбец2],Таблица14[коэф],"1",Таблица14[р/р],"3/4",Таблица14[Ф. И. О.],B627)</f>
        <v>0</v>
      </c>
      <c r="I623" s="409">
        <f>IF(D622&lt;=3,база!$J$4,
IF(D622=4,база!$J$5,
IF(D622=5,база!$J$6)))</f>
        <v>196.05240000000001</v>
      </c>
      <c r="J623" s="410">
        <v>1</v>
      </c>
      <c r="K623" s="411">
        <f>SUMIFS(Таблица14[часы],Таблица14[коэф],"1",Таблица14[р/р],"3/8",Таблица14[Ф. И. О.],B627)</f>
        <v>0</v>
      </c>
      <c r="L623" s="411">
        <f>SUMIFS(Таблица14[Столбец2],Таблица14[коэф],"1",Таблица14[р/р],"3/8",Таблица14[Ф. И. О.],B627)</f>
        <v>0</v>
      </c>
      <c r="M623" s="411"/>
      <c r="N623" s="411">
        <v>1</v>
      </c>
      <c r="O623" s="411">
        <f>SUMIFS(Data_Tech!$AM$3:$AM$67,Data_Tech!$E$3:$E$67,"1",Data_Tech!$G$3:$G$67,"4/12",Data_Tech!$F$3:$F$67,B627)</f>
        <v>0</v>
      </c>
      <c r="P623" s="383">
        <f>ROUND(M623*O623,2)</f>
        <v>0</v>
      </c>
      <c r="Q623" s="366">
        <f>база!$L$5</f>
        <v>231.45480000000001</v>
      </c>
      <c r="R623" s="367">
        <v>1</v>
      </c>
      <c r="S623" s="377">
        <f>SUMIFS(Таблица14[часы],Таблица14[коэф],"1",Таблица14[р/р],"4/16",Таблица14[Ф. И. О.],B627)</f>
        <v>0</v>
      </c>
      <c r="T623" s="369">
        <f>SUMIFS(Таблица14[Столбец2],Таблица14[коэф],"1",Таблица14[р/р],"4/16",Таблица14[Ф. И. О.],B627)</f>
        <v>0</v>
      </c>
      <c r="U623" s="455">
        <f>база!$M$5</f>
        <v>247.41720000000001</v>
      </c>
      <c r="V623" s="367">
        <v>1</v>
      </c>
      <c r="W623" s="389">
        <f>SUMIFS(Таблица14[часы],Таблица14[коэф],"1",Таблица14[р/р],"4/24",Таблица14[Ф. И. О.],B627)</f>
        <v>0</v>
      </c>
      <c r="X623" s="521">
        <f>SUMIFS(Таблица14[Столбец2],Таблица14[коэф],"1",Таблица14[р/р],"4/24",Таблица14[Ф. И. О.],B627)</f>
        <v>0</v>
      </c>
      <c r="Y623" s="748"/>
      <c r="Z623" s="750"/>
      <c r="AA623" s="740"/>
    </row>
    <row r="624" spans="1:27" ht="18.75">
      <c r="A624" s="740"/>
      <c r="B624" s="201"/>
      <c r="C624" s="743"/>
      <c r="D624" s="746"/>
      <c r="E624" s="366"/>
      <c r="F624" s="367"/>
      <c r="G624" s="377"/>
      <c r="H624" s="369"/>
      <c r="I624" s="409"/>
      <c r="J624" s="410"/>
      <c r="K624" s="411"/>
      <c r="L624" s="411"/>
      <c r="M624" s="411"/>
      <c r="N624" s="411"/>
      <c r="O624" s="411"/>
      <c r="P624" s="383"/>
      <c r="Q624" s="366">
        <f>база!$L$6</f>
        <v>261.04640000000001</v>
      </c>
      <c r="R624" s="367">
        <v>1</v>
      </c>
      <c r="S624" s="377">
        <f>SUMIFS(Таблица14[часы],Таблица14[коэф],"1",Таблица14[р/р],"5/16",Таблица14[Ф. И. О.],B627)</f>
        <v>0</v>
      </c>
      <c r="T624" s="369">
        <f>SUMIFS(Таблица14[Столбец2],Таблица14[коэф],"1",Таблица14[р/р],"5/16",Таблица14[Ф. И. О.],B627)</f>
        <v>0</v>
      </c>
      <c r="U624" s="455">
        <f>база!$M$6</f>
        <v>279.0496</v>
      </c>
      <c r="V624" s="367">
        <v>1</v>
      </c>
      <c r="W624" s="389">
        <f>SUMIFS(Таблица14[часы],Таблица14[коэф],"1",Таблица14[р/р],"5/24",Таблица14[Ф. И. О.],B627)</f>
        <v>0</v>
      </c>
      <c r="X624" s="521">
        <f>SUMIFS(Таблица14[Столбец2],Таблица14[коэф],"1",Таблица14[р/р],"5/24",Таблица14[Ф. И. О.],B627)</f>
        <v>0</v>
      </c>
      <c r="Y624" s="748"/>
      <c r="Z624" s="750"/>
      <c r="AA624" s="740"/>
    </row>
    <row r="625" spans="1:27" ht="18.75">
      <c r="A625" s="740"/>
      <c r="B625" s="201"/>
      <c r="C625" s="743"/>
      <c r="D625" s="746"/>
      <c r="E625" s="366"/>
      <c r="F625" s="367"/>
      <c r="G625" s="377"/>
      <c r="H625" s="369"/>
      <c r="I625" s="409">
        <f>база!$J$5</f>
        <v>215.4924</v>
      </c>
      <c r="J625" s="410">
        <v>1.5</v>
      </c>
      <c r="K625" s="411">
        <f>SUMIFS(Таблица14[часы],Таблица14[коэф],"1,5",Таблица14[р/р],"4/8",Таблица14[Ф. И. О.],B627)</f>
        <v>0</v>
      </c>
      <c r="L625" s="411">
        <f>SUMIFS(Таблица14[Столбец2],Таблица14[коэф],"1,5",Таблица14[р/р],"4/8",Таблица14[Ф. И. О.],B627)</f>
        <v>0</v>
      </c>
      <c r="M625" s="411"/>
      <c r="N625" s="411"/>
      <c r="O625" s="411"/>
      <c r="P625" s="383"/>
      <c r="Q625" s="366">
        <f>IF(D622&lt;=3,база!$L$4,
IF(D622=4,база!$L$5,
IF(D622=5,база!$L$6)))</f>
        <v>210.57480000000001</v>
      </c>
      <c r="R625" s="367">
        <v>1.2</v>
      </c>
      <c r="S625" s="377">
        <f>SUMIFS(Таблица14[часы],Таблица14[коэф],"1,2",Таблица14[р/р],"3/16",Таблица14[Ф. И. О.],B627)</f>
        <v>0</v>
      </c>
      <c r="T625" s="369">
        <f>SUMIFS(Таблица14[Столбец2],Таблица14[коэф],"1,2",Таблица14[р/р],"3/16",Таблица14[Ф. И. О.],B627)</f>
        <v>0</v>
      </c>
      <c r="U625" s="455">
        <f>IF(D622&lt;=3,база!$M$4,
IF(D622=4,база!$M$5,
IF(D622=5,база!$M$6)))</f>
        <v>225.09719999999999</v>
      </c>
      <c r="V625" s="367">
        <v>1.2</v>
      </c>
      <c r="W625" s="389">
        <f>SUMIFS(Таблица14[часы],Таблица14[коэф],"1,2",Таблица14[р/р],"3/24",Таблица14[Ф. И. О.],B627)</f>
        <v>0</v>
      </c>
      <c r="X625" s="521">
        <f>SUMIFS(Таблица14[Столбец2],Таблица14[коэф],"1,2",Таблица14[р/р],"3/24",Таблица14[Ф. И. О.],B627)</f>
        <v>0</v>
      </c>
      <c r="Y625" s="748"/>
      <c r="Z625" s="750"/>
      <c r="AA625" s="740"/>
    </row>
    <row r="626" spans="1:27" ht="18.75">
      <c r="A626" s="740"/>
      <c r="B626" s="201"/>
      <c r="C626" s="743"/>
      <c r="D626" s="746"/>
      <c r="E626" s="366"/>
      <c r="F626" s="367"/>
      <c r="G626" s="377"/>
      <c r="H626" s="369"/>
      <c r="I626" s="409">
        <f>база!$J$6</f>
        <v>243.04319999999998</v>
      </c>
      <c r="J626" s="410">
        <v>1.5</v>
      </c>
      <c r="K626" s="411">
        <f>SUMIFS(Таблица14[часы],Таблица14[коэф],"1,5",Таблица14[р/р],"5/8",Таблица14[Ф. И. О.],B627)</f>
        <v>0</v>
      </c>
      <c r="L626" s="411">
        <f>SUMIFS(Таблица14[Столбец2],Таблица14[коэф],"1,5",Таблица14[р/р],"5/8",Таблица14[Ф. И. О.],B627)</f>
        <v>0</v>
      </c>
      <c r="M626" s="411"/>
      <c r="N626" s="411"/>
      <c r="O626" s="411"/>
      <c r="P626" s="383"/>
      <c r="Q626" s="366">
        <f>база!$L$5</f>
        <v>231.45480000000001</v>
      </c>
      <c r="R626" s="367">
        <v>1.2</v>
      </c>
      <c r="S626" s="377">
        <f>SUMIFS(Таблица14[часы],Таблица14[коэф],"1,2",Таблица14[р/р],"4/16",Таблица14[Ф. И. О.],B627)</f>
        <v>0</v>
      </c>
      <c r="T626" s="369">
        <f>SUMIFS(Таблица14[Столбец2],Таблица14[коэф],"1,2",Таблица14[р/р],"4/16",Таблица14[Ф. И. О.],B627)</f>
        <v>0</v>
      </c>
      <c r="U626" s="455">
        <f>база!$M$5</f>
        <v>247.41720000000001</v>
      </c>
      <c r="V626" s="367">
        <v>1.2</v>
      </c>
      <c r="W626" s="389">
        <f>SUMIFS(Таблица14[часы],Таблица14[коэф],"1,2",Таблица14[р/р],"4/24",Таблица14[Ф. И. О.],B627)</f>
        <v>0</v>
      </c>
      <c r="X626" s="521">
        <f>SUMIFS(Таблица14[Столбец2],Таблица14[коэф],"1,2",Таблица14[р/р],"4/24",Таблица14[Ф. И. О.],B627)</f>
        <v>0</v>
      </c>
      <c r="Y626" s="748"/>
      <c r="Z626" s="750"/>
      <c r="AA626" s="740"/>
    </row>
    <row r="627" spans="1:27" ht="18.75">
      <c r="A627" s="740"/>
      <c r="B627" s="201" t="str">
        <f>база!B58</f>
        <v>Петрова Анна Сергеевна</v>
      </c>
      <c r="C627" s="743"/>
      <c r="D627" s="746"/>
      <c r="E627" s="366"/>
      <c r="F627" s="367"/>
      <c r="G627" s="377"/>
      <c r="H627" s="369"/>
      <c r="I627" s="409"/>
      <c r="J627" s="410"/>
      <c r="K627" s="411"/>
      <c r="L627" s="411"/>
      <c r="M627" s="411"/>
      <c r="N627" s="411"/>
      <c r="O627" s="411"/>
      <c r="P627" s="383"/>
      <c r="Q627" s="366">
        <f>база!$L$6</f>
        <v>261.04640000000001</v>
      </c>
      <c r="R627" s="367">
        <v>1.2</v>
      </c>
      <c r="S627" s="377">
        <f>SUMIFS(Таблица14[часы],Таблица14[коэф],"1,2",Таблица14[р/р],"5/16",Таблица14[Ф. И. О.],B627)</f>
        <v>0</v>
      </c>
      <c r="T627" s="369">
        <f>SUMIFS(Таблица14[Столбец2],Таблица14[коэф],"1,2",Таблица14[р/р],"5/16",Таблица14[Ф. И. О.],B627)</f>
        <v>0</v>
      </c>
      <c r="U627" s="455">
        <f>база!$M$6</f>
        <v>279.0496</v>
      </c>
      <c r="V627" s="367">
        <v>1.2</v>
      </c>
      <c r="W627" s="389">
        <f>SUMIFS(Таблица14[часы],Таблица14[коэф],"1,2",Таблица14[р/р],"5/24",Таблица14[Ф. И. О.],B627)</f>
        <v>0</v>
      </c>
      <c r="X627" s="521">
        <f>SUMIFS(Таблица14[Столбец2],Таблица14[коэф],"1,2",Таблица14[р/р],"5/24",Таблица14[Ф. И. О.],B627)</f>
        <v>0</v>
      </c>
      <c r="Y627" s="748"/>
      <c r="Z627" s="750"/>
      <c r="AA627" s="740"/>
    </row>
    <row r="628" spans="1:27" ht="18.75">
      <c r="A628" s="740"/>
      <c r="B628" s="201"/>
      <c r="C628" s="743"/>
      <c r="D628" s="746"/>
      <c r="E628" s="366"/>
      <c r="F628" s="367"/>
      <c r="G628" s="377"/>
      <c r="H628" s="369"/>
      <c r="I628" s="409"/>
      <c r="J628" s="410"/>
      <c r="K628" s="411"/>
      <c r="L628" s="411"/>
      <c r="M628" s="411"/>
      <c r="N628" s="411"/>
      <c r="O628" s="411"/>
      <c r="P628" s="383"/>
      <c r="Q628" s="366">
        <f>IF($D$6&lt;=3,база!$L$4,
IF($D$6=4,база!$L$5,
IF($D$6=5,база!$L$6)))</f>
        <v>231.45480000000001</v>
      </c>
      <c r="R628" s="367">
        <v>1.3</v>
      </c>
      <c r="S628" s="377">
        <f>SUMIFS(Таблица14[часы],Таблица14[коэф],"1,3",Таблица14[р/р],"3/16",Таблица14[Ф. И. О.],B627)</f>
        <v>0</v>
      </c>
      <c r="T628" s="369">
        <f>SUMIFS(Таблица14[Столбец2],Таблица14[коэф],"1,3",Таблица14[р/р],"3/16",Таблица14[Ф. И. О.],B627)</f>
        <v>0</v>
      </c>
      <c r="U628" s="455">
        <f>IF(D622&lt;=3,база!$M$4,
IF(D622=4,база!$M$5,
IF(D622=5,база!$M$6)))</f>
        <v>225.09719999999999</v>
      </c>
      <c r="V628" s="367">
        <v>1.3</v>
      </c>
      <c r="W628" s="389">
        <f>SUMIFS(Таблица14[часы],Таблица14[коэф],"1,3",Таблица14[р/р],"3/24",Таблица14[Ф. И. О.],B627)</f>
        <v>0</v>
      </c>
      <c r="X628" s="521">
        <f>SUMIFS(Таблица14[Столбец2],Таблица14[коэф],"1,3",Таблица14[р/р],"3/24",Таблица14[Ф. И. О.],B627)</f>
        <v>0</v>
      </c>
      <c r="Y628" s="748"/>
      <c r="Z628" s="750"/>
      <c r="AA628" s="740"/>
    </row>
    <row r="629" spans="1:27" ht="18.75">
      <c r="A629" s="740"/>
      <c r="B629" s="201"/>
      <c r="C629" s="743"/>
      <c r="D629" s="746"/>
      <c r="E629" s="366"/>
      <c r="F629" s="367"/>
      <c r="G629" s="377"/>
      <c r="H629" s="369"/>
      <c r="I629" s="409"/>
      <c r="J629" s="410"/>
      <c r="K629" s="411"/>
      <c r="L629" s="411"/>
      <c r="M629" s="411"/>
      <c r="N629" s="411"/>
      <c r="O629" s="411"/>
      <c r="P629" s="383"/>
      <c r="Q629" s="366">
        <f>база!$L$5</f>
        <v>231.45480000000001</v>
      </c>
      <c r="R629" s="367">
        <v>1.3</v>
      </c>
      <c r="S629" s="377">
        <f>SUMIFS(Таблица14[часы],Таблица14[коэф],"1,3",Таблица14[р/р],"4/16",Таблица14[Ф. И. О.],B627)</f>
        <v>0</v>
      </c>
      <c r="T629" s="369">
        <f>SUMIFS(Таблица14[Столбец2],Таблица14[коэф],"1,3",Таблица14[р/р],"4/16",Таблица14[Ф. И. О.],B627)</f>
        <v>0</v>
      </c>
      <c r="U629" s="455">
        <f>база!$M$5</f>
        <v>247.41720000000001</v>
      </c>
      <c r="V629" s="367">
        <v>1.3</v>
      </c>
      <c r="W629" s="389">
        <f>SUMIFS(Таблица14[часы],Таблица14[коэф],"1,3",Таблица14[р/р],"4/24",Таблица14[Ф. И. О.],B627)</f>
        <v>0</v>
      </c>
      <c r="X629" s="521">
        <f>SUMIFS(Таблица14[Столбец2],Таблица14[коэф],"1,3",Таблица14[р/р],"4/24",Таблица14[Ф. И. О.],B627)</f>
        <v>0</v>
      </c>
      <c r="Y629" s="748"/>
      <c r="Z629" s="750"/>
      <c r="AA629" s="740"/>
    </row>
    <row r="630" spans="1:27" ht="18.75">
      <c r="A630" s="740"/>
      <c r="B630" s="201"/>
      <c r="C630" s="743"/>
      <c r="D630" s="746"/>
      <c r="E630" s="366"/>
      <c r="F630" s="367"/>
      <c r="G630" s="377"/>
      <c r="H630" s="369"/>
      <c r="I630" s="409"/>
      <c r="J630" s="410"/>
      <c r="K630" s="411"/>
      <c r="L630" s="411"/>
      <c r="M630" s="411"/>
      <c r="N630" s="411"/>
      <c r="O630" s="411"/>
      <c r="P630" s="383"/>
      <c r="Q630" s="366">
        <f>IF(D622&lt;=3,база!$L$4,
IF(D622=4,база!$L$5,
IF(D622=5,база!$L$6)))</f>
        <v>210.57480000000001</v>
      </c>
      <c r="R630" s="367">
        <v>1.4</v>
      </c>
      <c r="S630" s="377">
        <f>SUMIFS(Таблица14[часы],Таблица14[коэф],"1,4",Таблица14[р/р],"3/16",Таблица14[Ф. И. О.],B627)</f>
        <v>0</v>
      </c>
      <c r="T630" s="369">
        <f>SUMIFS(Таблица14[Столбец2],Таблица14[коэф],"1,4",Таблица14[р/р],"3/16",Таблица14[Ф. И. О.],B627)</f>
        <v>0</v>
      </c>
      <c r="U630" s="455">
        <f>IF(D622&lt;=3,база!$M$4,
IF(D622=4,база!$M$5,
IF(D622=5,база!$M$6)))</f>
        <v>225.09719999999999</v>
      </c>
      <c r="V630" s="367">
        <v>1.4</v>
      </c>
      <c r="W630" s="389">
        <f>SUMIFS(Таблица14[часы],Таблица14[коэф],"1,4",Таблица14[р/р],"3/24",Таблица14[Ф. И. О.],B627)</f>
        <v>0</v>
      </c>
      <c r="X630" s="521">
        <f>SUMIFS(Таблица14[Столбец2],Таблица14[коэф],"1,4",Таблица14[р/р],"3/24",Таблица14[Ф. И. О.],B627)</f>
        <v>0</v>
      </c>
      <c r="Y630" s="748"/>
      <c r="Z630" s="750"/>
      <c r="AA630" s="740"/>
    </row>
    <row r="631" spans="1:27" ht="18.75">
      <c r="A631" s="740"/>
      <c r="B631" s="201"/>
      <c r="C631" s="743"/>
      <c r="D631" s="746"/>
      <c r="E631" s="366"/>
      <c r="F631" s="367"/>
      <c r="G631" s="377"/>
      <c r="H631" s="369"/>
      <c r="I631" s="409"/>
      <c r="J631" s="410"/>
      <c r="K631" s="411"/>
      <c r="L631" s="411"/>
      <c r="M631" s="411"/>
      <c r="N631" s="411"/>
      <c r="O631" s="411"/>
      <c r="P631" s="383"/>
      <c r="Q631" s="366">
        <f>база!$L$5</f>
        <v>231.45480000000001</v>
      </c>
      <c r="R631" s="367">
        <v>1.4</v>
      </c>
      <c r="S631" s="377">
        <f>SUMIFS(Таблица14[часы],Таблица14[коэф],"1,4",Таблица14[р/р],"4/16",Таблица14[Ф. И. О.],B627)</f>
        <v>0</v>
      </c>
      <c r="T631" s="369">
        <f>SUMIFS(Таблица14[Столбец2],Таблица14[коэф],"1,4",Таблица14[р/р],"4/16",Таблица14[Ф. И. О.],B627)</f>
        <v>0</v>
      </c>
      <c r="U631" s="455">
        <f>база!$M$5</f>
        <v>247.41720000000001</v>
      </c>
      <c r="V631" s="367">
        <v>1.4</v>
      </c>
      <c r="W631" s="389">
        <f>SUMIFS(Таблица14[часы],Таблица14[коэф],"1,4",Таблица14[р/р],"4/24",Таблица14[Ф. И. О.],B627)</f>
        <v>0</v>
      </c>
      <c r="X631" s="521">
        <f>SUMIFS(Таблица14[Столбец2],Таблица14[коэф],"1,4",Таблица14[р/р],"4/24",Таблица14[Ф. И. О.],B627)</f>
        <v>0</v>
      </c>
      <c r="Y631" s="748"/>
      <c r="Z631" s="750"/>
      <c r="AA631" s="740"/>
    </row>
    <row r="632" spans="1:27" ht="19.5" thickBot="1">
      <c r="A632" s="741"/>
      <c r="B632" s="329"/>
      <c r="C632" s="744"/>
      <c r="D632" s="747"/>
      <c r="E632" s="450"/>
      <c r="F632" s="441"/>
      <c r="G632" s="628"/>
      <c r="H632" s="445"/>
      <c r="I632" s="622"/>
      <c r="J632" s="433"/>
      <c r="K632" s="623"/>
      <c r="L632" s="434"/>
      <c r="M632" s="622"/>
      <c r="N632" s="623"/>
      <c r="O632" s="623"/>
      <c r="P632" s="453"/>
      <c r="Q632" s="629">
        <f>база!$L$6</f>
        <v>261.04640000000001</v>
      </c>
      <c r="R632" s="441">
        <v>1.4</v>
      </c>
      <c r="S632" s="442">
        <f>SUMIFS(Таблица14[часы],Таблица14[коэф],"1,4",Таблица14[р/р],"5/16",Таблица14[Ф. И. О.],B627)</f>
        <v>0</v>
      </c>
      <c r="T632" s="445">
        <f>SUMIFS(Таблица14[Столбец2],Таблица14[коэф],"1,4",Таблица14[р/р],"5/16",Таблица14[Ф. И. О.],B627)</f>
        <v>0</v>
      </c>
      <c r="U632" s="440">
        <f>база!$M$6</f>
        <v>279.0496</v>
      </c>
      <c r="V632" s="441">
        <v>1.4</v>
      </c>
      <c r="W632" s="442">
        <f>SUMIFS(Таблица14[часы],Таблица14[коэф],"1,4",Таблица14[р/р],"5/24",Таблица14[Ф. И. О.],B627)</f>
        <v>0</v>
      </c>
      <c r="X632" s="445">
        <f>SUMIFS(Таблица14[Столбец2],Таблица14[коэф],"1,4",Таблица14[р/р],"5/24",Таблица14[Ф. И. О.],B627)</f>
        <v>0</v>
      </c>
      <c r="Y632" s="749"/>
      <c r="Z632" s="751"/>
      <c r="AA632" s="741"/>
    </row>
    <row r="633" spans="1:27" ht="18.75">
      <c r="A633" s="740">
        <v>58</v>
      </c>
      <c r="B633" s="201"/>
      <c r="C633" s="742">
        <f>INDEX(база!$E$2:$E$98, MATCH(B638,база!$B$2:$B$100,0))</f>
        <v>15589</v>
      </c>
      <c r="D633" s="745">
        <f>INDEX(база!$D$2:$D$121, MATCH(B638,база!$B$2:$B$100,0))</f>
        <v>3</v>
      </c>
      <c r="E633" s="458">
        <f>IF(D633&lt;=3,база!$I$4,
IF(D633=4,база!$I$5,
IF(D633=5,база!$I$6)))</f>
        <v>188.7912</v>
      </c>
      <c r="F633" s="394">
        <v>1</v>
      </c>
      <c r="G633" s="395">
        <f>SUMIFS(Таблица14[часы],Таблица14[коэф],"1",Таблица14[р/р],"2/4",Таблица14[Ф. И. О.],B638)</f>
        <v>0</v>
      </c>
      <c r="H633" s="379">
        <f>SUMIFS(Таблица14[Столбец2],Таблица14[коэф],"1",Таблица14[р/р],"2/4",Таблица14[Ф. И. О.],B638)</f>
        <v>0</v>
      </c>
      <c r="I633" s="429">
        <f>IF(D633&lt;=3,база!$J$4,
IF(D633=4,база!$J$5,
IF(D633=5,база!$J$6)))</f>
        <v>196.05240000000001</v>
      </c>
      <c r="J633" s="452">
        <v>1</v>
      </c>
      <c r="K633" s="430">
        <f>SUMIFS(Таблица14[часы],Таблица14[коэф],"1",Таблица14[р/р],"2/8",Таблица14[Ф. И. О.],B638)</f>
        <v>0</v>
      </c>
      <c r="L633" s="430">
        <f>SUMIFS(Таблица14[Столбец2],Таблица14[коэф],"1",Таблица14[р/р],"2/8",Таблица14[Ф. И. О.],B638)</f>
        <v>0</v>
      </c>
      <c r="M633" s="430"/>
      <c r="N633" s="430">
        <v>1</v>
      </c>
      <c r="O633" s="430">
        <f>SUMIFS(Data_Tech!$AM$3:$AM$67,Data_Tech!$E$3:$E$67,"1",Data_Tech!$G$3:$G$67,"3/12",Data_Tech!$F$3:$F$67,B638)</f>
        <v>0</v>
      </c>
      <c r="P633" s="375">
        <f>ROUND(M633*N633*O633,2)</f>
        <v>0</v>
      </c>
      <c r="Q633" s="458">
        <f>IF(D633&lt;=3,база!$L$4,
IF(D633=4,база!$L$5,
IF(D633=5,база!$L$6)))</f>
        <v>210.57480000000001</v>
      </c>
      <c r="R633" s="394">
        <v>1</v>
      </c>
      <c r="S633" s="395">
        <f>SUMIFS(Таблица14[часы],Таблица14[коэф],"1",Таблица14[р/р],"3/16",Таблица14[Ф. И. О.],B638)</f>
        <v>0</v>
      </c>
      <c r="T633" s="379">
        <f>SUMIFS(Таблица14[Столбец2],Таблица14[коэф],"1",Таблица14[р/р],"3/16",Таблица14[Ф. И. О.],B638)</f>
        <v>0</v>
      </c>
      <c r="U633" s="460">
        <f>IF(D633&lt;=3,база!$M$4,
IF(D633=4,база!$M$5,
IF(D633=5,база!$M$6)))</f>
        <v>225.09719999999999</v>
      </c>
      <c r="V633" s="394">
        <v>1</v>
      </c>
      <c r="W633" s="432">
        <f>SUMIFS(Таблица14[часы],Таблица14[коэф],"1",Таблица14[р/р],"3/24",Таблица14[Ф. И. О.],B638)</f>
        <v>0</v>
      </c>
      <c r="X633" s="528">
        <f>SUMIFS(Таблица14[Столбец2],Таблица14[коэф],"1",Таблица14[р/р],"3/24",Таблица14[Ф. И. О.],B638)</f>
        <v>0</v>
      </c>
      <c r="Y633" s="754">
        <f>SUM(G633:G643,K633:K643,O633:O643,S633:S643,W633:W643)</f>
        <v>0</v>
      </c>
      <c r="Z633" s="750">
        <f>IFERROR(SUM(H633:H643,L633:L643,T633:T643,X633:X643),"")</f>
        <v>0</v>
      </c>
      <c r="AA633" s="740"/>
    </row>
    <row r="634" spans="1:27" ht="18.75">
      <c r="A634" s="740"/>
      <c r="B634" s="201"/>
      <c r="C634" s="743"/>
      <c r="D634" s="746"/>
      <c r="E634" s="366">
        <f>IF(D633&lt;=3,база!$I$4,
IF(D633=4,база!$I$5,
IF(D633=5,база!$I$6)))</f>
        <v>188.7912</v>
      </c>
      <c r="F634" s="367">
        <v>1</v>
      </c>
      <c r="G634" s="377">
        <f>SUMIFS(Таблица14[часы],Таблица14[коэф],"1",Таблица14[р/р],"3/4",Таблица14[Ф. И. О.],B638)</f>
        <v>0</v>
      </c>
      <c r="H634" s="369">
        <f>SUMIFS(Таблица14[Столбец2],Таблица14[коэф],"1",Таблица14[р/р],"3/4",Таблица14[Ф. И. О.],B638)</f>
        <v>0</v>
      </c>
      <c r="I634" s="409">
        <f>IF(D633&lt;=3,база!$J$4,
IF(D633=4,база!$J$5,
IF(D633=5,база!$J$6)))</f>
        <v>196.05240000000001</v>
      </c>
      <c r="J634" s="410">
        <v>1</v>
      </c>
      <c r="K634" s="411">
        <f>SUMIFS(Таблица14[часы],Таблица14[коэф],"1",Таблица14[р/р],"3/8",Таблица14[Ф. И. О.],B638)</f>
        <v>0</v>
      </c>
      <c r="L634" s="411">
        <f>SUMIFS(Таблица14[Столбец2],Таблица14[коэф],"1",Таблица14[р/р],"3/8",Таблица14[Ф. И. О.],B638)</f>
        <v>0</v>
      </c>
      <c r="M634" s="411"/>
      <c r="N634" s="411">
        <v>1</v>
      </c>
      <c r="O634" s="411">
        <f>SUMIFS(Data_Tech!$AM$3:$AM$67,Data_Tech!$E$3:$E$67,"1",Data_Tech!$G$3:$G$67,"4/12",Data_Tech!$F$3:$F$67,B638)</f>
        <v>0</v>
      </c>
      <c r="P634" s="383">
        <f>ROUND(M634*O634,2)</f>
        <v>0</v>
      </c>
      <c r="Q634" s="366">
        <f>база!$L$5</f>
        <v>231.45480000000001</v>
      </c>
      <c r="R634" s="367">
        <v>1</v>
      </c>
      <c r="S634" s="377">
        <f>SUMIFS(Таблица14[часы],Таблица14[коэф],"1",Таблица14[р/р],"4/16",Таблица14[Ф. И. О.],B638)</f>
        <v>0</v>
      </c>
      <c r="T634" s="369">
        <f>SUMIFS(Таблица14[Столбец2],Таблица14[коэф],"1",Таблица14[р/р],"4/16",Таблица14[Ф. И. О.],B638)</f>
        <v>0</v>
      </c>
      <c r="U634" s="455">
        <f>база!$M$5</f>
        <v>247.41720000000001</v>
      </c>
      <c r="V634" s="367">
        <v>1</v>
      </c>
      <c r="W634" s="389">
        <f>SUMIFS(Таблица14[часы],Таблица14[коэф],"1",Таблица14[р/р],"4/24",Таблица14[Ф. И. О.],B638)</f>
        <v>0</v>
      </c>
      <c r="X634" s="521">
        <f>SUMIFS(Таблица14[Столбец2],Таблица14[коэф],"1",Таблица14[р/р],"4/24",Таблица14[Ф. И. О.],B638)</f>
        <v>0</v>
      </c>
      <c r="Y634" s="754"/>
      <c r="Z634" s="750"/>
      <c r="AA634" s="740"/>
    </row>
    <row r="635" spans="1:27" ht="18.75">
      <c r="A635" s="740"/>
      <c r="B635" s="201"/>
      <c r="C635" s="743"/>
      <c r="D635" s="746"/>
      <c r="E635" s="366"/>
      <c r="F635" s="367"/>
      <c r="G635" s="377"/>
      <c r="H635" s="369"/>
      <c r="I635" s="409"/>
      <c r="J635" s="410"/>
      <c r="K635" s="411"/>
      <c r="L635" s="411"/>
      <c r="M635" s="411"/>
      <c r="N635" s="411"/>
      <c r="O635" s="411"/>
      <c r="P635" s="383"/>
      <c r="Q635" s="366">
        <f>база!$L$6</f>
        <v>261.04640000000001</v>
      </c>
      <c r="R635" s="367">
        <v>1</v>
      </c>
      <c r="S635" s="377">
        <f>SUMIFS(Таблица14[часы],Таблица14[коэф],"1",Таблица14[р/р],"5/16",Таблица14[Ф. И. О.],B638)</f>
        <v>0</v>
      </c>
      <c r="T635" s="369">
        <f>SUMIFS(Таблица14[Столбец2],Таблица14[коэф],"1",Таблица14[р/р],"5/16",Таблица14[Ф. И. О.],B638)</f>
        <v>0</v>
      </c>
      <c r="U635" s="455">
        <f>база!$M$6</f>
        <v>279.0496</v>
      </c>
      <c r="V635" s="367">
        <v>1</v>
      </c>
      <c r="W635" s="389">
        <f>SUMIFS(Таблица14[часы],Таблица14[коэф],"1",Таблица14[р/р],"5/24",Таблица14[Ф. И. О.],B638)</f>
        <v>0</v>
      </c>
      <c r="X635" s="521">
        <f>SUMIFS(Таблица14[Столбец2],Таблица14[коэф],"1",Таблица14[р/р],"5/24",Таблица14[Ф. И. О.],B638)</f>
        <v>0</v>
      </c>
      <c r="Y635" s="754"/>
      <c r="Z635" s="750"/>
      <c r="AA635" s="740"/>
    </row>
    <row r="636" spans="1:27" ht="18.75">
      <c r="A636" s="740"/>
      <c r="B636" s="201"/>
      <c r="C636" s="743"/>
      <c r="D636" s="746"/>
      <c r="E636" s="366"/>
      <c r="F636" s="367"/>
      <c r="G636" s="377"/>
      <c r="H636" s="369"/>
      <c r="I636" s="409">
        <f>база!$J$5</f>
        <v>215.4924</v>
      </c>
      <c r="J636" s="410">
        <v>1.5</v>
      </c>
      <c r="K636" s="411">
        <f>SUMIFS(Таблица14[часы],Таблица14[коэф],"1,5",Таблица14[р/р],"4/8",Таблица14[Ф. И. О.],B638)</f>
        <v>0</v>
      </c>
      <c r="L636" s="411">
        <f>SUMIFS(Таблица14[Столбец2],Таблица14[коэф],"1,5",Таблица14[р/р],"4/8",Таблица14[Ф. И. О.],B638)</f>
        <v>0</v>
      </c>
      <c r="M636" s="411"/>
      <c r="N636" s="411"/>
      <c r="O636" s="411"/>
      <c r="P636" s="383"/>
      <c r="Q636" s="366">
        <f>IF(D633&lt;=3,база!$L$4,
IF(D633=4,база!$L$5,
IF(D633=5,база!$L$6)))</f>
        <v>210.57480000000001</v>
      </c>
      <c r="R636" s="367">
        <v>1.2</v>
      </c>
      <c r="S636" s="377">
        <f>SUMIFS(Таблица14[часы],Таблица14[коэф],"1,2",Таблица14[р/р],"3/16",Таблица14[Ф. И. О.],B638)</f>
        <v>0</v>
      </c>
      <c r="T636" s="369">
        <f>SUMIFS(Таблица14[Столбец2],Таблица14[коэф],"1,2",Таблица14[р/р],"3/16",Таблица14[Ф. И. О.],B638)</f>
        <v>0</v>
      </c>
      <c r="U636" s="455">
        <f>IF(D633&lt;=3,база!$M$4,
IF(D633=4,база!$M$5,
IF(D633=5,база!$M$6)))</f>
        <v>225.09719999999999</v>
      </c>
      <c r="V636" s="367">
        <v>1.2</v>
      </c>
      <c r="W636" s="389">
        <f>SUMIFS(Таблица14[часы],Таблица14[коэф],"1,2",Таблица14[р/р],"3/24",Таблица14[Ф. И. О.],B638)</f>
        <v>0</v>
      </c>
      <c r="X636" s="521">
        <f>SUMIFS(Таблица14[Столбец2],Таблица14[коэф],"1,2",Таблица14[р/р],"3/24",Таблица14[Ф. И. О.],B638)</f>
        <v>0</v>
      </c>
      <c r="Y636" s="754"/>
      <c r="Z636" s="750"/>
      <c r="AA636" s="740"/>
    </row>
    <row r="637" spans="1:27" ht="18.75">
      <c r="A637" s="740"/>
      <c r="B637" s="201"/>
      <c r="C637" s="743"/>
      <c r="D637" s="746"/>
      <c r="E637" s="366"/>
      <c r="F637" s="367"/>
      <c r="G637" s="377"/>
      <c r="H637" s="369"/>
      <c r="I637" s="409">
        <f>база!$J$6</f>
        <v>243.04319999999998</v>
      </c>
      <c r="J637" s="410">
        <v>1.5</v>
      </c>
      <c r="K637" s="411">
        <f>SUMIFS(Таблица14[часы],Таблица14[коэф],"1,5",Таблица14[р/р],"5/8",Таблица14[Ф. И. О.],B638)</f>
        <v>0</v>
      </c>
      <c r="L637" s="411">
        <f>SUMIFS(Таблица14[Столбец2],Таблица14[коэф],"1,5",Таблица14[р/р],"5/8",Таблица14[Ф. И. О.],B638)</f>
        <v>0</v>
      </c>
      <c r="M637" s="411"/>
      <c r="N637" s="411"/>
      <c r="O637" s="411"/>
      <c r="P637" s="383"/>
      <c r="Q637" s="366">
        <f>база!$L$5</f>
        <v>231.45480000000001</v>
      </c>
      <c r="R637" s="367">
        <v>1.2</v>
      </c>
      <c r="S637" s="377">
        <f>SUMIFS(Таблица14[часы],Таблица14[коэф],"1,2",Таблица14[р/р],"4/16",Таблица14[Ф. И. О.],B638)</f>
        <v>0</v>
      </c>
      <c r="T637" s="369">
        <f>SUMIFS(Таблица14[Столбец2],Таблица14[коэф],"1,2",Таблица14[р/р],"4/16",Таблица14[Ф. И. О.],B638)</f>
        <v>0</v>
      </c>
      <c r="U637" s="455">
        <f>база!$M$5</f>
        <v>247.41720000000001</v>
      </c>
      <c r="V637" s="367">
        <v>1.2</v>
      </c>
      <c r="W637" s="389">
        <f>SUMIFS(Таблица14[часы],Таблица14[коэф],"1,2",Таблица14[р/р],"4/24",Таблица14[Ф. И. О.],B638)</f>
        <v>0</v>
      </c>
      <c r="X637" s="521">
        <f>SUMIFS(Таблица14[Столбец2],Таблица14[коэф],"1,2",Таблица14[р/р],"4/24",Таблица14[Ф. И. О.],B638)</f>
        <v>0</v>
      </c>
      <c r="Y637" s="754"/>
      <c r="Z637" s="750"/>
      <c r="AA637" s="740"/>
    </row>
    <row r="638" spans="1:27" ht="18.75">
      <c r="A638" s="740"/>
      <c r="B638" s="201" t="str">
        <f>база!B59</f>
        <v>Пириева Виктория Хозеиновна</v>
      </c>
      <c r="C638" s="743"/>
      <c r="D638" s="746"/>
      <c r="E638" s="366"/>
      <c r="F638" s="367"/>
      <c r="G638" s="377"/>
      <c r="H638" s="369"/>
      <c r="I638" s="409"/>
      <c r="J638" s="410"/>
      <c r="K638" s="411"/>
      <c r="L638" s="411"/>
      <c r="M638" s="411"/>
      <c r="N638" s="411"/>
      <c r="O638" s="411"/>
      <c r="P638" s="383"/>
      <c r="Q638" s="366">
        <f>база!$L$6</f>
        <v>261.04640000000001</v>
      </c>
      <c r="R638" s="367">
        <v>1.2</v>
      </c>
      <c r="S638" s="377">
        <f>SUMIFS(Таблица14[часы],Таблица14[коэф],"1,2",Таблица14[р/р],"5/16",Таблица14[Ф. И. О.],B638)</f>
        <v>0</v>
      </c>
      <c r="T638" s="369">
        <f>SUMIFS(Таблица14[Столбец2],Таблица14[коэф],"1,2",Таблица14[р/р],"5/16",Таблица14[Ф. И. О.],B638)</f>
        <v>0</v>
      </c>
      <c r="U638" s="455">
        <f>база!$M$6</f>
        <v>279.0496</v>
      </c>
      <c r="V638" s="367">
        <v>1.2</v>
      </c>
      <c r="W638" s="389">
        <f>SUMIFS(Таблица14[часы],Таблица14[коэф],"1,2",Таблица14[р/р],"5/24",Таблица14[Ф. И. О.],B638)</f>
        <v>0</v>
      </c>
      <c r="X638" s="521">
        <f>SUMIFS(Таблица14[Столбец2],Таблица14[коэф],"1,2",Таблица14[р/р],"5/24",Таблица14[Ф. И. О.],B638)</f>
        <v>0</v>
      </c>
      <c r="Y638" s="754"/>
      <c r="Z638" s="750"/>
      <c r="AA638" s="740"/>
    </row>
    <row r="639" spans="1:27" ht="18.75">
      <c r="A639" s="740"/>
      <c r="B639" s="201"/>
      <c r="C639" s="743"/>
      <c r="D639" s="746"/>
      <c r="E639" s="366"/>
      <c r="F639" s="367"/>
      <c r="G639" s="377"/>
      <c r="H639" s="369"/>
      <c r="I639" s="409"/>
      <c r="J639" s="410"/>
      <c r="K639" s="411"/>
      <c r="L639" s="411"/>
      <c r="M639" s="411"/>
      <c r="N639" s="411"/>
      <c r="O639" s="411"/>
      <c r="P639" s="383"/>
      <c r="Q639" s="366">
        <f>IF($D$6&lt;=3,база!$L$4,
IF($D$6=4,база!$L$5,
IF($D$6=5,база!$L$6)))</f>
        <v>231.45480000000001</v>
      </c>
      <c r="R639" s="367">
        <v>1.3</v>
      </c>
      <c r="S639" s="377">
        <f>SUMIFS(Таблица14[часы],Таблица14[коэф],"1,3",Таблица14[р/р],"3/16",Таблица14[Ф. И. О.],B638)</f>
        <v>0</v>
      </c>
      <c r="T639" s="369">
        <f>SUMIFS(Таблица14[Столбец2],Таблица14[коэф],"1,3",Таблица14[р/р],"3/16",Таблица14[Ф. И. О.],B638)</f>
        <v>0</v>
      </c>
      <c r="U639" s="455">
        <f>IF(D633&lt;=3,база!$M$4,
IF(D633=4,база!$M$5,
IF(D633=5,база!$M$6)))</f>
        <v>225.09719999999999</v>
      </c>
      <c r="V639" s="367">
        <v>1.3</v>
      </c>
      <c r="W639" s="389">
        <f>SUMIFS(Таблица14[часы],Таблица14[коэф],"1,3",Таблица14[р/р],"3/24",Таблица14[Ф. И. О.],B638)</f>
        <v>0</v>
      </c>
      <c r="X639" s="521">
        <f>SUMIFS(Таблица14[Столбец2],Таблица14[коэф],"1,3",Таблица14[р/р],"3/24",Таблица14[Ф. И. О.],B638)</f>
        <v>0</v>
      </c>
      <c r="Y639" s="754"/>
      <c r="Z639" s="750"/>
      <c r="AA639" s="740"/>
    </row>
    <row r="640" spans="1:27" ht="18.75">
      <c r="A640" s="740"/>
      <c r="B640" s="201"/>
      <c r="C640" s="743"/>
      <c r="D640" s="746"/>
      <c r="E640" s="366"/>
      <c r="F640" s="367"/>
      <c r="G640" s="377"/>
      <c r="H640" s="369"/>
      <c r="I640" s="409"/>
      <c r="J640" s="410"/>
      <c r="K640" s="411"/>
      <c r="L640" s="411"/>
      <c r="M640" s="411"/>
      <c r="N640" s="411"/>
      <c r="O640" s="411"/>
      <c r="P640" s="383"/>
      <c r="Q640" s="366">
        <f>база!$L$5</f>
        <v>231.45480000000001</v>
      </c>
      <c r="R640" s="367">
        <v>1.3</v>
      </c>
      <c r="S640" s="377">
        <f>SUMIFS(Таблица14[часы],Таблица14[коэф],"1,3",Таблица14[р/р],"4/16",Таблица14[Ф. И. О.],B638)</f>
        <v>0</v>
      </c>
      <c r="T640" s="369">
        <f>SUMIFS(Таблица14[Столбец2],Таблица14[коэф],"1,3",Таблица14[р/р],"4/16",Таблица14[Ф. И. О.],B638)</f>
        <v>0</v>
      </c>
      <c r="U640" s="455">
        <f>база!$M$5</f>
        <v>247.41720000000001</v>
      </c>
      <c r="V640" s="367">
        <v>1.3</v>
      </c>
      <c r="W640" s="389">
        <f>SUMIFS(Таблица14[часы],Таблица14[коэф],"1,3",Таблица14[р/р],"4/24",Таблица14[Ф. И. О.],B638)</f>
        <v>0</v>
      </c>
      <c r="X640" s="521">
        <f>SUMIFS(Таблица14[Столбец2],Таблица14[коэф],"1,3",Таблица14[р/р],"4/24",Таблица14[Ф. И. О.],B638)</f>
        <v>0</v>
      </c>
      <c r="Y640" s="754"/>
      <c r="Z640" s="750"/>
      <c r="AA640" s="740"/>
    </row>
    <row r="641" spans="1:27" ht="18.75">
      <c r="A641" s="740"/>
      <c r="B641" s="201"/>
      <c r="C641" s="743"/>
      <c r="D641" s="746"/>
      <c r="E641" s="366"/>
      <c r="F641" s="367"/>
      <c r="G641" s="377"/>
      <c r="H641" s="369"/>
      <c r="I641" s="409"/>
      <c r="J641" s="410"/>
      <c r="K641" s="411"/>
      <c r="L641" s="411"/>
      <c r="M641" s="411"/>
      <c r="N641" s="411"/>
      <c r="O641" s="411"/>
      <c r="P641" s="383"/>
      <c r="Q641" s="366">
        <f>IF(D633&lt;=3,база!$L$4,
IF(D633=4,база!$L$5,
IF(D633=5,база!$L$6)))</f>
        <v>210.57480000000001</v>
      </c>
      <c r="R641" s="367">
        <v>1.4</v>
      </c>
      <c r="S641" s="377">
        <f>SUMIFS(Таблица14[часы],Таблица14[коэф],"1,4",Таблица14[р/р],"3/16",Таблица14[Ф. И. О.],B638)</f>
        <v>0</v>
      </c>
      <c r="T641" s="369">
        <f>SUMIFS(Таблица14[Столбец2],Таблица14[коэф],"1,4",Таблица14[р/р],"3/16",Таблица14[Ф. И. О.],B638)</f>
        <v>0</v>
      </c>
      <c r="U641" s="455">
        <f>IF(D633&lt;=3,база!$M$4,
IF(D633=4,база!$M$5,
IF(D633=5,база!$M$6)))</f>
        <v>225.09719999999999</v>
      </c>
      <c r="V641" s="367">
        <v>1.4</v>
      </c>
      <c r="W641" s="389">
        <f>SUMIFS(Таблица14[часы],Таблица14[коэф],"1,4",Таблица14[р/р],"3/24",Таблица14[Ф. И. О.],B638)</f>
        <v>0</v>
      </c>
      <c r="X641" s="521">
        <f>SUMIFS(Таблица14[Столбец2],Таблица14[коэф],"1,4",Таблица14[р/р],"3/24",Таблица14[Ф. И. О.],B638)</f>
        <v>0</v>
      </c>
      <c r="Y641" s="754"/>
      <c r="Z641" s="750"/>
      <c r="AA641" s="740"/>
    </row>
    <row r="642" spans="1:27" ht="18.75">
      <c r="A642" s="740"/>
      <c r="B642" s="201"/>
      <c r="C642" s="743"/>
      <c r="D642" s="746"/>
      <c r="E642" s="366"/>
      <c r="F642" s="367"/>
      <c r="G642" s="377"/>
      <c r="H642" s="369"/>
      <c r="I642" s="409"/>
      <c r="J642" s="410"/>
      <c r="K642" s="411"/>
      <c r="L642" s="411"/>
      <c r="M642" s="411"/>
      <c r="N642" s="411"/>
      <c r="O642" s="411"/>
      <c r="P642" s="383"/>
      <c r="Q642" s="366">
        <f>база!$L$5</f>
        <v>231.45480000000001</v>
      </c>
      <c r="R642" s="367">
        <v>1.4</v>
      </c>
      <c r="S642" s="377">
        <f>SUMIFS(Таблица14[часы],Таблица14[коэф],"1,4",Таблица14[р/р],"4/16",Таблица14[Ф. И. О.],B638)</f>
        <v>0</v>
      </c>
      <c r="T642" s="369">
        <f>SUMIFS(Таблица14[Столбец2],Таблица14[коэф],"1,4",Таблица14[р/р],"4/16",Таблица14[Ф. И. О.],B638)</f>
        <v>0</v>
      </c>
      <c r="U642" s="455">
        <f>база!$M$5</f>
        <v>247.41720000000001</v>
      </c>
      <c r="V642" s="367">
        <v>1.4</v>
      </c>
      <c r="W642" s="389">
        <f>SUMIFS(Таблица14[часы],Таблица14[коэф],"1,4",Таблица14[р/р],"4/24",Таблица14[Ф. И. О.],B638)</f>
        <v>0</v>
      </c>
      <c r="X642" s="521">
        <f>SUMIFS(Таблица14[Столбец2],Таблица14[коэф],"1,4",Таблица14[р/р],"4/24",Таблица14[Ф. И. О.],B638)</f>
        <v>0</v>
      </c>
      <c r="Y642" s="754"/>
      <c r="Z642" s="750"/>
      <c r="AA642" s="740"/>
    </row>
    <row r="643" spans="1:27" ht="19.5" thickBot="1">
      <c r="A643" s="741"/>
      <c r="B643" s="329"/>
      <c r="C643" s="744"/>
      <c r="D643" s="747"/>
      <c r="E643" s="422"/>
      <c r="F643" s="423"/>
      <c r="G643" s="624"/>
      <c r="H643" s="511"/>
      <c r="I643" s="625"/>
      <c r="J643" s="588"/>
      <c r="K643" s="626"/>
      <c r="L643" s="434"/>
      <c r="M643" s="625"/>
      <c r="N643" s="626"/>
      <c r="O643" s="626"/>
      <c r="P643" s="514"/>
      <c r="Q643" s="627">
        <f>база!$L$6</f>
        <v>261.04640000000001</v>
      </c>
      <c r="R643" s="423">
        <v>1.4</v>
      </c>
      <c r="S643" s="424">
        <f>SUMIFS(Таблица14[часы],Таблица14[коэф],"1,4",Таблица14[р/р],"5/16",Таблица14[Ф. И. О.],B638)</f>
        <v>0</v>
      </c>
      <c r="T643" s="511">
        <f>SUMIFS(Таблица14[Столбец2],Таблица14[коэф],"1,4",Таблица14[р/р],"5/16",Таблица14[Ф. И. О.],B638)</f>
        <v>0</v>
      </c>
      <c r="U643" s="512">
        <f>база!$M$6</f>
        <v>279.0496</v>
      </c>
      <c r="V643" s="441">
        <v>1.4</v>
      </c>
      <c r="W643" s="424">
        <f>SUMIFS(Таблица14[часы],Таблица14[коэф],"1,4",Таблица14[р/р],"5/24",Таблица14[Ф. И. О.],B638)</f>
        <v>0</v>
      </c>
      <c r="X643" s="511">
        <f>SUMIFS(Таблица14[Столбец2],Таблица14[коэф],"1,4",Таблица14[р/р],"5/24",Таблица14[Ф. И. О.],B638)</f>
        <v>0</v>
      </c>
      <c r="Y643" s="755"/>
      <c r="Z643" s="751"/>
      <c r="AA643" s="741"/>
    </row>
    <row r="644" spans="1:27" ht="18.75" customHeight="1">
      <c r="A644" s="740">
        <v>59</v>
      </c>
      <c r="B644" s="201"/>
      <c r="C644" s="742">
        <f>INDEX(база!$E$2:$E$150, MATCH(B649,база!$B$2:$B$150,0))</f>
        <v>16858</v>
      </c>
      <c r="D644" s="745">
        <f>INDEX(база!$D$2:$D$121, MATCH(B649,база!$B$2:$B$100,0))</f>
        <v>3</v>
      </c>
      <c r="E644" s="458">
        <f>IF(D644&lt;=3,база!$I$4,
IF(D644=4,база!$I$5,
IF(D644=5,база!$I$6)))</f>
        <v>188.7912</v>
      </c>
      <c r="F644" s="394">
        <v>1</v>
      </c>
      <c r="G644" s="395">
        <f>SUMIFS(Таблица14[часы],Таблица14[коэф],"1",Таблица14[р/р],"2/4",Таблица14[Ф. И. О.],B649)</f>
        <v>0</v>
      </c>
      <c r="H644" s="379">
        <f>SUMIFS(Таблица14[Столбец2],Таблица14[коэф],"1",Таблица14[р/р],"2/4",Таблица14[Ф. И. О.],B649)</f>
        <v>0</v>
      </c>
      <c r="I644" s="429">
        <f>IF(D644&lt;=3,база!$J$4,
IF(D644=4,база!$J$5,
IF(D644=5,база!$J$6)))</f>
        <v>196.05240000000001</v>
      </c>
      <c r="J644" s="452">
        <v>1</v>
      </c>
      <c r="K644" s="430">
        <f>SUMIFS(Таблица14[часы],Таблица14[коэф],"1",Таблица14[р/р],"2/8",Таблица14[Ф. И. О.],B649)</f>
        <v>0</v>
      </c>
      <c r="L644" s="430">
        <f>SUMIFS(Таблица14[Столбец2],Таблица14[коэф],"1",Таблица14[р/р],"2/8",Таблица14[Ф. И. О.],B649)</f>
        <v>0</v>
      </c>
      <c r="M644" s="430"/>
      <c r="N644" s="430">
        <v>1</v>
      </c>
      <c r="O644" s="430">
        <f>SUMIFS(Data_Tech!$AM$3:$AM$67,Data_Tech!$E$3:$E$67,"1",Data_Tech!$G$3:$G$67,"3/12",Data_Tech!$F$3:$F$67,B649)</f>
        <v>0</v>
      </c>
      <c r="P644" s="375">
        <f>ROUND(M644*N644*O644,2)</f>
        <v>0</v>
      </c>
      <c r="Q644" s="458">
        <f>IF(D644&lt;=3,база!$L$4,
IF(D644=4,база!$L$5,
IF(D644=5,база!$L$6)))</f>
        <v>210.57480000000001</v>
      </c>
      <c r="R644" s="394">
        <v>1</v>
      </c>
      <c r="S644" s="395">
        <f>SUMIFS(Таблица14[часы],Таблица14[коэф],"1",Таблица14[р/р],"3/16",Таблица14[Ф. И. О.],B649)</f>
        <v>0</v>
      </c>
      <c r="T644" s="379">
        <f>SUMIFS(Таблица14[Столбец2],Таблица14[коэф],"1",Таблица14[р/р],"3/16",Таблица14[Ф. И. О.],B649)</f>
        <v>0</v>
      </c>
      <c r="U644" s="460">
        <f>IF(D644&lt;=3,база!$M$4,
IF(D644=4,база!$M$5,
IF(D644=5,база!$M$6)))</f>
        <v>225.09719999999999</v>
      </c>
      <c r="V644" s="394">
        <v>1</v>
      </c>
      <c r="W644" s="432">
        <f>SUMIFS(Таблица14[часы],Таблица14[коэф],"1",Таблица14[р/р],"3/24",Таблица14[Ф. И. О.],B649)</f>
        <v>0</v>
      </c>
      <c r="X644" s="528">
        <f>SUMIFS(Таблица14[Столбец2],Таблица14[коэф],"1",Таблица14[р/р],"3/24",Таблица14[Ф. И. О.],B649)</f>
        <v>0</v>
      </c>
      <c r="Y644" s="754">
        <f t="shared" ref="Y644" si="254">SUM(G644:G654,K644:K654,O644:O654,S644:S654,W644:W654)</f>
        <v>0</v>
      </c>
      <c r="Z644" s="750">
        <f t="shared" ref="Z644" si="255">IFERROR(SUM(H644:H654,L644:L654,T644:T654,X644:X654),"")</f>
        <v>0</v>
      </c>
      <c r="AA644" s="740"/>
    </row>
    <row r="645" spans="1:27" ht="18.75" customHeight="1">
      <c r="A645" s="740"/>
      <c r="B645" s="201"/>
      <c r="C645" s="743"/>
      <c r="D645" s="746"/>
      <c r="E645" s="366">
        <f>IF(D644&lt;=3,база!$I$4,
IF(D644=4,база!$I$5,
IF(D644=5,база!$I$6)))</f>
        <v>188.7912</v>
      </c>
      <c r="F645" s="367">
        <v>1</v>
      </c>
      <c r="G645" s="377">
        <f>SUMIFS(Таблица14[часы],Таблица14[коэф],"1",Таблица14[р/р],"3/4",Таблица14[Ф. И. О.],B649)</f>
        <v>0</v>
      </c>
      <c r="H645" s="369">
        <f>SUMIFS(Таблица14[Столбец2],Таблица14[коэф],"1",Таблица14[р/р],"3/4",Таблица14[Ф. И. О.],B649)</f>
        <v>0</v>
      </c>
      <c r="I645" s="409">
        <f>IF(D644&lt;=3,база!$J$4,
IF(D644=4,база!$J$5,
IF(D644=5,база!$J$6)))</f>
        <v>196.05240000000001</v>
      </c>
      <c r="J645" s="410">
        <v>1</v>
      </c>
      <c r="K645" s="411">
        <f>SUMIFS(Таблица14[часы],Таблица14[коэф],"1",Таблица14[р/р],"3/8",Таблица14[Ф. И. О.],B649)</f>
        <v>0</v>
      </c>
      <c r="L645" s="411">
        <f>SUMIFS(Таблица14[Столбец2],Таблица14[коэф],"1",Таблица14[р/р],"3/8",Таблица14[Ф. И. О.],B649)</f>
        <v>0</v>
      </c>
      <c r="M645" s="411"/>
      <c r="N645" s="411">
        <v>1</v>
      </c>
      <c r="O645" s="411">
        <f>SUMIFS(Data_Tech!$AM$3:$AM$67,Data_Tech!$E$3:$E$67,"1",Data_Tech!$G$3:$G$67,"4/12",Data_Tech!$F$3:$F$67,B649)</f>
        <v>0</v>
      </c>
      <c r="P645" s="383">
        <f>ROUND(M645*O645,2)</f>
        <v>0</v>
      </c>
      <c r="Q645" s="366">
        <f>база!$L$5</f>
        <v>231.45480000000001</v>
      </c>
      <c r="R645" s="367">
        <v>1</v>
      </c>
      <c r="S645" s="377">
        <f>SUMIFS(Таблица14[часы],Таблица14[коэф],"1",Таблица14[р/р],"4/16",Таблица14[Ф. И. О.],B649)</f>
        <v>0</v>
      </c>
      <c r="T645" s="369">
        <f>SUMIFS(Таблица14[Столбец2],Таблица14[коэф],"1",Таблица14[р/р],"4/16",Таблица14[Ф. И. О.],B649)</f>
        <v>0</v>
      </c>
      <c r="U645" s="455">
        <f>база!$M$5</f>
        <v>247.41720000000001</v>
      </c>
      <c r="V645" s="367">
        <v>1</v>
      </c>
      <c r="W645" s="389">
        <f>SUMIFS(Таблица14[часы],Таблица14[коэф],"1",Таблица14[р/р],"4/24",Таблица14[Ф. И. О.],B649)</f>
        <v>0</v>
      </c>
      <c r="X645" s="521">
        <f>SUMIFS(Таблица14[Столбец2],Таблица14[коэф],"1",Таблица14[р/р],"4/24",Таблица14[Ф. И. О.],B649)</f>
        <v>0</v>
      </c>
      <c r="Y645" s="754"/>
      <c r="Z645" s="750"/>
      <c r="AA645" s="740"/>
    </row>
    <row r="646" spans="1:27" ht="18.75" customHeight="1">
      <c r="A646" s="740"/>
      <c r="B646" s="201"/>
      <c r="C646" s="743"/>
      <c r="D646" s="746"/>
      <c r="E646" s="366"/>
      <c r="F646" s="367"/>
      <c r="G646" s="377"/>
      <c r="H646" s="369"/>
      <c r="I646" s="409"/>
      <c r="J646" s="410"/>
      <c r="K646" s="411"/>
      <c r="L646" s="411"/>
      <c r="M646" s="411"/>
      <c r="N646" s="411"/>
      <c r="O646" s="411"/>
      <c r="P646" s="383"/>
      <c r="Q646" s="366">
        <f>база!$L$6</f>
        <v>261.04640000000001</v>
      </c>
      <c r="R646" s="367">
        <v>1</v>
      </c>
      <c r="S646" s="377">
        <f>SUMIFS(Таблица14[часы],Таблица14[коэф],"1",Таблица14[р/р],"5/16",Таблица14[Ф. И. О.],B649)</f>
        <v>0</v>
      </c>
      <c r="T646" s="369">
        <f>SUMIFS(Таблица14[Столбец2],Таблица14[коэф],"1",Таблица14[р/р],"5/16",Таблица14[Ф. И. О.],B649)</f>
        <v>0</v>
      </c>
      <c r="U646" s="455">
        <f>база!$M$6</f>
        <v>279.0496</v>
      </c>
      <c r="V646" s="367">
        <v>1</v>
      </c>
      <c r="W646" s="389">
        <f>SUMIFS(Таблица14[часы],Таблица14[коэф],"1",Таблица14[р/р],"5/24",Таблица14[Ф. И. О.],B649)</f>
        <v>0</v>
      </c>
      <c r="X646" s="521">
        <f>SUMIFS(Таблица14[Столбец2],Таблица14[коэф],"1",Таблица14[р/р],"5/24",Таблица14[Ф. И. О.],B649)</f>
        <v>0</v>
      </c>
      <c r="Y646" s="754"/>
      <c r="Z646" s="750"/>
      <c r="AA646" s="740"/>
    </row>
    <row r="647" spans="1:27" ht="18.75" customHeight="1">
      <c r="A647" s="740"/>
      <c r="B647" s="201"/>
      <c r="C647" s="743"/>
      <c r="D647" s="746"/>
      <c r="E647" s="366"/>
      <c r="F647" s="367"/>
      <c r="G647" s="377"/>
      <c r="H647" s="369"/>
      <c r="I647" s="409">
        <f>база!$J$5</f>
        <v>215.4924</v>
      </c>
      <c r="J647" s="410">
        <v>1.5</v>
      </c>
      <c r="K647" s="411">
        <f>SUMIFS(Таблица14[часы],Таблица14[коэф],"1,5",Таблица14[р/р],"4/8",Таблица14[Ф. И. О.],B649)</f>
        <v>0</v>
      </c>
      <c r="L647" s="411">
        <f>SUMIFS(Таблица14[Столбец2],Таблица14[коэф],"1,5",Таблица14[р/р],"4/8",Таблица14[Ф. И. О.],B649)</f>
        <v>0</v>
      </c>
      <c r="M647" s="411"/>
      <c r="N647" s="411"/>
      <c r="O647" s="411"/>
      <c r="P647" s="383"/>
      <c r="Q647" s="366">
        <f>IF(D644&lt;=3,база!$L$4,
IF(D644=4,база!$L$5,
IF(D644=5,база!$L$6)))</f>
        <v>210.57480000000001</v>
      </c>
      <c r="R647" s="367">
        <v>1.2</v>
      </c>
      <c r="S647" s="377">
        <f>SUMIFS(Таблица14[часы],Таблица14[коэф],"1,2",Таблица14[р/р],"3/16",Таблица14[Ф. И. О.],B649)</f>
        <v>0</v>
      </c>
      <c r="T647" s="369">
        <f>SUMIFS(Таблица14[Столбец2],Таблица14[коэф],"1,2",Таблица14[р/р],"3/16",Таблица14[Ф. И. О.],B649)</f>
        <v>0</v>
      </c>
      <c r="U647" s="455">
        <f>IF(D644&lt;=3,база!$M$4,
IF(D644=4,база!$M$5,
IF(D644=5,база!$M$6)))</f>
        <v>225.09719999999999</v>
      </c>
      <c r="V647" s="367">
        <v>1.2</v>
      </c>
      <c r="W647" s="389">
        <f>SUMIFS(Таблица14[часы],Таблица14[коэф],"1,2",Таблица14[р/р],"3/24",Таблица14[Ф. И. О.],B649)</f>
        <v>0</v>
      </c>
      <c r="X647" s="521">
        <f>SUMIFS(Таблица14[Столбец2],Таблица14[коэф],"1,2",Таблица14[р/р],"3/24",Таблица14[Ф. И. О.],B649)</f>
        <v>0</v>
      </c>
      <c r="Y647" s="754"/>
      <c r="Z647" s="750"/>
      <c r="AA647" s="740"/>
    </row>
    <row r="648" spans="1:27" ht="18.75" customHeight="1">
      <c r="A648" s="740"/>
      <c r="B648" s="201"/>
      <c r="C648" s="743"/>
      <c r="D648" s="746"/>
      <c r="E648" s="366"/>
      <c r="F648" s="367"/>
      <c r="G648" s="377"/>
      <c r="H648" s="369"/>
      <c r="I648" s="409">
        <f>база!$J$6</f>
        <v>243.04319999999998</v>
      </c>
      <c r="J648" s="410">
        <v>1.5</v>
      </c>
      <c r="K648" s="411">
        <f>SUMIFS(Таблица14[часы],Таблица14[коэф],"1,5",Таблица14[р/р],"5/8",Таблица14[Ф. И. О.],B649)</f>
        <v>0</v>
      </c>
      <c r="L648" s="411">
        <f>SUMIFS(Таблица14[Столбец2],Таблица14[коэф],"1,5",Таблица14[р/р],"5/8",Таблица14[Ф. И. О.],B649)</f>
        <v>0</v>
      </c>
      <c r="M648" s="411"/>
      <c r="N648" s="411"/>
      <c r="O648" s="411"/>
      <c r="P648" s="383"/>
      <c r="Q648" s="366">
        <f>база!$L$5</f>
        <v>231.45480000000001</v>
      </c>
      <c r="R648" s="367">
        <v>1.2</v>
      </c>
      <c r="S648" s="377">
        <f>SUMIFS(Таблица14[часы],Таблица14[коэф],"1,2",Таблица14[р/р],"4/16",Таблица14[Ф. И. О.],B649)</f>
        <v>0</v>
      </c>
      <c r="T648" s="369">
        <f>SUMIFS(Таблица14[Столбец2],Таблица14[коэф],"1,2",Таблица14[р/р],"4/16",Таблица14[Ф. И. О.],B649)</f>
        <v>0</v>
      </c>
      <c r="U648" s="455">
        <f>база!$M$5</f>
        <v>247.41720000000001</v>
      </c>
      <c r="V648" s="367">
        <v>1.2</v>
      </c>
      <c r="W648" s="389">
        <f>SUMIFS(Таблица14[часы],Таблица14[коэф],"1,2",Таблица14[р/р],"4/24",Таблица14[Ф. И. О.],B649)</f>
        <v>0</v>
      </c>
      <c r="X648" s="521">
        <f>SUMIFS(Таблица14[Столбец2],Таблица14[коэф],"1,2",Таблица14[р/р],"4/24",Таблица14[Ф. И. О.],B649)</f>
        <v>0</v>
      </c>
      <c r="Y648" s="754"/>
      <c r="Z648" s="750"/>
      <c r="AA648" s="740"/>
    </row>
    <row r="649" spans="1:27" ht="18.75" customHeight="1">
      <c r="A649" s="740"/>
      <c r="B649" s="201" t="str">
        <f>база!B60</f>
        <v>Полушкина Анастасия Юрьевна</v>
      </c>
      <c r="C649" s="743"/>
      <c r="D649" s="746"/>
      <c r="E649" s="366"/>
      <c r="F649" s="367"/>
      <c r="G649" s="377"/>
      <c r="H649" s="369"/>
      <c r="I649" s="409"/>
      <c r="J649" s="410"/>
      <c r="K649" s="411"/>
      <c r="L649" s="411"/>
      <c r="M649" s="411"/>
      <c r="N649" s="411"/>
      <c r="O649" s="411"/>
      <c r="P649" s="383"/>
      <c r="Q649" s="366">
        <f>база!$L$6</f>
        <v>261.04640000000001</v>
      </c>
      <c r="R649" s="367">
        <v>1.2</v>
      </c>
      <c r="S649" s="377">
        <f>SUMIFS(Таблица14[часы],Таблица14[коэф],"1,2",Таблица14[р/р],"5/16",Таблица14[Ф. И. О.],B649)</f>
        <v>0</v>
      </c>
      <c r="T649" s="369">
        <f>SUMIFS(Таблица14[Столбец2],Таблица14[коэф],"1,2",Таблица14[р/р],"5/16",Таблица14[Ф. И. О.],B649)</f>
        <v>0</v>
      </c>
      <c r="U649" s="455">
        <f>база!$M$6</f>
        <v>279.0496</v>
      </c>
      <c r="V649" s="367">
        <v>1.2</v>
      </c>
      <c r="W649" s="389">
        <f>SUMIFS(Таблица14[часы],Таблица14[коэф],"1,2",Таблица14[р/р],"5/24",Таблица14[Ф. И. О.],B649)</f>
        <v>0</v>
      </c>
      <c r="X649" s="521">
        <f>SUMIFS(Таблица14[Столбец2],Таблица14[коэф],"1,2",Таблица14[р/р],"5/24",Таблица14[Ф. И. О.],B649)</f>
        <v>0</v>
      </c>
      <c r="Y649" s="754"/>
      <c r="Z649" s="750"/>
      <c r="AA649" s="740"/>
    </row>
    <row r="650" spans="1:27" ht="18.75" customHeight="1">
      <c r="A650" s="740"/>
      <c r="B650" s="201"/>
      <c r="C650" s="743"/>
      <c r="D650" s="746"/>
      <c r="E650" s="366"/>
      <c r="F650" s="367"/>
      <c r="G650" s="377"/>
      <c r="H650" s="369"/>
      <c r="I650" s="409"/>
      <c r="J650" s="410"/>
      <c r="K650" s="411"/>
      <c r="L650" s="411"/>
      <c r="M650" s="411"/>
      <c r="N650" s="411"/>
      <c r="O650" s="411"/>
      <c r="P650" s="383"/>
      <c r="Q650" s="366">
        <f>IF($D$6&lt;=3,база!$L$4,
IF($D$6=4,база!$L$5,
IF($D$6=5,база!$L$6)))</f>
        <v>231.45480000000001</v>
      </c>
      <c r="R650" s="367">
        <v>1.3</v>
      </c>
      <c r="S650" s="377">
        <f>SUMIFS(Таблица14[часы],Таблица14[коэф],"1,3",Таблица14[р/р],"3/16",Таблица14[Ф. И. О.],B649)</f>
        <v>0</v>
      </c>
      <c r="T650" s="369">
        <f>SUMIFS(Таблица14[Столбец2],Таблица14[коэф],"1,3",Таблица14[р/р],"3/16",Таблица14[Ф. И. О.],B649)</f>
        <v>0</v>
      </c>
      <c r="U650" s="455">
        <f>IF(D644&lt;=3,база!$M$4,
IF(D644=4,база!$M$5,
IF(D644=5,база!$M$6)))</f>
        <v>225.09719999999999</v>
      </c>
      <c r="V650" s="367">
        <v>1.3</v>
      </c>
      <c r="W650" s="389">
        <f>SUMIFS(Таблица14[часы],Таблица14[коэф],"1,3",Таблица14[р/р],"3/24",Таблица14[Ф. И. О.],B649)</f>
        <v>0</v>
      </c>
      <c r="X650" s="521">
        <f>SUMIFS(Таблица14[Столбец2],Таблица14[коэф],"1,3",Таблица14[р/р],"3/24",Таблица14[Ф. И. О.],B649)</f>
        <v>0</v>
      </c>
      <c r="Y650" s="754"/>
      <c r="Z650" s="750"/>
      <c r="AA650" s="740"/>
    </row>
    <row r="651" spans="1:27" ht="18.75" customHeight="1">
      <c r="A651" s="740"/>
      <c r="B651" s="201"/>
      <c r="C651" s="743"/>
      <c r="D651" s="746"/>
      <c r="E651" s="366"/>
      <c r="F651" s="367"/>
      <c r="G651" s="377"/>
      <c r="H651" s="369"/>
      <c r="I651" s="409"/>
      <c r="J651" s="410"/>
      <c r="K651" s="411"/>
      <c r="L651" s="411"/>
      <c r="M651" s="411"/>
      <c r="N651" s="411"/>
      <c r="O651" s="411"/>
      <c r="P651" s="383"/>
      <c r="Q651" s="366">
        <f>база!$L$5</f>
        <v>231.45480000000001</v>
      </c>
      <c r="R651" s="367">
        <v>1.3</v>
      </c>
      <c r="S651" s="377">
        <f>SUMIFS(Таблица14[часы],Таблица14[коэф],"1,3",Таблица14[р/р],"4/16",Таблица14[Ф. И. О.],B649)</f>
        <v>0</v>
      </c>
      <c r="T651" s="369">
        <f>SUMIFS(Таблица14[Столбец2],Таблица14[коэф],"1,3",Таблица14[р/р],"4/16",Таблица14[Ф. И. О.],B649)</f>
        <v>0</v>
      </c>
      <c r="U651" s="455">
        <f>база!$M$5</f>
        <v>247.41720000000001</v>
      </c>
      <c r="V651" s="367">
        <v>1.3</v>
      </c>
      <c r="W651" s="389">
        <f>SUMIFS(Таблица14[часы],Таблица14[коэф],"1,3",Таблица14[р/р],"4/24",Таблица14[Ф. И. О.],B649)</f>
        <v>0</v>
      </c>
      <c r="X651" s="521">
        <f>SUMIFS(Таблица14[Столбец2],Таблица14[коэф],"1,3",Таблица14[р/р],"4/24",Таблица14[Ф. И. О.],B649)</f>
        <v>0</v>
      </c>
      <c r="Y651" s="754"/>
      <c r="Z651" s="750"/>
      <c r="AA651" s="740"/>
    </row>
    <row r="652" spans="1:27" ht="18.75" customHeight="1">
      <c r="A652" s="740"/>
      <c r="B652" s="201"/>
      <c r="C652" s="743"/>
      <c r="D652" s="746"/>
      <c r="E652" s="366"/>
      <c r="F652" s="367"/>
      <c r="G652" s="377"/>
      <c r="H652" s="369"/>
      <c r="I652" s="409"/>
      <c r="J652" s="410"/>
      <c r="K652" s="411"/>
      <c r="L652" s="411"/>
      <c r="M652" s="411"/>
      <c r="N652" s="411"/>
      <c r="O652" s="411"/>
      <c r="P652" s="383"/>
      <c r="Q652" s="366">
        <f>IF(D644&lt;=3,база!$L$4,
IF(D644=4,база!$L$5,
IF(D644=5,база!$L$6)))</f>
        <v>210.57480000000001</v>
      </c>
      <c r="R652" s="367">
        <v>1.4</v>
      </c>
      <c r="S652" s="377">
        <f>SUMIFS(Таблица14[часы],Таблица14[коэф],"1,4",Таблица14[р/р],"3/16",Таблица14[Ф. И. О.],B649)</f>
        <v>0</v>
      </c>
      <c r="T652" s="369">
        <f>SUMIFS(Таблица14[Столбец2],Таблица14[коэф],"1,4",Таблица14[р/р],"3/16",Таблица14[Ф. И. О.],B649)</f>
        <v>0</v>
      </c>
      <c r="U652" s="455">
        <f>IF(D644&lt;=3,база!$M$4,
IF(D644=4,база!$M$5,
IF(D644=5,база!$M$6)))</f>
        <v>225.09719999999999</v>
      </c>
      <c r="V652" s="367">
        <v>1.4</v>
      </c>
      <c r="W652" s="389">
        <f>SUMIFS(Таблица14[часы],Таблица14[коэф],"1,4",Таблица14[р/р],"3/24",Таблица14[Ф. И. О.],B649)</f>
        <v>0</v>
      </c>
      <c r="X652" s="521">
        <f>SUMIFS(Таблица14[Столбец2],Таблица14[коэф],"1,4",Таблица14[р/р],"3/24",Таблица14[Ф. И. О.],B649)</f>
        <v>0</v>
      </c>
      <c r="Y652" s="754"/>
      <c r="Z652" s="750"/>
      <c r="AA652" s="740"/>
    </row>
    <row r="653" spans="1:27" ht="18.75" customHeight="1">
      <c r="A653" s="740"/>
      <c r="B653" s="201"/>
      <c r="C653" s="743"/>
      <c r="D653" s="746"/>
      <c r="E653" s="366"/>
      <c r="F653" s="367"/>
      <c r="G653" s="377"/>
      <c r="H653" s="369"/>
      <c r="I653" s="409"/>
      <c r="J653" s="410"/>
      <c r="K653" s="411"/>
      <c r="L653" s="411"/>
      <c r="M653" s="411"/>
      <c r="N653" s="411"/>
      <c r="O653" s="411"/>
      <c r="P653" s="383"/>
      <c r="Q653" s="366">
        <f>база!$L$5</f>
        <v>231.45480000000001</v>
      </c>
      <c r="R653" s="367">
        <v>1.4</v>
      </c>
      <c r="S653" s="377">
        <f>SUMIFS(Таблица14[часы],Таблица14[коэф],"1,4",Таблица14[р/р],"4/16",Таблица14[Ф. И. О.],B649)</f>
        <v>0</v>
      </c>
      <c r="T653" s="369">
        <f>SUMIFS(Таблица14[Столбец2],Таблица14[коэф],"1,4",Таблица14[р/р],"4/16",Таблица14[Ф. И. О.],B649)</f>
        <v>0</v>
      </c>
      <c r="U653" s="455">
        <f>база!$M$5</f>
        <v>247.41720000000001</v>
      </c>
      <c r="V653" s="367">
        <v>1.4</v>
      </c>
      <c r="W653" s="389">
        <f>SUMIFS(Таблица14[часы],Таблица14[коэф],"1,4",Таблица14[р/р],"4/24",Таблица14[Ф. И. О.],B649)</f>
        <v>0</v>
      </c>
      <c r="X653" s="521">
        <f>SUMIFS(Таблица14[Столбец2],Таблица14[коэф],"1,4",Таблица14[р/р],"4/24",Таблица14[Ф. И. О.],B649)</f>
        <v>0</v>
      </c>
      <c r="Y653" s="754"/>
      <c r="Z653" s="750"/>
      <c r="AA653" s="740"/>
    </row>
    <row r="654" spans="1:27" ht="19.5" customHeight="1" thickBot="1">
      <c r="A654" s="741"/>
      <c r="B654" s="329"/>
      <c r="C654" s="744"/>
      <c r="D654" s="747"/>
      <c r="E654" s="450"/>
      <c r="F654" s="441"/>
      <c r="G654" s="628"/>
      <c r="H654" s="445"/>
      <c r="I654" s="622"/>
      <c r="J654" s="433"/>
      <c r="K654" s="623"/>
      <c r="L654" s="434"/>
      <c r="M654" s="622"/>
      <c r="N654" s="623"/>
      <c r="O654" s="623"/>
      <c r="P654" s="453"/>
      <c r="Q654" s="629">
        <f>база!$L$6</f>
        <v>261.04640000000001</v>
      </c>
      <c r="R654" s="441">
        <v>1.4</v>
      </c>
      <c r="S654" s="442">
        <f>SUMIFS(Таблица14[часы],Таблица14[коэф],"1,4",Таблица14[р/р],"5/16",Таблица14[Ф. И. О.],B649)</f>
        <v>0</v>
      </c>
      <c r="T654" s="445">
        <f>SUMIFS(Таблица14[Столбец2],Таблица14[коэф],"1,4",Таблица14[р/р],"5/16",Таблица14[Ф. И. О.],B649)</f>
        <v>0</v>
      </c>
      <c r="U654" s="440">
        <f>база!$M$6</f>
        <v>279.0496</v>
      </c>
      <c r="V654" s="441">
        <v>1.4</v>
      </c>
      <c r="W654" s="442">
        <f>SUMIFS(Таблица14[часы],Таблица14[коэф],"1,4",Таблица14[р/р],"5/24",Таблица14[Ф. И. О.],B649)</f>
        <v>0</v>
      </c>
      <c r="X654" s="445">
        <f>SUMIFS(Таблица14[Столбец2],Таблица14[коэф],"1,4",Таблица14[р/р],"5/24",Таблица14[Ф. И. О.],B649)</f>
        <v>0</v>
      </c>
      <c r="Y654" s="755"/>
      <c r="Z654" s="751"/>
      <c r="AA654" s="741"/>
    </row>
    <row r="655" spans="1:27" ht="18.75" customHeight="1">
      <c r="A655" s="740">
        <v>60</v>
      </c>
      <c r="B655" s="201"/>
      <c r="C655" s="742">
        <f>INDEX(база!$E$2:$E$150, MATCH(B660,база!$B$2:$B$150,0))</f>
        <v>16968</v>
      </c>
      <c r="D655" s="745">
        <f>INDEX(база!$D$2:$D$150, MATCH(B660,база!$B$2:$B$150,0))</f>
        <v>3</v>
      </c>
      <c r="E655" s="458">
        <f>IF(D655&lt;=3,база!$I$4,
IF(D655=4,база!$I$5,
IF(D655=5,база!$I$6)))</f>
        <v>188.7912</v>
      </c>
      <c r="F655" s="394">
        <v>1</v>
      </c>
      <c r="G655" s="395">
        <f>SUMIFS(Таблица14[часы],Таблица14[коэф],"1",Таблица14[р/р],"2/4",Таблица14[Ф. И. О.],B660)</f>
        <v>0</v>
      </c>
      <c r="H655" s="379">
        <f>SUMIFS(Таблица14[Столбец2],Таблица14[коэф],"1",Таблица14[р/р],"2/4",Таблица14[Ф. И. О.],B660)</f>
        <v>0</v>
      </c>
      <c r="I655" s="429">
        <f>IF(D655&lt;=3,база!$J$4,
IF(D655=4,база!$J$5,
IF(D655=5,база!$J$6)))</f>
        <v>196.05240000000001</v>
      </c>
      <c r="J655" s="452">
        <v>1</v>
      </c>
      <c r="K655" s="430">
        <f>SUMIFS(Таблица14[часы],Таблица14[коэф],"1",Таблица14[р/р],"2/8",Таблица14[Ф. И. О.],B660)</f>
        <v>0</v>
      </c>
      <c r="L655" s="430">
        <f>SUMIFS(Таблица14[Столбец2],Таблица14[коэф],"1",Таблица14[р/р],"2/8",Таблица14[Ф. И. О.],B660)</f>
        <v>0</v>
      </c>
      <c r="M655" s="430"/>
      <c r="N655" s="430">
        <v>1</v>
      </c>
      <c r="O655" s="430">
        <f>SUMIFS(Data_Tech!$AM$3:$AM$67,Data_Tech!$E$3:$E$67,"1",Data_Tech!$G$3:$G$67,"3/12",Data_Tech!$F$3:$F$67,B660)</f>
        <v>0</v>
      </c>
      <c r="P655" s="375">
        <f>ROUND(M655*N655*O655,2)</f>
        <v>0</v>
      </c>
      <c r="Q655" s="458">
        <f>IF(D655&lt;=3,база!$L$4,
IF(D655=4,база!$L$5,
IF(D655=5,база!$L$6)))</f>
        <v>210.57480000000001</v>
      </c>
      <c r="R655" s="394">
        <v>1</v>
      </c>
      <c r="S655" s="395">
        <f>SUMIFS(Таблица14[часы],Таблица14[коэф],"1",Таблица14[р/р],"3/16",Таблица14[Ф. И. О.],B660)</f>
        <v>0</v>
      </c>
      <c r="T655" s="379">
        <f>SUMIFS(Таблица14[Столбец2],Таблица14[коэф],"1",Таблица14[р/р],"3/16",Таблица14[Ф. И. О.],B660)</f>
        <v>0</v>
      </c>
      <c r="U655" s="460">
        <f>IF(D655&lt;=3,база!$M$4,
IF(D655=4,база!$M$5,
IF(D655=5,база!$M$6)))</f>
        <v>225.09719999999999</v>
      </c>
      <c r="V655" s="394">
        <v>1</v>
      </c>
      <c r="W655" s="432">
        <f>SUMIFS(Таблица14[часы],Таблица14[коэф],"1",Таблица14[р/р],"3/24",Таблица14[Ф. И. О.],B660)</f>
        <v>0</v>
      </c>
      <c r="X655" s="528">
        <f>SUMIFS(Таблица14[Столбец2],Таблица14[коэф],"1",Таблица14[р/р],"3/24",Таблица14[Ф. И. О.],B660)</f>
        <v>0</v>
      </c>
      <c r="Y655" s="754">
        <f t="shared" ref="Y655" si="256">SUM(G655:G665,K655:K665,O655:O665,S655:S665,W655:W665)</f>
        <v>0</v>
      </c>
      <c r="Z655" s="750">
        <f t="shared" ref="Z655" si="257">IFERROR(SUM(H655:H665,L655:L665,T655:T665,X655:X665),"")</f>
        <v>0</v>
      </c>
      <c r="AA655" s="740"/>
    </row>
    <row r="656" spans="1:27" ht="18.75" customHeight="1">
      <c r="A656" s="740"/>
      <c r="B656" s="201"/>
      <c r="C656" s="743"/>
      <c r="D656" s="746"/>
      <c r="E656" s="366">
        <f>IF(D655&lt;=3,база!$I$4,
IF(D655=4,база!$I$5,
IF(D655=5,база!$I$6)))</f>
        <v>188.7912</v>
      </c>
      <c r="F656" s="367">
        <v>1</v>
      </c>
      <c r="G656" s="377">
        <f>SUMIFS(Таблица14[часы],Таблица14[коэф],"1",Таблица14[р/р],"3/4",Таблица14[Ф. И. О.],B660)</f>
        <v>0</v>
      </c>
      <c r="H656" s="369">
        <f>SUMIFS(Таблица14[Столбец2],Таблица14[коэф],"1",Таблица14[р/р],"3/4",Таблица14[Ф. И. О.],B660)</f>
        <v>0</v>
      </c>
      <c r="I656" s="409">
        <f>IF(D655&lt;=3,база!$J$4,
IF(D655=4,база!$J$5,
IF(D655=5,база!$J$6)))</f>
        <v>196.05240000000001</v>
      </c>
      <c r="J656" s="410">
        <v>1</v>
      </c>
      <c r="K656" s="411">
        <f>SUMIFS(Таблица14[часы],Таблица14[коэф],"1",Таблица14[р/р],"3/8",Таблица14[Ф. И. О.],B660)</f>
        <v>0</v>
      </c>
      <c r="L656" s="411">
        <f>SUMIFS(Таблица14[Столбец2],Таблица14[коэф],"1",Таблица14[р/р],"3/8",Таблица14[Ф. И. О.],B660)</f>
        <v>0</v>
      </c>
      <c r="M656" s="411"/>
      <c r="N656" s="411">
        <v>1</v>
      </c>
      <c r="O656" s="411">
        <f>SUMIFS(Data_Tech!$AM$3:$AM$67,Data_Tech!$E$3:$E$67,"1",Data_Tech!$G$3:$G$67,"4/12",Data_Tech!$F$3:$F$67,B660)</f>
        <v>0</v>
      </c>
      <c r="P656" s="383">
        <f>ROUND(M656*O656,2)</f>
        <v>0</v>
      </c>
      <c r="Q656" s="366">
        <f>база!$L$5</f>
        <v>231.45480000000001</v>
      </c>
      <c r="R656" s="367">
        <v>1</v>
      </c>
      <c r="S656" s="377">
        <f>SUMIFS(Таблица14[часы],Таблица14[коэф],"1",Таблица14[р/р],"4/16",Таблица14[Ф. И. О.],B660)</f>
        <v>0</v>
      </c>
      <c r="T656" s="369">
        <f>SUMIFS(Таблица14[Столбец2],Таблица14[коэф],"1",Таблица14[р/р],"4/16",Таблица14[Ф. И. О.],B660)</f>
        <v>0</v>
      </c>
      <c r="U656" s="455">
        <f>база!$M$5</f>
        <v>247.41720000000001</v>
      </c>
      <c r="V656" s="367">
        <v>1</v>
      </c>
      <c r="W656" s="389">
        <f>SUMIFS(Таблица14[часы],Таблица14[коэф],"1",Таблица14[р/р],"4/24",Таблица14[Ф. И. О.],B660)</f>
        <v>0</v>
      </c>
      <c r="X656" s="521">
        <f>SUMIFS(Таблица14[Столбец2],Таблица14[коэф],"1",Таблица14[р/р],"4/24",Таблица14[Ф. И. О.],B660)</f>
        <v>0</v>
      </c>
      <c r="Y656" s="754"/>
      <c r="Z656" s="750"/>
      <c r="AA656" s="740"/>
    </row>
    <row r="657" spans="1:27" ht="18.75" customHeight="1">
      <c r="A657" s="740"/>
      <c r="B657" s="201"/>
      <c r="C657" s="743"/>
      <c r="D657" s="746"/>
      <c r="E657" s="366"/>
      <c r="F657" s="367"/>
      <c r="G657" s="377"/>
      <c r="H657" s="369"/>
      <c r="I657" s="409"/>
      <c r="J657" s="410"/>
      <c r="K657" s="411"/>
      <c r="L657" s="411"/>
      <c r="M657" s="411"/>
      <c r="N657" s="411"/>
      <c r="O657" s="411"/>
      <c r="P657" s="383"/>
      <c r="Q657" s="366">
        <f>база!$L$6</f>
        <v>261.04640000000001</v>
      </c>
      <c r="R657" s="367">
        <v>1</v>
      </c>
      <c r="S657" s="377">
        <f>SUMIFS(Таблица14[часы],Таблица14[коэф],"1",Таблица14[р/р],"5/16",Таблица14[Ф. И. О.],B660)</f>
        <v>0</v>
      </c>
      <c r="T657" s="369">
        <f>SUMIFS(Таблица14[Столбец2],Таблица14[коэф],"1",Таблица14[р/р],"5/16",Таблица14[Ф. И. О.],B660)</f>
        <v>0</v>
      </c>
      <c r="U657" s="455">
        <f>база!$M$6</f>
        <v>279.0496</v>
      </c>
      <c r="V657" s="367">
        <v>1</v>
      </c>
      <c r="W657" s="389">
        <f>SUMIFS(Таблица14[часы],Таблица14[коэф],"1",Таблица14[р/р],"5/24",Таблица14[Ф. И. О.],B660)</f>
        <v>0</v>
      </c>
      <c r="X657" s="521">
        <f>SUMIFS(Таблица14[Столбец2],Таблица14[коэф],"1",Таблица14[р/р],"5/24",Таблица14[Ф. И. О.],B660)</f>
        <v>0</v>
      </c>
      <c r="Y657" s="754"/>
      <c r="Z657" s="750"/>
      <c r="AA657" s="740"/>
    </row>
    <row r="658" spans="1:27" ht="18.75" customHeight="1">
      <c r="A658" s="740"/>
      <c r="B658" s="201"/>
      <c r="C658" s="743"/>
      <c r="D658" s="746"/>
      <c r="E658" s="366"/>
      <c r="F658" s="367"/>
      <c r="G658" s="377"/>
      <c r="H658" s="369"/>
      <c r="I658" s="409">
        <f>база!$J$5</f>
        <v>215.4924</v>
      </c>
      <c r="J658" s="410">
        <v>1.5</v>
      </c>
      <c r="K658" s="411">
        <f>SUMIFS(Таблица14[часы],Таблица14[коэф],"1,5",Таблица14[р/р],"4/8",Таблица14[Ф. И. О.],B660)</f>
        <v>0</v>
      </c>
      <c r="L658" s="411">
        <f>SUMIFS(Таблица14[Столбец2],Таблица14[коэф],"1,5",Таблица14[р/р],"4/8",Таблица14[Ф. И. О.],B660)</f>
        <v>0</v>
      </c>
      <c r="M658" s="411"/>
      <c r="N658" s="411"/>
      <c r="O658" s="411"/>
      <c r="P658" s="383"/>
      <c r="Q658" s="366">
        <f>IF(D655&lt;=3,база!$L$4,
IF(D655=4,база!$L$5,
IF(D655=5,база!$L$6)))</f>
        <v>210.57480000000001</v>
      </c>
      <c r="R658" s="367">
        <v>1.2</v>
      </c>
      <c r="S658" s="377">
        <f>SUMIFS(Таблица14[часы],Таблица14[коэф],"1,2",Таблица14[р/р],"3/16",Таблица14[Ф. И. О.],B660)</f>
        <v>0</v>
      </c>
      <c r="T658" s="369">
        <f>SUMIFS(Таблица14[Столбец2],Таблица14[коэф],"1,2",Таблица14[р/р],"3/16",Таблица14[Ф. И. О.],B660)</f>
        <v>0</v>
      </c>
      <c r="U658" s="455">
        <f>IF(D655&lt;=3,база!$M$4,
IF(D655=4,база!$M$5,
IF(D655=5,база!$M$6)))</f>
        <v>225.09719999999999</v>
      </c>
      <c r="V658" s="367">
        <v>1.2</v>
      </c>
      <c r="W658" s="389">
        <f>SUMIFS(Таблица14[часы],Таблица14[коэф],"1,2",Таблица14[р/р],"3/24",Таблица14[Ф. И. О.],B660)</f>
        <v>0</v>
      </c>
      <c r="X658" s="521">
        <f>SUMIFS(Таблица14[Столбец2],Таблица14[коэф],"1,2",Таблица14[р/р],"3/24",Таблица14[Ф. И. О.],B660)</f>
        <v>0</v>
      </c>
      <c r="Y658" s="754"/>
      <c r="Z658" s="750"/>
      <c r="AA658" s="740"/>
    </row>
    <row r="659" spans="1:27" ht="18.75" customHeight="1">
      <c r="A659" s="740"/>
      <c r="B659" s="201"/>
      <c r="C659" s="743"/>
      <c r="D659" s="746"/>
      <c r="E659" s="366"/>
      <c r="F659" s="367"/>
      <c r="G659" s="377"/>
      <c r="H659" s="369"/>
      <c r="I659" s="409">
        <f>база!$J$6</f>
        <v>243.04319999999998</v>
      </c>
      <c r="J659" s="410">
        <v>1.5</v>
      </c>
      <c r="K659" s="411">
        <f>SUMIFS(Таблица14[часы],Таблица14[коэф],"1,5",Таблица14[р/р],"5/8",Таблица14[Ф. И. О.],B660)</f>
        <v>0</v>
      </c>
      <c r="L659" s="411">
        <f>SUMIFS(Таблица14[Столбец2],Таблица14[коэф],"1,5",Таблица14[р/р],"5/8",Таблица14[Ф. И. О.],B660)</f>
        <v>0</v>
      </c>
      <c r="M659" s="411"/>
      <c r="N659" s="411"/>
      <c r="O659" s="411"/>
      <c r="P659" s="383"/>
      <c r="Q659" s="366">
        <f>база!$L$5</f>
        <v>231.45480000000001</v>
      </c>
      <c r="R659" s="367">
        <v>1.2</v>
      </c>
      <c r="S659" s="377">
        <f>SUMIFS(Таблица14[часы],Таблица14[коэф],"1,2",Таблица14[р/р],"4/16",Таблица14[Ф. И. О.],B660)</f>
        <v>0</v>
      </c>
      <c r="T659" s="369">
        <f>SUMIFS(Таблица14[Столбец2],Таблица14[коэф],"1,2",Таблица14[р/р],"4/16",Таблица14[Ф. И. О.],B660)</f>
        <v>0</v>
      </c>
      <c r="U659" s="455">
        <f>база!$M$5</f>
        <v>247.41720000000001</v>
      </c>
      <c r="V659" s="367">
        <v>1.2</v>
      </c>
      <c r="W659" s="389">
        <f>SUMIFS(Таблица14[часы],Таблица14[коэф],"1,2",Таблица14[р/р],"4/24",Таблица14[Ф. И. О.],B660)</f>
        <v>0</v>
      </c>
      <c r="X659" s="521">
        <f>SUMIFS(Таблица14[Столбец2],Таблица14[коэф],"1,2",Таблица14[р/р],"4/24",Таблица14[Ф. И. О.],B660)</f>
        <v>0</v>
      </c>
      <c r="Y659" s="754"/>
      <c r="Z659" s="750"/>
      <c r="AA659" s="740"/>
    </row>
    <row r="660" spans="1:27" ht="18.75" customHeight="1">
      <c r="A660" s="740"/>
      <c r="B660" s="201" t="str">
        <f>база!B61</f>
        <v>Попова Ольга Геннадьевна</v>
      </c>
      <c r="C660" s="743"/>
      <c r="D660" s="746"/>
      <c r="E660" s="366"/>
      <c r="F660" s="367"/>
      <c r="G660" s="377"/>
      <c r="H660" s="369"/>
      <c r="I660" s="409"/>
      <c r="J660" s="410"/>
      <c r="K660" s="411"/>
      <c r="L660" s="411"/>
      <c r="M660" s="411"/>
      <c r="N660" s="411"/>
      <c r="O660" s="411"/>
      <c r="P660" s="383"/>
      <c r="Q660" s="366">
        <f>база!$L$6</f>
        <v>261.04640000000001</v>
      </c>
      <c r="R660" s="367">
        <v>1.2</v>
      </c>
      <c r="S660" s="377">
        <f>SUMIFS(Таблица14[часы],Таблица14[коэф],"1,2",Таблица14[р/р],"5/16",Таблица14[Ф. И. О.],B660)</f>
        <v>0</v>
      </c>
      <c r="T660" s="369">
        <f>SUMIFS(Таблица14[Столбец2],Таблица14[коэф],"1,2",Таблица14[р/р],"5/16",Таблица14[Ф. И. О.],B660)</f>
        <v>0</v>
      </c>
      <c r="U660" s="455">
        <f>база!$M$6</f>
        <v>279.0496</v>
      </c>
      <c r="V660" s="367">
        <v>1.2</v>
      </c>
      <c r="W660" s="389">
        <f>SUMIFS(Таблица14[часы],Таблица14[коэф],"1,2",Таблица14[р/р],"5/24",Таблица14[Ф. И. О.],B660)</f>
        <v>0</v>
      </c>
      <c r="X660" s="521">
        <f>SUMIFS(Таблица14[Столбец2],Таблица14[коэф],"1,2",Таблица14[р/р],"5/24",Таблица14[Ф. И. О.],B660)</f>
        <v>0</v>
      </c>
      <c r="Y660" s="754"/>
      <c r="Z660" s="750"/>
      <c r="AA660" s="740"/>
    </row>
    <row r="661" spans="1:27" ht="18.75" customHeight="1">
      <c r="A661" s="740"/>
      <c r="B661" s="201"/>
      <c r="C661" s="743"/>
      <c r="D661" s="746"/>
      <c r="E661" s="366"/>
      <c r="F661" s="367"/>
      <c r="G661" s="377"/>
      <c r="H661" s="369"/>
      <c r="I661" s="409"/>
      <c r="J661" s="410"/>
      <c r="K661" s="411"/>
      <c r="L661" s="411"/>
      <c r="M661" s="411"/>
      <c r="N661" s="411"/>
      <c r="O661" s="411"/>
      <c r="P661" s="383"/>
      <c r="Q661" s="366">
        <f>IF($D$6&lt;=3,база!$L$4,
IF($D$6=4,база!$L$5,
IF($D$6=5,база!$L$6)))</f>
        <v>231.45480000000001</v>
      </c>
      <c r="R661" s="367">
        <v>1.3</v>
      </c>
      <c r="S661" s="377">
        <f>SUMIFS(Таблица14[часы],Таблица14[коэф],"1,3",Таблица14[р/р],"3/16",Таблица14[Ф. И. О.],B660)</f>
        <v>0</v>
      </c>
      <c r="T661" s="369">
        <f>SUMIFS(Таблица14[Столбец2],Таблица14[коэф],"1,3",Таблица14[р/р],"3/16",Таблица14[Ф. И. О.],B660)</f>
        <v>0</v>
      </c>
      <c r="U661" s="455">
        <f>IF(D655&lt;=3,база!$M$4,
IF(D655=4,база!$M$5,
IF(D655=5,база!$M$6)))</f>
        <v>225.09719999999999</v>
      </c>
      <c r="V661" s="367">
        <v>1.3</v>
      </c>
      <c r="W661" s="389">
        <f>SUMIFS(Таблица14[часы],Таблица14[коэф],"1,3",Таблица14[р/р],"3/24",Таблица14[Ф. И. О.],B660)</f>
        <v>0</v>
      </c>
      <c r="X661" s="521">
        <f>SUMIFS(Таблица14[Столбец2],Таблица14[коэф],"1,3",Таблица14[р/р],"3/24",Таблица14[Ф. И. О.],B660)</f>
        <v>0</v>
      </c>
      <c r="Y661" s="754"/>
      <c r="Z661" s="750"/>
      <c r="AA661" s="740"/>
    </row>
    <row r="662" spans="1:27" ht="18.75" customHeight="1">
      <c r="A662" s="740"/>
      <c r="B662" s="201"/>
      <c r="C662" s="743"/>
      <c r="D662" s="746"/>
      <c r="E662" s="366"/>
      <c r="F662" s="367"/>
      <c r="G662" s="377"/>
      <c r="H662" s="369"/>
      <c r="I662" s="409"/>
      <c r="J662" s="410"/>
      <c r="K662" s="411"/>
      <c r="L662" s="411"/>
      <c r="M662" s="411"/>
      <c r="N662" s="411"/>
      <c r="O662" s="411"/>
      <c r="P662" s="383"/>
      <c r="Q662" s="366">
        <f>база!$L$5</f>
        <v>231.45480000000001</v>
      </c>
      <c r="R662" s="367">
        <v>1.3</v>
      </c>
      <c r="S662" s="377">
        <f>SUMIFS(Таблица14[часы],Таблица14[коэф],"1,3",Таблица14[р/р],"4/16",Таблица14[Ф. И. О.],B660)</f>
        <v>0</v>
      </c>
      <c r="T662" s="369">
        <f>SUMIFS(Таблица14[Столбец2],Таблица14[коэф],"1,3",Таблица14[р/р],"4/16",Таблица14[Ф. И. О.],B660)</f>
        <v>0</v>
      </c>
      <c r="U662" s="455">
        <f>база!$M$5</f>
        <v>247.41720000000001</v>
      </c>
      <c r="V662" s="367">
        <v>1.3</v>
      </c>
      <c r="W662" s="389">
        <f>SUMIFS(Таблица14[часы],Таблица14[коэф],"1,3",Таблица14[р/р],"4/24",Таблица14[Ф. И. О.],B660)</f>
        <v>0</v>
      </c>
      <c r="X662" s="521">
        <f>SUMIFS(Таблица14[Столбец2],Таблица14[коэф],"1,3",Таблица14[р/р],"4/24",Таблица14[Ф. И. О.],B660)</f>
        <v>0</v>
      </c>
      <c r="Y662" s="754"/>
      <c r="Z662" s="750"/>
      <c r="AA662" s="740"/>
    </row>
    <row r="663" spans="1:27" ht="18.75" customHeight="1">
      <c r="A663" s="740"/>
      <c r="B663" s="201"/>
      <c r="C663" s="743"/>
      <c r="D663" s="746"/>
      <c r="E663" s="366"/>
      <c r="F663" s="367"/>
      <c r="G663" s="377"/>
      <c r="H663" s="369"/>
      <c r="I663" s="409"/>
      <c r="J663" s="410"/>
      <c r="K663" s="411"/>
      <c r="L663" s="411"/>
      <c r="M663" s="411"/>
      <c r="N663" s="411"/>
      <c r="O663" s="411"/>
      <c r="P663" s="383"/>
      <c r="Q663" s="366">
        <f>IF(D655&lt;=3,база!$L$4,
IF(D655=4,база!$L$5,
IF(D655=5,база!$L$6)))</f>
        <v>210.57480000000001</v>
      </c>
      <c r="R663" s="367">
        <v>1.4</v>
      </c>
      <c r="S663" s="377">
        <f>SUMIFS(Таблица14[часы],Таблица14[коэф],"1,4",Таблица14[р/р],"3/16",Таблица14[Ф. И. О.],B660)</f>
        <v>0</v>
      </c>
      <c r="T663" s="369">
        <f>SUMIFS(Таблица14[Столбец2],Таблица14[коэф],"1,4",Таблица14[р/р],"3/16",Таблица14[Ф. И. О.],B660)</f>
        <v>0</v>
      </c>
      <c r="U663" s="455">
        <f>IF(D655&lt;=3,база!$M$4,
IF(D655=4,база!$M$5,
IF(D655=5,база!$M$6)))</f>
        <v>225.09719999999999</v>
      </c>
      <c r="V663" s="367">
        <v>1.4</v>
      </c>
      <c r="W663" s="389">
        <f>SUMIFS(Таблица14[часы],Таблица14[коэф],"1,4",Таблица14[р/р],"3/24",Таблица14[Ф. И. О.],B660)</f>
        <v>0</v>
      </c>
      <c r="X663" s="521">
        <f>SUMIFS(Таблица14[Столбец2],Таблица14[коэф],"1,4",Таблица14[р/р],"3/24",Таблица14[Ф. И. О.],B660)</f>
        <v>0</v>
      </c>
      <c r="Y663" s="754"/>
      <c r="Z663" s="750"/>
      <c r="AA663" s="740"/>
    </row>
    <row r="664" spans="1:27" ht="18.75" customHeight="1">
      <c r="A664" s="740"/>
      <c r="B664" s="201"/>
      <c r="C664" s="743"/>
      <c r="D664" s="746"/>
      <c r="E664" s="366"/>
      <c r="F664" s="367"/>
      <c r="G664" s="377"/>
      <c r="H664" s="369"/>
      <c r="I664" s="409"/>
      <c r="J664" s="410"/>
      <c r="K664" s="411"/>
      <c r="L664" s="411"/>
      <c r="M664" s="411"/>
      <c r="N664" s="411"/>
      <c r="O664" s="411"/>
      <c r="P664" s="383"/>
      <c r="Q664" s="366">
        <f>база!$L$5</f>
        <v>231.45480000000001</v>
      </c>
      <c r="R664" s="367">
        <v>1.4</v>
      </c>
      <c r="S664" s="377">
        <f>SUMIFS(Таблица14[часы],Таблица14[коэф],"1,4",Таблица14[р/р],"4/16",Таблица14[Ф. И. О.],B660)</f>
        <v>0</v>
      </c>
      <c r="T664" s="369">
        <f>SUMIFS(Таблица14[Столбец2],Таблица14[коэф],"1,4",Таблица14[р/р],"4/16",Таблица14[Ф. И. О.],B660)</f>
        <v>0</v>
      </c>
      <c r="U664" s="455">
        <f>база!$M$5</f>
        <v>247.41720000000001</v>
      </c>
      <c r="V664" s="367">
        <v>1.4</v>
      </c>
      <c r="W664" s="389">
        <f>SUMIFS(Таблица14[часы],Таблица14[коэф],"1,4",Таблица14[р/р],"4/24",Таблица14[Ф. И. О.],B660)</f>
        <v>0</v>
      </c>
      <c r="X664" s="521">
        <f>SUMIFS(Таблица14[Столбец2],Таблица14[коэф],"1,4",Таблица14[р/р],"4/24",Таблица14[Ф. И. О.],B660)</f>
        <v>0</v>
      </c>
      <c r="Y664" s="754"/>
      <c r="Z664" s="750"/>
      <c r="AA664" s="740"/>
    </row>
    <row r="665" spans="1:27" ht="19.5" customHeight="1" thickBot="1">
      <c r="A665" s="741"/>
      <c r="B665" s="329"/>
      <c r="C665" s="744"/>
      <c r="D665" s="747"/>
      <c r="E665" s="414"/>
      <c r="F665" s="415"/>
      <c r="G665" s="664"/>
      <c r="H665" s="417"/>
      <c r="I665" s="390"/>
      <c r="J665" s="575"/>
      <c r="K665" s="391"/>
      <c r="L665" s="437"/>
      <c r="M665" s="390"/>
      <c r="N665" s="391"/>
      <c r="O665" s="391"/>
      <c r="P665" s="392"/>
      <c r="Q665" s="659">
        <f>база!$L$6</f>
        <v>261.04640000000001</v>
      </c>
      <c r="R665" s="415">
        <v>1.4</v>
      </c>
      <c r="S665" s="416">
        <f>SUMIFS(Таблица14[часы],Таблица14[коэф],"1,4",Таблица14[р/р],"5/16",Таблица14[Ф. И. О.],B660)</f>
        <v>0</v>
      </c>
      <c r="T665" s="417">
        <f>SUMIFS(Таблица14[Столбец2],Таблица14[коэф],"1,4",Таблица14[р/р],"5/16",Таблица14[Ф. И. О.],B660)</f>
        <v>0</v>
      </c>
      <c r="U665" s="492">
        <f>база!$M$6</f>
        <v>279.0496</v>
      </c>
      <c r="V665" s="380">
        <v>1.4</v>
      </c>
      <c r="W665" s="416">
        <f>SUMIFS(Таблица14[часы],Таблица14[коэф],"1,4",Таблица14[р/р],"5/24",Таблица14[Ф. И. О.],B660)</f>
        <v>0</v>
      </c>
      <c r="X665" s="417">
        <f>SUMIFS(Таблица14[Столбец2],Таблица14[коэф],"1,4",Таблица14[р/р],"5/24",Таблица14[Ф. И. О.],B660)</f>
        <v>0</v>
      </c>
      <c r="Y665" s="755"/>
      <c r="Z665" s="751"/>
      <c r="AA665" s="741"/>
    </row>
    <row r="666" spans="1:27" ht="18.75" customHeight="1">
      <c r="A666" s="740">
        <v>61</v>
      </c>
      <c r="B666" s="201"/>
      <c r="C666" s="742">
        <f>INDEX(база!$E$2:$E$150, MATCH(B671,база!$B$2:$B$150,0))</f>
        <v>15098</v>
      </c>
      <c r="D666" s="745">
        <f>INDEX(база!$D$2:$D$150, MATCH(B671,база!$B$2:$B$150,0))</f>
        <v>3</v>
      </c>
      <c r="E666" s="354">
        <f>IF(D666&lt;=3,база!$I$4,
IF(D666=4,база!$I$5,
IF(D666=5,база!$I$6)))</f>
        <v>188.7912</v>
      </c>
      <c r="F666" s="355">
        <v>1</v>
      </c>
      <c r="G666" s="364">
        <f>SUMIFS(Таблица14[часы],Таблица14[коэф],"1",Таблица14[р/р],"2/4",Таблица14[Ф. И. О.],B671)</f>
        <v>0</v>
      </c>
      <c r="H666" s="357">
        <f>SUMIFS(Таблица14[Столбец2],Таблица14[коэф],"1",Таблица14[р/р],"2/4",Таблица14[Ф. И. О.],B671)</f>
        <v>0</v>
      </c>
      <c r="I666" s="403">
        <f>IF(D666&lt;=3,база!$J$4,
IF(D666=4,база!$J$5,
IF(D666=5,база!$J$6)))</f>
        <v>196.05240000000001</v>
      </c>
      <c r="J666" s="404">
        <v>1</v>
      </c>
      <c r="K666" s="405">
        <f>SUMIFS(Таблица14[часы],Таблица14[коэф],"1",Таблица14[р/р],"2/8",Таблица14[Ф. И. О.],B671)</f>
        <v>0</v>
      </c>
      <c r="L666" s="405">
        <f>SUMIFS(Таблица14[Столбец2],Таблица14[коэф],"1",Таблица14[р/р],"2/8",Таблица14[Ф. И. О.],B671)</f>
        <v>0</v>
      </c>
      <c r="M666" s="405"/>
      <c r="N666" s="405">
        <v>1</v>
      </c>
      <c r="O666" s="405">
        <f>SUMIFS(Data_Tech!$AM$3:$AM$67,Data_Tech!$E$3:$E$67,"1",Data_Tech!$G$3:$G$67,"3/12",Data_Tech!$F$3:$F$67,B671)</f>
        <v>0</v>
      </c>
      <c r="P666" s="362">
        <f>ROUND(M666*N666*O666,2)</f>
        <v>0</v>
      </c>
      <c r="Q666" s="354">
        <f>IF(D666&lt;=3,база!$L$4,
IF(D666=4,база!$L$5,
IF(D666=5,база!$L$6)))</f>
        <v>210.57480000000001</v>
      </c>
      <c r="R666" s="355">
        <v>1</v>
      </c>
      <c r="S666" s="364">
        <f>SUMIFS(Таблица14[часы],Таблица14[коэф],"1",Таблица14[р/р],"3/16",Таблица14[Ф. И. О.],B671)</f>
        <v>0</v>
      </c>
      <c r="T666" s="357">
        <f>SUMIFS(Таблица14[Столбец2],Таблица14[коэф],"1",Таблица14[р/р],"3/16",Таблица14[Ф. И. О.],B671)</f>
        <v>0</v>
      </c>
      <c r="U666" s="454">
        <f>IF(D666&lt;=3,база!$M$4,
IF(D666=4,база!$M$5,
IF(D666=5,база!$M$6)))</f>
        <v>225.09719999999999</v>
      </c>
      <c r="V666" s="355">
        <v>1</v>
      </c>
      <c r="W666" s="407">
        <f>SUMIFS(Таблица14[часы],Таблица14[коэф],"1",Таблица14[р/р],"3/24",Таблица14[Ф. И. О.],B671)</f>
        <v>0</v>
      </c>
      <c r="X666" s="519">
        <f>SUMIFS(Таблица14[Столбец2],Таблица14[коэф],"1",Таблица14[р/р],"3/24",Таблица14[Ф. И. О.],B671)</f>
        <v>0</v>
      </c>
      <c r="Y666" s="754">
        <f t="shared" ref="Y666" si="258">SUM(G666:G676,K666:K676,O666:O676,S666:S676,W666:W676)</f>
        <v>0</v>
      </c>
      <c r="Z666" s="750">
        <f t="shared" ref="Z666" si="259">IFERROR(SUM(H666:H676,L666:L676,T666:T676,X666:X676),"")</f>
        <v>0</v>
      </c>
      <c r="AA666" s="740"/>
    </row>
    <row r="667" spans="1:27" ht="18.75" customHeight="1">
      <c r="A667" s="740"/>
      <c r="B667" s="201"/>
      <c r="C667" s="743"/>
      <c r="D667" s="746"/>
      <c r="E667" s="366">
        <f>IF(D666&lt;=3,база!$I$4,
IF(D666=4,база!$I$5,
IF(D666=5,база!$I$6)))</f>
        <v>188.7912</v>
      </c>
      <c r="F667" s="367">
        <v>1</v>
      </c>
      <c r="G667" s="377">
        <f>SUMIFS(Таблица14[часы],Таблица14[коэф],"1",Таблица14[р/р],"3/4",Таблица14[Ф. И. О.],B671)</f>
        <v>0</v>
      </c>
      <c r="H667" s="369">
        <f>SUMIFS(Таблица14[Столбец2],Таблица14[коэф],"1",Таблица14[р/р],"3/4",Таблица14[Ф. И. О.],B671)</f>
        <v>0</v>
      </c>
      <c r="I667" s="409">
        <f>IF(D666&lt;=3,база!$J$4,
IF(D666=4,база!$J$5,
IF(D666=5,база!$J$6)))</f>
        <v>196.05240000000001</v>
      </c>
      <c r="J667" s="410">
        <v>1</v>
      </c>
      <c r="K667" s="411">
        <f>SUMIFS(Таблица14[часы],Таблица14[коэф],"1",Таблица14[р/р],"3/8",Таблица14[Ф. И. О.],B671)</f>
        <v>0</v>
      </c>
      <c r="L667" s="411">
        <f>SUMIFS(Таблица14[Столбец2],Таблица14[коэф],"1",Таблица14[р/р],"3/8",Таблица14[Ф. И. О.],B671)</f>
        <v>0</v>
      </c>
      <c r="M667" s="411"/>
      <c r="N667" s="411">
        <v>1</v>
      </c>
      <c r="O667" s="411">
        <f>SUMIFS(Data_Tech!$AM$3:$AM$67,Data_Tech!$E$3:$E$67,"1",Data_Tech!$G$3:$G$67,"4/12",Data_Tech!$F$3:$F$67,B671)</f>
        <v>0</v>
      </c>
      <c r="P667" s="383">
        <f>ROUND(M667*O667,2)</f>
        <v>0</v>
      </c>
      <c r="Q667" s="366">
        <f>база!$L$5</f>
        <v>231.45480000000001</v>
      </c>
      <c r="R667" s="367">
        <v>1</v>
      </c>
      <c r="S667" s="377">
        <f>SUMIFS(Таблица14[часы],Таблица14[коэф],"1",Таблица14[р/р],"4/16",Таблица14[Ф. И. О.],B671)</f>
        <v>0</v>
      </c>
      <c r="T667" s="369">
        <f>SUMIFS(Таблица14[Столбец2],Таблица14[коэф],"1",Таблица14[р/р],"4/16",Таблица14[Ф. И. О.],B671)</f>
        <v>0</v>
      </c>
      <c r="U667" s="455">
        <f>база!$M$5</f>
        <v>247.41720000000001</v>
      </c>
      <c r="V667" s="367">
        <v>1</v>
      </c>
      <c r="W667" s="389">
        <f>SUMIFS(Таблица14[часы],Таблица14[коэф],"1",Таблица14[р/р],"4/24",Таблица14[Ф. И. О.],B671)</f>
        <v>0</v>
      </c>
      <c r="X667" s="521">
        <f>SUMIFS(Таблица14[Столбец2],Таблица14[коэф],"1",Таблица14[р/р],"4/24",Таблица14[Ф. И. О.],B671)</f>
        <v>0</v>
      </c>
      <c r="Y667" s="754"/>
      <c r="Z667" s="750"/>
      <c r="AA667" s="740"/>
    </row>
    <row r="668" spans="1:27" ht="18.75" customHeight="1">
      <c r="A668" s="740"/>
      <c r="B668" s="201"/>
      <c r="C668" s="743"/>
      <c r="D668" s="746"/>
      <c r="E668" s="366"/>
      <c r="F668" s="367"/>
      <c r="G668" s="377"/>
      <c r="H668" s="369"/>
      <c r="I668" s="409"/>
      <c r="J668" s="410"/>
      <c r="K668" s="411"/>
      <c r="L668" s="411"/>
      <c r="M668" s="411"/>
      <c r="N668" s="411"/>
      <c r="O668" s="411"/>
      <c r="P668" s="383"/>
      <c r="Q668" s="366">
        <f>база!$L$6</f>
        <v>261.04640000000001</v>
      </c>
      <c r="R668" s="367">
        <v>1</v>
      </c>
      <c r="S668" s="377">
        <f>SUMIFS(Таблица14[часы],Таблица14[коэф],"1",Таблица14[р/р],"5/16",Таблица14[Ф. И. О.],B671)</f>
        <v>0</v>
      </c>
      <c r="T668" s="369">
        <f>SUMIFS(Таблица14[Столбец2],Таблица14[коэф],"1",Таблица14[р/р],"5/16",Таблица14[Ф. И. О.],B671)</f>
        <v>0</v>
      </c>
      <c r="U668" s="455">
        <f>база!$M$6</f>
        <v>279.0496</v>
      </c>
      <c r="V668" s="367">
        <v>1</v>
      </c>
      <c r="W668" s="389">
        <f>SUMIFS(Таблица14[часы],Таблица14[коэф],"1",Таблица14[р/р],"5/24",Таблица14[Ф. И. О.],B671)</f>
        <v>0</v>
      </c>
      <c r="X668" s="521">
        <f>SUMIFS(Таблица14[Столбец2],Таблица14[коэф],"1",Таблица14[р/р],"5/24",Таблица14[Ф. И. О.],B671)</f>
        <v>0</v>
      </c>
      <c r="Y668" s="754"/>
      <c r="Z668" s="750"/>
      <c r="AA668" s="740"/>
    </row>
    <row r="669" spans="1:27" ht="18.75" customHeight="1">
      <c r="A669" s="740"/>
      <c r="B669" s="201"/>
      <c r="C669" s="743"/>
      <c r="D669" s="746"/>
      <c r="E669" s="366"/>
      <c r="F669" s="367"/>
      <c r="G669" s="377"/>
      <c r="H669" s="369"/>
      <c r="I669" s="409">
        <f>база!$J$5</f>
        <v>215.4924</v>
      </c>
      <c r="J669" s="410">
        <v>1.5</v>
      </c>
      <c r="K669" s="411">
        <f>SUMIFS(Таблица14[часы],Таблица14[коэф],"1,5",Таблица14[р/р],"4/8",Таблица14[Ф. И. О.],B671)</f>
        <v>0</v>
      </c>
      <c r="L669" s="411">
        <f>SUMIFS(Таблица14[Столбец2],Таблица14[коэф],"1,5",Таблица14[р/р],"4/8",Таблица14[Ф. И. О.],B671)</f>
        <v>0</v>
      </c>
      <c r="M669" s="411"/>
      <c r="N669" s="411"/>
      <c r="O669" s="411"/>
      <c r="P669" s="383"/>
      <c r="Q669" s="366">
        <f>IF(D666&lt;=3,база!$L$4,
IF(D666=4,база!$L$5,
IF(D666=5,база!$L$6)))</f>
        <v>210.57480000000001</v>
      </c>
      <c r="R669" s="367">
        <v>1.2</v>
      </c>
      <c r="S669" s="377">
        <f>SUMIFS(Таблица14[часы],Таблица14[коэф],"1,2",Таблица14[р/р],"3/16",Таблица14[Ф. И. О.],B671)</f>
        <v>0</v>
      </c>
      <c r="T669" s="369">
        <f>SUMIFS(Таблица14[Столбец2],Таблица14[коэф],"1,2",Таблица14[р/р],"3/16",Таблица14[Ф. И. О.],B671)</f>
        <v>0</v>
      </c>
      <c r="U669" s="455">
        <f>IF(D666&lt;=3,база!$M$4,
IF(D666=4,база!$M$5,
IF(D666=5,база!$M$6)))</f>
        <v>225.09719999999999</v>
      </c>
      <c r="V669" s="367">
        <v>1.2</v>
      </c>
      <c r="W669" s="389">
        <f>SUMIFS(Таблица14[часы],Таблица14[коэф],"1,2",Таблица14[р/р],"3/24",Таблица14[Ф. И. О.],B671)</f>
        <v>0</v>
      </c>
      <c r="X669" s="521">
        <f>SUMIFS(Таблица14[Столбец2],Таблица14[коэф],"1,2",Таблица14[р/р],"3/24",Таблица14[Ф. И. О.],B671)</f>
        <v>0</v>
      </c>
      <c r="Y669" s="754"/>
      <c r="Z669" s="750"/>
      <c r="AA669" s="740"/>
    </row>
    <row r="670" spans="1:27" ht="18.75" customHeight="1">
      <c r="A670" s="740"/>
      <c r="B670" s="201"/>
      <c r="C670" s="743"/>
      <c r="D670" s="746"/>
      <c r="E670" s="366"/>
      <c r="F670" s="367"/>
      <c r="G670" s="377"/>
      <c r="H670" s="369"/>
      <c r="I670" s="409">
        <f>база!$J$6</f>
        <v>243.04319999999998</v>
      </c>
      <c r="J670" s="410">
        <v>1.5</v>
      </c>
      <c r="K670" s="411">
        <f>SUMIFS(Таблица14[часы],Таблица14[коэф],"1,5",Таблица14[р/р],"5/8",Таблица14[Ф. И. О.],B671)</f>
        <v>0</v>
      </c>
      <c r="L670" s="411">
        <f>SUMIFS(Таблица14[Столбец2],Таблица14[коэф],"1,5",Таблица14[р/р],"5/8",Таблица14[Ф. И. О.],B671)</f>
        <v>0</v>
      </c>
      <c r="M670" s="411"/>
      <c r="N670" s="411"/>
      <c r="O670" s="411"/>
      <c r="P670" s="383"/>
      <c r="Q670" s="366">
        <f>база!$L$5</f>
        <v>231.45480000000001</v>
      </c>
      <c r="R670" s="367">
        <v>1.2</v>
      </c>
      <c r="S670" s="377">
        <f>SUMIFS(Таблица14[часы],Таблица14[коэф],"1,2",Таблица14[р/р],"4/16",Таблица14[Ф. И. О.],B671)</f>
        <v>0</v>
      </c>
      <c r="T670" s="369">
        <f>SUMIFS(Таблица14[Столбец2],Таблица14[коэф],"1,2",Таблица14[р/р],"4/16",Таблица14[Ф. И. О.],B671)</f>
        <v>0</v>
      </c>
      <c r="U670" s="455">
        <f>база!$M$5</f>
        <v>247.41720000000001</v>
      </c>
      <c r="V670" s="367">
        <v>1.2</v>
      </c>
      <c r="W670" s="389">
        <f>SUMIFS(Таблица14[часы],Таблица14[коэф],"1,2",Таблица14[р/р],"4/24",Таблица14[Ф. И. О.],B671)</f>
        <v>0</v>
      </c>
      <c r="X670" s="521">
        <f>SUMIFS(Таблица14[Столбец2],Таблица14[коэф],"1,2",Таблица14[р/р],"4/24",Таблица14[Ф. И. О.],B671)</f>
        <v>0</v>
      </c>
      <c r="Y670" s="754"/>
      <c r="Z670" s="750"/>
      <c r="AA670" s="740"/>
    </row>
    <row r="671" spans="1:27" ht="18.75" customHeight="1">
      <c r="A671" s="740"/>
      <c r="B671" s="201" t="str">
        <f>база!B62</f>
        <v>Потемкина Елена Анатольевна</v>
      </c>
      <c r="C671" s="743"/>
      <c r="D671" s="746"/>
      <c r="E671" s="366"/>
      <c r="F671" s="367"/>
      <c r="G671" s="377"/>
      <c r="H671" s="369"/>
      <c r="I671" s="409"/>
      <c r="J671" s="410"/>
      <c r="K671" s="411"/>
      <c r="L671" s="411"/>
      <c r="M671" s="411"/>
      <c r="N671" s="411"/>
      <c r="O671" s="411"/>
      <c r="P671" s="383"/>
      <c r="Q671" s="366">
        <f>база!$L$6</f>
        <v>261.04640000000001</v>
      </c>
      <c r="R671" s="367">
        <v>1.2</v>
      </c>
      <c r="S671" s="377">
        <f>SUMIFS(Таблица14[часы],Таблица14[коэф],"1,2",Таблица14[р/р],"5/16",Таблица14[Ф. И. О.],B671)</f>
        <v>0</v>
      </c>
      <c r="T671" s="369">
        <f>SUMIFS(Таблица14[Столбец2],Таблица14[коэф],"1,2",Таблица14[р/р],"5/16",Таблица14[Ф. И. О.],B671)</f>
        <v>0</v>
      </c>
      <c r="U671" s="455">
        <f>база!$M$6</f>
        <v>279.0496</v>
      </c>
      <c r="V671" s="367">
        <v>1.2</v>
      </c>
      <c r="W671" s="389">
        <f>SUMIFS(Таблица14[часы],Таблица14[коэф],"1,2",Таблица14[р/р],"5/24",Таблица14[Ф. И. О.],B671)</f>
        <v>0</v>
      </c>
      <c r="X671" s="521">
        <f>SUMIFS(Таблица14[Столбец2],Таблица14[коэф],"1,2",Таблица14[р/р],"5/24",Таблица14[Ф. И. О.],B671)</f>
        <v>0</v>
      </c>
      <c r="Y671" s="754"/>
      <c r="Z671" s="750"/>
      <c r="AA671" s="740"/>
    </row>
    <row r="672" spans="1:27" ht="18.75" customHeight="1">
      <c r="A672" s="740"/>
      <c r="B672" s="201"/>
      <c r="C672" s="743"/>
      <c r="D672" s="746"/>
      <c r="E672" s="366"/>
      <c r="F672" s="367"/>
      <c r="G672" s="377"/>
      <c r="H672" s="369"/>
      <c r="I672" s="409"/>
      <c r="J672" s="410"/>
      <c r="K672" s="411"/>
      <c r="L672" s="411"/>
      <c r="M672" s="411"/>
      <c r="N672" s="411"/>
      <c r="O672" s="411"/>
      <c r="P672" s="383"/>
      <c r="Q672" s="366">
        <f>IF($D$6&lt;=3,база!$L$4,
IF($D$6=4,база!$L$5,
IF($D$6=5,база!$L$6)))</f>
        <v>231.45480000000001</v>
      </c>
      <c r="R672" s="367">
        <v>1.3</v>
      </c>
      <c r="S672" s="377">
        <f>SUMIFS(Таблица14[часы],Таблица14[коэф],"1,3",Таблица14[р/р],"3/16",Таблица14[Ф. И. О.],B671)</f>
        <v>0</v>
      </c>
      <c r="T672" s="369">
        <f>SUMIFS(Таблица14[Столбец2],Таблица14[коэф],"1,3",Таблица14[р/р],"3/16",Таблица14[Ф. И. О.],B671)</f>
        <v>0</v>
      </c>
      <c r="U672" s="455">
        <f>IF(D666&lt;=3,база!$M$4,
IF(D666=4,база!$M$5,
IF(D666=5,база!$M$6)))</f>
        <v>225.09719999999999</v>
      </c>
      <c r="V672" s="367">
        <v>1.3</v>
      </c>
      <c r="W672" s="389">
        <f>SUMIFS(Таблица14[часы],Таблица14[коэф],"1,3",Таблица14[р/р],"3/24",Таблица14[Ф. И. О.],B671)</f>
        <v>0</v>
      </c>
      <c r="X672" s="521">
        <f>SUMIFS(Таблица14[Столбец2],Таблица14[коэф],"1,3",Таблица14[р/р],"3/24",Таблица14[Ф. И. О.],B671)</f>
        <v>0</v>
      </c>
      <c r="Y672" s="754"/>
      <c r="Z672" s="750"/>
      <c r="AA672" s="740"/>
    </row>
    <row r="673" spans="1:27" ht="18.75" customHeight="1">
      <c r="A673" s="740"/>
      <c r="B673" s="201"/>
      <c r="C673" s="743"/>
      <c r="D673" s="746"/>
      <c r="E673" s="366"/>
      <c r="F673" s="367"/>
      <c r="G673" s="377"/>
      <c r="H673" s="369"/>
      <c r="I673" s="409"/>
      <c r="J673" s="410"/>
      <c r="K673" s="411"/>
      <c r="L673" s="411"/>
      <c r="M673" s="411"/>
      <c r="N673" s="411"/>
      <c r="O673" s="411"/>
      <c r="P673" s="383"/>
      <c r="Q673" s="366">
        <f>база!$L$5</f>
        <v>231.45480000000001</v>
      </c>
      <c r="R673" s="367">
        <v>1.3</v>
      </c>
      <c r="S673" s="377">
        <f>SUMIFS(Таблица14[часы],Таблица14[коэф],"1,3",Таблица14[р/р],"4/16",Таблица14[Ф. И. О.],B671)</f>
        <v>0</v>
      </c>
      <c r="T673" s="369">
        <f>SUMIFS(Таблица14[Столбец2],Таблица14[коэф],"1,3",Таблица14[р/р],"4/16",Таблица14[Ф. И. О.],B671)</f>
        <v>0</v>
      </c>
      <c r="U673" s="455">
        <f>база!$M$5</f>
        <v>247.41720000000001</v>
      </c>
      <c r="V673" s="367">
        <v>1.3</v>
      </c>
      <c r="W673" s="389">
        <f>SUMIFS(Таблица14[часы],Таблица14[коэф],"1,3",Таблица14[р/р],"4/24",Таблица14[Ф. И. О.],B671)</f>
        <v>0</v>
      </c>
      <c r="X673" s="521">
        <f>SUMIFS(Таблица14[Столбец2],Таблица14[коэф],"1,3",Таблица14[р/р],"4/24",Таблица14[Ф. И. О.],B671)</f>
        <v>0</v>
      </c>
      <c r="Y673" s="754"/>
      <c r="Z673" s="750"/>
      <c r="AA673" s="740"/>
    </row>
    <row r="674" spans="1:27" ht="18.75" customHeight="1">
      <c r="A674" s="740"/>
      <c r="B674" s="201"/>
      <c r="C674" s="743"/>
      <c r="D674" s="746"/>
      <c r="E674" s="366"/>
      <c r="F674" s="367"/>
      <c r="G674" s="377"/>
      <c r="H674" s="369"/>
      <c r="I674" s="409"/>
      <c r="J674" s="410"/>
      <c r="K674" s="411"/>
      <c r="L674" s="411"/>
      <c r="M674" s="411"/>
      <c r="N674" s="411"/>
      <c r="O674" s="411"/>
      <c r="P674" s="383"/>
      <c r="Q674" s="366">
        <f>IF(D666&lt;=3,база!$L$4,
IF(D666=4,база!$L$5,
IF(D666=5,база!$L$6)))</f>
        <v>210.57480000000001</v>
      </c>
      <c r="R674" s="367">
        <v>1.4</v>
      </c>
      <c r="S674" s="377">
        <f>SUMIFS(Таблица14[часы],Таблица14[коэф],"1,4",Таблица14[р/р],"3/16",Таблица14[Ф. И. О.],B671)</f>
        <v>0</v>
      </c>
      <c r="T674" s="369">
        <f>SUMIFS(Таблица14[Столбец2],Таблица14[коэф],"1,4",Таблица14[р/р],"3/16",Таблица14[Ф. И. О.],B671)</f>
        <v>0</v>
      </c>
      <c r="U674" s="455">
        <f>IF(D666&lt;=3,база!$M$4,
IF(D666=4,база!$M$5,
IF(D666=5,база!$M$6)))</f>
        <v>225.09719999999999</v>
      </c>
      <c r="V674" s="367">
        <v>1.4</v>
      </c>
      <c r="W674" s="389">
        <f>SUMIFS(Таблица14[часы],Таблица14[коэф],"1,4",Таблица14[р/р],"3/24",Таблица14[Ф. И. О.],B671)</f>
        <v>0</v>
      </c>
      <c r="X674" s="521">
        <f>SUMIFS(Таблица14[Столбец2],Таблица14[коэф],"1,4",Таблица14[р/р],"3/24",Таблица14[Ф. И. О.],B671)</f>
        <v>0</v>
      </c>
      <c r="Y674" s="754"/>
      <c r="Z674" s="750"/>
      <c r="AA674" s="740"/>
    </row>
    <row r="675" spans="1:27" ht="18.75" customHeight="1">
      <c r="A675" s="740"/>
      <c r="B675" s="201"/>
      <c r="C675" s="743"/>
      <c r="D675" s="746"/>
      <c r="E675" s="366"/>
      <c r="F675" s="367"/>
      <c r="G675" s="377"/>
      <c r="H675" s="369"/>
      <c r="I675" s="409"/>
      <c r="J675" s="410"/>
      <c r="K675" s="411"/>
      <c r="L675" s="411"/>
      <c r="M675" s="411"/>
      <c r="N675" s="411"/>
      <c r="O675" s="411"/>
      <c r="P675" s="383"/>
      <c r="Q675" s="366">
        <f>база!$L$5</f>
        <v>231.45480000000001</v>
      </c>
      <c r="R675" s="367">
        <v>1.4</v>
      </c>
      <c r="S675" s="377">
        <f>SUMIFS(Таблица14[часы],Таблица14[коэф],"1,4",Таблица14[р/р],"4/16",Таблица14[Ф. И. О.],B671)</f>
        <v>0</v>
      </c>
      <c r="T675" s="369">
        <f>SUMIFS(Таблица14[Столбец2],Таблица14[коэф],"1,4",Таблица14[р/р],"4/16",Таблица14[Ф. И. О.],B671)</f>
        <v>0</v>
      </c>
      <c r="U675" s="455">
        <f>база!$M$5</f>
        <v>247.41720000000001</v>
      </c>
      <c r="V675" s="367">
        <v>1.4</v>
      </c>
      <c r="W675" s="389">
        <f>SUMIFS(Таблица14[часы],Таблица14[коэф],"1,4",Таблица14[р/р],"4/24",Таблица14[Ф. И. О.],B671)</f>
        <v>0</v>
      </c>
      <c r="X675" s="521">
        <f>SUMIFS(Таблица14[Столбец2],Таблица14[коэф],"1,4",Таблица14[р/р],"4/24",Таблица14[Ф. И. О.],B671)</f>
        <v>0</v>
      </c>
      <c r="Y675" s="754"/>
      <c r="Z675" s="750"/>
      <c r="AA675" s="740"/>
    </row>
    <row r="676" spans="1:27" ht="19.5" customHeight="1" thickBot="1">
      <c r="A676" s="741"/>
      <c r="B676" s="329"/>
      <c r="C676" s="744"/>
      <c r="D676" s="747"/>
      <c r="E676" s="422"/>
      <c r="F676" s="423"/>
      <c r="G676" s="624"/>
      <c r="H676" s="511"/>
      <c r="I676" s="625"/>
      <c r="J676" s="588"/>
      <c r="K676" s="626"/>
      <c r="L676" s="434"/>
      <c r="M676" s="625"/>
      <c r="N676" s="626"/>
      <c r="O676" s="626"/>
      <c r="P676" s="514"/>
      <c r="Q676" s="627">
        <f>база!$L$6</f>
        <v>261.04640000000001</v>
      </c>
      <c r="R676" s="423">
        <v>1.4</v>
      </c>
      <c r="S676" s="424">
        <f>SUMIFS(Таблица14[часы],Таблица14[коэф],"1,4",Таблица14[р/р],"5/16",Таблица14[Ф. И. О.],B671)</f>
        <v>0</v>
      </c>
      <c r="T676" s="511">
        <f>SUMIFS(Таблица14[Столбец2],Таблица14[коэф],"1,4",Таблица14[р/р],"5/16",Таблица14[Ф. И. О.],B671)</f>
        <v>0</v>
      </c>
      <c r="U676" s="512">
        <f>база!$M$6</f>
        <v>279.0496</v>
      </c>
      <c r="V676" s="441">
        <v>1.4</v>
      </c>
      <c r="W676" s="424">
        <f>SUMIFS(Таблица14[часы],Таблица14[коэф],"1,4",Таблица14[р/р],"5/24",Таблица14[Ф. И. О.],B671)</f>
        <v>0</v>
      </c>
      <c r="X676" s="511">
        <f>SUMIFS(Таблица14[Столбец2],Таблица14[коэф],"1,4",Таблица14[р/р],"5/24",Таблица14[Ф. И. О.],B671)</f>
        <v>0</v>
      </c>
      <c r="Y676" s="755"/>
      <c r="Z676" s="751"/>
      <c r="AA676" s="741"/>
    </row>
    <row r="677" spans="1:27" ht="18.75" customHeight="1">
      <c r="A677" s="740">
        <v>62</v>
      </c>
      <c r="B677" s="201"/>
      <c r="C677" s="742">
        <f>INDEX(база!$E$2:$E$150, MATCH(B682,база!$B$2:$B$150,0))</f>
        <v>15237</v>
      </c>
      <c r="D677" s="745">
        <f>INDEX(база!$D$2:$D$150, MATCH(B682,база!$B$2:$B$150,0))</f>
        <v>3</v>
      </c>
      <c r="E677" s="458">
        <f>IF(D677&lt;=3,база!$I$4,
IF(D677=4,база!$I$5,
IF(D677=5,база!$I$6)))</f>
        <v>188.7912</v>
      </c>
      <c r="F677" s="394">
        <v>1</v>
      </c>
      <c r="G677" s="395">
        <f>SUMIFS(Таблица14[часы],Таблица14[коэф],"1",Таблица14[р/р],"2/4",Таблица14[Ф. И. О.],B682)</f>
        <v>0</v>
      </c>
      <c r="H677" s="379">
        <f>SUMIFS(Таблица14[Столбец2],Таблица14[коэф],"1",Таблица14[р/р],"2/4",Таблица14[Ф. И. О.],B682)</f>
        <v>0</v>
      </c>
      <c r="I677" s="429">
        <f>IF(D677&lt;=3,база!$J$4,
IF(D677=4,база!$J$5,
IF(D677=5,база!$J$6)))</f>
        <v>196.05240000000001</v>
      </c>
      <c r="J677" s="452">
        <v>1</v>
      </c>
      <c r="K677" s="430">
        <f>SUMIFS(Таблица14[часы],Таблица14[коэф],"1",Таблица14[р/р],"2/8",Таблица14[Ф. И. О.],B682)</f>
        <v>0</v>
      </c>
      <c r="L677" s="430">
        <f>SUMIFS(Таблица14[Столбец2],Таблица14[коэф],"1",Таблица14[р/р],"2/8",Таблица14[Ф. И. О.],B682)</f>
        <v>0</v>
      </c>
      <c r="M677" s="430"/>
      <c r="N677" s="430">
        <v>1</v>
      </c>
      <c r="O677" s="430">
        <f>SUMIFS(Data_Tech!$AM$3:$AM$67,Data_Tech!$E$3:$E$67,"1",Data_Tech!$G$3:$G$67,"3/12",Data_Tech!$F$3:$F$67,B682)</f>
        <v>0</v>
      </c>
      <c r="P677" s="375">
        <f>ROUND(M677*N677*O677,2)</f>
        <v>0</v>
      </c>
      <c r="Q677" s="458">
        <f>IF(D677&lt;=3,база!$L$4,
IF(D677=4,база!$L$5,
IF(D677=5,база!$L$6)))</f>
        <v>210.57480000000001</v>
      </c>
      <c r="R677" s="394">
        <v>1</v>
      </c>
      <c r="S677" s="395">
        <f>SUMIFS(Таблица14[часы],Таблица14[коэф],"1",Таблица14[р/р],"3/16",Таблица14[Ф. И. О.],B682)</f>
        <v>0</v>
      </c>
      <c r="T677" s="379">
        <f>SUMIFS(Таблица14[Столбец2],Таблица14[коэф],"1",Таблица14[р/р],"3/16",Таблица14[Ф. И. О.],B682)</f>
        <v>0</v>
      </c>
      <c r="U677" s="460">
        <f>IF(D677&lt;=3,база!$M$4,
IF(D677=4,база!$M$5,
IF(D677=5,база!$M$6)))</f>
        <v>225.09719999999999</v>
      </c>
      <c r="V677" s="394">
        <v>1</v>
      </c>
      <c r="W677" s="432">
        <f>SUMIFS(Таблица14[часы],Таблица14[коэф],"1",Таблица14[р/р],"3/24",Таблица14[Ф. И. О.],B682)</f>
        <v>0</v>
      </c>
      <c r="X677" s="528">
        <f>SUMIFS(Таблица14[Столбец2],Таблица14[коэф],"1",Таблица14[р/р],"3/24",Таблица14[Ф. И. О.],B682)</f>
        <v>0</v>
      </c>
      <c r="Y677" s="754">
        <f t="shared" ref="Y677" si="260">SUM(G677:G687,K677:K687,O677:O687,S677:S687,W677:W687)</f>
        <v>0</v>
      </c>
      <c r="Z677" s="750">
        <f t="shared" ref="Z677" si="261">IFERROR(SUM(H677:H687,L677:L687,T677:T687,X677:X687),"")</f>
        <v>0</v>
      </c>
      <c r="AA677" s="740"/>
    </row>
    <row r="678" spans="1:27" ht="18.75" customHeight="1">
      <c r="A678" s="740"/>
      <c r="B678" s="201"/>
      <c r="C678" s="743"/>
      <c r="D678" s="746"/>
      <c r="E678" s="366">
        <f>IF(D677&lt;=3,база!$I$4,
IF(D677=4,база!$I$5,
IF(D677=5,база!$I$6)))</f>
        <v>188.7912</v>
      </c>
      <c r="F678" s="367">
        <v>1</v>
      </c>
      <c r="G678" s="377">
        <f>SUMIFS(Таблица14[часы],Таблица14[коэф],"1",Таблица14[р/р],"3/4",Таблица14[Ф. И. О.],B682)</f>
        <v>0</v>
      </c>
      <c r="H678" s="369">
        <f>SUMIFS(Таблица14[Столбец2],Таблица14[коэф],"1",Таблица14[р/р],"3/4",Таблица14[Ф. И. О.],B682)</f>
        <v>0</v>
      </c>
      <c r="I678" s="409">
        <f>IF(D677&lt;=3,база!$J$4,
IF(D677=4,база!$J$5,
IF(D677=5,база!$J$6)))</f>
        <v>196.05240000000001</v>
      </c>
      <c r="J678" s="410">
        <v>1</v>
      </c>
      <c r="K678" s="411">
        <f>SUMIFS(Таблица14[часы],Таблица14[коэф],"1",Таблица14[р/р],"3/8",Таблица14[Ф. И. О.],B682)</f>
        <v>0</v>
      </c>
      <c r="L678" s="411">
        <f>SUMIFS(Таблица14[Столбец2],Таблица14[коэф],"1",Таблица14[р/р],"3/8",Таблица14[Ф. И. О.],B682)</f>
        <v>0</v>
      </c>
      <c r="M678" s="411"/>
      <c r="N678" s="411">
        <v>1</v>
      </c>
      <c r="O678" s="411">
        <f>SUMIFS(Data_Tech!$AM$3:$AM$67,Data_Tech!$E$3:$E$67,"1",Data_Tech!$G$3:$G$67,"4/12",Data_Tech!$F$3:$F$67,B682)</f>
        <v>0</v>
      </c>
      <c r="P678" s="383">
        <f>ROUND(M678*O678,2)</f>
        <v>0</v>
      </c>
      <c r="Q678" s="366">
        <f>база!$L$5</f>
        <v>231.45480000000001</v>
      </c>
      <c r="R678" s="367">
        <v>1</v>
      </c>
      <c r="S678" s="377">
        <f>SUMIFS(Таблица14[часы],Таблица14[коэф],"1",Таблица14[р/р],"4/16",Таблица14[Ф. И. О.],B682)</f>
        <v>0</v>
      </c>
      <c r="T678" s="369">
        <f>SUMIFS(Таблица14[Столбец2],Таблица14[коэф],"1",Таблица14[р/р],"4/16",Таблица14[Ф. И. О.],B682)</f>
        <v>0</v>
      </c>
      <c r="U678" s="455">
        <f>база!$M$5</f>
        <v>247.41720000000001</v>
      </c>
      <c r="V678" s="367">
        <v>1</v>
      </c>
      <c r="W678" s="389">
        <f>SUMIFS(Таблица14[часы],Таблица14[коэф],"1",Таблица14[р/р],"4/24",Таблица14[Ф. И. О.],B682)</f>
        <v>0</v>
      </c>
      <c r="X678" s="521">
        <f>SUMIFS(Таблица14[Столбец2],Таблица14[коэф],"1",Таблица14[р/р],"4/24",Таблица14[Ф. И. О.],B682)</f>
        <v>0</v>
      </c>
      <c r="Y678" s="754"/>
      <c r="Z678" s="750"/>
      <c r="AA678" s="740"/>
    </row>
    <row r="679" spans="1:27" ht="18.75" customHeight="1">
      <c r="A679" s="740"/>
      <c r="B679" s="201"/>
      <c r="C679" s="743"/>
      <c r="D679" s="746"/>
      <c r="E679" s="366"/>
      <c r="F679" s="367"/>
      <c r="G679" s="377"/>
      <c r="H679" s="369"/>
      <c r="I679" s="409"/>
      <c r="J679" s="410"/>
      <c r="K679" s="411"/>
      <c r="L679" s="411"/>
      <c r="M679" s="411"/>
      <c r="N679" s="411"/>
      <c r="O679" s="411"/>
      <c r="P679" s="383"/>
      <c r="Q679" s="366">
        <f>база!$L$6</f>
        <v>261.04640000000001</v>
      </c>
      <c r="R679" s="367">
        <v>1</v>
      </c>
      <c r="S679" s="377">
        <f>SUMIFS(Таблица14[часы],Таблица14[коэф],"1",Таблица14[р/р],"5/16",Таблица14[Ф. И. О.],B682)</f>
        <v>0</v>
      </c>
      <c r="T679" s="369">
        <f>SUMIFS(Таблица14[Столбец2],Таблица14[коэф],"1",Таблица14[р/р],"5/16",Таблица14[Ф. И. О.],B682)</f>
        <v>0</v>
      </c>
      <c r="U679" s="455">
        <f>база!$M$6</f>
        <v>279.0496</v>
      </c>
      <c r="V679" s="367">
        <v>1</v>
      </c>
      <c r="W679" s="389">
        <f>SUMIFS(Таблица14[часы],Таблица14[коэф],"1",Таблица14[р/р],"5/24",Таблица14[Ф. И. О.],B682)</f>
        <v>0</v>
      </c>
      <c r="X679" s="521">
        <f>SUMIFS(Таблица14[Столбец2],Таблица14[коэф],"1",Таблица14[р/р],"5/24",Таблица14[Ф. И. О.],B682)</f>
        <v>0</v>
      </c>
      <c r="Y679" s="754"/>
      <c r="Z679" s="750"/>
      <c r="AA679" s="740"/>
    </row>
    <row r="680" spans="1:27" ht="18.75" customHeight="1">
      <c r="A680" s="740"/>
      <c r="B680" s="201"/>
      <c r="C680" s="743"/>
      <c r="D680" s="746"/>
      <c r="E680" s="366"/>
      <c r="F680" s="367"/>
      <c r="G680" s="377"/>
      <c r="H680" s="369"/>
      <c r="I680" s="409">
        <f>база!$J$5</f>
        <v>215.4924</v>
      </c>
      <c r="J680" s="410">
        <v>1.5</v>
      </c>
      <c r="K680" s="411">
        <f>SUMIFS(Таблица14[часы],Таблица14[коэф],"1,5",Таблица14[р/р],"4/8",Таблица14[Ф. И. О.],B682)</f>
        <v>0</v>
      </c>
      <c r="L680" s="411">
        <f>SUMIFS(Таблица14[Столбец2],Таблица14[коэф],"1,5",Таблица14[р/р],"4/8",Таблица14[Ф. И. О.],B682)</f>
        <v>0</v>
      </c>
      <c r="M680" s="411"/>
      <c r="N680" s="411"/>
      <c r="O680" s="411"/>
      <c r="P680" s="383"/>
      <c r="Q680" s="366">
        <f>IF(D677&lt;=3,база!$L$4,
IF(D677=4,база!$L$5,
IF(D677=5,база!$L$6)))</f>
        <v>210.57480000000001</v>
      </c>
      <c r="R680" s="367">
        <v>1.2</v>
      </c>
      <c r="S680" s="377">
        <f>SUMIFS(Таблица14[часы],Таблица14[коэф],"1,2",Таблица14[р/р],"3/16",Таблица14[Ф. И. О.],B682)</f>
        <v>0</v>
      </c>
      <c r="T680" s="369">
        <f>SUMIFS(Таблица14[Столбец2],Таблица14[коэф],"1,2",Таблица14[р/р],"3/16",Таблица14[Ф. И. О.],B682)</f>
        <v>0</v>
      </c>
      <c r="U680" s="455">
        <f>IF(D677&lt;=3,база!$M$4,
IF(D677=4,база!$M$5,
IF(D677=5,база!$M$6)))</f>
        <v>225.09719999999999</v>
      </c>
      <c r="V680" s="367">
        <v>1.2</v>
      </c>
      <c r="W680" s="389">
        <f>SUMIFS(Таблица14[часы],Таблица14[коэф],"1,2",Таблица14[р/р],"3/24",Таблица14[Ф. И. О.],B682)</f>
        <v>0</v>
      </c>
      <c r="X680" s="521">
        <f>SUMIFS(Таблица14[Столбец2],Таблица14[коэф],"1,2",Таблица14[р/р],"3/24",Таблица14[Ф. И. О.],B682)</f>
        <v>0</v>
      </c>
      <c r="Y680" s="754"/>
      <c r="Z680" s="750"/>
      <c r="AA680" s="740"/>
    </row>
    <row r="681" spans="1:27" ht="18.75" customHeight="1">
      <c r="A681" s="740"/>
      <c r="B681" s="201"/>
      <c r="C681" s="743"/>
      <c r="D681" s="746"/>
      <c r="E681" s="366"/>
      <c r="F681" s="367"/>
      <c r="G681" s="377"/>
      <c r="H681" s="369"/>
      <c r="I681" s="409">
        <f>база!$J$6</f>
        <v>243.04319999999998</v>
      </c>
      <c r="J681" s="410">
        <v>1.5</v>
      </c>
      <c r="K681" s="411">
        <f>SUMIFS(Таблица14[часы],Таблица14[коэф],"1,5",Таблица14[р/р],"5/8",Таблица14[Ф. И. О.],B682)</f>
        <v>0</v>
      </c>
      <c r="L681" s="411">
        <f>SUMIFS(Таблица14[Столбец2],Таблица14[коэф],"1,5",Таблица14[р/р],"5/8",Таблица14[Ф. И. О.],B682)</f>
        <v>0</v>
      </c>
      <c r="M681" s="411"/>
      <c r="N681" s="411"/>
      <c r="O681" s="411"/>
      <c r="P681" s="383"/>
      <c r="Q681" s="366">
        <f>база!$L$5</f>
        <v>231.45480000000001</v>
      </c>
      <c r="R681" s="367">
        <v>1.2</v>
      </c>
      <c r="S681" s="377">
        <f>SUMIFS(Таблица14[часы],Таблица14[коэф],"1,2",Таблица14[р/р],"4/16",Таблица14[Ф. И. О.],B682)</f>
        <v>0</v>
      </c>
      <c r="T681" s="369">
        <f>SUMIFS(Таблица14[Столбец2],Таблица14[коэф],"1,2",Таблица14[р/р],"4/16",Таблица14[Ф. И. О.],B682)</f>
        <v>0</v>
      </c>
      <c r="U681" s="455">
        <f>база!$M$5</f>
        <v>247.41720000000001</v>
      </c>
      <c r="V681" s="367">
        <v>1.2</v>
      </c>
      <c r="W681" s="389">
        <f>SUMIFS(Таблица14[часы],Таблица14[коэф],"1,2",Таблица14[р/р],"4/24",Таблица14[Ф. И. О.],B682)</f>
        <v>0</v>
      </c>
      <c r="X681" s="521">
        <f>SUMIFS(Таблица14[Столбец2],Таблица14[коэф],"1,2",Таблица14[р/р],"4/24",Таблица14[Ф. И. О.],B682)</f>
        <v>0</v>
      </c>
      <c r="Y681" s="754"/>
      <c r="Z681" s="750"/>
      <c r="AA681" s="740"/>
    </row>
    <row r="682" spans="1:27" ht="18.75" customHeight="1">
      <c r="A682" s="740"/>
      <c r="B682" s="201" t="str">
        <f>база!B63</f>
        <v>Пригоженкова Ольга Сергеевна</v>
      </c>
      <c r="C682" s="743"/>
      <c r="D682" s="746"/>
      <c r="E682" s="366"/>
      <c r="F682" s="367"/>
      <c r="G682" s="377"/>
      <c r="H682" s="369"/>
      <c r="I682" s="409"/>
      <c r="J682" s="410"/>
      <c r="K682" s="411"/>
      <c r="L682" s="411"/>
      <c r="M682" s="411"/>
      <c r="N682" s="411"/>
      <c r="O682" s="411"/>
      <c r="P682" s="383"/>
      <c r="Q682" s="366">
        <f>база!$L$6</f>
        <v>261.04640000000001</v>
      </c>
      <c r="R682" s="367">
        <v>1.2</v>
      </c>
      <c r="S682" s="377">
        <f>SUMIFS(Таблица14[часы],Таблица14[коэф],"1,2",Таблица14[р/р],"5/16",Таблица14[Ф. И. О.],B682)</f>
        <v>0</v>
      </c>
      <c r="T682" s="369">
        <f>SUMIFS(Таблица14[Столбец2],Таблица14[коэф],"1,2",Таблица14[р/р],"5/16",Таблица14[Ф. И. О.],B682)</f>
        <v>0</v>
      </c>
      <c r="U682" s="455">
        <f>база!$M$6</f>
        <v>279.0496</v>
      </c>
      <c r="V682" s="367">
        <v>1.2</v>
      </c>
      <c r="W682" s="389">
        <f>SUMIFS(Таблица14[часы],Таблица14[коэф],"1,2",Таблица14[р/р],"5/24",Таблица14[Ф. И. О.],B682)</f>
        <v>0</v>
      </c>
      <c r="X682" s="521">
        <f>SUMIFS(Таблица14[Столбец2],Таблица14[коэф],"1,2",Таблица14[р/р],"5/24",Таблица14[Ф. И. О.],B682)</f>
        <v>0</v>
      </c>
      <c r="Y682" s="754"/>
      <c r="Z682" s="750"/>
      <c r="AA682" s="740"/>
    </row>
    <row r="683" spans="1:27" ht="18.75" customHeight="1">
      <c r="A683" s="740"/>
      <c r="B683" s="201"/>
      <c r="C683" s="743"/>
      <c r="D683" s="746"/>
      <c r="E683" s="366"/>
      <c r="F683" s="367"/>
      <c r="G683" s="377"/>
      <c r="H683" s="369"/>
      <c r="I683" s="409"/>
      <c r="J683" s="410"/>
      <c r="K683" s="411"/>
      <c r="L683" s="411"/>
      <c r="M683" s="411"/>
      <c r="N683" s="411"/>
      <c r="O683" s="411"/>
      <c r="P683" s="383"/>
      <c r="Q683" s="366">
        <f>IF($D$6&lt;=3,база!$L$4,
IF($D$6=4,база!$L$5,
IF($D$6=5,база!$L$6)))</f>
        <v>231.45480000000001</v>
      </c>
      <c r="R683" s="367">
        <v>1.3</v>
      </c>
      <c r="S683" s="377">
        <f>SUMIFS(Таблица14[часы],Таблица14[коэф],"1,3",Таблица14[р/р],"3/16",Таблица14[Ф. И. О.],B682)</f>
        <v>0</v>
      </c>
      <c r="T683" s="369">
        <f>SUMIFS(Таблица14[Столбец2],Таблица14[коэф],"1,3",Таблица14[р/р],"3/16",Таблица14[Ф. И. О.],B682)</f>
        <v>0</v>
      </c>
      <c r="U683" s="455">
        <f>IF(D677&lt;=3,база!$M$4,
IF(D677=4,база!$M$5,
IF(D677=5,база!$M$6)))</f>
        <v>225.09719999999999</v>
      </c>
      <c r="V683" s="367">
        <v>1.3</v>
      </c>
      <c r="W683" s="389">
        <f>SUMIFS(Таблица14[часы],Таблица14[коэф],"1,3",Таблица14[р/р],"3/24",Таблица14[Ф. И. О.],B682)</f>
        <v>0</v>
      </c>
      <c r="X683" s="521">
        <f>SUMIFS(Таблица14[Столбец2],Таблица14[коэф],"1,3",Таблица14[р/р],"3/24",Таблица14[Ф. И. О.],B682)</f>
        <v>0</v>
      </c>
      <c r="Y683" s="754"/>
      <c r="Z683" s="750"/>
      <c r="AA683" s="740"/>
    </row>
    <row r="684" spans="1:27" ht="18.75" customHeight="1">
      <c r="A684" s="740"/>
      <c r="B684" s="201"/>
      <c r="C684" s="743"/>
      <c r="D684" s="746"/>
      <c r="E684" s="366"/>
      <c r="F684" s="367"/>
      <c r="G684" s="377"/>
      <c r="H684" s="369"/>
      <c r="I684" s="409"/>
      <c r="J684" s="410"/>
      <c r="K684" s="411"/>
      <c r="L684" s="411"/>
      <c r="M684" s="411"/>
      <c r="N684" s="411"/>
      <c r="O684" s="411"/>
      <c r="P684" s="383"/>
      <c r="Q684" s="366">
        <f>база!$L$5</f>
        <v>231.45480000000001</v>
      </c>
      <c r="R684" s="367">
        <v>1.3</v>
      </c>
      <c r="S684" s="377">
        <f>SUMIFS(Таблица14[часы],Таблица14[коэф],"1,3",Таблица14[р/р],"4/16",Таблица14[Ф. И. О.],B682)</f>
        <v>0</v>
      </c>
      <c r="T684" s="369">
        <f>SUMIFS(Таблица14[Столбец2],Таблица14[коэф],"1,3",Таблица14[р/р],"4/16",Таблица14[Ф. И. О.],B682)</f>
        <v>0</v>
      </c>
      <c r="U684" s="455">
        <f>база!$M$5</f>
        <v>247.41720000000001</v>
      </c>
      <c r="V684" s="367">
        <v>1.3</v>
      </c>
      <c r="W684" s="389">
        <f>SUMIFS(Таблица14[часы],Таблица14[коэф],"1,3",Таблица14[р/р],"4/24",Таблица14[Ф. И. О.],B682)</f>
        <v>0</v>
      </c>
      <c r="X684" s="521">
        <f>SUMIFS(Таблица14[Столбец2],Таблица14[коэф],"1,3",Таблица14[р/р],"4/24",Таблица14[Ф. И. О.],B682)</f>
        <v>0</v>
      </c>
      <c r="Y684" s="754"/>
      <c r="Z684" s="750"/>
      <c r="AA684" s="740"/>
    </row>
    <row r="685" spans="1:27" ht="18.75" customHeight="1">
      <c r="A685" s="740"/>
      <c r="B685" s="201"/>
      <c r="C685" s="743"/>
      <c r="D685" s="746"/>
      <c r="E685" s="366"/>
      <c r="F685" s="367"/>
      <c r="G685" s="377"/>
      <c r="H685" s="369"/>
      <c r="I685" s="409"/>
      <c r="J685" s="410"/>
      <c r="K685" s="411"/>
      <c r="L685" s="411"/>
      <c r="M685" s="411"/>
      <c r="N685" s="411"/>
      <c r="O685" s="411"/>
      <c r="P685" s="383"/>
      <c r="Q685" s="366">
        <f>IF(D677&lt;=3,база!$L$4,
IF(D677=4,база!$L$5,
IF(D677=5,база!$L$6)))</f>
        <v>210.57480000000001</v>
      </c>
      <c r="R685" s="367">
        <v>1.4</v>
      </c>
      <c r="S685" s="377">
        <f>SUMIFS(Таблица14[часы],Таблица14[коэф],"1,4",Таблица14[р/р],"3/16",Таблица14[Ф. И. О.],B682)</f>
        <v>0</v>
      </c>
      <c r="T685" s="369">
        <f>SUMIFS(Таблица14[Столбец2],Таблица14[коэф],"1,4",Таблица14[р/р],"3/16",Таблица14[Ф. И. О.],B682)</f>
        <v>0</v>
      </c>
      <c r="U685" s="455">
        <f>IF(D677&lt;=3,база!$M$4,
IF(D677=4,база!$M$5,
IF(D677=5,база!$M$6)))</f>
        <v>225.09719999999999</v>
      </c>
      <c r="V685" s="367">
        <v>1.4</v>
      </c>
      <c r="W685" s="389">
        <f>SUMIFS(Таблица14[часы],Таблица14[коэф],"1,4",Таблица14[р/р],"3/24",Таблица14[Ф. И. О.],B682)</f>
        <v>0</v>
      </c>
      <c r="X685" s="521">
        <f>SUMIFS(Таблица14[Столбец2],Таблица14[коэф],"1,4",Таблица14[р/р],"3/24",Таблица14[Ф. И. О.],B682)</f>
        <v>0</v>
      </c>
      <c r="Y685" s="754"/>
      <c r="Z685" s="750"/>
      <c r="AA685" s="740"/>
    </row>
    <row r="686" spans="1:27" ht="18.75" customHeight="1">
      <c r="A686" s="740"/>
      <c r="B686" s="201"/>
      <c r="C686" s="743"/>
      <c r="D686" s="746"/>
      <c r="E686" s="366"/>
      <c r="F686" s="367"/>
      <c r="G686" s="377"/>
      <c r="H686" s="369"/>
      <c r="I686" s="409"/>
      <c r="J686" s="410"/>
      <c r="K686" s="411"/>
      <c r="L686" s="411"/>
      <c r="M686" s="411"/>
      <c r="N686" s="411"/>
      <c r="O686" s="411"/>
      <c r="P686" s="383"/>
      <c r="Q686" s="366">
        <f>база!$L$5</f>
        <v>231.45480000000001</v>
      </c>
      <c r="R686" s="367">
        <v>1.4</v>
      </c>
      <c r="S686" s="377">
        <f>SUMIFS(Таблица14[часы],Таблица14[коэф],"1,4",Таблица14[р/р],"4/16",Таблица14[Ф. И. О.],B682)</f>
        <v>0</v>
      </c>
      <c r="T686" s="369">
        <f>SUMIFS(Таблица14[Столбец2],Таблица14[коэф],"1,4",Таблица14[р/р],"4/16",Таблица14[Ф. И. О.],B682)</f>
        <v>0</v>
      </c>
      <c r="U686" s="455">
        <f>база!$M$5</f>
        <v>247.41720000000001</v>
      </c>
      <c r="V686" s="367">
        <v>1.4</v>
      </c>
      <c r="W686" s="389">
        <f>SUMIFS(Таблица14[часы],Таблица14[коэф],"1,4",Таблица14[р/р],"4/24",Таблица14[Ф. И. О.],B682)</f>
        <v>0</v>
      </c>
      <c r="X686" s="521">
        <f>SUMIFS(Таблица14[Столбец2],Таблица14[коэф],"1,4",Таблица14[р/р],"4/24",Таблица14[Ф. И. О.],B682)</f>
        <v>0</v>
      </c>
      <c r="Y686" s="754"/>
      <c r="Z686" s="750"/>
      <c r="AA686" s="740"/>
    </row>
    <row r="687" spans="1:27" ht="19.5" customHeight="1" thickBot="1">
      <c r="A687" s="741"/>
      <c r="B687" s="329"/>
      <c r="C687" s="744"/>
      <c r="D687" s="747"/>
      <c r="E687" s="414"/>
      <c r="F687" s="415"/>
      <c r="G687" s="664"/>
      <c r="H687" s="417"/>
      <c r="I687" s="390"/>
      <c r="J687" s="575"/>
      <c r="K687" s="391"/>
      <c r="L687" s="437"/>
      <c r="M687" s="390"/>
      <c r="N687" s="391"/>
      <c r="O687" s="391"/>
      <c r="P687" s="392"/>
      <c r="Q687" s="659">
        <f>база!$L$6</f>
        <v>261.04640000000001</v>
      </c>
      <c r="R687" s="415">
        <v>1.4</v>
      </c>
      <c r="S687" s="416">
        <f>SUMIFS(Таблица14[часы],Таблица14[коэф],"1,4",Таблица14[р/р],"5/16",Таблица14[Ф. И. О.],B682)</f>
        <v>0</v>
      </c>
      <c r="T687" s="417">
        <f>SUMIFS(Таблица14[Столбец2],Таблица14[коэф],"1,4",Таблица14[р/р],"5/16",Таблица14[Ф. И. О.],B682)</f>
        <v>0</v>
      </c>
      <c r="U687" s="492">
        <f>база!$M$6</f>
        <v>279.0496</v>
      </c>
      <c r="V687" s="380">
        <v>1.4</v>
      </c>
      <c r="W687" s="416">
        <f>SUMIFS(Таблица14[часы],Таблица14[коэф],"1,4",Таблица14[р/р],"5/24",Таблица14[Ф. И. О.],B682)</f>
        <v>0</v>
      </c>
      <c r="X687" s="417">
        <f>SUMIFS(Таблица14[Столбец2],Таблица14[коэф],"1,4",Таблица14[р/р],"5/24",Таблица14[Ф. И. О.],B682)</f>
        <v>0</v>
      </c>
      <c r="Y687" s="755"/>
      <c r="Z687" s="751"/>
      <c r="AA687" s="741"/>
    </row>
    <row r="688" spans="1:27" ht="18.75" customHeight="1">
      <c r="A688" s="740">
        <v>63</v>
      </c>
      <c r="B688" s="201"/>
      <c r="C688" s="742">
        <f>INDEX(база!$E$2:$E$150, MATCH(B693,база!$B$2:$B$150,0))</f>
        <v>17208</v>
      </c>
      <c r="D688" s="745">
        <f>INDEX(база!$D$2:$D$150, MATCH(B693,база!$B$2:$B$150,0))</f>
        <v>3</v>
      </c>
      <c r="E688" s="354">
        <f>IF(D688&lt;=3,база!$I$4,
IF(D688=4,база!$I$5,
IF(D688=5,база!$I$6)))</f>
        <v>188.7912</v>
      </c>
      <c r="F688" s="355">
        <v>1</v>
      </c>
      <c r="G688" s="364">
        <f>SUMIFS(Таблица14[часы],Таблица14[коэф],"1",Таблица14[р/р],"2/4",Таблица14[Ф. И. О.],B693)</f>
        <v>0</v>
      </c>
      <c r="H688" s="357">
        <f>SUMIFS(Таблица14[Столбец2],Таблица14[коэф],"1",Таблица14[р/р],"2/4",Таблица14[Ф. И. О.],B693)</f>
        <v>0</v>
      </c>
      <c r="I688" s="403">
        <f>IF(D688&lt;=3,база!$J$4,
IF(D688=4,база!$J$5,
IF(D688=5,база!$J$6)))</f>
        <v>196.05240000000001</v>
      </c>
      <c r="J688" s="404">
        <v>1</v>
      </c>
      <c r="K688" s="405">
        <f>SUMIFS(Таблица14[часы],Таблица14[коэф],"1",Таблица14[р/р],"2/8",Таблица14[Ф. И. О.],B693)</f>
        <v>0</v>
      </c>
      <c r="L688" s="405">
        <f>SUMIFS(Таблица14[Столбец2],Таблица14[коэф],"1",Таблица14[р/р],"2/8",Таблица14[Ф. И. О.],B693)</f>
        <v>0</v>
      </c>
      <c r="M688" s="405"/>
      <c r="N688" s="405">
        <v>1</v>
      </c>
      <c r="O688" s="405">
        <f>SUMIFS(Data_Tech!$AM$3:$AM$67,Data_Tech!$E$3:$E$67,"1",Data_Tech!$G$3:$G$67,"3/12",Data_Tech!$F$3:$F$67,B693)</f>
        <v>0</v>
      </c>
      <c r="P688" s="362">
        <f>ROUND(M688*N688*O688,2)</f>
        <v>0</v>
      </c>
      <c r="Q688" s="354">
        <f>IF(D688&lt;=3,база!$L$4,
IF(D688=4,база!$L$5,
IF(D688=5,база!$L$6)))</f>
        <v>210.57480000000001</v>
      </c>
      <c r="R688" s="355">
        <v>1</v>
      </c>
      <c r="S688" s="364">
        <f>SUMIFS(Таблица14[часы],Таблица14[коэф],"1",Таблица14[р/р],"3/16",Таблица14[Ф. И. О.],B693)</f>
        <v>0</v>
      </c>
      <c r="T688" s="357">
        <f>SUMIFS(Таблица14[Столбец2],Таблица14[коэф],"1",Таблица14[р/р],"3/16",Таблица14[Ф. И. О.],B693)</f>
        <v>0</v>
      </c>
      <c r="U688" s="454">
        <f>IF(D688&lt;=3,база!$M$4,
IF(D688=4,база!$M$5,
IF(D688=5,база!$M$6)))</f>
        <v>225.09719999999999</v>
      </c>
      <c r="V688" s="355">
        <v>1</v>
      </c>
      <c r="W688" s="407">
        <f>SUMIFS(Таблица14[часы],Таблица14[коэф],"1",Таблица14[р/р],"3/24",Таблица14[Ф. И. О.],B693)</f>
        <v>0</v>
      </c>
      <c r="X688" s="519">
        <f>SUMIFS(Таблица14[Столбец2],Таблица14[коэф],"1",Таблица14[р/р],"3/24",Таблица14[Ф. И. О.],B693)</f>
        <v>0</v>
      </c>
      <c r="Y688" s="754">
        <f t="shared" ref="Y688" si="262">SUM(G688:G698,K688:K698,O688:O698,S688:S698,W688:W698)</f>
        <v>0</v>
      </c>
      <c r="Z688" s="750">
        <f t="shared" ref="Z688" si="263">IFERROR(SUM(H688:H698,L688:L698,T688:T698,X688:X698),"")</f>
        <v>0</v>
      </c>
      <c r="AA688" s="740"/>
    </row>
    <row r="689" spans="1:27" ht="18.75" customHeight="1">
      <c r="A689" s="740"/>
      <c r="B689" s="201"/>
      <c r="C689" s="743"/>
      <c r="D689" s="746"/>
      <c r="E689" s="366">
        <f>IF(D688&lt;=3,база!$I$4,
IF(D688=4,база!$I$5,
IF(D688=5,база!$I$6)))</f>
        <v>188.7912</v>
      </c>
      <c r="F689" s="367">
        <v>1</v>
      </c>
      <c r="G689" s="377">
        <f>SUMIFS(Таблица14[часы],Таблица14[коэф],"1",Таблица14[р/р],"3/4",Таблица14[Ф. И. О.],B693)</f>
        <v>0</v>
      </c>
      <c r="H689" s="369">
        <f>SUMIFS(Таблица14[Столбец2],Таблица14[коэф],"1",Таблица14[р/р],"3/4",Таблица14[Ф. И. О.],B693)</f>
        <v>0</v>
      </c>
      <c r="I689" s="409">
        <f>IF(D688&lt;=3,база!$J$4,
IF(D688=4,база!$J$5,
IF(D688=5,база!$J$6)))</f>
        <v>196.05240000000001</v>
      </c>
      <c r="J689" s="410">
        <v>1</v>
      </c>
      <c r="K689" s="411">
        <f>SUMIFS(Таблица14[часы],Таблица14[коэф],"1",Таблица14[р/р],"3/8",Таблица14[Ф. И. О.],B693)</f>
        <v>0</v>
      </c>
      <c r="L689" s="411">
        <f>SUMIFS(Таблица14[Столбец2],Таблица14[коэф],"1",Таблица14[р/р],"3/8",Таблица14[Ф. И. О.],B693)</f>
        <v>0</v>
      </c>
      <c r="M689" s="411"/>
      <c r="N689" s="411">
        <v>1</v>
      </c>
      <c r="O689" s="411">
        <f>SUMIFS(Data_Tech!$AM$3:$AM$67,Data_Tech!$E$3:$E$67,"1",Data_Tech!$G$3:$G$67,"4/12",Data_Tech!$F$3:$F$67,B693)</f>
        <v>0</v>
      </c>
      <c r="P689" s="383">
        <f>ROUND(M689*O689,2)</f>
        <v>0</v>
      </c>
      <c r="Q689" s="366">
        <f>база!$L$5</f>
        <v>231.45480000000001</v>
      </c>
      <c r="R689" s="367">
        <v>1</v>
      </c>
      <c r="S689" s="377">
        <f>SUMIFS(Таблица14[часы],Таблица14[коэф],"1",Таблица14[р/р],"4/16",Таблица14[Ф. И. О.],B693)</f>
        <v>0</v>
      </c>
      <c r="T689" s="369">
        <f>SUMIFS(Таблица14[Столбец2],Таблица14[коэф],"1",Таблица14[р/р],"4/16",Таблица14[Ф. И. О.],B693)</f>
        <v>0</v>
      </c>
      <c r="U689" s="455">
        <f>база!$M$5</f>
        <v>247.41720000000001</v>
      </c>
      <c r="V689" s="367">
        <v>1</v>
      </c>
      <c r="W689" s="389">
        <f>SUMIFS(Таблица14[часы],Таблица14[коэф],"1",Таблица14[р/р],"4/24",Таблица14[Ф. И. О.],B693)</f>
        <v>0</v>
      </c>
      <c r="X689" s="521">
        <f>SUMIFS(Таблица14[Столбец2],Таблица14[коэф],"1",Таблица14[р/р],"4/24",Таблица14[Ф. И. О.],B693)</f>
        <v>0</v>
      </c>
      <c r="Y689" s="754"/>
      <c r="Z689" s="750"/>
      <c r="AA689" s="740"/>
    </row>
    <row r="690" spans="1:27" ht="18.75" customHeight="1">
      <c r="A690" s="740"/>
      <c r="B690" s="201"/>
      <c r="C690" s="743"/>
      <c r="D690" s="746"/>
      <c r="E690" s="366"/>
      <c r="F690" s="367"/>
      <c r="G690" s="377"/>
      <c r="H690" s="369"/>
      <c r="I690" s="409"/>
      <c r="J690" s="410"/>
      <c r="K690" s="411"/>
      <c r="L690" s="411"/>
      <c r="M690" s="411"/>
      <c r="N690" s="411"/>
      <c r="O690" s="411"/>
      <c r="P690" s="383"/>
      <c r="Q690" s="366">
        <f>база!$L$6</f>
        <v>261.04640000000001</v>
      </c>
      <c r="R690" s="367">
        <v>1</v>
      </c>
      <c r="S690" s="377">
        <f>SUMIFS(Таблица14[часы],Таблица14[коэф],"1",Таблица14[р/р],"5/16",Таблица14[Ф. И. О.],B693)</f>
        <v>0</v>
      </c>
      <c r="T690" s="369">
        <f>SUMIFS(Таблица14[Столбец2],Таблица14[коэф],"1",Таблица14[р/р],"5/16",Таблица14[Ф. И. О.],B693)</f>
        <v>0</v>
      </c>
      <c r="U690" s="455">
        <f>база!$M$6</f>
        <v>279.0496</v>
      </c>
      <c r="V690" s="367">
        <v>1</v>
      </c>
      <c r="W690" s="389">
        <f>SUMIFS(Таблица14[часы],Таблица14[коэф],"1",Таблица14[р/р],"5/24",Таблица14[Ф. И. О.],B693)</f>
        <v>0</v>
      </c>
      <c r="X690" s="521">
        <f>SUMIFS(Таблица14[Столбец2],Таблица14[коэф],"1",Таблица14[р/р],"5/24",Таблица14[Ф. И. О.],B693)</f>
        <v>0</v>
      </c>
      <c r="Y690" s="754"/>
      <c r="Z690" s="750"/>
      <c r="AA690" s="740"/>
    </row>
    <row r="691" spans="1:27" ht="18.75" customHeight="1">
      <c r="A691" s="740"/>
      <c r="B691" s="201"/>
      <c r="C691" s="743"/>
      <c r="D691" s="746"/>
      <c r="E691" s="366"/>
      <c r="F691" s="367"/>
      <c r="G691" s="377"/>
      <c r="H691" s="369"/>
      <c r="I691" s="409">
        <f>база!$J$5</f>
        <v>215.4924</v>
      </c>
      <c r="J691" s="410">
        <v>1.5</v>
      </c>
      <c r="K691" s="411">
        <f>SUMIFS(Таблица14[часы],Таблица14[коэф],"1,5",Таблица14[р/р],"4/8",Таблица14[Ф. И. О.],B693)</f>
        <v>0</v>
      </c>
      <c r="L691" s="411">
        <f>SUMIFS(Таблица14[Столбец2],Таблица14[коэф],"1,5",Таблица14[р/р],"4/8",Таблица14[Ф. И. О.],B693)</f>
        <v>0</v>
      </c>
      <c r="M691" s="411"/>
      <c r="N691" s="411"/>
      <c r="O691" s="411"/>
      <c r="P691" s="383"/>
      <c r="Q691" s="366">
        <f>IF(D688&lt;=3,база!$L$4,
IF(D688=4,база!$L$5,
IF(D688=5,база!$L$6)))</f>
        <v>210.57480000000001</v>
      </c>
      <c r="R691" s="367">
        <v>1.2</v>
      </c>
      <c r="S691" s="377">
        <f>SUMIFS(Таблица14[часы],Таблица14[коэф],"1,2",Таблица14[р/р],"3/16",Таблица14[Ф. И. О.],B693)</f>
        <v>0</v>
      </c>
      <c r="T691" s="369">
        <f>SUMIFS(Таблица14[Столбец2],Таблица14[коэф],"1,2",Таблица14[р/р],"3/16",Таблица14[Ф. И. О.],B693)</f>
        <v>0</v>
      </c>
      <c r="U691" s="455">
        <f>IF(D688&lt;=3,база!$M$4,
IF(D688=4,база!$M$5,
IF(D688=5,база!$M$6)))</f>
        <v>225.09719999999999</v>
      </c>
      <c r="V691" s="367">
        <v>1.2</v>
      </c>
      <c r="W691" s="389">
        <f>SUMIFS(Таблица14[часы],Таблица14[коэф],"1,2",Таблица14[р/р],"3/24",Таблица14[Ф. И. О.],B693)</f>
        <v>0</v>
      </c>
      <c r="X691" s="521">
        <f>SUMIFS(Таблица14[Столбец2],Таблица14[коэф],"1,2",Таблица14[р/р],"3/24",Таблица14[Ф. И. О.],B693)</f>
        <v>0</v>
      </c>
      <c r="Y691" s="754"/>
      <c r="Z691" s="750"/>
      <c r="AA691" s="740"/>
    </row>
    <row r="692" spans="1:27" ht="18.75" customHeight="1">
      <c r="A692" s="740"/>
      <c r="B692" s="201"/>
      <c r="C692" s="743"/>
      <c r="D692" s="746"/>
      <c r="E692" s="366"/>
      <c r="F692" s="367"/>
      <c r="G692" s="377"/>
      <c r="H692" s="369"/>
      <c r="I692" s="409">
        <f>база!$J$6</f>
        <v>243.04319999999998</v>
      </c>
      <c r="J692" s="410">
        <v>1.5</v>
      </c>
      <c r="K692" s="411">
        <f>SUMIFS(Таблица14[часы],Таблица14[коэф],"1,5",Таблица14[р/р],"5/8",Таблица14[Ф. И. О.],B693)</f>
        <v>0</v>
      </c>
      <c r="L692" s="411">
        <f>SUMIFS(Таблица14[Столбец2],Таблица14[коэф],"1,5",Таблица14[р/р],"5/8",Таблица14[Ф. И. О.],B693)</f>
        <v>0</v>
      </c>
      <c r="M692" s="411"/>
      <c r="N692" s="411"/>
      <c r="O692" s="411"/>
      <c r="P692" s="383"/>
      <c r="Q692" s="366">
        <f>база!$L$5</f>
        <v>231.45480000000001</v>
      </c>
      <c r="R692" s="367">
        <v>1.2</v>
      </c>
      <c r="S692" s="377">
        <f>SUMIFS(Таблица14[часы],Таблица14[коэф],"1,2",Таблица14[р/р],"4/16",Таблица14[Ф. И. О.],B693)</f>
        <v>0</v>
      </c>
      <c r="T692" s="369">
        <f>SUMIFS(Таблица14[Столбец2],Таблица14[коэф],"1,2",Таблица14[р/р],"4/16",Таблица14[Ф. И. О.],B693)</f>
        <v>0</v>
      </c>
      <c r="U692" s="455">
        <f>база!$M$5</f>
        <v>247.41720000000001</v>
      </c>
      <c r="V692" s="367">
        <v>1.2</v>
      </c>
      <c r="W692" s="389">
        <f>SUMIFS(Таблица14[часы],Таблица14[коэф],"1,2",Таблица14[р/р],"4/24",Таблица14[Ф. И. О.],B693)</f>
        <v>0</v>
      </c>
      <c r="X692" s="521">
        <f>SUMIFS(Таблица14[Столбец2],Таблица14[коэф],"1,2",Таблица14[р/р],"4/24",Таблица14[Ф. И. О.],B693)</f>
        <v>0</v>
      </c>
      <c r="Y692" s="754"/>
      <c r="Z692" s="750"/>
      <c r="AA692" s="740"/>
    </row>
    <row r="693" spans="1:27" ht="18.75" customHeight="1">
      <c r="A693" s="740"/>
      <c r="B693" s="201" t="str">
        <f>база!B64</f>
        <v>Рысев Иван Александрович</v>
      </c>
      <c r="C693" s="743"/>
      <c r="D693" s="746"/>
      <c r="E693" s="366"/>
      <c r="F693" s="367"/>
      <c r="G693" s="377"/>
      <c r="H693" s="369"/>
      <c r="I693" s="409"/>
      <c r="J693" s="410"/>
      <c r="K693" s="411"/>
      <c r="L693" s="411"/>
      <c r="M693" s="411"/>
      <c r="N693" s="411"/>
      <c r="O693" s="411"/>
      <c r="P693" s="383"/>
      <c r="Q693" s="366">
        <f>база!$L$6</f>
        <v>261.04640000000001</v>
      </c>
      <c r="R693" s="367">
        <v>1.2</v>
      </c>
      <c r="S693" s="377">
        <f>SUMIFS(Таблица14[часы],Таблица14[коэф],"1,2",Таблица14[р/р],"5/16",Таблица14[Ф. И. О.],B693)</f>
        <v>0</v>
      </c>
      <c r="T693" s="369">
        <f>SUMIFS(Таблица14[Столбец2],Таблица14[коэф],"1,2",Таблица14[р/р],"5/16",Таблица14[Ф. И. О.],B693)</f>
        <v>0</v>
      </c>
      <c r="U693" s="455">
        <f>база!$M$6</f>
        <v>279.0496</v>
      </c>
      <c r="V693" s="367">
        <v>1.2</v>
      </c>
      <c r="W693" s="389">
        <f>SUMIFS(Таблица14[часы],Таблица14[коэф],"1,2",Таблица14[р/р],"5/24",Таблица14[Ф. И. О.],B693)</f>
        <v>0</v>
      </c>
      <c r="X693" s="521">
        <f>SUMIFS(Таблица14[Столбец2],Таблица14[коэф],"1,2",Таблица14[р/р],"5/24",Таблица14[Ф. И. О.],B693)</f>
        <v>0</v>
      </c>
      <c r="Y693" s="754"/>
      <c r="Z693" s="750"/>
      <c r="AA693" s="740"/>
    </row>
    <row r="694" spans="1:27" ht="18.75" customHeight="1">
      <c r="A694" s="740"/>
      <c r="B694" s="201"/>
      <c r="C694" s="743"/>
      <c r="D694" s="746"/>
      <c r="E694" s="366"/>
      <c r="F694" s="367"/>
      <c r="G694" s="377"/>
      <c r="H694" s="369"/>
      <c r="I694" s="409"/>
      <c r="J694" s="410"/>
      <c r="K694" s="411"/>
      <c r="L694" s="411"/>
      <c r="M694" s="411"/>
      <c r="N694" s="411"/>
      <c r="O694" s="411"/>
      <c r="P694" s="383"/>
      <c r="Q694" s="366">
        <f>IF($D$6&lt;=3,база!$L$4,
IF($D$6=4,база!$L$5,
IF($D$6=5,база!$L$6)))</f>
        <v>231.45480000000001</v>
      </c>
      <c r="R694" s="367">
        <v>1.3</v>
      </c>
      <c r="S694" s="377">
        <f>SUMIFS(Таблица14[часы],Таблица14[коэф],"1,3",Таблица14[р/р],"3/16",Таблица14[Ф. И. О.],B693)</f>
        <v>0</v>
      </c>
      <c r="T694" s="369">
        <f>SUMIFS(Таблица14[Столбец2],Таблица14[коэф],"1,3",Таблица14[р/р],"3/16",Таблица14[Ф. И. О.],B693)</f>
        <v>0</v>
      </c>
      <c r="U694" s="455">
        <f>IF(D688&lt;=3,база!$M$4,
IF(D688=4,база!$M$5,
IF(D688=5,база!$M$6)))</f>
        <v>225.09719999999999</v>
      </c>
      <c r="V694" s="367">
        <v>1.3</v>
      </c>
      <c r="W694" s="389">
        <f>SUMIFS(Таблица14[часы],Таблица14[коэф],"1,3",Таблица14[р/р],"3/24",Таблица14[Ф. И. О.],B693)</f>
        <v>0</v>
      </c>
      <c r="X694" s="521">
        <f>SUMIFS(Таблица14[Столбец2],Таблица14[коэф],"1,3",Таблица14[р/р],"3/24",Таблица14[Ф. И. О.],B693)</f>
        <v>0</v>
      </c>
      <c r="Y694" s="754"/>
      <c r="Z694" s="750"/>
      <c r="AA694" s="740"/>
    </row>
    <row r="695" spans="1:27" ht="18.75" customHeight="1">
      <c r="A695" s="740"/>
      <c r="B695" s="201"/>
      <c r="C695" s="743"/>
      <c r="D695" s="746"/>
      <c r="E695" s="366"/>
      <c r="F695" s="367"/>
      <c r="G695" s="377"/>
      <c r="H695" s="369"/>
      <c r="I695" s="409"/>
      <c r="J695" s="410"/>
      <c r="K695" s="411"/>
      <c r="L695" s="411"/>
      <c r="M695" s="411"/>
      <c r="N695" s="411"/>
      <c r="O695" s="411"/>
      <c r="P695" s="383"/>
      <c r="Q695" s="366">
        <f>база!$L$5</f>
        <v>231.45480000000001</v>
      </c>
      <c r="R695" s="367">
        <v>1.3</v>
      </c>
      <c r="S695" s="377">
        <f>SUMIFS(Таблица14[часы],Таблица14[коэф],"1,3",Таблица14[р/р],"4/16",Таблица14[Ф. И. О.],B693)</f>
        <v>0</v>
      </c>
      <c r="T695" s="369">
        <f>SUMIFS(Таблица14[Столбец2],Таблица14[коэф],"1,3",Таблица14[р/р],"4/16",Таблица14[Ф. И. О.],B693)</f>
        <v>0</v>
      </c>
      <c r="U695" s="455">
        <f>база!$M$5</f>
        <v>247.41720000000001</v>
      </c>
      <c r="V695" s="367">
        <v>1.3</v>
      </c>
      <c r="W695" s="389">
        <f>SUMIFS(Таблица14[часы],Таблица14[коэф],"1,3",Таблица14[р/р],"4/24",Таблица14[Ф. И. О.],B693)</f>
        <v>0</v>
      </c>
      <c r="X695" s="521">
        <f>SUMIFS(Таблица14[Столбец2],Таблица14[коэф],"1,3",Таблица14[р/р],"4/24",Таблица14[Ф. И. О.],B693)</f>
        <v>0</v>
      </c>
      <c r="Y695" s="754"/>
      <c r="Z695" s="750"/>
      <c r="AA695" s="740"/>
    </row>
    <row r="696" spans="1:27" ht="18.75" customHeight="1">
      <c r="A696" s="740"/>
      <c r="B696" s="201"/>
      <c r="C696" s="743"/>
      <c r="D696" s="746"/>
      <c r="E696" s="366"/>
      <c r="F696" s="367"/>
      <c r="G696" s="377"/>
      <c r="H696" s="369"/>
      <c r="I696" s="409"/>
      <c r="J696" s="410"/>
      <c r="K696" s="411"/>
      <c r="L696" s="411"/>
      <c r="M696" s="411"/>
      <c r="N696" s="411"/>
      <c r="O696" s="411"/>
      <c r="P696" s="383"/>
      <c r="Q696" s="366">
        <f>IF(D688&lt;=3,база!$L$4,
IF(D688=4,база!$L$5,
IF(D688=5,база!$L$6)))</f>
        <v>210.57480000000001</v>
      </c>
      <c r="R696" s="367">
        <v>1.4</v>
      </c>
      <c r="S696" s="377">
        <f>SUMIFS(Таблица14[часы],Таблица14[коэф],"1,4",Таблица14[р/р],"3/16",Таблица14[Ф. И. О.],B693)</f>
        <v>0</v>
      </c>
      <c r="T696" s="369">
        <f>SUMIFS(Таблица14[Столбец2],Таблица14[коэф],"1,4",Таблица14[р/р],"3/16",Таблица14[Ф. И. О.],B693)</f>
        <v>0</v>
      </c>
      <c r="U696" s="455">
        <f>IF(D688&lt;=3,база!$M$4,
IF(D688=4,база!$M$5,
IF(D688=5,база!$M$6)))</f>
        <v>225.09719999999999</v>
      </c>
      <c r="V696" s="367">
        <v>1.4</v>
      </c>
      <c r="W696" s="389">
        <f>SUMIFS(Таблица14[часы],Таблица14[коэф],"1,4",Таблица14[р/р],"3/24",Таблица14[Ф. И. О.],B693)</f>
        <v>0</v>
      </c>
      <c r="X696" s="521">
        <f>SUMIFS(Таблица14[Столбец2],Таблица14[коэф],"1,4",Таблица14[р/р],"3/24",Таблица14[Ф. И. О.],B693)</f>
        <v>0</v>
      </c>
      <c r="Y696" s="754"/>
      <c r="Z696" s="750"/>
      <c r="AA696" s="740"/>
    </row>
    <row r="697" spans="1:27" ht="18.75" customHeight="1">
      <c r="A697" s="740"/>
      <c r="B697" s="201"/>
      <c r="C697" s="743"/>
      <c r="D697" s="746"/>
      <c r="E697" s="366"/>
      <c r="F697" s="367"/>
      <c r="G697" s="377"/>
      <c r="H697" s="369"/>
      <c r="I697" s="409"/>
      <c r="J697" s="410"/>
      <c r="K697" s="411"/>
      <c r="L697" s="411"/>
      <c r="M697" s="411"/>
      <c r="N697" s="411"/>
      <c r="O697" s="411"/>
      <c r="P697" s="383"/>
      <c r="Q697" s="366">
        <f>база!$L$5</f>
        <v>231.45480000000001</v>
      </c>
      <c r="R697" s="367">
        <v>1.4</v>
      </c>
      <c r="S697" s="377">
        <f>SUMIFS(Таблица14[часы],Таблица14[коэф],"1,4",Таблица14[р/р],"4/16",Таблица14[Ф. И. О.],B693)</f>
        <v>0</v>
      </c>
      <c r="T697" s="369">
        <f>SUMIFS(Таблица14[Столбец2],Таблица14[коэф],"1,4",Таблица14[р/р],"4/16",Таблица14[Ф. И. О.],B693)</f>
        <v>0</v>
      </c>
      <c r="U697" s="455">
        <f>база!$M$5</f>
        <v>247.41720000000001</v>
      </c>
      <c r="V697" s="367">
        <v>1.4</v>
      </c>
      <c r="W697" s="389">
        <f>SUMIFS(Таблица14[часы],Таблица14[коэф],"1,4",Таблица14[р/р],"4/24",Таблица14[Ф. И. О.],B693)</f>
        <v>0</v>
      </c>
      <c r="X697" s="521">
        <f>SUMIFS(Таблица14[Столбец2],Таблица14[коэф],"1,4",Таблица14[р/р],"4/24",Таблица14[Ф. И. О.],B693)</f>
        <v>0</v>
      </c>
      <c r="Y697" s="754"/>
      <c r="Z697" s="750"/>
      <c r="AA697" s="740"/>
    </row>
    <row r="698" spans="1:27" ht="19.5" customHeight="1" thickBot="1">
      <c r="A698" s="741"/>
      <c r="B698" s="329"/>
      <c r="C698" s="744"/>
      <c r="D698" s="747"/>
      <c r="E698" s="422"/>
      <c r="F698" s="423"/>
      <c r="G698" s="624"/>
      <c r="H698" s="511"/>
      <c r="I698" s="625"/>
      <c r="J698" s="588"/>
      <c r="K698" s="626"/>
      <c r="L698" s="434"/>
      <c r="M698" s="625"/>
      <c r="N698" s="626"/>
      <c r="O698" s="626"/>
      <c r="P698" s="514"/>
      <c r="Q698" s="627">
        <f>база!$L$6</f>
        <v>261.04640000000001</v>
      </c>
      <c r="R698" s="423">
        <v>1.4</v>
      </c>
      <c r="S698" s="424">
        <f>SUMIFS(Таблица14[часы],Таблица14[коэф],"1,4",Таблица14[р/р],"5/16",Таблица14[Ф. И. О.],B693)</f>
        <v>0</v>
      </c>
      <c r="T698" s="511">
        <f>SUMIFS(Таблица14[Столбец2],Таблица14[коэф],"1,4",Таблица14[р/р],"5/16",Таблица14[Ф. И. О.],B693)</f>
        <v>0</v>
      </c>
      <c r="U698" s="512">
        <f>база!$M$6</f>
        <v>279.0496</v>
      </c>
      <c r="V698" s="441">
        <v>1.4</v>
      </c>
      <c r="W698" s="424">
        <f>SUMIFS(Таблица14[часы],Таблица14[коэф],"1,4",Таблица14[р/р],"5/24",Таблица14[Ф. И. О.],B693)</f>
        <v>0</v>
      </c>
      <c r="X698" s="511">
        <f>SUMIFS(Таблица14[Столбец2],Таблица14[коэф],"1,4",Таблица14[р/р],"5/24",Таблица14[Ф. И. О.],B693)</f>
        <v>0</v>
      </c>
      <c r="Y698" s="755"/>
      <c r="Z698" s="751"/>
      <c r="AA698" s="741"/>
    </row>
    <row r="699" spans="1:27" ht="18.75" customHeight="1">
      <c r="A699" s="740">
        <v>64</v>
      </c>
      <c r="B699" s="201"/>
      <c r="C699" s="742">
        <f>INDEX(база!$E$2:$E$150, MATCH(B704,база!$B$2:$B$150,0))</f>
        <v>17324</v>
      </c>
      <c r="D699" s="745">
        <f>INDEX(база!$D$2:$D$150, MATCH(B704,база!$B$2:$B$150,0))</f>
        <v>3</v>
      </c>
      <c r="E699" s="458">
        <f>IF(D699&lt;=3,база!$I$4,
IF(D699=4,база!$I$5,
IF(D699=5,база!$I$6)))</f>
        <v>188.7912</v>
      </c>
      <c r="F699" s="394">
        <v>1</v>
      </c>
      <c r="G699" s="395">
        <f>SUMIFS(Таблица14[часы],Таблица14[коэф],"1",Таблица14[р/р],"2/4",Таблица14[Ф. И. О.],B704)</f>
        <v>0</v>
      </c>
      <c r="H699" s="379">
        <f>SUMIFS(Таблица14[Столбец2],Таблица14[коэф],"1",Таблица14[р/р],"2/4",Таблица14[Ф. И. О.],B704)</f>
        <v>0</v>
      </c>
      <c r="I699" s="429">
        <f>IF(D699&lt;=3,база!$J$4,
IF(D699=4,база!$J$5,
IF(D699=5,база!$J$6)))</f>
        <v>196.05240000000001</v>
      </c>
      <c r="J699" s="452">
        <v>1</v>
      </c>
      <c r="K699" s="430">
        <f>SUMIFS(Таблица14[часы],Таблица14[коэф],"1",Таблица14[р/р],"2/8",Таблица14[Ф. И. О.],B704)</f>
        <v>0</v>
      </c>
      <c r="L699" s="430">
        <f>SUMIFS(Таблица14[Столбец2],Таблица14[коэф],"1",Таблица14[р/р],"2/8",Таблица14[Ф. И. О.],B704)</f>
        <v>0</v>
      </c>
      <c r="M699" s="430"/>
      <c r="N699" s="430">
        <v>1</v>
      </c>
      <c r="O699" s="430">
        <f>SUMIFS(Data_Tech!$AM$3:$AM$67,Data_Tech!$E$3:$E$67,"1",Data_Tech!$G$3:$G$67,"3/12",Data_Tech!$F$3:$F$67,B704)</f>
        <v>0</v>
      </c>
      <c r="P699" s="375">
        <f>ROUND(M699*N699*O699,2)</f>
        <v>0</v>
      </c>
      <c r="Q699" s="458">
        <f>IF(D699&lt;=3,база!$L$4,
IF(D699=4,база!$L$5,
IF(D699=5,база!$L$6)))</f>
        <v>210.57480000000001</v>
      </c>
      <c r="R699" s="394">
        <v>1</v>
      </c>
      <c r="S699" s="395">
        <f>SUMIFS(Таблица14[часы],Таблица14[коэф],"1",Таблица14[р/р],"3/16",Таблица14[Ф. И. О.],B704)</f>
        <v>0</v>
      </c>
      <c r="T699" s="379">
        <f>SUMIFS(Таблица14[Столбец2],Таблица14[коэф],"1",Таблица14[р/р],"3/16",Таблица14[Ф. И. О.],B704)</f>
        <v>0</v>
      </c>
      <c r="U699" s="460">
        <f>IF(D699&lt;=3,база!$M$4,
IF(D699=4,база!$M$5,
IF(D699=5,база!$M$6)))</f>
        <v>225.09719999999999</v>
      </c>
      <c r="V699" s="394">
        <v>1</v>
      </c>
      <c r="W699" s="432">
        <f>SUMIFS(Таблица14[часы],Таблица14[коэф],"1",Таблица14[р/р],"3/24",Таблица14[Ф. И. О.],B704)</f>
        <v>0</v>
      </c>
      <c r="X699" s="528">
        <f>SUMIFS(Таблица14[Столбец2],Таблица14[коэф],"1",Таблица14[р/р],"3/24",Таблица14[Ф. И. О.],B704)</f>
        <v>0</v>
      </c>
      <c r="Y699" s="754">
        <f t="shared" ref="Y699" si="264">SUM(G699:G709,K699:K709,O699:O709,S699:S709,W699:W709)</f>
        <v>0</v>
      </c>
      <c r="Z699" s="750">
        <f t="shared" ref="Z699" si="265">IFERROR(SUM(H699:H709,L699:L709,T699:T709,X699:X709),"")</f>
        <v>0</v>
      </c>
      <c r="AA699" s="740"/>
    </row>
    <row r="700" spans="1:27" ht="18.75" customHeight="1">
      <c r="A700" s="740"/>
      <c r="B700" s="201"/>
      <c r="C700" s="743"/>
      <c r="D700" s="746"/>
      <c r="E700" s="366">
        <f>IF(D699&lt;=3,база!$I$4,
IF(D699=4,база!$I$5,
IF(D699=5,база!$I$6)))</f>
        <v>188.7912</v>
      </c>
      <c r="F700" s="367">
        <v>1</v>
      </c>
      <c r="G700" s="377">
        <f>SUMIFS(Таблица14[часы],Таблица14[коэф],"1",Таблица14[р/р],"3/4",Таблица14[Ф. И. О.],B704)</f>
        <v>0</v>
      </c>
      <c r="H700" s="369">
        <f>SUMIFS(Таблица14[Столбец2],Таблица14[коэф],"1",Таблица14[р/р],"3/4",Таблица14[Ф. И. О.],B704)</f>
        <v>0</v>
      </c>
      <c r="I700" s="409">
        <f>IF(D699&lt;=3,база!$J$4,
IF(D699=4,база!$J$5,
IF(D699=5,база!$J$6)))</f>
        <v>196.05240000000001</v>
      </c>
      <c r="J700" s="410">
        <v>1</v>
      </c>
      <c r="K700" s="411">
        <f>SUMIFS(Таблица14[часы],Таблица14[коэф],"1",Таблица14[р/р],"3/8",Таблица14[Ф. И. О.],B704)</f>
        <v>0</v>
      </c>
      <c r="L700" s="411">
        <f>SUMIFS(Таблица14[Столбец2],Таблица14[коэф],"1",Таблица14[р/р],"3/8",Таблица14[Ф. И. О.],B704)</f>
        <v>0</v>
      </c>
      <c r="M700" s="411"/>
      <c r="N700" s="411">
        <v>1</v>
      </c>
      <c r="O700" s="411">
        <f>SUMIFS(Data_Tech!$AM$3:$AM$67,Data_Tech!$E$3:$E$67,"1",Data_Tech!$G$3:$G$67,"4/12",Data_Tech!$F$3:$F$67,B704)</f>
        <v>0</v>
      </c>
      <c r="P700" s="383">
        <f>ROUND(M700*O700,2)</f>
        <v>0</v>
      </c>
      <c r="Q700" s="366">
        <f>база!$L$5</f>
        <v>231.45480000000001</v>
      </c>
      <c r="R700" s="367">
        <v>1</v>
      </c>
      <c r="S700" s="377">
        <f>SUMIFS(Таблица14[часы],Таблица14[коэф],"1",Таблица14[р/р],"4/16",Таблица14[Ф. И. О.],B704)</f>
        <v>0</v>
      </c>
      <c r="T700" s="369">
        <f>SUMIFS(Таблица14[Столбец2],Таблица14[коэф],"1",Таблица14[р/р],"4/16",Таблица14[Ф. И. О.],B704)</f>
        <v>0</v>
      </c>
      <c r="U700" s="455">
        <f>база!$M$5</f>
        <v>247.41720000000001</v>
      </c>
      <c r="V700" s="367">
        <v>1</v>
      </c>
      <c r="W700" s="389">
        <f>SUMIFS(Таблица14[часы],Таблица14[коэф],"1",Таблица14[р/р],"4/24",Таблица14[Ф. И. О.],B704)</f>
        <v>0</v>
      </c>
      <c r="X700" s="521">
        <f>SUMIFS(Таблица14[Столбец2],Таблица14[коэф],"1",Таблица14[р/р],"4/24",Таблица14[Ф. И. О.],B704)</f>
        <v>0</v>
      </c>
      <c r="Y700" s="754"/>
      <c r="Z700" s="750"/>
      <c r="AA700" s="740"/>
    </row>
    <row r="701" spans="1:27" ht="18.75" customHeight="1">
      <c r="A701" s="740"/>
      <c r="B701" s="201"/>
      <c r="C701" s="743"/>
      <c r="D701" s="746"/>
      <c r="E701" s="366"/>
      <c r="F701" s="367"/>
      <c r="G701" s="377"/>
      <c r="H701" s="369"/>
      <c r="I701" s="409"/>
      <c r="J701" s="410"/>
      <c r="K701" s="411"/>
      <c r="L701" s="411"/>
      <c r="M701" s="411"/>
      <c r="N701" s="411"/>
      <c r="O701" s="411"/>
      <c r="P701" s="383"/>
      <c r="Q701" s="366">
        <f>база!$L$6</f>
        <v>261.04640000000001</v>
      </c>
      <c r="R701" s="367">
        <v>1</v>
      </c>
      <c r="S701" s="377">
        <f>SUMIFS(Таблица14[часы],Таблица14[коэф],"1",Таблица14[р/р],"5/16",Таблица14[Ф. И. О.],B704)</f>
        <v>0</v>
      </c>
      <c r="T701" s="369">
        <f>SUMIFS(Таблица14[Столбец2],Таблица14[коэф],"1",Таблица14[р/р],"5/16",Таблица14[Ф. И. О.],B704)</f>
        <v>0</v>
      </c>
      <c r="U701" s="455">
        <f>база!$M$6</f>
        <v>279.0496</v>
      </c>
      <c r="V701" s="367">
        <v>1</v>
      </c>
      <c r="W701" s="389">
        <f>SUMIFS(Таблица14[часы],Таблица14[коэф],"1",Таблица14[р/р],"5/24",Таблица14[Ф. И. О.],B704)</f>
        <v>0</v>
      </c>
      <c r="X701" s="521">
        <f>SUMIFS(Таблица14[Столбец2],Таблица14[коэф],"1",Таблица14[р/р],"5/24",Таблица14[Ф. И. О.],B704)</f>
        <v>0</v>
      </c>
      <c r="Y701" s="754"/>
      <c r="Z701" s="750"/>
      <c r="AA701" s="740"/>
    </row>
    <row r="702" spans="1:27" ht="18.75" customHeight="1">
      <c r="A702" s="740"/>
      <c r="B702" s="201"/>
      <c r="C702" s="743"/>
      <c r="D702" s="746"/>
      <c r="E702" s="366"/>
      <c r="F702" s="367"/>
      <c r="G702" s="377"/>
      <c r="H702" s="369"/>
      <c r="I702" s="409">
        <f>база!$J$5</f>
        <v>215.4924</v>
      </c>
      <c r="J702" s="410">
        <v>1.5</v>
      </c>
      <c r="K702" s="411">
        <f>SUMIFS(Таблица14[часы],Таблица14[коэф],"1,5",Таблица14[р/р],"4/8",Таблица14[Ф. И. О.],B704)</f>
        <v>0</v>
      </c>
      <c r="L702" s="411">
        <f>SUMIFS(Таблица14[Столбец2],Таблица14[коэф],"1,5",Таблица14[р/р],"4/8",Таблица14[Ф. И. О.],B704)</f>
        <v>0</v>
      </c>
      <c r="M702" s="411"/>
      <c r="N702" s="411"/>
      <c r="O702" s="411"/>
      <c r="P702" s="383"/>
      <c r="Q702" s="366">
        <f>IF(D699&lt;=3,база!$L$4,
IF(D699=4,база!$L$5,
IF(D699=5,база!$L$6)))</f>
        <v>210.57480000000001</v>
      </c>
      <c r="R702" s="367">
        <v>1.2</v>
      </c>
      <c r="S702" s="377">
        <f>SUMIFS(Таблица14[часы],Таблица14[коэф],"1,2",Таблица14[р/р],"3/16",Таблица14[Ф. И. О.],B704)</f>
        <v>0</v>
      </c>
      <c r="T702" s="369">
        <f>SUMIFS(Таблица14[Столбец2],Таблица14[коэф],"1,2",Таблица14[р/р],"3/16",Таблица14[Ф. И. О.],B704)</f>
        <v>0</v>
      </c>
      <c r="U702" s="455">
        <f>IF(D699&lt;=3,база!$M$4,
IF(D699=4,база!$M$5,
IF(D699=5,база!$M$6)))</f>
        <v>225.09719999999999</v>
      </c>
      <c r="V702" s="367">
        <v>1.2</v>
      </c>
      <c r="W702" s="389">
        <f>SUMIFS(Таблица14[часы],Таблица14[коэф],"1,2",Таблица14[р/р],"3/24",Таблица14[Ф. И. О.],B704)</f>
        <v>0</v>
      </c>
      <c r="X702" s="521">
        <f>SUMIFS(Таблица14[Столбец2],Таблица14[коэф],"1,2",Таблица14[р/р],"3/24",Таблица14[Ф. И. О.],B704)</f>
        <v>0</v>
      </c>
      <c r="Y702" s="754"/>
      <c r="Z702" s="750"/>
      <c r="AA702" s="740"/>
    </row>
    <row r="703" spans="1:27" ht="18.75" customHeight="1">
      <c r="A703" s="740"/>
      <c r="B703" s="201"/>
      <c r="C703" s="743"/>
      <c r="D703" s="746"/>
      <c r="E703" s="366"/>
      <c r="F703" s="367"/>
      <c r="G703" s="377"/>
      <c r="H703" s="369"/>
      <c r="I703" s="409">
        <f>база!$J$6</f>
        <v>243.04319999999998</v>
      </c>
      <c r="J703" s="410">
        <v>1.5</v>
      </c>
      <c r="K703" s="411">
        <f>SUMIFS(Таблица14[часы],Таблица14[коэф],"1,5",Таблица14[р/р],"5/8",Таблица14[Ф. И. О.],B704)</f>
        <v>0</v>
      </c>
      <c r="L703" s="411">
        <f>SUMIFS(Таблица14[Столбец2],Таблица14[коэф],"1,5",Таблица14[р/р],"5/8",Таблица14[Ф. И. О.],B704)</f>
        <v>0</v>
      </c>
      <c r="M703" s="411"/>
      <c r="N703" s="411"/>
      <c r="O703" s="411"/>
      <c r="P703" s="383"/>
      <c r="Q703" s="366">
        <f>база!$L$5</f>
        <v>231.45480000000001</v>
      </c>
      <c r="R703" s="367">
        <v>1.2</v>
      </c>
      <c r="S703" s="377">
        <f>SUMIFS(Таблица14[часы],Таблица14[коэф],"1,2",Таблица14[р/р],"4/16",Таблица14[Ф. И. О.],B704)</f>
        <v>0</v>
      </c>
      <c r="T703" s="369">
        <f>SUMIFS(Таблица14[Столбец2],Таблица14[коэф],"1,2",Таблица14[р/р],"4/16",Таблица14[Ф. И. О.],B704)</f>
        <v>0</v>
      </c>
      <c r="U703" s="455">
        <f>база!$M$5</f>
        <v>247.41720000000001</v>
      </c>
      <c r="V703" s="367">
        <v>1.2</v>
      </c>
      <c r="W703" s="389">
        <f>SUMIFS(Таблица14[часы],Таблица14[коэф],"1,2",Таблица14[р/р],"4/24",Таблица14[Ф. И. О.],B704)</f>
        <v>0</v>
      </c>
      <c r="X703" s="521">
        <f>SUMIFS(Таблица14[Столбец2],Таблица14[коэф],"1,2",Таблица14[р/р],"4/24",Таблица14[Ф. И. О.],B704)</f>
        <v>0</v>
      </c>
      <c r="Y703" s="754"/>
      <c r="Z703" s="750"/>
      <c r="AA703" s="740"/>
    </row>
    <row r="704" spans="1:27" ht="18.75" customHeight="1">
      <c r="A704" s="740"/>
      <c r="B704" s="201" t="str">
        <f>база!B65</f>
        <v>Саидова Ольга Владимировна</v>
      </c>
      <c r="C704" s="743"/>
      <c r="D704" s="746"/>
      <c r="E704" s="366"/>
      <c r="F704" s="367"/>
      <c r="G704" s="377"/>
      <c r="H704" s="369"/>
      <c r="I704" s="409"/>
      <c r="J704" s="410"/>
      <c r="K704" s="411"/>
      <c r="L704" s="411"/>
      <c r="M704" s="411"/>
      <c r="N704" s="411"/>
      <c r="O704" s="411"/>
      <c r="P704" s="383"/>
      <c r="Q704" s="366">
        <f>база!$L$6</f>
        <v>261.04640000000001</v>
      </c>
      <c r="R704" s="367">
        <v>1.2</v>
      </c>
      <c r="S704" s="377">
        <f>SUMIFS(Таблица14[часы],Таблица14[коэф],"1,2",Таблица14[р/р],"5/16",Таблица14[Ф. И. О.],B704)</f>
        <v>0</v>
      </c>
      <c r="T704" s="369">
        <f>SUMIFS(Таблица14[Столбец2],Таблица14[коэф],"1,2",Таблица14[р/р],"5/16",Таблица14[Ф. И. О.],B704)</f>
        <v>0</v>
      </c>
      <c r="U704" s="455">
        <f>база!$M$6</f>
        <v>279.0496</v>
      </c>
      <c r="V704" s="367">
        <v>1.2</v>
      </c>
      <c r="W704" s="389">
        <f>SUMIFS(Таблица14[часы],Таблица14[коэф],"1,2",Таблица14[р/р],"5/24",Таблица14[Ф. И. О.],B704)</f>
        <v>0</v>
      </c>
      <c r="X704" s="521">
        <f>SUMIFS(Таблица14[Столбец2],Таблица14[коэф],"1,2",Таблица14[р/р],"5/24",Таблица14[Ф. И. О.],B704)</f>
        <v>0</v>
      </c>
      <c r="Y704" s="754"/>
      <c r="Z704" s="750"/>
      <c r="AA704" s="740"/>
    </row>
    <row r="705" spans="1:27" ht="18.75" customHeight="1">
      <c r="A705" s="740"/>
      <c r="B705" s="201"/>
      <c r="C705" s="743"/>
      <c r="D705" s="746"/>
      <c r="E705" s="366"/>
      <c r="F705" s="367"/>
      <c r="G705" s="377"/>
      <c r="H705" s="369"/>
      <c r="I705" s="409"/>
      <c r="J705" s="410"/>
      <c r="K705" s="411"/>
      <c r="L705" s="411"/>
      <c r="M705" s="411"/>
      <c r="N705" s="411"/>
      <c r="O705" s="411"/>
      <c r="P705" s="383"/>
      <c r="Q705" s="366">
        <f>IF($D$6&lt;=3,база!$L$4,
IF($D$6=4,база!$L$5,
IF($D$6=5,база!$L$6)))</f>
        <v>231.45480000000001</v>
      </c>
      <c r="R705" s="367">
        <v>1.3</v>
      </c>
      <c r="S705" s="377">
        <f>SUMIFS(Таблица14[часы],Таблица14[коэф],"1,3",Таблица14[р/р],"3/16",Таблица14[Ф. И. О.],B704)</f>
        <v>0</v>
      </c>
      <c r="T705" s="369">
        <f>SUMIFS(Таблица14[Столбец2],Таблица14[коэф],"1,3",Таблица14[р/р],"3/16",Таблица14[Ф. И. О.],B704)</f>
        <v>0</v>
      </c>
      <c r="U705" s="455">
        <f>IF(D699&lt;=3,база!$M$4,
IF(D699=4,база!$M$5,
IF(D699=5,база!$M$6)))</f>
        <v>225.09719999999999</v>
      </c>
      <c r="V705" s="367">
        <v>1.3</v>
      </c>
      <c r="W705" s="389">
        <f>SUMIFS(Таблица14[часы],Таблица14[коэф],"1,3",Таблица14[р/р],"3/24",Таблица14[Ф. И. О.],B704)</f>
        <v>0</v>
      </c>
      <c r="X705" s="521">
        <f>SUMIFS(Таблица14[Столбец2],Таблица14[коэф],"1,3",Таблица14[р/р],"3/24",Таблица14[Ф. И. О.],B704)</f>
        <v>0</v>
      </c>
      <c r="Y705" s="754"/>
      <c r="Z705" s="750"/>
      <c r="AA705" s="740"/>
    </row>
    <row r="706" spans="1:27" ht="18.75" customHeight="1">
      <c r="A706" s="740"/>
      <c r="B706" s="201"/>
      <c r="C706" s="743"/>
      <c r="D706" s="746"/>
      <c r="E706" s="366"/>
      <c r="F706" s="367"/>
      <c r="G706" s="377"/>
      <c r="H706" s="369"/>
      <c r="I706" s="409"/>
      <c r="J706" s="410"/>
      <c r="K706" s="411"/>
      <c r="L706" s="411"/>
      <c r="M706" s="411"/>
      <c r="N706" s="411"/>
      <c r="O706" s="411"/>
      <c r="P706" s="383"/>
      <c r="Q706" s="366">
        <f>база!$L$5</f>
        <v>231.45480000000001</v>
      </c>
      <c r="R706" s="367">
        <v>1.3</v>
      </c>
      <c r="S706" s="377">
        <f>SUMIFS(Таблица14[часы],Таблица14[коэф],"1,3",Таблица14[р/р],"4/16",Таблица14[Ф. И. О.],B704)</f>
        <v>0</v>
      </c>
      <c r="T706" s="369">
        <f>SUMIFS(Таблица14[Столбец2],Таблица14[коэф],"1,3",Таблица14[р/р],"4/16",Таблица14[Ф. И. О.],B704)</f>
        <v>0</v>
      </c>
      <c r="U706" s="455">
        <f>база!$M$5</f>
        <v>247.41720000000001</v>
      </c>
      <c r="V706" s="367">
        <v>1.3</v>
      </c>
      <c r="W706" s="389">
        <f>SUMIFS(Таблица14[часы],Таблица14[коэф],"1,3",Таблица14[р/р],"4/24",Таблица14[Ф. И. О.],B704)</f>
        <v>0</v>
      </c>
      <c r="X706" s="521">
        <f>SUMIFS(Таблица14[Столбец2],Таблица14[коэф],"1,3",Таблица14[р/р],"4/24",Таблица14[Ф. И. О.],B704)</f>
        <v>0</v>
      </c>
      <c r="Y706" s="754"/>
      <c r="Z706" s="750"/>
      <c r="AA706" s="740"/>
    </row>
    <row r="707" spans="1:27" ht="18.75" customHeight="1">
      <c r="A707" s="740"/>
      <c r="B707" s="201"/>
      <c r="C707" s="743"/>
      <c r="D707" s="746"/>
      <c r="E707" s="366"/>
      <c r="F707" s="367"/>
      <c r="G707" s="377"/>
      <c r="H707" s="369"/>
      <c r="I707" s="409"/>
      <c r="J707" s="410"/>
      <c r="K707" s="411"/>
      <c r="L707" s="411"/>
      <c r="M707" s="411"/>
      <c r="N707" s="411"/>
      <c r="O707" s="411"/>
      <c r="P707" s="383"/>
      <c r="Q707" s="366">
        <f>IF(D699&lt;=3,база!$L$4,
IF(D699=4,база!$L$5,
IF(D699=5,база!$L$6)))</f>
        <v>210.57480000000001</v>
      </c>
      <c r="R707" s="367">
        <v>1.4</v>
      </c>
      <c r="S707" s="377">
        <f>SUMIFS(Таблица14[часы],Таблица14[коэф],"1,4",Таблица14[р/р],"3/16",Таблица14[Ф. И. О.],B704)</f>
        <v>0</v>
      </c>
      <c r="T707" s="369">
        <f>SUMIFS(Таблица14[Столбец2],Таблица14[коэф],"1,4",Таблица14[р/р],"3/16",Таблица14[Ф. И. О.],B704)</f>
        <v>0</v>
      </c>
      <c r="U707" s="455">
        <f>IF(D699&lt;=3,база!$M$4,
IF(D699=4,база!$M$5,
IF(D699=5,база!$M$6)))</f>
        <v>225.09719999999999</v>
      </c>
      <c r="V707" s="367">
        <v>1.4</v>
      </c>
      <c r="W707" s="389">
        <f>SUMIFS(Таблица14[часы],Таблица14[коэф],"1,4",Таблица14[р/р],"3/24",Таблица14[Ф. И. О.],B704)</f>
        <v>0</v>
      </c>
      <c r="X707" s="521">
        <f>SUMIFS(Таблица14[Столбец2],Таблица14[коэф],"1,4",Таблица14[р/р],"3/24",Таблица14[Ф. И. О.],B704)</f>
        <v>0</v>
      </c>
      <c r="Y707" s="754"/>
      <c r="Z707" s="750"/>
      <c r="AA707" s="740"/>
    </row>
    <row r="708" spans="1:27" ht="18.75" customHeight="1">
      <c r="A708" s="740"/>
      <c r="B708" s="201"/>
      <c r="C708" s="743"/>
      <c r="D708" s="746"/>
      <c r="E708" s="366"/>
      <c r="F708" s="367"/>
      <c r="G708" s="377"/>
      <c r="H708" s="369"/>
      <c r="I708" s="409"/>
      <c r="J708" s="410"/>
      <c r="K708" s="411"/>
      <c r="L708" s="411"/>
      <c r="M708" s="411"/>
      <c r="N708" s="411"/>
      <c r="O708" s="411"/>
      <c r="P708" s="383"/>
      <c r="Q708" s="366">
        <f>база!$L$5</f>
        <v>231.45480000000001</v>
      </c>
      <c r="R708" s="367">
        <v>1.4</v>
      </c>
      <c r="S708" s="377">
        <f>SUMIFS(Таблица14[часы],Таблица14[коэф],"1,4",Таблица14[р/р],"4/16",Таблица14[Ф. И. О.],B704)</f>
        <v>0</v>
      </c>
      <c r="T708" s="369">
        <f>SUMIFS(Таблица14[Столбец2],Таблица14[коэф],"1,4",Таблица14[р/р],"4/16",Таблица14[Ф. И. О.],B704)</f>
        <v>0</v>
      </c>
      <c r="U708" s="455">
        <f>база!$M$5</f>
        <v>247.41720000000001</v>
      </c>
      <c r="V708" s="367">
        <v>1.4</v>
      </c>
      <c r="W708" s="389">
        <f>SUMIFS(Таблица14[часы],Таблица14[коэф],"1,4",Таблица14[р/р],"4/24",Таблица14[Ф. И. О.],B704)</f>
        <v>0</v>
      </c>
      <c r="X708" s="521">
        <f>SUMIFS(Таблица14[Столбец2],Таблица14[коэф],"1,4",Таблица14[р/р],"4/24",Таблица14[Ф. И. О.],B704)</f>
        <v>0</v>
      </c>
      <c r="Y708" s="754"/>
      <c r="Z708" s="750"/>
      <c r="AA708" s="740"/>
    </row>
    <row r="709" spans="1:27" ht="19.5" customHeight="1" thickBot="1">
      <c r="A709" s="741"/>
      <c r="B709" s="329"/>
      <c r="C709" s="744"/>
      <c r="D709" s="747"/>
      <c r="E709" s="414"/>
      <c r="F709" s="415"/>
      <c r="G709" s="664"/>
      <c r="H709" s="417"/>
      <c r="I709" s="390"/>
      <c r="J709" s="575"/>
      <c r="K709" s="391"/>
      <c r="L709" s="437"/>
      <c r="M709" s="390"/>
      <c r="N709" s="391"/>
      <c r="O709" s="391"/>
      <c r="P709" s="392"/>
      <c r="Q709" s="659">
        <f>база!$L$6</f>
        <v>261.04640000000001</v>
      </c>
      <c r="R709" s="415">
        <v>1.4</v>
      </c>
      <c r="S709" s="416">
        <f>SUMIFS(Таблица14[часы],Таблица14[коэф],"1,4",Таблица14[р/р],"5/16",Таблица14[Ф. И. О.],B704)</f>
        <v>0</v>
      </c>
      <c r="T709" s="417">
        <f>SUMIFS(Таблица14[Столбец2],Таблица14[коэф],"1,4",Таблица14[р/р],"5/16",Таблица14[Ф. И. О.],B704)</f>
        <v>0</v>
      </c>
      <c r="U709" s="492">
        <f>база!$M$6</f>
        <v>279.0496</v>
      </c>
      <c r="V709" s="380">
        <v>1.4</v>
      </c>
      <c r="W709" s="416">
        <f>SUMIFS(Таблица14[часы],Таблица14[коэф],"1,4",Таблица14[р/р],"5/24",Таблица14[Ф. И. О.],B704)</f>
        <v>0</v>
      </c>
      <c r="X709" s="417">
        <f>SUMIFS(Таблица14[Столбец2],Таблица14[коэф],"1,4",Таблица14[р/р],"5/24",Таблица14[Ф. И. О.],B704)</f>
        <v>0</v>
      </c>
      <c r="Y709" s="755"/>
      <c r="Z709" s="751"/>
      <c r="AA709" s="741"/>
    </row>
    <row r="710" spans="1:27" ht="18.75" customHeight="1">
      <c r="A710" s="740">
        <v>65</v>
      </c>
      <c r="B710" s="201"/>
      <c r="C710" s="742">
        <f>INDEX(база!$E$2:$E$150, MATCH(B715,база!$B$2:$B$150,0))</f>
        <v>17102</v>
      </c>
      <c r="D710" s="745">
        <f>INDEX(база!$D$2:$D$150, MATCH(B715,база!$B$2:$B$150,0))</f>
        <v>3</v>
      </c>
      <c r="E710" s="354">
        <f>IF(D710&lt;=3,база!$I$4,
IF(D710=4,база!$I$5,
IF(D710=5,база!$I$6)))</f>
        <v>188.7912</v>
      </c>
      <c r="F710" s="355">
        <v>1</v>
      </c>
      <c r="G710" s="364">
        <f>SUMIFS(Таблица14[часы],Таблица14[коэф],"1",Таблица14[р/р],"2/4",Таблица14[Ф. И. О.],B715)</f>
        <v>0</v>
      </c>
      <c r="H710" s="357">
        <f>SUMIFS(Таблица14[Столбец2],Таблица14[коэф],"1",Таблица14[р/р],"2/4",Таблица14[Ф. И. О.],B715)</f>
        <v>0</v>
      </c>
      <c r="I710" s="403">
        <f>IF(D710&lt;=3,база!$J$4,
IF(D710=4,база!$J$5,
IF(D710=5,база!$J$6)))</f>
        <v>196.05240000000001</v>
      </c>
      <c r="J710" s="404">
        <v>1</v>
      </c>
      <c r="K710" s="405">
        <f>SUMIFS(Таблица14[часы],Таблица14[коэф],"1",Таблица14[р/р],"2/8",Таблица14[Ф. И. О.],B715)</f>
        <v>0</v>
      </c>
      <c r="L710" s="405">
        <f>SUMIFS(Таблица14[Столбец2],Таблица14[коэф],"1",Таблица14[р/р],"2/8",Таблица14[Ф. И. О.],B715)</f>
        <v>0</v>
      </c>
      <c r="M710" s="405"/>
      <c r="N710" s="405">
        <v>1</v>
      </c>
      <c r="O710" s="405">
        <f>SUMIFS(Data_Tech!$AM$3:$AM$67,Data_Tech!$E$3:$E$67,"1",Data_Tech!$G$3:$G$67,"3/12",Data_Tech!$F$3:$F$67,B715)</f>
        <v>0</v>
      </c>
      <c r="P710" s="362">
        <f>ROUND(M710*N710*O710,2)</f>
        <v>0</v>
      </c>
      <c r="Q710" s="354">
        <f>IF(D710&lt;=3,база!$L$4,
IF(D710=4,база!$L$5,
IF(D710=5,база!$L$6)))</f>
        <v>210.57480000000001</v>
      </c>
      <c r="R710" s="355">
        <v>1</v>
      </c>
      <c r="S710" s="364">
        <f>SUMIFS(Таблица14[часы],Таблица14[коэф],"1",Таблица14[р/р],"3/16",Таблица14[Ф. И. О.],B715)</f>
        <v>0</v>
      </c>
      <c r="T710" s="357">
        <f>SUMIFS(Таблица14[Столбец2],Таблица14[коэф],"1",Таблица14[р/р],"3/16",Таблица14[Ф. И. О.],B715)</f>
        <v>0</v>
      </c>
      <c r="U710" s="454">
        <f>IF(D710&lt;=3,база!$M$4,
IF(D710=4,база!$M$5,
IF(D710=5,база!$M$6)))</f>
        <v>225.09719999999999</v>
      </c>
      <c r="V710" s="355">
        <v>1</v>
      </c>
      <c r="W710" s="407">
        <f>SUMIFS(Таблица14[часы],Таблица14[коэф],"1",Таблица14[р/р],"3/24",Таблица14[Ф. И. О.],B715)</f>
        <v>0</v>
      </c>
      <c r="X710" s="519">
        <f>SUMIFS(Таблица14[Столбец2],Таблица14[коэф],"1",Таблица14[р/р],"3/24",Таблица14[Ф. И. О.],B715)</f>
        <v>0</v>
      </c>
      <c r="Y710" s="754">
        <f t="shared" ref="Y710" si="266">SUM(G710:G720,K710:K720,O710:O720,S710:S720,W710:W720)</f>
        <v>0</v>
      </c>
      <c r="Z710" s="750">
        <f t="shared" ref="Z710" si="267">IFERROR(SUM(H710:H720,L710:L720,T710:T720,X710:X720),"")</f>
        <v>0</v>
      </c>
      <c r="AA710" s="740"/>
    </row>
    <row r="711" spans="1:27" ht="18.75" customHeight="1">
      <c r="A711" s="740"/>
      <c r="B711" s="201"/>
      <c r="C711" s="743"/>
      <c r="D711" s="746"/>
      <c r="E711" s="366">
        <f>IF(D710&lt;=3,база!$I$4,
IF(D710=4,база!$I$5,
IF(D710=5,база!$I$6)))</f>
        <v>188.7912</v>
      </c>
      <c r="F711" s="367">
        <v>1</v>
      </c>
      <c r="G711" s="377">
        <f>SUMIFS(Таблица14[часы],Таблица14[коэф],"1",Таблица14[р/р],"3/4",Таблица14[Ф. И. О.],B715)</f>
        <v>0</v>
      </c>
      <c r="H711" s="369">
        <f>SUMIFS(Таблица14[Столбец2],Таблица14[коэф],"1",Таблица14[р/р],"3/4",Таблица14[Ф. И. О.],B715)</f>
        <v>0</v>
      </c>
      <c r="I711" s="409">
        <f>IF(D710&lt;=3,база!$J$4,
IF(D710=4,база!$J$5,
IF(D710=5,база!$J$6)))</f>
        <v>196.05240000000001</v>
      </c>
      <c r="J711" s="410">
        <v>1</v>
      </c>
      <c r="K711" s="411">
        <f>SUMIFS(Таблица14[часы],Таблица14[коэф],"1",Таблица14[р/р],"3/8",Таблица14[Ф. И. О.],B715)</f>
        <v>0</v>
      </c>
      <c r="L711" s="411">
        <f>SUMIFS(Таблица14[Столбец2],Таблица14[коэф],"1",Таблица14[р/р],"3/8",Таблица14[Ф. И. О.],B715)</f>
        <v>0</v>
      </c>
      <c r="M711" s="411"/>
      <c r="N711" s="411">
        <v>1</v>
      </c>
      <c r="O711" s="411">
        <f>SUMIFS(Data_Tech!$AM$3:$AM$67,Data_Tech!$E$3:$E$67,"1",Data_Tech!$G$3:$G$67,"4/12",Data_Tech!$F$3:$F$67,B715)</f>
        <v>0</v>
      </c>
      <c r="P711" s="383">
        <f>ROUND(M711*O711,2)</f>
        <v>0</v>
      </c>
      <c r="Q711" s="366">
        <f>база!$L$5</f>
        <v>231.45480000000001</v>
      </c>
      <c r="R711" s="367">
        <v>1</v>
      </c>
      <c r="S711" s="377">
        <f>SUMIFS(Таблица14[часы],Таблица14[коэф],"1",Таблица14[р/р],"4/16",Таблица14[Ф. И. О.],B715)</f>
        <v>0</v>
      </c>
      <c r="T711" s="369">
        <f>SUMIFS(Таблица14[Столбец2],Таблица14[коэф],"1",Таблица14[р/р],"4/16",Таблица14[Ф. И. О.],B715)</f>
        <v>0</v>
      </c>
      <c r="U711" s="455">
        <f>база!$M$5</f>
        <v>247.41720000000001</v>
      </c>
      <c r="V711" s="367">
        <v>1</v>
      </c>
      <c r="W711" s="389">
        <f>SUMIFS(Таблица14[часы],Таблица14[коэф],"1",Таблица14[р/р],"4/24",Таблица14[Ф. И. О.],B715)</f>
        <v>0</v>
      </c>
      <c r="X711" s="521">
        <f>SUMIFS(Таблица14[Столбец2],Таблица14[коэф],"1",Таблица14[р/р],"4/24",Таблица14[Ф. И. О.],B715)</f>
        <v>0</v>
      </c>
      <c r="Y711" s="754"/>
      <c r="Z711" s="750"/>
      <c r="AA711" s="740"/>
    </row>
    <row r="712" spans="1:27" ht="18.75" customHeight="1">
      <c r="A712" s="740"/>
      <c r="B712" s="201"/>
      <c r="C712" s="743"/>
      <c r="D712" s="746"/>
      <c r="E712" s="366"/>
      <c r="F712" s="367"/>
      <c r="G712" s="377"/>
      <c r="H712" s="369"/>
      <c r="I712" s="409"/>
      <c r="J712" s="410"/>
      <c r="K712" s="411"/>
      <c r="L712" s="411"/>
      <c r="M712" s="411"/>
      <c r="N712" s="411"/>
      <c r="O712" s="411"/>
      <c r="P712" s="383"/>
      <c r="Q712" s="366">
        <f>база!$L$6</f>
        <v>261.04640000000001</v>
      </c>
      <c r="R712" s="367">
        <v>1</v>
      </c>
      <c r="S712" s="377">
        <f>SUMIFS(Таблица14[часы],Таблица14[коэф],"1",Таблица14[р/р],"5/16",Таблица14[Ф. И. О.],B715)</f>
        <v>0</v>
      </c>
      <c r="T712" s="369">
        <f>SUMIFS(Таблица14[Столбец2],Таблица14[коэф],"1",Таблица14[р/р],"5/16",Таблица14[Ф. И. О.],B715)</f>
        <v>0</v>
      </c>
      <c r="U712" s="455">
        <f>база!$M$6</f>
        <v>279.0496</v>
      </c>
      <c r="V712" s="367">
        <v>1</v>
      </c>
      <c r="W712" s="389">
        <f>SUMIFS(Таблица14[часы],Таблица14[коэф],"1",Таблица14[р/р],"5/24",Таблица14[Ф. И. О.],B715)</f>
        <v>0</v>
      </c>
      <c r="X712" s="521">
        <f>SUMIFS(Таблица14[Столбец2],Таблица14[коэф],"1",Таблица14[р/р],"5/24",Таблица14[Ф. И. О.],B715)</f>
        <v>0</v>
      </c>
      <c r="Y712" s="754"/>
      <c r="Z712" s="750"/>
      <c r="AA712" s="740"/>
    </row>
    <row r="713" spans="1:27" ht="18.75" customHeight="1">
      <c r="A713" s="740"/>
      <c r="B713" s="201"/>
      <c r="C713" s="743"/>
      <c r="D713" s="746"/>
      <c r="E713" s="366"/>
      <c r="F713" s="367"/>
      <c r="G713" s="377"/>
      <c r="H713" s="369"/>
      <c r="I713" s="409">
        <f>база!$J$5</f>
        <v>215.4924</v>
      </c>
      <c r="J713" s="410">
        <v>1.5</v>
      </c>
      <c r="K713" s="411">
        <f>SUMIFS(Таблица14[часы],Таблица14[коэф],"1,5",Таблица14[р/р],"4/8",Таблица14[Ф. И. О.],B715)</f>
        <v>0</v>
      </c>
      <c r="L713" s="411">
        <f>SUMIFS(Таблица14[Столбец2],Таблица14[коэф],"1,5",Таблица14[р/р],"4/8",Таблица14[Ф. И. О.],B715)</f>
        <v>0</v>
      </c>
      <c r="M713" s="411"/>
      <c r="N713" s="411"/>
      <c r="O713" s="411"/>
      <c r="P713" s="383"/>
      <c r="Q713" s="366">
        <f>IF(D710&lt;=3,база!$L$4,
IF(D710=4,база!$L$5,
IF(D710=5,база!$L$6)))</f>
        <v>210.57480000000001</v>
      </c>
      <c r="R713" s="367">
        <v>1.2</v>
      </c>
      <c r="S713" s="377">
        <f>SUMIFS(Таблица14[часы],Таблица14[коэф],"1,2",Таблица14[р/р],"3/16",Таблица14[Ф. И. О.],B715)</f>
        <v>0</v>
      </c>
      <c r="T713" s="369">
        <f>SUMIFS(Таблица14[Столбец2],Таблица14[коэф],"1,2",Таблица14[р/р],"3/16",Таблица14[Ф. И. О.],B715)</f>
        <v>0</v>
      </c>
      <c r="U713" s="455">
        <f>IF(D710&lt;=3,база!$M$4,
IF(D710=4,база!$M$5,
IF(D710=5,база!$M$6)))</f>
        <v>225.09719999999999</v>
      </c>
      <c r="V713" s="367">
        <v>1.2</v>
      </c>
      <c r="W713" s="389">
        <f>SUMIFS(Таблица14[часы],Таблица14[коэф],"1,2",Таблица14[р/р],"3/24",Таблица14[Ф. И. О.],B715)</f>
        <v>0</v>
      </c>
      <c r="X713" s="521">
        <f>SUMIFS(Таблица14[Столбец2],Таблица14[коэф],"1,2",Таблица14[р/р],"3/24",Таблица14[Ф. И. О.],B715)</f>
        <v>0</v>
      </c>
      <c r="Y713" s="754"/>
      <c r="Z713" s="750"/>
      <c r="AA713" s="740"/>
    </row>
    <row r="714" spans="1:27" ht="18.75" customHeight="1">
      <c r="A714" s="740"/>
      <c r="B714" s="201"/>
      <c r="C714" s="743"/>
      <c r="D714" s="746"/>
      <c r="E714" s="366"/>
      <c r="F714" s="367"/>
      <c r="G714" s="377"/>
      <c r="H714" s="369"/>
      <c r="I714" s="409">
        <f>база!$J$6</f>
        <v>243.04319999999998</v>
      </c>
      <c r="J714" s="410">
        <v>1.5</v>
      </c>
      <c r="K714" s="411">
        <f>SUMIFS(Таблица14[часы],Таблица14[коэф],"1,5",Таблица14[р/р],"5/8",Таблица14[Ф. И. О.],B715)</f>
        <v>0</v>
      </c>
      <c r="L714" s="411">
        <f>SUMIFS(Таблица14[Столбец2],Таблица14[коэф],"1,5",Таблица14[р/р],"5/8",Таблица14[Ф. И. О.],B715)</f>
        <v>0</v>
      </c>
      <c r="M714" s="411"/>
      <c r="N714" s="411"/>
      <c r="O714" s="411"/>
      <c r="P714" s="383"/>
      <c r="Q714" s="366">
        <f>база!$L$5</f>
        <v>231.45480000000001</v>
      </c>
      <c r="R714" s="367">
        <v>1.2</v>
      </c>
      <c r="S714" s="377">
        <f>SUMIFS(Таблица14[часы],Таблица14[коэф],"1,2",Таблица14[р/р],"4/16",Таблица14[Ф. И. О.],B715)</f>
        <v>0</v>
      </c>
      <c r="T714" s="369">
        <f>SUMIFS(Таблица14[Столбец2],Таблица14[коэф],"1,2",Таблица14[р/р],"4/16",Таблица14[Ф. И. О.],B715)</f>
        <v>0</v>
      </c>
      <c r="U714" s="455">
        <f>база!$M$5</f>
        <v>247.41720000000001</v>
      </c>
      <c r="V714" s="367">
        <v>1.2</v>
      </c>
      <c r="W714" s="389">
        <f>SUMIFS(Таблица14[часы],Таблица14[коэф],"1,2",Таблица14[р/р],"4/24",Таблица14[Ф. И. О.],B715)</f>
        <v>0</v>
      </c>
      <c r="X714" s="521">
        <f>SUMIFS(Таблица14[Столбец2],Таблица14[коэф],"1,2",Таблица14[р/р],"4/24",Таблица14[Ф. И. О.],B715)</f>
        <v>0</v>
      </c>
      <c r="Y714" s="754"/>
      <c r="Z714" s="750"/>
      <c r="AA714" s="740"/>
    </row>
    <row r="715" spans="1:27" ht="18.75" customHeight="1">
      <c r="A715" s="740"/>
      <c r="B715" s="201" t="str">
        <f>база!B66</f>
        <v>Сайпулаева Феодосия Андреевна</v>
      </c>
      <c r="C715" s="743"/>
      <c r="D715" s="746"/>
      <c r="E715" s="366"/>
      <c r="F715" s="367"/>
      <c r="G715" s="377"/>
      <c r="H715" s="369"/>
      <c r="I715" s="409"/>
      <c r="J715" s="410"/>
      <c r="K715" s="411"/>
      <c r="L715" s="411"/>
      <c r="M715" s="411"/>
      <c r="N715" s="411"/>
      <c r="O715" s="411"/>
      <c r="P715" s="383"/>
      <c r="Q715" s="366">
        <f>база!$L$6</f>
        <v>261.04640000000001</v>
      </c>
      <c r="R715" s="367">
        <v>1.2</v>
      </c>
      <c r="S715" s="377">
        <f>SUMIFS(Таблица14[часы],Таблица14[коэф],"1,2",Таблица14[р/р],"5/16",Таблица14[Ф. И. О.],B715)</f>
        <v>0</v>
      </c>
      <c r="T715" s="369">
        <f>SUMIFS(Таблица14[Столбец2],Таблица14[коэф],"1,2",Таблица14[р/р],"5/16",Таблица14[Ф. И. О.],B715)</f>
        <v>0</v>
      </c>
      <c r="U715" s="455">
        <f>база!$M$6</f>
        <v>279.0496</v>
      </c>
      <c r="V715" s="367">
        <v>1.2</v>
      </c>
      <c r="W715" s="389">
        <f>SUMIFS(Таблица14[часы],Таблица14[коэф],"1,2",Таблица14[р/р],"5/24",Таблица14[Ф. И. О.],B715)</f>
        <v>0</v>
      </c>
      <c r="X715" s="521">
        <f>SUMIFS(Таблица14[Столбец2],Таблица14[коэф],"1,2",Таблица14[р/р],"5/24",Таблица14[Ф. И. О.],B715)</f>
        <v>0</v>
      </c>
      <c r="Y715" s="754"/>
      <c r="Z715" s="750"/>
      <c r="AA715" s="740"/>
    </row>
    <row r="716" spans="1:27" ht="18.75" customHeight="1">
      <c r="A716" s="740"/>
      <c r="B716" s="201"/>
      <c r="C716" s="743"/>
      <c r="D716" s="746"/>
      <c r="E716" s="366"/>
      <c r="F716" s="367"/>
      <c r="G716" s="377"/>
      <c r="H716" s="369"/>
      <c r="I716" s="409"/>
      <c r="J716" s="410"/>
      <c r="K716" s="411"/>
      <c r="L716" s="411"/>
      <c r="M716" s="411"/>
      <c r="N716" s="411"/>
      <c r="O716" s="411"/>
      <c r="P716" s="383"/>
      <c r="Q716" s="366">
        <f>IF($D$6&lt;=3,база!$L$4,
IF($D$6=4,база!$L$5,
IF($D$6=5,база!$L$6)))</f>
        <v>231.45480000000001</v>
      </c>
      <c r="R716" s="367">
        <v>1.3</v>
      </c>
      <c r="S716" s="377">
        <f>SUMIFS(Таблица14[часы],Таблица14[коэф],"1,3",Таблица14[р/р],"3/16",Таблица14[Ф. И. О.],B715)</f>
        <v>0</v>
      </c>
      <c r="T716" s="369">
        <f>SUMIFS(Таблица14[Столбец2],Таблица14[коэф],"1,3",Таблица14[р/р],"3/16",Таблица14[Ф. И. О.],B715)</f>
        <v>0</v>
      </c>
      <c r="U716" s="455">
        <f>IF(D710&lt;=3,база!$M$4,
IF(D710=4,база!$M$5,
IF(D710=5,база!$M$6)))</f>
        <v>225.09719999999999</v>
      </c>
      <c r="V716" s="367">
        <v>1.3</v>
      </c>
      <c r="W716" s="389">
        <f>SUMIFS(Таблица14[часы],Таблица14[коэф],"1,3",Таблица14[р/р],"3/24",Таблица14[Ф. И. О.],B715)</f>
        <v>0</v>
      </c>
      <c r="X716" s="521">
        <f>SUMIFS(Таблица14[Столбец2],Таблица14[коэф],"1,3",Таблица14[р/р],"3/24",Таблица14[Ф. И. О.],B715)</f>
        <v>0</v>
      </c>
      <c r="Y716" s="754"/>
      <c r="Z716" s="750"/>
      <c r="AA716" s="740"/>
    </row>
    <row r="717" spans="1:27" ht="18.75" customHeight="1">
      <c r="A717" s="740"/>
      <c r="B717" s="201"/>
      <c r="C717" s="743"/>
      <c r="D717" s="746"/>
      <c r="E717" s="366"/>
      <c r="F717" s="367"/>
      <c r="G717" s="377"/>
      <c r="H717" s="369"/>
      <c r="I717" s="409"/>
      <c r="J717" s="410"/>
      <c r="K717" s="411"/>
      <c r="L717" s="411"/>
      <c r="M717" s="411"/>
      <c r="N717" s="411"/>
      <c r="O717" s="411"/>
      <c r="P717" s="383"/>
      <c r="Q717" s="366">
        <f>база!$L$5</f>
        <v>231.45480000000001</v>
      </c>
      <c r="R717" s="367">
        <v>1.3</v>
      </c>
      <c r="S717" s="377">
        <f>SUMIFS(Таблица14[часы],Таблица14[коэф],"1,3",Таблица14[р/р],"4/16",Таблица14[Ф. И. О.],B715)</f>
        <v>0</v>
      </c>
      <c r="T717" s="369">
        <f>SUMIFS(Таблица14[Столбец2],Таблица14[коэф],"1,3",Таблица14[р/р],"4/16",Таблица14[Ф. И. О.],B715)</f>
        <v>0</v>
      </c>
      <c r="U717" s="455">
        <f>база!$M$5</f>
        <v>247.41720000000001</v>
      </c>
      <c r="V717" s="367">
        <v>1.3</v>
      </c>
      <c r="W717" s="389">
        <f>SUMIFS(Таблица14[часы],Таблица14[коэф],"1,3",Таблица14[р/р],"4/24",Таблица14[Ф. И. О.],B715)</f>
        <v>0</v>
      </c>
      <c r="X717" s="521">
        <f>SUMIFS(Таблица14[Столбец2],Таблица14[коэф],"1,3",Таблица14[р/р],"4/24",Таблица14[Ф. И. О.],B715)</f>
        <v>0</v>
      </c>
      <c r="Y717" s="754"/>
      <c r="Z717" s="750"/>
      <c r="AA717" s="740"/>
    </row>
    <row r="718" spans="1:27" ht="18.75" customHeight="1">
      <c r="A718" s="740"/>
      <c r="B718" s="201"/>
      <c r="C718" s="743"/>
      <c r="D718" s="746"/>
      <c r="E718" s="366"/>
      <c r="F718" s="367"/>
      <c r="G718" s="377"/>
      <c r="H718" s="369"/>
      <c r="I718" s="409"/>
      <c r="J718" s="410"/>
      <c r="K718" s="411"/>
      <c r="L718" s="411"/>
      <c r="M718" s="411"/>
      <c r="N718" s="411"/>
      <c r="O718" s="411"/>
      <c r="P718" s="383"/>
      <c r="Q718" s="366">
        <f>IF(D710&lt;=3,база!$L$4,
IF(D710=4,база!$L$5,
IF(D710=5,база!$L$6)))</f>
        <v>210.57480000000001</v>
      </c>
      <c r="R718" s="367">
        <v>1.4</v>
      </c>
      <c r="S718" s="377">
        <f>SUMIFS(Таблица14[часы],Таблица14[коэф],"1,4",Таблица14[р/р],"3/16",Таблица14[Ф. И. О.],B715)</f>
        <v>0</v>
      </c>
      <c r="T718" s="369">
        <f>SUMIFS(Таблица14[Столбец2],Таблица14[коэф],"1,4",Таблица14[р/р],"3/16",Таблица14[Ф. И. О.],B715)</f>
        <v>0</v>
      </c>
      <c r="U718" s="455">
        <f>IF(D710&lt;=3,база!$M$4,
IF(D710=4,база!$M$5,
IF(D710=5,база!$M$6)))</f>
        <v>225.09719999999999</v>
      </c>
      <c r="V718" s="367">
        <v>1.4</v>
      </c>
      <c r="W718" s="389">
        <f>SUMIFS(Таблица14[часы],Таблица14[коэф],"1,4",Таблица14[р/р],"3/24",Таблица14[Ф. И. О.],B715)</f>
        <v>0</v>
      </c>
      <c r="X718" s="521">
        <f>SUMIFS(Таблица14[Столбец2],Таблица14[коэф],"1,4",Таблица14[р/р],"3/24",Таблица14[Ф. И. О.],B715)</f>
        <v>0</v>
      </c>
      <c r="Y718" s="754"/>
      <c r="Z718" s="750"/>
      <c r="AA718" s="740"/>
    </row>
    <row r="719" spans="1:27" ht="18.75" customHeight="1">
      <c r="A719" s="740"/>
      <c r="B719" s="201"/>
      <c r="C719" s="743"/>
      <c r="D719" s="746"/>
      <c r="E719" s="366"/>
      <c r="F719" s="367"/>
      <c r="G719" s="377"/>
      <c r="H719" s="369"/>
      <c r="I719" s="409"/>
      <c r="J719" s="410"/>
      <c r="K719" s="411"/>
      <c r="L719" s="411"/>
      <c r="M719" s="411"/>
      <c r="N719" s="411"/>
      <c r="O719" s="411"/>
      <c r="P719" s="383"/>
      <c r="Q719" s="366">
        <f>база!$L$5</f>
        <v>231.45480000000001</v>
      </c>
      <c r="R719" s="367">
        <v>1.4</v>
      </c>
      <c r="S719" s="377">
        <f>SUMIFS(Таблица14[часы],Таблица14[коэф],"1,4",Таблица14[р/р],"4/16",Таблица14[Ф. И. О.],B715)</f>
        <v>0</v>
      </c>
      <c r="T719" s="369">
        <f>SUMIFS(Таблица14[Столбец2],Таблица14[коэф],"1,4",Таблица14[р/р],"4/16",Таблица14[Ф. И. О.],B715)</f>
        <v>0</v>
      </c>
      <c r="U719" s="455">
        <f>база!$M$5</f>
        <v>247.41720000000001</v>
      </c>
      <c r="V719" s="367">
        <v>1.4</v>
      </c>
      <c r="W719" s="389">
        <f>SUMIFS(Таблица14[часы],Таблица14[коэф],"1,4",Таблица14[р/р],"4/24",Таблица14[Ф. И. О.],B715)</f>
        <v>0</v>
      </c>
      <c r="X719" s="521">
        <f>SUMIFS(Таблица14[Столбец2],Таблица14[коэф],"1,4",Таблица14[р/р],"4/24",Таблица14[Ф. И. О.],B715)</f>
        <v>0</v>
      </c>
      <c r="Y719" s="754"/>
      <c r="Z719" s="750"/>
      <c r="AA719" s="740"/>
    </row>
    <row r="720" spans="1:27" ht="19.5" customHeight="1" thickBot="1">
      <c r="A720" s="741"/>
      <c r="B720" s="329"/>
      <c r="C720" s="744"/>
      <c r="D720" s="747"/>
      <c r="E720" s="422"/>
      <c r="F720" s="423"/>
      <c r="G720" s="624"/>
      <c r="H720" s="511"/>
      <c r="I720" s="625"/>
      <c r="J720" s="588"/>
      <c r="K720" s="626"/>
      <c r="L720" s="434"/>
      <c r="M720" s="625"/>
      <c r="N720" s="626"/>
      <c r="O720" s="626"/>
      <c r="P720" s="514"/>
      <c r="Q720" s="627">
        <f>база!$L$6</f>
        <v>261.04640000000001</v>
      </c>
      <c r="R720" s="423">
        <v>1.4</v>
      </c>
      <c r="S720" s="424">
        <f>SUMIFS(Таблица14[часы],Таблица14[коэф],"1,4",Таблица14[р/р],"5/16",Таблица14[Ф. И. О.],B715)</f>
        <v>0</v>
      </c>
      <c r="T720" s="511">
        <f>SUMIFS(Таблица14[Столбец2],Таблица14[коэф],"1,4",Таблица14[р/р],"5/16",Таблица14[Ф. И. О.],B715)</f>
        <v>0</v>
      </c>
      <c r="U720" s="512">
        <f>база!$M$6</f>
        <v>279.0496</v>
      </c>
      <c r="V720" s="441">
        <v>1.4</v>
      </c>
      <c r="W720" s="424">
        <f>SUMIFS(Таблица14[часы],Таблица14[коэф],"1,4",Таблица14[р/р],"5/24",Таблица14[Ф. И. О.],B715)</f>
        <v>0</v>
      </c>
      <c r="X720" s="511">
        <f>SUMIFS(Таблица14[Столбец2],Таблица14[коэф],"1,4",Таблица14[р/р],"5/24",Таблица14[Ф. И. О.],B715)</f>
        <v>0</v>
      </c>
      <c r="Y720" s="755"/>
      <c r="Z720" s="751"/>
      <c r="AA720" s="741"/>
    </row>
    <row r="721" spans="1:27" ht="18.75" customHeight="1">
      <c r="A721" s="740">
        <v>66</v>
      </c>
      <c r="B721" s="201"/>
      <c r="C721" s="742">
        <f>INDEX(база!$E$2:$E$150, MATCH(B726,база!$B$2:$B$150,0))</f>
        <v>17289</v>
      </c>
      <c r="D721" s="745">
        <f>INDEX(база!$D$2:$D$150, MATCH(B726,база!$B$2:$B$150,0))</f>
        <v>3</v>
      </c>
      <c r="E721" s="458">
        <f>IF(D721&lt;=3,база!$I$4,
IF(D721=4,база!$I$5,
IF(D721=5,база!$I$6)))</f>
        <v>188.7912</v>
      </c>
      <c r="F721" s="394">
        <v>1</v>
      </c>
      <c r="G721" s="395">
        <f>SUMIFS(Таблица14[часы],Таблица14[коэф],"1",Таблица14[р/р],"2/4",Таблица14[Ф. И. О.],B726)</f>
        <v>0</v>
      </c>
      <c r="H721" s="379">
        <f>SUMIFS(Таблица14[Столбец2],Таблица14[коэф],"1",Таблица14[р/р],"2/4",Таблица14[Ф. И. О.],B726)</f>
        <v>0</v>
      </c>
      <c r="I721" s="429">
        <f>IF(D721&lt;=3,база!$J$4,
IF(D721=4,база!$J$5,
IF(D721=5,база!$J$6)))</f>
        <v>196.05240000000001</v>
      </c>
      <c r="J721" s="452">
        <v>1</v>
      </c>
      <c r="K721" s="430">
        <f>SUMIFS(Таблица14[часы],Таблица14[коэф],"1",Таблица14[р/р],"2/8",Таблица14[Ф. И. О.],B726)</f>
        <v>0</v>
      </c>
      <c r="L721" s="430">
        <f>SUMIFS(Таблица14[Столбец2],Таблица14[коэф],"1",Таблица14[р/р],"2/8",Таблица14[Ф. И. О.],B726)</f>
        <v>0</v>
      </c>
      <c r="M721" s="430"/>
      <c r="N721" s="430">
        <v>1</v>
      </c>
      <c r="O721" s="430">
        <f>SUMIFS(Data_Tech!$AM$3:$AM$67,Data_Tech!$E$3:$E$67,"1",Data_Tech!$G$3:$G$67,"3/12",Data_Tech!$F$3:$F$67,B726)</f>
        <v>0</v>
      </c>
      <c r="P721" s="375">
        <f>ROUND(M721*N721*O721,2)</f>
        <v>0</v>
      </c>
      <c r="Q721" s="458">
        <f>IF(D721&lt;=3,база!$L$4,
IF(D721=4,база!$L$5,
IF(D721=5,база!$L$6)))</f>
        <v>210.57480000000001</v>
      </c>
      <c r="R721" s="394">
        <v>1</v>
      </c>
      <c r="S721" s="395">
        <f>SUMIFS(Таблица14[часы],Таблица14[коэф],"1",Таблица14[р/р],"3/16",Таблица14[Ф. И. О.],B726)</f>
        <v>0</v>
      </c>
      <c r="T721" s="379">
        <f>SUMIFS(Таблица14[Столбец2],Таблица14[коэф],"1",Таблица14[р/р],"3/16",Таблица14[Ф. И. О.],B726)</f>
        <v>0</v>
      </c>
      <c r="U721" s="460">
        <f>IF(D721&lt;=3,база!$M$4,
IF(D721=4,база!$M$5,
IF(D721=5,база!$M$6)))</f>
        <v>225.09719999999999</v>
      </c>
      <c r="V721" s="394">
        <v>1</v>
      </c>
      <c r="W721" s="432">
        <f>SUMIFS(Таблица14[часы],Таблица14[коэф],"1",Таблица14[р/р],"3/24",Таблица14[Ф. И. О.],B726)</f>
        <v>0</v>
      </c>
      <c r="X721" s="528">
        <f>SUMIFS(Таблица14[Столбец2],Таблица14[коэф],"1",Таблица14[р/р],"3/24",Таблица14[Ф. И. О.],B726)</f>
        <v>0</v>
      </c>
      <c r="Y721" s="754">
        <f t="shared" ref="Y721" si="268">SUM(G721:G731,K721:K731,O721:O731,S721:S731,W721:W731)</f>
        <v>0</v>
      </c>
      <c r="Z721" s="750">
        <f t="shared" ref="Z721" si="269">IFERROR(SUM(H721:H731,L721:L731,T721:T731,X721:X731),"")</f>
        <v>0</v>
      </c>
      <c r="AA721" s="740"/>
    </row>
    <row r="722" spans="1:27" ht="18.75" customHeight="1">
      <c r="A722" s="740"/>
      <c r="B722" s="201"/>
      <c r="C722" s="743"/>
      <c r="D722" s="746"/>
      <c r="E722" s="366">
        <f>IF(D721&lt;=3,база!$I$4,
IF(D721=4,база!$I$5,
IF(D721=5,база!$I$6)))</f>
        <v>188.7912</v>
      </c>
      <c r="F722" s="367">
        <v>1</v>
      </c>
      <c r="G722" s="377">
        <f>SUMIFS(Таблица14[часы],Таблица14[коэф],"1",Таблица14[р/р],"3/4",Таблица14[Ф. И. О.],B726)</f>
        <v>0</v>
      </c>
      <c r="H722" s="369">
        <f>SUMIFS(Таблица14[Столбец2],Таблица14[коэф],"1",Таблица14[р/р],"3/4",Таблица14[Ф. И. О.],B726)</f>
        <v>0</v>
      </c>
      <c r="I722" s="409">
        <f>IF(D721&lt;=3,база!$J$4,
IF(D721=4,база!$J$5,
IF(D721=5,база!$J$6)))</f>
        <v>196.05240000000001</v>
      </c>
      <c r="J722" s="410">
        <v>1</v>
      </c>
      <c r="K722" s="411">
        <f>SUMIFS(Таблица14[часы],Таблица14[коэф],"1",Таблица14[р/р],"3/8",Таблица14[Ф. И. О.],B726)</f>
        <v>0</v>
      </c>
      <c r="L722" s="411">
        <f>SUMIFS(Таблица14[Столбец2],Таблица14[коэф],"1",Таблица14[р/р],"3/8",Таблица14[Ф. И. О.],B726)</f>
        <v>0</v>
      </c>
      <c r="M722" s="411"/>
      <c r="N722" s="411">
        <v>1</v>
      </c>
      <c r="O722" s="411">
        <f>SUMIFS(Data_Tech!$AM$3:$AM$67,Data_Tech!$E$3:$E$67,"1",Data_Tech!$G$3:$G$67,"4/12",Data_Tech!$F$3:$F$67,B726)</f>
        <v>0</v>
      </c>
      <c r="P722" s="383">
        <f>ROUND(M722*O722,2)</f>
        <v>0</v>
      </c>
      <c r="Q722" s="366">
        <f>база!$L$5</f>
        <v>231.45480000000001</v>
      </c>
      <c r="R722" s="367">
        <v>1</v>
      </c>
      <c r="S722" s="377">
        <f>SUMIFS(Таблица14[часы],Таблица14[коэф],"1",Таблица14[р/р],"4/16",Таблица14[Ф. И. О.],B726)</f>
        <v>0</v>
      </c>
      <c r="T722" s="369">
        <f>SUMIFS(Таблица14[Столбец2],Таблица14[коэф],"1",Таблица14[р/р],"4/16",Таблица14[Ф. И. О.],B726)</f>
        <v>0</v>
      </c>
      <c r="U722" s="455">
        <f>база!$M$5</f>
        <v>247.41720000000001</v>
      </c>
      <c r="V722" s="367">
        <v>1</v>
      </c>
      <c r="W722" s="389">
        <f>SUMIFS(Таблица14[часы],Таблица14[коэф],"1",Таблица14[р/р],"4/24",Таблица14[Ф. И. О.],B726)</f>
        <v>0</v>
      </c>
      <c r="X722" s="521">
        <f>SUMIFS(Таблица14[Столбец2],Таблица14[коэф],"1",Таблица14[р/р],"4/24",Таблица14[Ф. И. О.],B726)</f>
        <v>0</v>
      </c>
      <c r="Y722" s="754"/>
      <c r="Z722" s="750"/>
      <c r="AA722" s="740"/>
    </row>
    <row r="723" spans="1:27" ht="18.75" customHeight="1">
      <c r="A723" s="740"/>
      <c r="B723" s="201"/>
      <c r="C723" s="743"/>
      <c r="D723" s="746"/>
      <c r="E723" s="366"/>
      <c r="F723" s="367"/>
      <c r="G723" s="377"/>
      <c r="H723" s="369"/>
      <c r="I723" s="409"/>
      <c r="J723" s="410"/>
      <c r="K723" s="411"/>
      <c r="L723" s="411"/>
      <c r="M723" s="411"/>
      <c r="N723" s="411"/>
      <c r="O723" s="411"/>
      <c r="P723" s="383"/>
      <c r="Q723" s="366">
        <f>база!$L$6</f>
        <v>261.04640000000001</v>
      </c>
      <c r="R723" s="367">
        <v>1</v>
      </c>
      <c r="S723" s="377">
        <f>SUMIFS(Таблица14[часы],Таблица14[коэф],"1",Таблица14[р/р],"5/16",Таблица14[Ф. И. О.],B726)</f>
        <v>0</v>
      </c>
      <c r="T723" s="369">
        <f>SUMIFS(Таблица14[Столбец2],Таблица14[коэф],"1",Таблица14[р/р],"5/16",Таблица14[Ф. И. О.],B726)</f>
        <v>0</v>
      </c>
      <c r="U723" s="455">
        <f>база!$M$6</f>
        <v>279.0496</v>
      </c>
      <c r="V723" s="367">
        <v>1</v>
      </c>
      <c r="W723" s="389">
        <f>SUMIFS(Таблица14[часы],Таблица14[коэф],"1",Таблица14[р/р],"5/24",Таблица14[Ф. И. О.],B726)</f>
        <v>0</v>
      </c>
      <c r="X723" s="521">
        <f>SUMIFS(Таблица14[Столбец2],Таблица14[коэф],"1",Таблица14[р/р],"5/24",Таблица14[Ф. И. О.],B726)</f>
        <v>0</v>
      </c>
      <c r="Y723" s="754"/>
      <c r="Z723" s="750"/>
      <c r="AA723" s="740"/>
    </row>
    <row r="724" spans="1:27" ht="18.75" customHeight="1">
      <c r="A724" s="740"/>
      <c r="B724" s="201"/>
      <c r="C724" s="743"/>
      <c r="D724" s="746"/>
      <c r="E724" s="366"/>
      <c r="F724" s="367"/>
      <c r="G724" s="377"/>
      <c r="H724" s="369"/>
      <c r="I724" s="409">
        <f>база!$J$5</f>
        <v>215.4924</v>
      </c>
      <c r="J724" s="410">
        <v>1.5</v>
      </c>
      <c r="K724" s="411">
        <f>SUMIFS(Таблица14[часы],Таблица14[коэф],"1,5",Таблица14[р/р],"4/8",Таблица14[Ф. И. О.],B726)</f>
        <v>0</v>
      </c>
      <c r="L724" s="411">
        <f>SUMIFS(Таблица14[Столбец2],Таблица14[коэф],"1,5",Таблица14[р/р],"4/8",Таблица14[Ф. И. О.],B726)</f>
        <v>0</v>
      </c>
      <c r="M724" s="411"/>
      <c r="N724" s="411"/>
      <c r="O724" s="411"/>
      <c r="P724" s="383"/>
      <c r="Q724" s="366">
        <f>IF(D721&lt;=3,база!$L$4,
IF(D721=4,база!$L$5,
IF(D721=5,база!$L$6)))</f>
        <v>210.57480000000001</v>
      </c>
      <c r="R724" s="367">
        <v>1.2</v>
      </c>
      <c r="S724" s="377">
        <f>SUMIFS(Таблица14[часы],Таблица14[коэф],"1,2",Таблица14[р/р],"3/16",Таблица14[Ф. И. О.],B726)</f>
        <v>0</v>
      </c>
      <c r="T724" s="369">
        <f>SUMIFS(Таблица14[Столбец2],Таблица14[коэф],"1,2",Таблица14[р/р],"3/16",Таблица14[Ф. И. О.],B726)</f>
        <v>0</v>
      </c>
      <c r="U724" s="455">
        <f>IF(D721&lt;=3,база!$M$4,
IF(D721=4,база!$M$5,
IF(D721=5,база!$M$6)))</f>
        <v>225.09719999999999</v>
      </c>
      <c r="V724" s="367">
        <v>1.2</v>
      </c>
      <c r="W724" s="389">
        <f>SUMIFS(Таблица14[часы],Таблица14[коэф],"1,2",Таблица14[р/р],"3/24",Таблица14[Ф. И. О.],B726)</f>
        <v>0</v>
      </c>
      <c r="X724" s="521">
        <f>SUMIFS(Таблица14[Столбец2],Таблица14[коэф],"1,2",Таблица14[р/р],"3/24",Таблица14[Ф. И. О.],B726)</f>
        <v>0</v>
      </c>
      <c r="Y724" s="754"/>
      <c r="Z724" s="750"/>
      <c r="AA724" s="740"/>
    </row>
    <row r="725" spans="1:27" ht="18.75" customHeight="1">
      <c r="A725" s="740"/>
      <c r="B725" s="201"/>
      <c r="C725" s="743"/>
      <c r="D725" s="746"/>
      <c r="E725" s="366"/>
      <c r="F725" s="367"/>
      <c r="G725" s="377"/>
      <c r="H725" s="369"/>
      <c r="I725" s="409">
        <f>база!$J$6</f>
        <v>243.04319999999998</v>
      </c>
      <c r="J725" s="410">
        <v>1.5</v>
      </c>
      <c r="K725" s="411">
        <f>SUMIFS(Таблица14[часы],Таблица14[коэф],"1,5",Таблица14[р/р],"5/8",Таблица14[Ф. И. О.],B726)</f>
        <v>0</v>
      </c>
      <c r="L725" s="411">
        <f>SUMIFS(Таблица14[Столбец2],Таблица14[коэф],"1,5",Таблица14[р/р],"5/8",Таблица14[Ф. И. О.],B726)</f>
        <v>0</v>
      </c>
      <c r="M725" s="411"/>
      <c r="N725" s="411"/>
      <c r="O725" s="411"/>
      <c r="P725" s="383"/>
      <c r="Q725" s="366">
        <f>база!$L$5</f>
        <v>231.45480000000001</v>
      </c>
      <c r="R725" s="367">
        <v>1.2</v>
      </c>
      <c r="S725" s="377">
        <f>SUMIFS(Таблица14[часы],Таблица14[коэф],"1,2",Таблица14[р/р],"4/16",Таблица14[Ф. И. О.],B726)</f>
        <v>0</v>
      </c>
      <c r="T725" s="369">
        <f>SUMIFS(Таблица14[Столбец2],Таблица14[коэф],"1,2",Таблица14[р/р],"4/16",Таблица14[Ф. И. О.],B726)</f>
        <v>0</v>
      </c>
      <c r="U725" s="455">
        <f>база!$M$5</f>
        <v>247.41720000000001</v>
      </c>
      <c r="V725" s="367">
        <v>1.2</v>
      </c>
      <c r="W725" s="389">
        <f>SUMIFS(Таблица14[часы],Таблица14[коэф],"1,2",Таблица14[р/р],"4/24",Таблица14[Ф. И. О.],B726)</f>
        <v>0</v>
      </c>
      <c r="X725" s="521">
        <f>SUMIFS(Таблица14[Столбец2],Таблица14[коэф],"1,2",Таблица14[р/р],"4/24",Таблица14[Ф. И. О.],B726)</f>
        <v>0</v>
      </c>
      <c r="Y725" s="754"/>
      <c r="Z725" s="750"/>
      <c r="AA725" s="740"/>
    </row>
    <row r="726" spans="1:27" ht="18.75" customHeight="1">
      <c r="A726" s="740"/>
      <c r="B726" s="201" t="str">
        <f>база!B67</f>
        <v>Скрынникова Виктория Геннадьевна</v>
      </c>
      <c r="C726" s="743"/>
      <c r="D726" s="746"/>
      <c r="E726" s="366"/>
      <c r="F726" s="367"/>
      <c r="G726" s="377"/>
      <c r="H726" s="369"/>
      <c r="I726" s="409"/>
      <c r="J726" s="410"/>
      <c r="K726" s="411"/>
      <c r="L726" s="411"/>
      <c r="M726" s="411"/>
      <c r="N726" s="411"/>
      <c r="O726" s="411"/>
      <c r="P726" s="383"/>
      <c r="Q726" s="366">
        <f>база!$L$6</f>
        <v>261.04640000000001</v>
      </c>
      <c r="R726" s="367">
        <v>1.2</v>
      </c>
      <c r="S726" s="377">
        <f>SUMIFS(Таблица14[часы],Таблица14[коэф],"1,2",Таблица14[р/р],"5/16",Таблица14[Ф. И. О.],B726)</f>
        <v>0</v>
      </c>
      <c r="T726" s="369">
        <f>SUMIFS(Таблица14[Столбец2],Таблица14[коэф],"1,2",Таблица14[р/р],"5/16",Таблица14[Ф. И. О.],B726)</f>
        <v>0</v>
      </c>
      <c r="U726" s="455">
        <f>база!$M$6</f>
        <v>279.0496</v>
      </c>
      <c r="V726" s="367">
        <v>1.2</v>
      </c>
      <c r="W726" s="389">
        <f>SUMIFS(Таблица14[часы],Таблица14[коэф],"1,2",Таблица14[р/р],"5/24",Таблица14[Ф. И. О.],B726)</f>
        <v>0</v>
      </c>
      <c r="X726" s="521">
        <f>SUMIFS(Таблица14[Столбец2],Таблица14[коэф],"1,2",Таблица14[р/р],"5/24",Таблица14[Ф. И. О.],B726)</f>
        <v>0</v>
      </c>
      <c r="Y726" s="754"/>
      <c r="Z726" s="750"/>
      <c r="AA726" s="740"/>
    </row>
    <row r="727" spans="1:27" ht="18.75" customHeight="1">
      <c r="A727" s="740"/>
      <c r="B727" s="201"/>
      <c r="C727" s="743"/>
      <c r="D727" s="746"/>
      <c r="E727" s="366"/>
      <c r="F727" s="367"/>
      <c r="G727" s="377"/>
      <c r="H727" s="369"/>
      <c r="I727" s="409"/>
      <c r="J727" s="410"/>
      <c r="K727" s="411"/>
      <c r="L727" s="411"/>
      <c r="M727" s="411"/>
      <c r="N727" s="411"/>
      <c r="O727" s="411"/>
      <c r="P727" s="383"/>
      <c r="Q727" s="366">
        <f>IF($D$6&lt;=3,база!$L$4,
IF($D$6=4,база!$L$5,
IF($D$6=5,база!$L$6)))</f>
        <v>231.45480000000001</v>
      </c>
      <c r="R727" s="367">
        <v>1.3</v>
      </c>
      <c r="S727" s="377">
        <f>SUMIFS(Таблица14[часы],Таблица14[коэф],"1,3",Таблица14[р/р],"3/16",Таблица14[Ф. И. О.],B726)</f>
        <v>0</v>
      </c>
      <c r="T727" s="369">
        <f>SUMIFS(Таблица14[Столбец2],Таблица14[коэф],"1,3",Таблица14[р/р],"3/16",Таблица14[Ф. И. О.],B726)</f>
        <v>0</v>
      </c>
      <c r="U727" s="455">
        <f>IF(D721&lt;=3,база!$M$4,
IF(D721=4,база!$M$5,
IF(D721=5,база!$M$6)))</f>
        <v>225.09719999999999</v>
      </c>
      <c r="V727" s="367">
        <v>1.3</v>
      </c>
      <c r="W727" s="389">
        <f>SUMIFS(Таблица14[часы],Таблица14[коэф],"1,3",Таблица14[р/р],"3/24",Таблица14[Ф. И. О.],B726)</f>
        <v>0</v>
      </c>
      <c r="X727" s="521">
        <f>SUMIFS(Таблица14[Столбец2],Таблица14[коэф],"1,3",Таблица14[р/р],"3/24",Таблица14[Ф. И. О.],B726)</f>
        <v>0</v>
      </c>
      <c r="Y727" s="754"/>
      <c r="Z727" s="750"/>
      <c r="AA727" s="740"/>
    </row>
    <row r="728" spans="1:27" ht="18.75" customHeight="1">
      <c r="A728" s="740"/>
      <c r="B728" s="201"/>
      <c r="C728" s="743"/>
      <c r="D728" s="746"/>
      <c r="E728" s="366"/>
      <c r="F728" s="367"/>
      <c r="G728" s="377"/>
      <c r="H728" s="369"/>
      <c r="I728" s="409"/>
      <c r="J728" s="410"/>
      <c r="K728" s="411"/>
      <c r="L728" s="411"/>
      <c r="M728" s="411"/>
      <c r="N728" s="411"/>
      <c r="O728" s="411"/>
      <c r="P728" s="383"/>
      <c r="Q728" s="366">
        <f>база!$L$5</f>
        <v>231.45480000000001</v>
      </c>
      <c r="R728" s="367">
        <v>1.3</v>
      </c>
      <c r="S728" s="377">
        <f>SUMIFS(Таблица14[часы],Таблица14[коэф],"1,3",Таблица14[р/р],"4/16",Таблица14[Ф. И. О.],B726)</f>
        <v>0</v>
      </c>
      <c r="T728" s="369">
        <f>SUMIFS(Таблица14[Столбец2],Таблица14[коэф],"1,3",Таблица14[р/р],"4/16",Таблица14[Ф. И. О.],B726)</f>
        <v>0</v>
      </c>
      <c r="U728" s="455">
        <f>база!$M$5</f>
        <v>247.41720000000001</v>
      </c>
      <c r="V728" s="367">
        <v>1.3</v>
      </c>
      <c r="W728" s="389">
        <f>SUMIFS(Таблица14[часы],Таблица14[коэф],"1,3",Таблица14[р/р],"4/24",Таблица14[Ф. И. О.],B726)</f>
        <v>0</v>
      </c>
      <c r="X728" s="521">
        <f>SUMIFS(Таблица14[Столбец2],Таблица14[коэф],"1,3",Таблица14[р/р],"4/24",Таблица14[Ф. И. О.],B726)</f>
        <v>0</v>
      </c>
      <c r="Y728" s="754"/>
      <c r="Z728" s="750"/>
      <c r="AA728" s="740"/>
    </row>
    <row r="729" spans="1:27" ht="18.75" customHeight="1">
      <c r="A729" s="740"/>
      <c r="B729" s="201"/>
      <c r="C729" s="743"/>
      <c r="D729" s="746"/>
      <c r="E729" s="366"/>
      <c r="F729" s="367"/>
      <c r="G729" s="377"/>
      <c r="H729" s="369"/>
      <c r="I729" s="409"/>
      <c r="J729" s="410"/>
      <c r="K729" s="411"/>
      <c r="L729" s="411"/>
      <c r="M729" s="411"/>
      <c r="N729" s="411"/>
      <c r="O729" s="411"/>
      <c r="P729" s="383"/>
      <c r="Q729" s="366">
        <f>IF(D721&lt;=3,база!$L$4,
IF(D721=4,база!$L$5,
IF(D721=5,база!$L$6)))</f>
        <v>210.57480000000001</v>
      </c>
      <c r="R729" s="367">
        <v>1.4</v>
      </c>
      <c r="S729" s="377">
        <f>SUMIFS(Таблица14[часы],Таблица14[коэф],"1,4",Таблица14[р/р],"3/16",Таблица14[Ф. И. О.],B726)</f>
        <v>0</v>
      </c>
      <c r="T729" s="369">
        <f>SUMIFS(Таблица14[Столбец2],Таблица14[коэф],"1,4",Таблица14[р/р],"3/16",Таблица14[Ф. И. О.],B726)</f>
        <v>0</v>
      </c>
      <c r="U729" s="455">
        <f>IF(D721&lt;=3,база!$M$4,
IF(D721=4,база!$M$5,
IF(D721=5,база!$M$6)))</f>
        <v>225.09719999999999</v>
      </c>
      <c r="V729" s="367">
        <v>1.4</v>
      </c>
      <c r="W729" s="389">
        <f>SUMIFS(Таблица14[часы],Таблица14[коэф],"1,4",Таблица14[р/р],"3/24",Таблица14[Ф. И. О.],B726)</f>
        <v>0</v>
      </c>
      <c r="X729" s="521">
        <f>SUMIFS(Таблица14[Столбец2],Таблица14[коэф],"1,4",Таблица14[р/р],"3/24",Таблица14[Ф. И. О.],B726)</f>
        <v>0</v>
      </c>
      <c r="Y729" s="754"/>
      <c r="Z729" s="750"/>
      <c r="AA729" s="740"/>
    </row>
    <row r="730" spans="1:27" ht="18.75" customHeight="1">
      <c r="A730" s="740"/>
      <c r="B730" s="201"/>
      <c r="C730" s="743"/>
      <c r="D730" s="746"/>
      <c r="E730" s="366"/>
      <c r="F730" s="367"/>
      <c r="G730" s="377"/>
      <c r="H730" s="369"/>
      <c r="I730" s="409"/>
      <c r="J730" s="410"/>
      <c r="K730" s="411"/>
      <c r="L730" s="411"/>
      <c r="M730" s="411"/>
      <c r="N730" s="411"/>
      <c r="O730" s="411"/>
      <c r="P730" s="383"/>
      <c r="Q730" s="366">
        <f>база!$L$5</f>
        <v>231.45480000000001</v>
      </c>
      <c r="R730" s="367">
        <v>1.4</v>
      </c>
      <c r="S730" s="377">
        <f>SUMIFS(Таблица14[часы],Таблица14[коэф],"1,4",Таблица14[р/р],"4/16",Таблица14[Ф. И. О.],B726)</f>
        <v>0</v>
      </c>
      <c r="T730" s="369">
        <f>SUMIFS(Таблица14[Столбец2],Таблица14[коэф],"1,4",Таблица14[р/р],"4/16",Таблица14[Ф. И. О.],B726)</f>
        <v>0</v>
      </c>
      <c r="U730" s="455">
        <f>база!$M$5</f>
        <v>247.41720000000001</v>
      </c>
      <c r="V730" s="367">
        <v>1.4</v>
      </c>
      <c r="W730" s="389">
        <f>SUMIFS(Таблица14[часы],Таблица14[коэф],"1,4",Таблица14[р/р],"4/24",Таблица14[Ф. И. О.],B726)</f>
        <v>0</v>
      </c>
      <c r="X730" s="521">
        <f>SUMIFS(Таблица14[Столбец2],Таблица14[коэф],"1,4",Таблица14[р/р],"4/24",Таблица14[Ф. И. О.],B726)</f>
        <v>0</v>
      </c>
      <c r="Y730" s="754"/>
      <c r="Z730" s="750"/>
      <c r="AA730" s="740"/>
    </row>
    <row r="731" spans="1:27" ht="19.5" customHeight="1" thickBot="1">
      <c r="A731" s="741"/>
      <c r="B731" s="329"/>
      <c r="C731" s="744"/>
      <c r="D731" s="747"/>
      <c r="E731" s="414"/>
      <c r="F731" s="415"/>
      <c r="G731" s="664"/>
      <c r="H731" s="417"/>
      <c r="I731" s="390"/>
      <c r="J731" s="575"/>
      <c r="K731" s="391"/>
      <c r="L731" s="437"/>
      <c r="M731" s="390"/>
      <c r="N731" s="391"/>
      <c r="O731" s="391"/>
      <c r="P731" s="392"/>
      <c r="Q731" s="659">
        <f>база!$L$6</f>
        <v>261.04640000000001</v>
      </c>
      <c r="R731" s="415">
        <v>1.4</v>
      </c>
      <c r="S731" s="416">
        <f>SUMIFS(Таблица14[часы],Таблица14[коэф],"1,4",Таблица14[р/р],"5/16",Таблица14[Ф. И. О.],B726)</f>
        <v>0</v>
      </c>
      <c r="T731" s="417">
        <f>SUMIFS(Таблица14[Столбец2],Таблица14[коэф],"1,4",Таблица14[р/р],"5/16",Таблица14[Ф. И. О.],B726)</f>
        <v>0</v>
      </c>
      <c r="U731" s="492">
        <f>база!$M$6</f>
        <v>279.0496</v>
      </c>
      <c r="V731" s="380">
        <v>1.4</v>
      </c>
      <c r="W731" s="416">
        <f>SUMIFS(Таблица14[часы],Таблица14[коэф],"1,4",Таблица14[р/р],"5/24",Таблица14[Ф. И. О.],B726)</f>
        <v>0</v>
      </c>
      <c r="X731" s="417">
        <f>SUMIFS(Таблица14[Столбец2],Таблица14[коэф],"1,4",Таблица14[р/р],"5/24",Таблица14[Ф. И. О.],B726)</f>
        <v>0</v>
      </c>
      <c r="Y731" s="755"/>
      <c r="Z731" s="751"/>
      <c r="AA731" s="741"/>
    </row>
    <row r="732" spans="1:27" ht="18.75" customHeight="1">
      <c r="A732" s="740">
        <v>67</v>
      </c>
      <c r="B732" s="201"/>
      <c r="C732" s="742">
        <f>INDEX(база!$E$2:$E$150, MATCH(B737,база!$B$2:$B$150,0))</f>
        <v>14639</v>
      </c>
      <c r="D732" s="745">
        <f>INDEX(база!$D$2:$D$150, MATCH(B737,база!$B$2:$B$150,0))</f>
        <v>4</v>
      </c>
      <c r="E732" s="354">
        <f>IF(D732&lt;=3,база!$I$4,
IF(D732=4,база!$I$5,
IF(D732=5,база!$I$6)))</f>
        <v>207.5112</v>
      </c>
      <c r="F732" s="355">
        <v>1</v>
      </c>
      <c r="G732" s="364">
        <f>SUMIFS(Таблица14[часы],Таблица14[коэф],"1",Таблица14[р/р],"2/4",Таблица14[Ф. И. О.],B737)</f>
        <v>0</v>
      </c>
      <c r="H732" s="357">
        <f>SUMIFS(Таблица14[Столбец2],Таблица14[коэф],"1",Таблица14[р/р],"2/4",Таблица14[Ф. И. О.],B737)</f>
        <v>0</v>
      </c>
      <c r="I732" s="403">
        <f>IF(D732&lt;=3,база!$J$4,
IF(D732=4,база!$J$5,
IF(D732=5,база!$J$6)))</f>
        <v>215.4924</v>
      </c>
      <c r="J732" s="404">
        <v>1</v>
      </c>
      <c r="K732" s="405">
        <f>SUMIFS(Таблица14[часы],Таблица14[коэф],"1",Таблица14[р/р],"2/8",Таблица14[Ф. И. О.],B737)</f>
        <v>0</v>
      </c>
      <c r="L732" s="405">
        <f>SUMIFS(Таблица14[Столбец2],Таблица14[коэф],"1",Таблица14[р/р],"2/8",Таблица14[Ф. И. О.],B737)</f>
        <v>0</v>
      </c>
      <c r="M732" s="405"/>
      <c r="N732" s="405">
        <v>1</v>
      </c>
      <c r="O732" s="405">
        <f>SUMIFS(Data_Tech!$AM$3:$AM$67,Data_Tech!$E$3:$E$67,"1",Data_Tech!$G$3:$G$67,"3/12",Data_Tech!$F$3:$F$67,B737)</f>
        <v>0</v>
      </c>
      <c r="P732" s="362">
        <f>ROUND(M732*N732*O732,2)</f>
        <v>0</v>
      </c>
      <c r="Q732" s="354">
        <f>IF(D732&lt;=3,база!$L$4,
IF(D732=4,база!$L$5,
IF(D732=5,база!$L$6)))</f>
        <v>231.45480000000001</v>
      </c>
      <c r="R732" s="355">
        <v>1</v>
      </c>
      <c r="S732" s="364">
        <f>SUMIFS(Таблица14[часы],Таблица14[коэф],"1",Таблица14[р/р],"3/16",Таблица14[Ф. И. О.],B737)</f>
        <v>0</v>
      </c>
      <c r="T732" s="357">
        <f>SUMIFS(Таблица14[Столбец2],Таблица14[коэф],"1",Таблица14[р/р],"3/16",Таблица14[Ф. И. О.],B737)</f>
        <v>0</v>
      </c>
      <c r="U732" s="454">
        <f>IF(D732&lt;=3,база!$M$4,
IF(D732=4,база!$M$5,
IF(D732=5,база!$M$6)))</f>
        <v>247.41720000000001</v>
      </c>
      <c r="V732" s="355">
        <v>1</v>
      </c>
      <c r="W732" s="407">
        <f>SUMIFS(Таблица14[часы],Таблица14[коэф],"1",Таблица14[р/р],"3/24",Таблица14[Ф. И. О.],B737)</f>
        <v>0</v>
      </c>
      <c r="X732" s="519">
        <f>SUMIFS(Таблица14[Столбец2],Таблица14[коэф],"1",Таблица14[р/р],"3/24",Таблица14[Ф. И. О.],B737)</f>
        <v>0</v>
      </c>
      <c r="Y732" s="754">
        <f t="shared" ref="Y732" si="270">SUM(G732:G742,K732:K742,O732:O742,S732:S742,W732:W742)</f>
        <v>0</v>
      </c>
      <c r="Z732" s="750">
        <f t="shared" ref="Z732" si="271">IFERROR(SUM(H732:H742,L732:L742,T732:T742,X732:X742),"")</f>
        <v>0</v>
      </c>
      <c r="AA732" s="740"/>
    </row>
    <row r="733" spans="1:27" ht="18.75" customHeight="1">
      <c r="A733" s="740"/>
      <c r="B733" s="201"/>
      <c r="C733" s="743"/>
      <c r="D733" s="746"/>
      <c r="E733" s="366">
        <f>IF(D732&lt;=3,база!$I$4,
IF(D732=4,база!$I$5,
IF(D732=5,база!$I$6)))</f>
        <v>207.5112</v>
      </c>
      <c r="F733" s="367">
        <v>1</v>
      </c>
      <c r="G733" s="377">
        <f>SUMIFS(Таблица14[часы],Таблица14[коэф],"1",Таблица14[р/р],"3/4",Таблица14[Ф. И. О.],B737)</f>
        <v>0</v>
      </c>
      <c r="H733" s="369">
        <f>SUMIFS(Таблица14[Столбец2],Таблица14[коэф],"1",Таблица14[р/р],"3/4",Таблица14[Ф. И. О.],B737)</f>
        <v>0</v>
      </c>
      <c r="I733" s="409">
        <f>IF(D732&lt;=3,база!$J$4,
IF(D732=4,база!$J$5,
IF(D732=5,база!$J$6)))</f>
        <v>215.4924</v>
      </c>
      <c r="J733" s="410">
        <v>1</v>
      </c>
      <c r="K733" s="411">
        <f>SUMIFS(Таблица14[часы],Таблица14[коэф],"1",Таблица14[р/р],"3/8",Таблица14[Ф. И. О.],B737)</f>
        <v>0</v>
      </c>
      <c r="L733" s="411">
        <f>SUMIFS(Таблица14[Столбец2],Таблица14[коэф],"1",Таблица14[р/р],"3/8",Таблица14[Ф. И. О.],B737)</f>
        <v>0</v>
      </c>
      <c r="M733" s="411"/>
      <c r="N733" s="411">
        <v>1</v>
      </c>
      <c r="O733" s="411">
        <f>SUMIFS(Data_Tech!$AM$3:$AM$67,Data_Tech!$E$3:$E$67,"1",Data_Tech!$G$3:$G$67,"4/12",Data_Tech!$F$3:$F$67,B737)</f>
        <v>0</v>
      </c>
      <c r="P733" s="383">
        <f>ROUND(M733*O733,2)</f>
        <v>0</v>
      </c>
      <c r="Q733" s="366">
        <f>база!$L$5</f>
        <v>231.45480000000001</v>
      </c>
      <c r="R733" s="367">
        <v>1</v>
      </c>
      <c r="S733" s="377">
        <f>SUMIFS(Таблица14[часы],Таблица14[коэф],"1",Таблица14[р/р],"4/16",Таблица14[Ф. И. О.],B737)</f>
        <v>0</v>
      </c>
      <c r="T733" s="369">
        <f>SUMIFS(Таблица14[Столбец2],Таблица14[коэф],"1",Таблица14[р/р],"4/16",Таблица14[Ф. И. О.],B737)</f>
        <v>0</v>
      </c>
      <c r="U733" s="455">
        <f>база!$M$5</f>
        <v>247.41720000000001</v>
      </c>
      <c r="V733" s="367">
        <v>1</v>
      </c>
      <c r="W733" s="389">
        <f>SUMIFS(Таблица14[часы],Таблица14[коэф],"1",Таблица14[р/р],"4/24",Таблица14[Ф. И. О.],B737)</f>
        <v>0</v>
      </c>
      <c r="X733" s="521">
        <f>SUMIFS(Таблица14[Столбец2],Таблица14[коэф],"1",Таблица14[р/р],"4/24",Таблица14[Ф. И. О.],B737)</f>
        <v>0</v>
      </c>
      <c r="Y733" s="754"/>
      <c r="Z733" s="750"/>
      <c r="AA733" s="740"/>
    </row>
    <row r="734" spans="1:27" ht="18.75" customHeight="1">
      <c r="A734" s="740"/>
      <c r="B734" s="201"/>
      <c r="C734" s="743"/>
      <c r="D734" s="746"/>
      <c r="E734" s="366"/>
      <c r="F734" s="367"/>
      <c r="G734" s="377"/>
      <c r="H734" s="369"/>
      <c r="I734" s="409"/>
      <c r="J734" s="410"/>
      <c r="K734" s="411"/>
      <c r="L734" s="411"/>
      <c r="M734" s="411"/>
      <c r="N734" s="411"/>
      <c r="O734" s="411"/>
      <c r="P734" s="383"/>
      <c r="Q734" s="366">
        <f>база!$L$6</f>
        <v>261.04640000000001</v>
      </c>
      <c r="R734" s="367">
        <v>1</v>
      </c>
      <c r="S734" s="377">
        <f>SUMIFS(Таблица14[часы],Таблица14[коэф],"1",Таблица14[р/р],"5/16",Таблица14[Ф. И. О.],B737)</f>
        <v>0</v>
      </c>
      <c r="T734" s="369">
        <f>SUMIFS(Таблица14[Столбец2],Таблица14[коэф],"1",Таблица14[р/р],"5/16",Таблица14[Ф. И. О.],B737)</f>
        <v>0</v>
      </c>
      <c r="U734" s="455">
        <f>база!$M$6</f>
        <v>279.0496</v>
      </c>
      <c r="V734" s="367">
        <v>1</v>
      </c>
      <c r="W734" s="389">
        <f>SUMIFS(Таблица14[часы],Таблица14[коэф],"1",Таблица14[р/р],"5/24",Таблица14[Ф. И. О.],B737)</f>
        <v>0</v>
      </c>
      <c r="X734" s="521">
        <f>SUMIFS(Таблица14[Столбец2],Таблица14[коэф],"1",Таблица14[р/р],"5/24",Таблица14[Ф. И. О.],B737)</f>
        <v>0</v>
      </c>
      <c r="Y734" s="754"/>
      <c r="Z734" s="750"/>
      <c r="AA734" s="740"/>
    </row>
    <row r="735" spans="1:27" ht="18.75" customHeight="1">
      <c r="A735" s="740"/>
      <c r="B735" s="201"/>
      <c r="C735" s="743"/>
      <c r="D735" s="746"/>
      <c r="E735" s="366"/>
      <c r="F735" s="367"/>
      <c r="G735" s="377"/>
      <c r="H735" s="369"/>
      <c r="I735" s="409">
        <f>база!$J$5</f>
        <v>215.4924</v>
      </c>
      <c r="J735" s="410">
        <v>1.5</v>
      </c>
      <c r="K735" s="411">
        <f>SUMIFS(Таблица14[часы],Таблица14[коэф],"1,5",Таблица14[р/р],"4/8",Таблица14[Ф. И. О.],B737)</f>
        <v>0</v>
      </c>
      <c r="L735" s="411">
        <f>SUMIFS(Таблица14[Столбец2],Таблица14[коэф],"1,5",Таблица14[р/р],"4/8",Таблица14[Ф. И. О.],B737)</f>
        <v>0</v>
      </c>
      <c r="M735" s="411"/>
      <c r="N735" s="411"/>
      <c r="O735" s="411"/>
      <c r="P735" s="383"/>
      <c r="Q735" s="366">
        <f>IF(D732&lt;=3,база!$L$4,
IF(D732=4,база!$L$5,
IF(D732=5,база!$L$6)))</f>
        <v>231.45480000000001</v>
      </c>
      <c r="R735" s="367">
        <v>1.2</v>
      </c>
      <c r="S735" s="377">
        <f>SUMIFS(Таблица14[часы],Таблица14[коэф],"1,2",Таблица14[р/р],"3/16",Таблица14[Ф. И. О.],B737)</f>
        <v>0</v>
      </c>
      <c r="T735" s="369">
        <f>SUMIFS(Таблица14[Столбец2],Таблица14[коэф],"1,2",Таблица14[р/р],"3/16",Таблица14[Ф. И. О.],B737)</f>
        <v>0</v>
      </c>
      <c r="U735" s="455">
        <f>IF(D732&lt;=3,база!$M$4,
IF(D732=4,база!$M$5,
IF(D732=5,база!$M$6)))</f>
        <v>247.41720000000001</v>
      </c>
      <c r="V735" s="367">
        <v>1.2</v>
      </c>
      <c r="W735" s="389">
        <f>SUMIFS(Таблица14[часы],Таблица14[коэф],"1,2",Таблица14[р/р],"3/24",Таблица14[Ф. И. О.],B737)</f>
        <v>0</v>
      </c>
      <c r="X735" s="521">
        <f>SUMIFS(Таблица14[Столбец2],Таблица14[коэф],"1,2",Таблица14[р/р],"3/24",Таблица14[Ф. И. О.],B737)</f>
        <v>0</v>
      </c>
      <c r="Y735" s="754"/>
      <c r="Z735" s="750"/>
      <c r="AA735" s="740"/>
    </row>
    <row r="736" spans="1:27" ht="18.75" customHeight="1">
      <c r="A736" s="740"/>
      <c r="B736" s="201"/>
      <c r="C736" s="743"/>
      <c r="D736" s="746"/>
      <c r="E736" s="366"/>
      <c r="F736" s="367"/>
      <c r="G736" s="377"/>
      <c r="H736" s="369"/>
      <c r="I736" s="409">
        <f>база!$J$6</f>
        <v>243.04319999999998</v>
      </c>
      <c r="J736" s="410">
        <v>1.5</v>
      </c>
      <c r="K736" s="411">
        <f>SUMIFS(Таблица14[часы],Таблица14[коэф],"1,5",Таблица14[р/р],"5/8",Таблица14[Ф. И. О.],B737)</f>
        <v>0</v>
      </c>
      <c r="L736" s="411">
        <f>SUMIFS(Таблица14[Столбец2],Таблица14[коэф],"1,5",Таблица14[р/р],"5/8",Таблица14[Ф. И. О.],B737)</f>
        <v>0</v>
      </c>
      <c r="M736" s="411"/>
      <c r="N736" s="411"/>
      <c r="O736" s="411"/>
      <c r="P736" s="383"/>
      <c r="Q736" s="366">
        <f>база!$L$5</f>
        <v>231.45480000000001</v>
      </c>
      <c r="R736" s="367">
        <v>1.2</v>
      </c>
      <c r="S736" s="377">
        <f>SUMIFS(Таблица14[часы],Таблица14[коэф],"1,2",Таблица14[р/р],"4/16",Таблица14[Ф. И. О.],B737)</f>
        <v>0</v>
      </c>
      <c r="T736" s="369">
        <f>SUMIFS(Таблица14[Столбец2],Таблица14[коэф],"1,2",Таблица14[р/р],"4/16",Таблица14[Ф. И. О.],B737)</f>
        <v>0</v>
      </c>
      <c r="U736" s="455">
        <f>база!$M$5</f>
        <v>247.41720000000001</v>
      </c>
      <c r="V736" s="367">
        <v>1.2</v>
      </c>
      <c r="W736" s="389">
        <f>SUMIFS(Таблица14[часы],Таблица14[коэф],"1,2",Таблица14[р/р],"4/24",Таблица14[Ф. И. О.],B737)</f>
        <v>0</v>
      </c>
      <c r="X736" s="521">
        <f>SUMIFS(Таблица14[Столбец2],Таблица14[коэф],"1,2",Таблица14[р/р],"4/24",Таблица14[Ф. И. О.],B737)</f>
        <v>0</v>
      </c>
      <c r="Y736" s="754"/>
      <c r="Z736" s="750"/>
      <c r="AA736" s="740"/>
    </row>
    <row r="737" spans="1:27" ht="18.75" customHeight="1">
      <c r="A737" s="740"/>
      <c r="B737" s="201" t="str">
        <f>база!B68</f>
        <v>Смирнова Елена Евгеньевна</v>
      </c>
      <c r="C737" s="743"/>
      <c r="D737" s="746"/>
      <c r="E737" s="366"/>
      <c r="F737" s="367"/>
      <c r="G737" s="377"/>
      <c r="H737" s="369"/>
      <c r="I737" s="409"/>
      <c r="J737" s="410"/>
      <c r="K737" s="411"/>
      <c r="L737" s="411"/>
      <c r="M737" s="411"/>
      <c r="N737" s="411"/>
      <c r="O737" s="411"/>
      <c r="P737" s="383"/>
      <c r="Q737" s="366">
        <f>база!$L$6</f>
        <v>261.04640000000001</v>
      </c>
      <c r="R737" s="367">
        <v>1.2</v>
      </c>
      <c r="S737" s="377">
        <f>SUMIFS(Таблица14[часы],Таблица14[коэф],"1,2",Таблица14[р/р],"5/16",Таблица14[Ф. И. О.],B737)</f>
        <v>0</v>
      </c>
      <c r="T737" s="369">
        <f>SUMIFS(Таблица14[Столбец2],Таблица14[коэф],"1,2",Таблица14[р/р],"5/16",Таблица14[Ф. И. О.],B737)</f>
        <v>0</v>
      </c>
      <c r="U737" s="455">
        <f>база!$M$6</f>
        <v>279.0496</v>
      </c>
      <c r="V737" s="367">
        <v>1.2</v>
      </c>
      <c r="W737" s="389">
        <f>SUMIFS(Таблица14[часы],Таблица14[коэф],"1,2",Таблица14[р/р],"5/24",Таблица14[Ф. И. О.],B737)</f>
        <v>0</v>
      </c>
      <c r="X737" s="521">
        <f>SUMIFS(Таблица14[Столбец2],Таблица14[коэф],"1,2",Таблица14[р/р],"5/24",Таблица14[Ф. И. О.],B737)</f>
        <v>0</v>
      </c>
      <c r="Y737" s="754"/>
      <c r="Z737" s="750"/>
      <c r="AA737" s="740"/>
    </row>
    <row r="738" spans="1:27" ht="18.75" customHeight="1">
      <c r="A738" s="740"/>
      <c r="B738" s="201"/>
      <c r="C738" s="743"/>
      <c r="D738" s="746"/>
      <c r="E738" s="366"/>
      <c r="F738" s="367"/>
      <c r="G738" s="377"/>
      <c r="H738" s="369"/>
      <c r="I738" s="409"/>
      <c r="J738" s="410"/>
      <c r="K738" s="411"/>
      <c r="L738" s="411"/>
      <c r="M738" s="411"/>
      <c r="N738" s="411"/>
      <c r="O738" s="411"/>
      <c r="P738" s="383"/>
      <c r="Q738" s="366">
        <f>IF($D$6&lt;=3,база!$L$4,
IF($D$6=4,база!$L$5,
IF($D$6=5,база!$L$6)))</f>
        <v>231.45480000000001</v>
      </c>
      <c r="R738" s="367">
        <v>1.3</v>
      </c>
      <c r="S738" s="377">
        <f>SUMIFS(Таблица14[часы],Таблица14[коэф],"1,3",Таблица14[р/р],"3/16",Таблица14[Ф. И. О.],B737)</f>
        <v>0</v>
      </c>
      <c r="T738" s="369">
        <f>SUMIFS(Таблица14[Столбец2],Таблица14[коэф],"1,3",Таблица14[р/р],"3/16",Таблица14[Ф. И. О.],B737)</f>
        <v>0</v>
      </c>
      <c r="U738" s="455">
        <f>IF(D732&lt;=3,база!$M$4,
IF(D732=4,база!$M$5,
IF(D732=5,база!$M$6)))</f>
        <v>247.41720000000001</v>
      </c>
      <c r="V738" s="367">
        <v>1.3</v>
      </c>
      <c r="W738" s="389">
        <f>SUMIFS(Таблица14[часы],Таблица14[коэф],"1,3",Таблица14[р/р],"3/24",Таблица14[Ф. И. О.],B737)</f>
        <v>0</v>
      </c>
      <c r="X738" s="521">
        <f>SUMIFS(Таблица14[Столбец2],Таблица14[коэф],"1,3",Таблица14[р/р],"3/24",Таблица14[Ф. И. О.],B737)</f>
        <v>0</v>
      </c>
      <c r="Y738" s="754"/>
      <c r="Z738" s="750"/>
      <c r="AA738" s="740"/>
    </row>
    <row r="739" spans="1:27" ht="18.75" customHeight="1">
      <c r="A739" s="740"/>
      <c r="B739" s="201"/>
      <c r="C739" s="743"/>
      <c r="D739" s="746"/>
      <c r="E739" s="366"/>
      <c r="F739" s="367"/>
      <c r="G739" s="377"/>
      <c r="H739" s="369"/>
      <c r="I739" s="409"/>
      <c r="J739" s="410"/>
      <c r="K739" s="411"/>
      <c r="L739" s="411"/>
      <c r="M739" s="411"/>
      <c r="N739" s="411"/>
      <c r="O739" s="411"/>
      <c r="P739" s="383"/>
      <c r="Q739" s="366">
        <f>база!$L$5</f>
        <v>231.45480000000001</v>
      </c>
      <c r="R739" s="367">
        <v>1.3</v>
      </c>
      <c r="S739" s="377">
        <f>SUMIFS(Таблица14[часы],Таблица14[коэф],"1,3",Таблица14[р/р],"4/16",Таблица14[Ф. И. О.],B737)</f>
        <v>0</v>
      </c>
      <c r="T739" s="369">
        <f>SUMIFS(Таблица14[Столбец2],Таблица14[коэф],"1,3",Таблица14[р/р],"4/16",Таблица14[Ф. И. О.],B737)</f>
        <v>0</v>
      </c>
      <c r="U739" s="455">
        <f>база!$M$5</f>
        <v>247.41720000000001</v>
      </c>
      <c r="V739" s="367">
        <v>1.3</v>
      </c>
      <c r="W739" s="389">
        <f>SUMIFS(Таблица14[часы],Таблица14[коэф],"1,3",Таблица14[р/р],"4/24",Таблица14[Ф. И. О.],B737)</f>
        <v>0</v>
      </c>
      <c r="X739" s="521">
        <f>SUMIFS(Таблица14[Столбец2],Таблица14[коэф],"1,3",Таблица14[р/р],"4/24",Таблица14[Ф. И. О.],B737)</f>
        <v>0</v>
      </c>
      <c r="Y739" s="754"/>
      <c r="Z739" s="750"/>
      <c r="AA739" s="740"/>
    </row>
    <row r="740" spans="1:27" ht="18.75" customHeight="1">
      <c r="A740" s="740"/>
      <c r="B740" s="201"/>
      <c r="C740" s="743"/>
      <c r="D740" s="746"/>
      <c r="E740" s="366"/>
      <c r="F740" s="367"/>
      <c r="G740" s="377"/>
      <c r="H740" s="369"/>
      <c r="I740" s="409"/>
      <c r="J740" s="410"/>
      <c r="K740" s="411"/>
      <c r="L740" s="411"/>
      <c r="M740" s="411"/>
      <c r="N740" s="411"/>
      <c r="O740" s="411"/>
      <c r="P740" s="383"/>
      <c r="Q740" s="366">
        <f>IF(D732&lt;=3,база!$L$4,
IF(D732=4,база!$L$5,
IF(D732=5,база!$L$6)))</f>
        <v>231.45480000000001</v>
      </c>
      <c r="R740" s="367">
        <v>1.4</v>
      </c>
      <c r="S740" s="377">
        <f>SUMIFS(Таблица14[часы],Таблица14[коэф],"1,4",Таблица14[р/р],"3/16",Таблица14[Ф. И. О.],B737)</f>
        <v>0</v>
      </c>
      <c r="T740" s="369">
        <f>SUMIFS(Таблица14[Столбец2],Таблица14[коэф],"1,4",Таблица14[р/р],"3/16",Таблица14[Ф. И. О.],B737)</f>
        <v>0</v>
      </c>
      <c r="U740" s="455">
        <f>IF(D732&lt;=3,база!$M$4,
IF(D732=4,база!$M$5,
IF(D732=5,база!$M$6)))</f>
        <v>247.41720000000001</v>
      </c>
      <c r="V740" s="367">
        <v>1.4</v>
      </c>
      <c r="W740" s="389">
        <f>SUMIFS(Таблица14[часы],Таблица14[коэф],"1,4",Таблица14[р/р],"3/24",Таблица14[Ф. И. О.],B737)</f>
        <v>0</v>
      </c>
      <c r="X740" s="521">
        <f>SUMIFS(Таблица14[Столбец2],Таблица14[коэф],"1,4",Таблица14[р/р],"3/24",Таблица14[Ф. И. О.],B737)</f>
        <v>0</v>
      </c>
      <c r="Y740" s="754"/>
      <c r="Z740" s="750"/>
      <c r="AA740" s="740"/>
    </row>
    <row r="741" spans="1:27" ht="18.75" customHeight="1">
      <c r="A741" s="740"/>
      <c r="B741" s="201"/>
      <c r="C741" s="743"/>
      <c r="D741" s="746"/>
      <c r="E741" s="366"/>
      <c r="F741" s="367"/>
      <c r="G741" s="377"/>
      <c r="H741" s="369"/>
      <c r="I741" s="409"/>
      <c r="J741" s="410"/>
      <c r="K741" s="411"/>
      <c r="L741" s="411"/>
      <c r="M741" s="411"/>
      <c r="N741" s="411"/>
      <c r="O741" s="411"/>
      <c r="P741" s="383"/>
      <c r="Q741" s="366">
        <f>база!$L$5</f>
        <v>231.45480000000001</v>
      </c>
      <c r="R741" s="367">
        <v>1.4</v>
      </c>
      <c r="S741" s="377">
        <f>SUMIFS(Таблица14[часы],Таблица14[коэф],"1,4",Таблица14[р/р],"4/16",Таблица14[Ф. И. О.],B737)</f>
        <v>0</v>
      </c>
      <c r="T741" s="369">
        <f>SUMIFS(Таблица14[Столбец2],Таблица14[коэф],"1,4",Таблица14[р/р],"4/16",Таблица14[Ф. И. О.],B737)</f>
        <v>0</v>
      </c>
      <c r="U741" s="455">
        <f>база!$M$5</f>
        <v>247.41720000000001</v>
      </c>
      <c r="V741" s="367">
        <v>1.4</v>
      </c>
      <c r="W741" s="389">
        <f>SUMIFS(Таблица14[часы],Таблица14[коэф],"1,4",Таблица14[р/р],"4/24",Таблица14[Ф. И. О.],B737)</f>
        <v>0</v>
      </c>
      <c r="X741" s="521">
        <f>SUMIFS(Таблица14[Столбец2],Таблица14[коэф],"1,4",Таблица14[р/р],"4/24",Таблица14[Ф. И. О.],B737)</f>
        <v>0</v>
      </c>
      <c r="Y741" s="754"/>
      <c r="Z741" s="750"/>
      <c r="AA741" s="740"/>
    </row>
    <row r="742" spans="1:27" ht="19.5" customHeight="1" thickBot="1">
      <c r="A742" s="741"/>
      <c r="B742" s="329"/>
      <c r="C742" s="744"/>
      <c r="D742" s="747"/>
      <c r="E742" s="422"/>
      <c r="F742" s="423"/>
      <c r="G742" s="624"/>
      <c r="H742" s="511"/>
      <c r="I742" s="625"/>
      <c r="J742" s="588"/>
      <c r="K742" s="626"/>
      <c r="L742" s="434"/>
      <c r="M742" s="625"/>
      <c r="N742" s="626"/>
      <c r="O742" s="626"/>
      <c r="P742" s="514"/>
      <c r="Q742" s="627">
        <f>база!$L$6</f>
        <v>261.04640000000001</v>
      </c>
      <c r="R742" s="423">
        <v>1.4</v>
      </c>
      <c r="S742" s="424">
        <f>SUMIFS(Таблица14[часы],Таблица14[коэф],"1,4",Таблица14[р/р],"5/16",Таблица14[Ф. И. О.],B737)</f>
        <v>0</v>
      </c>
      <c r="T742" s="511">
        <f>SUMIFS(Таблица14[Столбец2],Таблица14[коэф],"1,4",Таблица14[р/р],"5/16",Таблица14[Ф. И. О.],B737)</f>
        <v>0</v>
      </c>
      <c r="U742" s="512">
        <f>база!$M$6</f>
        <v>279.0496</v>
      </c>
      <c r="V742" s="441">
        <v>1.4</v>
      </c>
      <c r="W742" s="424">
        <f>SUMIFS(Таблица14[часы],Таблица14[коэф],"1,4",Таблица14[р/р],"5/24",Таблица14[Ф. И. О.],B737)</f>
        <v>0</v>
      </c>
      <c r="X742" s="511">
        <f>SUMIFS(Таблица14[Столбец2],Таблица14[коэф],"1,4",Таблица14[р/р],"5/24",Таблица14[Ф. И. О.],B737)</f>
        <v>0</v>
      </c>
      <c r="Y742" s="755"/>
      <c r="Z742" s="751"/>
      <c r="AA742" s="741"/>
    </row>
    <row r="743" spans="1:27" ht="18.75" customHeight="1">
      <c r="A743" s="740">
        <v>68</v>
      </c>
      <c r="B743" s="201"/>
      <c r="C743" s="742">
        <f>INDEX(база!$E$2:$E$150, MATCH(B748,база!$B$2:$B$150,0))</f>
        <v>17076</v>
      </c>
      <c r="D743" s="745">
        <f>INDEX(база!$D$2:$D$150, MATCH(B748,база!$B$2:$B$150,0))</f>
        <v>3</v>
      </c>
      <c r="E743" s="458">
        <f>IF(D743&lt;=3,база!$I$4,
IF(D743=4,база!$I$5,
IF(D743=5,база!$I$6)))</f>
        <v>188.7912</v>
      </c>
      <c r="F743" s="394">
        <v>1</v>
      </c>
      <c r="G743" s="395">
        <f>SUMIFS(Таблица14[часы],Таблица14[коэф],"1",Таблица14[р/р],"2/4",Таблица14[Ф. И. О.],B748)</f>
        <v>0</v>
      </c>
      <c r="H743" s="379">
        <f>SUMIFS(Таблица14[Столбец2],Таблица14[коэф],"1",Таблица14[р/р],"2/4",Таблица14[Ф. И. О.],B748)</f>
        <v>0</v>
      </c>
      <c r="I743" s="429">
        <f>IF(D743&lt;=3,база!$J$4,
IF(D743=4,база!$J$5,
IF(D743=5,база!$J$6)))</f>
        <v>196.05240000000001</v>
      </c>
      <c r="J743" s="452">
        <v>1</v>
      </c>
      <c r="K743" s="430">
        <f>SUMIFS(Таблица14[часы],Таблица14[коэф],"1",Таблица14[р/р],"2/8",Таблица14[Ф. И. О.],B748)</f>
        <v>0</v>
      </c>
      <c r="L743" s="430">
        <f>SUMIFS(Таблица14[Столбец2],Таблица14[коэф],"1",Таблица14[р/р],"2/8",Таблица14[Ф. И. О.],B748)</f>
        <v>0</v>
      </c>
      <c r="M743" s="430"/>
      <c r="N743" s="430">
        <v>1</v>
      </c>
      <c r="O743" s="430">
        <f>SUMIFS(Data_Tech!$AM$3:$AM$67,Data_Tech!$E$3:$E$67,"1",Data_Tech!$G$3:$G$67,"3/12",Data_Tech!$F$3:$F$67,B748)</f>
        <v>0</v>
      </c>
      <c r="P743" s="375">
        <f>ROUND(M743*N743*O743,2)</f>
        <v>0</v>
      </c>
      <c r="Q743" s="458">
        <f>IF(D743&lt;=3,база!$L$4,
IF(D743=4,база!$L$5,
IF(D743=5,база!$L$6)))</f>
        <v>210.57480000000001</v>
      </c>
      <c r="R743" s="394">
        <v>1</v>
      </c>
      <c r="S743" s="395">
        <f>SUMIFS(Таблица14[часы],Таблица14[коэф],"1",Таблица14[р/р],"3/16",Таблица14[Ф. И. О.],B748)</f>
        <v>0</v>
      </c>
      <c r="T743" s="379">
        <f>SUMIFS(Таблица14[Столбец2],Таблица14[коэф],"1",Таблица14[р/р],"3/16",Таблица14[Ф. И. О.],B748)</f>
        <v>0</v>
      </c>
      <c r="U743" s="460">
        <f>IF(D743&lt;=3,база!$M$4,
IF(D743=4,база!$M$5,
IF(D743=5,база!$M$6)))</f>
        <v>225.09719999999999</v>
      </c>
      <c r="V743" s="394">
        <v>1</v>
      </c>
      <c r="W743" s="432">
        <f>SUMIFS(Таблица14[часы],Таблица14[коэф],"1",Таблица14[р/р],"3/24",Таблица14[Ф. И. О.],B748)</f>
        <v>0</v>
      </c>
      <c r="X743" s="528">
        <f>SUMIFS(Таблица14[Столбец2],Таблица14[коэф],"1",Таблица14[р/р],"3/24",Таблица14[Ф. И. О.],B748)</f>
        <v>0</v>
      </c>
      <c r="Y743" s="754">
        <f t="shared" ref="Y743" si="272">SUM(G743:G753,K743:K753,O743:O753,S743:S753,W743:W753)</f>
        <v>0</v>
      </c>
      <c r="Z743" s="750">
        <f t="shared" ref="Z743" si="273">IFERROR(SUM(H743:H753,L743:L753,T743:T753,X743:X753),"")</f>
        <v>0</v>
      </c>
      <c r="AA743" s="740"/>
    </row>
    <row r="744" spans="1:27" ht="18.75" customHeight="1">
      <c r="A744" s="740"/>
      <c r="B744" s="201"/>
      <c r="C744" s="743"/>
      <c r="D744" s="746"/>
      <c r="E744" s="366">
        <f>IF(D743&lt;=3,база!$I$4,
IF(D743=4,база!$I$5,
IF(D743=5,база!$I$6)))</f>
        <v>188.7912</v>
      </c>
      <c r="F744" s="367">
        <v>1</v>
      </c>
      <c r="G744" s="377">
        <f>SUMIFS(Таблица14[часы],Таблица14[коэф],"1",Таблица14[р/р],"3/4",Таблица14[Ф. И. О.],B748)</f>
        <v>0</v>
      </c>
      <c r="H744" s="369">
        <f>SUMIFS(Таблица14[Столбец2],Таблица14[коэф],"1",Таблица14[р/р],"3/4",Таблица14[Ф. И. О.],B748)</f>
        <v>0</v>
      </c>
      <c r="I744" s="409">
        <f>IF(D743&lt;=3,база!$J$4,
IF(D743=4,база!$J$5,
IF(D743=5,база!$J$6)))</f>
        <v>196.05240000000001</v>
      </c>
      <c r="J744" s="410">
        <v>1</v>
      </c>
      <c r="K744" s="411">
        <f>SUMIFS(Таблица14[часы],Таблица14[коэф],"1",Таблица14[р/р],"3/8",Таблица14[Ф. И. О.],B748)</f>
        <v>0</v>
      </c>
      <c r="L744" s="411">
        <f>SUMIFS(Таблица14[Столбец2],Таблица14[коэф],"1",Таблица14[р/р],"3/8",Таблица14[Ф. И. О.],B748)</f>
        <v>0</v>
      </c>
      <c r="M744" s="411"/>
      <c r="N744" s="411">
        <v>1</v>
      </c>
      <c r="O744" s="411">
        <f>SUMIFS(Data_Tech!$AM$3:$AM$67,Data_Tech!$E$3:$E$67,"1",Data_Tech!$G$3:$G$67,"4/12",Data_Tech!$F$3:$F$67,B748)</f>
        <v>0</v>
      </c>
      <c r="P744" s="383">
        <f>ROUND(M744*O744,2)</f>
        <v>0</v>
      </c>
      <c r="Q744" s="366">
        <f>база!$L$5</f>
        <v>231.45480000000001</v>
      </c>
      <c r="R744" s="367">
        <v>1</v>
      </c>
      <c r="S744" s="377">
        <f>SUMIFS(Таблица14[часы],Таблица14[коэф],"1",Таблица14[р/р],"4/16",Таблица14[Ф. И. О.],B748)</f>
        <v>0</v>
      </c>
      <c r="T744" s="369">
        <f>SUMIFS(Таблица14[Столбец2],Таблица14[коэф],"1",Таблица14[р/р],"4/16",Таблица14[Ф. И. О.],B748)</f>
        <v>0</v>
      </c>
      <c r="U744" s="455">
        <f>база!$M$5</f>
        <v>247.41720000000001</v>
      </c>
      <c r="V744" s="367">
        <v>1</v>
      </c>
      <c r="W744" s="389">
        <f>SUMIFS(Таблица14[часы],Таблица14[коэф],"1",Таблица14[р/р],"4/24",Таблица14[Ф. И. О.],B748)</f>
        <v>0</v>
      </c>
      <c r="X744" s="521">
        <f>SUMIFS(Таблица14[Столбец2],Таблица14[коэф],"1",Таблица14[р/р],"4/24",Таблица14[Ф. И. О.],B748)</f>
        <v>0</v>
      </c>
      <c r="Y744" s="754"/>
      <c r="Z744" s="750"/>
      <c r="AA744" s="740"/>
    </row>
    <row r="745" spans="1:27" ht="18.75" customHeight="1">
      <c r="A745" s="740"/>
      <c r="B745" s="201"/>
      <c r="C745" s="743"/>
      <c r="D745" s="746"/>
      <c r="E745" s="366"/>
      <c r="F745" s="367"/>
      <c r="G745" s="377"/>
      <c r="H745" s="369"/>
      <c r="I745" s="409"/>
      <c r="J745" s="410"/>
      <c r="K745" s="411"/>
      <c r="L745" s="411"/>
      <c r="M745" s="411"/>
      <c r="N745" s="411"/>
      <c r="O745" s="411"/>
      <c r="P745" s="383"/>
      <c r="Q745" s="366">
        <f>база!$L$6</f>
        <v>261.04640000000001</v>
      </c>
      <c r="R745" s="367">
        <v>1</v>
      </c>
      <c r="S745" s="377">
        <f>SUMIFS(Таблица14[часы],Таблица14[коэф],"1",Таблица14[р/р],"5/16",Таблица14[Ф. И. О.],B748)</f>
        <v>0</v>
      </c>
      <c r="T745" s="369">
        <f>SUMIFS(Таблица14[Столбец2],Таблица14[коэф],"1",Таблица14[р/р],"5/16",Таблица14[Ф. И. О.],B748)</f>
        <v>0</v>
      </c>
      <c r="U745" s="455">
        <f>база!$M$6</f>
        <v>279.0496</v>
      </c>
      <c r="V745" s="367">
        <v>1</v>
      </c>
      <c r="W745" s="389">
        <f>SUMIFS(Таблица14[часы],Таблица14[коэф],"1",Таблица14[р/р],"5/24",Таблица14[Ф. И. О.],B748)</f>
        <v>0</v>
      </c>
      <c r="X745" s="521">
        <f>SUMIFS(Таблица14[Столбец2],Таблица14[коэф],"1",Таблица14[р/р],"5/24",Таблица14[Ф. И. О.],B748)</f>
        <v>0</v>
      </c>
      <c r="Y745" s="754"/>
      <c r="Z745" s="750"/>
      <c r="AA745" s="740"/>
    </row>
    <row r="746" spans="1:27" ht="18.75" customHeight="1">
      <c r="A746" s="740"/>
      <c r="B746" s="201"/>
      <c r="C746" s="743"/>
      <c r="D746" s="746"/>
      <c r="E746" s="366"/>
      <c r="F746" s="367"/>
      <c r="G746" s="377"/>
      <c r="H746" s="369"/>
      <c r="I746" s="409">
        <f>база!$J$5</f>
        <v>215.4924</v>
      </c>
      <c r="J746" s="410">
        <v>1.5</v>
      </c>
      <c r="K746" s="411">
        <f>SUMIFS(Таблица14[часы],Таблица14[коэф],"1,5",Таблица14[р/р],"4/8",Таблица14[Ф. И. О.],B748)</f>
        <v>0</v>
      </c>
      <c r="L746" s="411">
        <f>SUMIFS(Таблица14[Столбец2],Таблица14[коэф],"1,5",Таблица14[р/р],"4/8",Таблица14[Ф. И. О.],B748)</f>
        <v>0</v>
      </c>
      <c r="M746" s="411"/>
      <c r="N746" s="411"/>
      <c r="O746" s="411"/>
      <c r="P746" s="383"/>
      <c r="Q746" s="366">
        <f>IF(D743&lt;=3,база!$L$4,
IF(D743=4,база!$L$5,
IF(D743=5,база!$L$6)))</f>
        <v>210.57480000000001</v>
      </c>
      <c r="R746" s="367">
        <v>1.2</v>
      </c>
      <c r="S746" s="377">
        <f>SUMIFS(Таблица14[часы],Таблица14[коэф],"1,2",Таблица14[р/р],"3/16",Таблица14[Ф. И. О.],B748)</f>
        <v>0</v>
      </c>
      <c r="T746" s="369">
        <f>SUMIFS(Таблица14[Столбец2],Таблица14[коэф],"1,2",Таблица14[р/р],"3/16",Таблица14[Ф. И. О.],B748)</f>
        <v>0</v>
      </c>
      <c r="U746" s="455">
        <f>IF(D743&lt;=3,база!$M$4,
IF(D743=4,база!$M$5,
IF(D743=5,база!$M$6)))</f>
        <v>225.09719999999999</v>
      </c>
      <c r="V746" s="367">
        <v>1.2</v>
      </c>
      <c r="W746" s="389">
        <f>SUMIFS(Таблица14[часы],Таблица14[коэф],"1,2",Таблица14[р/р],"3/24",Таблица14[Ф. И. О.],B748)</f>
        <v>0</v>
      </c>
      <c r="X746" s="521">
        <f>SUMIFS(Таблица14[Столбец2],Таблица14[коэф],"1,2",Таблица14[р/р],"3/24",Таблица14[Ф. И. О.],B748)</f>
        <v>0</v>
      </c>
      <c r="Y746" s="754"/>
      <c r="Z746" s="750"/>
      <c r="AA746" s="740"/>
    </row>
    <row r="747" spans="1:27" ht="18.75" customHeight="1">
      <c r="A747" s="740"/>
      <c r="B747" s="201"/>
      <c r="C747" s="743"/>
      <c r="D747" s="746"/>
      <c r="E747" s="366"/>
      <c r="F747" s="367"/>
      <c r="G747" s="377"/>
      <c r="H747" s="369"/>
      <c r="I747" s="409">
        <f>база!$J$6</f>
        <v>243.04319999999998</v>
      </c>
      <c r="J747" s="410">
        <v>1.5</v>
      </c>
      <c r="K747" s="411">
        <f>SUMIFS(Таблица14[часы],Таблица14[коэф],"1,5",Таблица14[р/р],"5/8",Таблица14[Ф. И. О.],B748)</f>
        <v>0</v>
      </c>
      <c r="L747" s="411">
        <f>SUMIFS(Таблица14[Столбец2],Таблица14[коэф],"1,5",Таблица14[р/р],"5/8",Таблица14[Ф. И. О.],B748)</f>
        <v>0</v>
      </c>
      <c r="M747" s="411"/>
      <c r="N747" s="411"/>
      <c r="O747" s="411"/>
      <c r="P747" s="383"/>
      <c r="Q747" s="366">
        <f>база!$L$5</f>
        <v>231.45480000000001</v>
      </c>
      <c r="R747" s="367">
        <v>1.2</v>
      </c>
      <c r="S747" s="377">
        <f>SUMIFS(Таблица14[часы],Таблица14[коэф],"1,2",Таблица14[р/р],"4/16",Таблица14[Ф. И. О.],B748)</f>
        <v>0</v>
      </c>
      <c r="T747" s="369">
        <f>SUMIFS(Таблица14[Столбец2],Таблица14[коэф],"1,2",Таблица14[р/р],"4/16",Таблица14[Ф. И. О.],B748)</f>
        <v>0</v>
      </c>
      <c r="U747" s="455">
        <f>база!$M$5</f>
        <v>247.41720000000001</v>
      </c>
      <c r="V747" s="367">
        <v>1.2</v>
      </c>
      <c r="W747" s="389">
        <f>SUMIFS(Таблица14[часы],Таблица14[коэф],"1,2",Таблица14[р/р],"4/24",Таблица14[Ф. И. О.],B748)</f>
        <v>0</v>
      </c>
      <c r="X747" s="521">
        <f>SUMIFS(Таблица14[Столбец2],Таблица14[коэф],"1,2",Таблица14[р/р],"4/24",Таблица14[Ф. И. О.],B748)</f>
        <v>0</v>
      </c>
      <c r="Y747" s="754"/>
      <c r="Z747" s="750"/>
      <c r="AA747" s="740"/>
    </row>
    <row r="748" spans="1:27" ht="18.75" customHeight="1">
      <c r="A748" s="740"/>
      <c r="B748" s="201" t="str">
        <f>база!B69</f>
        <v>Соболева Наталья Александровна</v>
      </c>
      <c r="C748" s="743"/>
      <c r="D748" s="746"/>
      <c r="E748" s="366"/>
      <c r="F748" s="367"/>
      <c r="G748" s="377"/>
      <c r="H748" s="369"/>
      <c r="I748" s="409"/>
      <c r="J748" s="410"/>
      <c r="K748" s="411"/>
      <c r="L748" s="411"/>
      <c r="M748" s="411"/>
      <c r="N748" s="411"/>
      <c r="O748" s="411"/>
      <c r="P748" s="383"/>
      <c r="Q748" s="366">
        <f>база!$L$6</f>
        <v>261.04640000000001</v>
      </c>
      <c r="R748" s="367">
        <v>1.2</v>
      </c>
      <c r="S748" s="377">
        <f>SUMIFS(Таблица14[часы],Таблица14[коэф],"1,2",Таблица14[р/р],"5/16",Таблица14[Ф. И. О.],B748)</f>
        <v>0</v>
      </c>
      <c r="T748" s="369">
        <f>SUMIFS(Таблица14[Столбец2],Таблица14[коэф],"1,2",Таблица14[р/р],"5/16",Таблица14[Ф. И. О.],B748)</f>
        <v>0</v>
      </c>
      <c r="U748" s="455">
        <f>база!$M$6</f>
        <v>279.0496</v>
      </c>
      <c r="V748" s="367">
        <v>1.2</v>
      </c>
      <c r="W748" s="389">
        <f>SUMIFS(Таблица14[часы],Таблица14[коэф],"1,2",Таблица14[р/р],"5/24",Таблица14[Ф. И. О.],B748)</f>
        <v>0</v>
      </c>
      <c r="X748" s="521">
        <f>SUMIFS(Таблица14[Столбец2],Таблица14[коэф],"1,2",Таблица14[р/р],"5/24",Таблица14[Ф. И. О.],B748)</f>
        <v>0</v>
      </c>
      <c r="Y748" s="754"/>
      <c r="Z748" s="750"/>
      <c r="AA748" s="740"/>
    </row>
    <row r="749" spans="1:27" ht="18.75" customHeight="1">
      <c r="A749" s="740"/>
      <c r="B749" s="201"/>
      <c r="C749" s="743"/>
      <c r="D749" s="746"/>
      <c r="E749" s="366"/>
      <c r="F749" s="367"/>
      <c r="G749" s="377"/>
      <c r="H749" s="369"/>
      <c r="I749" s="409"/>
      <c r="J749" s="410"/>
      <c r="K749" s="411"/>
      <c r="L749" s="411"/>
      <c r="M749" s="411"/>
      <c r="N749" s="411"/>
      <c r="O749" s="411"/>
      <c r="P749" s="383"/>
      <c r="Q749" s="366">
        <f>IF($D$6&lt;=3,база!$L$4,
IF($D$6=4,база!$L$5,
IF($D$6=5,база!$L$6)))</f>
        <v>231.45480000000001</v>
      </c>
      <c r="R749" s="367">
        <v>1.3</v>
      </c>
      <c r="S749" s="377">
        <f>SUMIFS(Таблица14[часы],Таблица14[коэф],"1,3",Таблица14[р/р],"3/16",Таблица14[Ф. И. О.],B748)</f>
        <v>0</v>
      </c>
      <c r="T749" s="369">
        <f>SUMIFS(Таблица14[Столбец2],Таблица14[коэф],"1,3",Таблица14[р/р],"3/16",Таблица14[Ф. И. О.],B748)</f>
        <v>0</v>
      </c>
      <c r="U749" s="455">
        <f>IF(D743&lt;=3,база!$M$4,
IF(D743=4,база!$M$5,
IF(D743=5,база!$M$6)))</f>
        <v>225.09719999999999</v>
      </c>
      <c r="V749" s="367">
        <v>1.3</v>
      </c>
      <c r="W749" s="389">
        <f>SUMIFS(Таблица14[часы],Таблица14[коэф],"1,3",Таблица14[р/р],"3/24",Таблица14[Ф. И. О.],B748)</f>
        <v>0</v>
      </c>
      <c r="X749" s="521">
        <f>SUMIFS(Таблица14[Столбец2],Таблица14[коэф],"1,3",Таблица14[р/р],"3/24",Таблица14[Ф. И. О.],B748)</f>
        <v>0</v>
      </c>
      <c r="Y749" s="754"/>
      <c r="Z749" s="750"/>
      <c r="AA749" s="740"/>
    </row>
    <row r="750" spans="1:27" ht="18.75" customHeight="1">
      <c r="A750" s="740"/>
      <c r="B750" s="201"/>
      <c r="C750" s="743"/>
      <c r="D750" s="746"/>
      <c r="E750" s="366"/>
      <c r="F750" s="367"/>
      <c r="G750" s="377"/>
      <c r="H750" s="369"/>
      <c r="I750" s="409"/>
      <c r="J750" s="410"/>
      <c r="K750" s="411"/>
      <c r="L750" s="411"/>
      <c r="M750" s="411"/>
      <c r="N750" s="411"/>
      <c r="O750" s="411"/>
      <c r="P750" s="383"/>
      <c r="Q750" s="366">
        <f>база!$L$5</f>
        <v>231.45480000000001</v>
      </c>
      <c r="R750" s="367">
        <v>1.3</v>
      </c>
      <c r="S750" s="377">
        <f>SUMIFS(Таблица14[часы],Таблица14[коэф],"1,3",Таблица14[р/р],"4/16",Таблица14[Ф. И. О.],B748)</f>
        <v>0</v>
      </c>
      <c r="T750" s="369">
        <f>SUMIFS(Таблица14[Столбец2],Таблица14[коэф],"1,3",Таблица14[р/р],"4/16",Таблица14[Ф. И. О.],B748)</f>
        <v>0</v>
      </c>
      <c r="U750" s="455">
        <f>база!$M$5</f>
        <v>247.41720000000001</v>
      </c>
      <c r="V750" s="367">
        <v>1.3</v>
      </c>
      <c r="W750" s="389">
        <f>SUMIFS(Таблица14[часы],Таблица14[коэф],"1,3",Таблица14[р/р],"4/24",Таблица14[Ф. И. О.],B748)</f>
        <v>0</v>
      </c>
      <c r="X750" s="521">
        <f>SUMIFS(Таблица14[Столбец2],Таблица14[коэф],"1,3",Таблица14[р/р],"4/24",Таблица14[Ф. И. О.],B748)</f>
        <v>0</v>
      </c>
      <c r="Y750" s="754"/>
      <c r="Z750" s="750"/>
      <c r="AA750" s="740"/>
    </row>
    <row r="751" spans="1:27" ht="18.75" customHeight="1">
      <c r="A751" s="740"/>
      <c r="B751" s="201"/>
      <c r="C751" s="743"/>
      <c r="D751" s="746"/>
      <c r="E751" s="366"/>
      <c r="F751" s="367"/>
      <c r="G751" s="377"/>
      <c r="H751" s="369"/>
      <c r="I751" s="409"/>
      <c r="J751" s="410"/>
      <c r="K751" s="411"/>
      <c r="L751" s="411"/>
      <c r="M751" s="411"/>
      <c r="N751" s="411"/>
      <c r="O751" s="411"/>
      <c r="P751" s="383"/>
      <c r="Q751" s="366">
        <f>IF(D743&lt;=3,база!$L$4,
IF(D743=4,база!$L$5,
IF(D743=5,база!$L$6)))</f>
        <v>210.57480000000001</v>
      </c>
      <c r="R751" s="367">
        <v>1.4</v>
      </c>
      <c r="S751" s="377">
        <f>SUMIFS(Таблица14[часы],Таблица14[коэф],"1,4",Таблица14[р/р],"3/16",Таблица14[Ф. И. О.],B748)</f>
        <v>0</v>
      </c>
      <c r="T751" s="369">
        <f>SUMIFS(Таблица14[Столбец2],Таблица14[коэф],"1,4",Таблица14[р/р],"3/16",Таблица14[Ф. И. О.],B748)</f>
        <v>0</v>
      </c>
      <c r="U751" s="455">
        <f>IF(D743&lt;=3,база!$M$4,
IF(D743=4,база!$M$5,
IF(D743=5,база!$M$6)))</f>
        <v>225.09719999999999</v>
      </c>
      <c r="V751" s="367">
        <v>1.4</v>
      </c>
      <c r="W751" s="389">
        <f>SUMIFS(Таблица14[часы],Таблица14[коэф],"1,4",Таблица14[р/р],"3/24",Таблица14[Ф. И. О.],B748)</f>
        <v>0</v>
      </c>
      <c r="X751" s="521">
        <f>SUMIFS(Таблица14[Столбец2],Таблица14[коэф],"1,4",Таблица14[р/р],"3/24",Таблица14[Ф. И. О.],B748)</f>
        <v>0</v>
      </c>
      <c r="Y751" s="754"/>
      <c r="Z751" s="750"/>
      <c r="AA751" s="740"/>
    </row>
    <row r="752" spans="1:27" ht="18.75" customHeight="1">
      <c r="A752" s="740"/>
      <c r="B752" s="201"/>
      <c r="C752" s="743"/>
      <c r="D752" s="746"/>
      <c r="E752" s="366"/>
      <c r="F752" s="367"/>
      <c r="G752" s="377"/>
      <c r="H752" s="369"/>
      <c r="I752" s="409"/>
      <c r="J752" s="410"/>
      <c r="K752" s="411"/>
      <c r="L752" s="411"/>
      <c r="M752" s="411"/>
      <c r="N752" s="411"/>
      <c r="O752" s="411"/>
      <c r="P752" s="383"/>
      <c r="Q752" s="366">
        <f>база!$L$5</f>
        <v>231.45480000000001</v>
      </c>
      <c r="R752" s="367">
        <v>1.4</v>
      </c>
      <c r="S752" s="377">
        <f>SUMIFS(Таблица14[часы],Таблица14[коэф],"1,4",Таблица14[р/р],"4/16",Таблица14[Ф. И. О.],B748)</f>
        <v>0</v>
      </c>
      <c r="T752" s="369">
        <f>SUMIFS(Таблица14[Столбец2],Таблица14[коэф],"1,4",Таблица14[р/р],"4/16",Таблица14[Ф. И. О.],B748)</f>
        <v>0</v>
      </c>
      <c r="U752" s="455">
        <f>база!$M$5</f>
        <v>247.41720000000001</v>
      </c>
      <c r="V752" s="367">
        <v>1.4</v>
      </c>
      <c r="W752" s="389">
        <f>SUMIFS(Таблица14[часы],Таблица14[коэф],"1,4",Таблица14[р/р],"4/24",Таблица14[Ф. И. О.],B748)</f>
        <v>0</v>
      </c>
      <c r="X752" s="521">
        <f>SUMIFS(Таблица14[Столбец2],Таблица14[коэф],"1,4",Таблица14[р/р],"4/24",Таблица14[Ф. И. О.],B748)</f>
        <v>0</v>
      </c>
      <c r="Y752" s="754"/>
      <c r="Z752" s="750"/>
      <c r="AA752" s="740"/>
    </row>
    <row r="753" spans="1:27" ht="19.5" customHeight="1" thickBot="1">
      <c r="A753" s="741"/>
      <c r="B753" s="329"/>
      <c r="C753" s="744"/>
      <c r="D753" s="747"/>
      <c r="E753" s="414"/>
      <c r="F753" s="415"/>
      <c r="G753" s="664"/>
      <c r="H753" s="417"/>
      <c r="I753" s="390"/>
      <c r="J753" s="575"/>
      <c r="K753" s="391"/>
      <c r="L753" s="437"/>
      <c r="M753" s="390"/>
      <c r="N753" s="391"/>
      <c r="O753" s="391"/>
      <c r="P753" s="392"/>
      <c r="Q753" s="659">
        <f>база!$L$6</f>
        <v>261.04640000000001</v>
      </c>
      <c r="R753" s="415">
        <v>1.4</v>
      </c>
      <c r="S753" s="416">
        <f>SUMIFS(Таблица14[часы],Таблица14[коэф],"1,4",Таблица14[р/р],"5/16",Таблица14[Ф. И. О.],B748)</f>
        <v>0</v>
      </c>
      <c r="T753" s="417">
        <f>SUMIFS(Таблица14[Столбец2],Таблица14[коэф],"1,4",Таблица14[р/р],"5/16",Таблица14[Ф. И. О.],B748)</f>
        <v>0</v>
      </c>
      <c r="U753" s="492">
        <f>база!$M$6</f>
        <v>279.0496</v>
      </c>
      <c r="V753" s="380">
        <v>1.4</v>
      </c>
      <c r="W753" s="416">
        <f>SUMIFS(Таблица14[часы],Таблица14[коэф],"1,4",Таблица14[р/р],"5/24",Таблица14[Ф. И. О.],B748)</f>
        <v>0</v>
      </c>
      <c r="X753" s="417">
        <f>SUMIFS(Таблица14[Столбец2],Таблица14[коэф],"1,4",Таблица14[р/р],"5/24",Таблица14[Ф. И. О.],B748)</f>
        <v>0</v>
      </c>
      <c r="Y753" s="754"/>
      <c r="Z753" s="751"/>
      <c r="AA753" s="741"/>
    </row>
    <row r="754" spans="1:27" ht="18.75" customHeight="1">
      <c r="A754" s="740">
        <v>70</v>
      </c>
      <c r="B754" s="201"/>
      <c r="C754" s="742">
        <f>INDEX(база!$E$2:$E$150, MATCH(B759,база!$B$2:$B$150,0))</f>
        <v>17196</v>
      </c>
      <c r="D754" s="745">
        <f>INDEX(база!$D$2:$D$150, MATCH(B759,база!$B$2:$B$150,0))</f>
        <v>3</v>
      </c>
      <c r="E754" s="354">
        <f>IF(D754&lt;=3,база!$I$4,
IF(D754=4,база!$I$5,
IF(D754=5,база!$I$6)))</f>
        <v>188.7912</v>
      </c>
      <c r="F754" s="355">
        <v>1</v>
      </c>
      <c r="G754" s="364">
        <f>SUMIFS(Таблица14[часы],Таблица14[коэф],"1",Таблица14[р/р],"2/4",Таблица14[Ф. И. О.],B759)</f>
        <v>0</v>
      </c>
      <c r="H754" s="357">
        <f>SUMIFS(Таблица14[Столбец2],Таблица14[коэф],"1",Таблица14[р/р],"2/4",Таблица14[Ф. И. О.],B759)</f>
        <v>0</v>
      </c>
      <c r="I754" s="403">
        <f>IF(D754&lt;=3,база!$J$4,
IF(D754=4,база!$J$5,
IF(D754=5,база!$J$6)))</f>
        <v>196.05240000000001</v>
      </c>
      <c r="J754" s="404">
        <v>1</v>
      </c>
      <c r="K754" s="405">
        <f>SUMIFS(Таблица14[часы],Таблица14[коэф],"1",Таблица14[р/р],"2/8",Таблица14[Ф. И. О.],B759)</f>
        <v>0</v>
      </c>
      <c r="L754" s="405">
        <f>SUMIFS(Таблица14[Столбец2],Таблица14[коэф],"1",Таблица14[р/р],"2/8",Таблица14[Ф. И. О.],B759)</f>
        <v>0</v>
      </c>
      <c r="M754" s="405"/>
      <c r="N754" s="405">
        <v>1</v>
      </c>
      <c r="O754" s="405">
        <f>SUMIFS(Data_Tech!$AM$3:$AM$67,Data_Tech!$E$3:$E$67,"1",Data_Tech!$G$3:$G$67,"3/12",Data_Tech!$F$3:$F$67,B759)</f>
        <v>0</v>
      </c>
      <c r="P754" s="362">
        <f>ROUND(M754*N754*O754,2)</f>
        <v>0</v>
      </c>
      <c r="Q754" s="354">
        <f>IF(D754&lt;=3,база!$L$4,
IF(D754=4,база!$L$5,
IF(D754=5,база!$L$6)))</f>
        <v>210.57480000000001</v>
      </c>
      <c r="R754" s="355">
        <v>1</v>
      </c>
      <c r="S754" s="364">
        <f>SUMIFS(Таблица14[часы],Таблица14[коэф],"1",Таблица14[р/р],"3/16",Таблица14[Ф. И. О.],B759)</f>
        <v>0</v>
      </c>
      <c r="T754" s="357">
        <f>SUMIFS(Таблица14[Столбец2],Таблица14[коэф],"1",Таблица14[р/р],"3/16",Таблица14[Ф. И. О.],B759)</f>
        <v>0</v>
      </c>
      <c r="U754" s="454">
        <f>IF(D754&lt;=3,база!$M$4,
IF(D754=4,база!$M$5,
IF(D754=5,база!$M$6)))</f>
        <v>225.09719999999999</v>
      </c>
      <c r="V754" s="355">
        <v>1</v>
      </c>
      <c r="W754" s="407">
        <f>SUMIFS(Таблица14[часы],Таблица14[коэф],"1",Таблица14[р/р],"3/24",Таблица14[Ф. И. О.],B759)</f>
        <v>0</v>
      </c>
      <c r="X754" s="519">
        <f>SUMIFS(Таблица14[Столбец2],Таблица14[коэф],"1",Таблица14[р/р],"3/24",Таблица14[Ф. И. О.],B759)</f>
        <v>0</v>
      </c>
      <c r="Y754" s="753">
        <f t="shared" ref="Y754" si="274">SUM(G754:G764,K754:K764,O754:O764,S754:S764,W754:W764)</f>
        <v>0</v>
      </c>
      <c r="Z754" s="750">
        <f t="shared" ref="Z754" si="275">IFERROR(SUM(H754:H764,L754:L764,T754:T764,X754:X764),"")</f>
        <v>0</v>
      </c>
      <c r="AA754" s="740"/>
    </row>
    <row r="755" spans="1:27" ht="18.75" customHeight="1">
      <c r="A755" s="740"/>
      <c r="B755" s="201"/>
      <c r="C755" s="743"/>
      <c r="D755" s="746"/>
      <c r="E755" s="366">
        <f>IF(D754&lt;=3,база!$I$4,
IF(D754=4,база!$I$5,
IF(D754=5,база!$I$6)))</f>
        <v>188.7912</v>
      </c>
      <c r="F755" s="367">
        <v>1</v>
      </c>
      <c r="G755" s="377">
        <f>SUMIFS(Таблица14[часы],Таблица14[коэф],"1",Таблица14[р/р],"3/4",Таблица14[Ф. И. О.],B759)</f>
        <v>0</v>
      </c>
      <c r="H755" s="369">
        <f>SUMIFS(Таблица14[Столбец2],Таблица14[коэф],"1",Таблица14[р/р],"3/4",Таблица14[Ф. И. О.],B759)</f>
        <v>0</v>
      </c>
      <c r="I755" s="409">
        <f>IF(D754&lt;=3,база!$J$4,
IF(D754=4,база!$J$5,
IF(D754=5,база!$J$6)))</f>
        <v>196.05240000000001</v>
      </c>
      <c r="J755" s="410">
        <v>1</v>
      </c>
      <c r="K755" s="411">
        <f>SUMIFS(Таблица14[часы],Таблица14[коэф],"1",Таблица14[р/р],"3/8",Таблица14[Ф. И. О.],B759)</f>
        <v>0</v>
      </c>
      <c r="L755" s="411">
        <f>SUMIFS(Таблица14[Столбец2],Таблица14[коэф],"1",Таблица14[р/р],"3/8",Таблица14[Ф. И. О.],B759)</f>
        <v>0</v>
      </c>
      <c r="M755" s="411"/>
      <c r="N755" s="411">
        <v>1</v>
      </c>
      <c r="O755" s="411">
        <f>SUMIFS(Data_Tech!$AM$3:$AM$67,Data_Tech!$E$3:$E$67,"1",Data_Tech!$G$3:$G$67,"4/12",Data_Tech!$F$3:$F$67,B759)</f>
        <v>0</v>
      </c>
      <c r="P755" s="383">
        <f>ROUND(M755*O755,2)</f>
        <v>0</v>
      </c>
      <c r="Q755" s="366">
        <f>база!$L$5</f>
        <v>231.45480000000001</v>
      </c>
      <c r="R755" s="367">
        <v>1</v>
      </c>
      <c r="S755" s="377">
        <f>SUMIFS(Таблица14[часы],Таблица14[коэф],"1",Таблица14[р/р],"4/16",Таблица14[Ф. И. О.],B759)</f>
        <v>0</v>
      </c>
      <c r="T755" s="369">
        <f>SUMIFS(Таблица14[Столбец2],Таблица14[коэф],"1",Таблица14[р/р],"4/16",Таблица14[Ф. И. О.],B759)</f>
        <v>0</v>
      </c>
      <c r="U755" s="455">
        <f>база!$M$5</f>
        <v>247.41720000000001</v>
      </c>
      <c r="V755" s="367">
        <v>1</v>
      </c>
      <c r="W755" s="389">
        <f>SUMIFS(Таблица14[часы],Таблица14[коэф],"1",Таблица14[р/р],"4/24",Таблица14[Ф. И. О.],B759)</f>
        <v>0</v>
      </c>
      <c r="X755" s="521">
        <f>SUMIFS(Таблица14[Столбец2],Таблица14[коэф],"1",Таблица14[р/р],"4/24",Таблица14[Ф. И. О.],B759)</f>
        <v>0</v>
      </c>
      <c r="Y755" s="754"/>
      <c r="Z755" s="750"/>
      <c r="AA755" s="740"/>
    </row>
    <row r="756" spans="1:27" ht="18.75" customHeight="1">
      <c r="A756" s="740"/>
      <c r="B756" s="201"/>
      <c r="C756" s="743"/>
      <c r="D756" s="746"/>
      <c r="E756" s="366"/>
      <c r="F756" s="367"/>
      <c r="G756" s="377"/>
      <c r="H756" s="369"/>
      <c r="I756" s="409"/>
      <c r="J756" s="410"/>
      <c r="K756" s="411"/>
      <c r="L756" s="411"/>
      <c r="M756" s="411"/>
      <c r="N756" s="411"/>
      <c r="O756" s="411"/>
      <c r="P756" s="383"/>
      <c r="Q756" s="366">
        <f>база!$L$6</f>
        <v>261.04640000000001</v>
      </c>
      <c r="R756" s="367">
        <v>1</v>
      </c>
      <c r="S756" s="377">
        <f>SUMIFS(Таблица14[часы],Таблица14[коэф],"1",Таблица14[р/р],"5/16",Таблица14[Ф. И. О.],B759)</f>
        <v>0</v>
      </c>
      <c r="T756" s="369">
        <f>SUMIFS(Таблица14[Столбец2],Таблица14[коэф],"1",Таблица14[р/р],"5/16",Таблица14[Ф. И. О.],B759)</f>
        <v>0</v>
      </c>
      <c r="U756" s="455">
        <f>база!$M$6</f>
        <v>279.0496</v>
      </c>
      <c r="V756" s="367">
        <v>1</v>
      </c>
      <c r="W756" s="389">
        <f>SUMIFS(Таблица14[часы],Таблица14[коэф],"1",Таблица14[р/р],"5/24",Таблица14[Ф. И. О.],B759)</f>
        <v>0</v>
      </c>
      <c r="X756" s="521">
        <f>SUMIFS(Таблица14[Столбец2],Таблица14[коэф],"1",Таблица14[р/р],"5/24",Таблица14[Ф. И. О.],B759)</f>
        <v>0</v>
      </c>
      <c r="Y756" s="754"/>
      <c r="Z756" s="750"/>
      <c r="AA756" s="740"/>
    </row>
    <row r="757" spans="1:27" ht="18.75" customHeight="1">
      <c r="A757" s="740"/>
      <c r="B757" s="201"/>
      <c r="C757" s="743"/>
      <c r="D757" s="746"/>
      <c r="E757" s="366"/>
      <c r="F757" s="367"/>
      <c r="G757" s="377"/>
      <c r="H757" s="369"/>
      <c r="I757" s="409">
        <f>база!$J$5</f>
        <v>215.4924</v>
      </c>
      <c r="J757" s="410">
        <v>1.5</v>
      </c>
      <c r="K757" s="411">
        <f>SUMIFS(Таблица14[часы],Таблица14[коэф],"1,5",Таблица14[р/р],"4/8",Таблица14[Ф. И. О.],B759)</f>
        <v>0</v>
      </c>
      <c r="L757" s="411">
        <f>SUMIFS(Таблица14[Столбец2],Таблица14[коэф],"1,5",Таблица14[р/р],"4/8",Таблица14[Ф. И. О.],B759)</f>
        <v>0</v>
      </c>
      <c r="M757" s="411"/>
      <c r="N757" s="411"/>
      <c r="O757" s="411"/>
      <c r="P757" s="383"/>
      <c r="Q757" s="366">
        <f>IF(D754&lt;=3,база!$L$4,
IF(D754=4,база!$L$5,
IF(D754=5,база!$L$6)))</f>
        <v>210.57480000000001</v>
      </c>
      <c r="R757" s="367">
        <v>1.2</v>
      </c>
      <c r="S757" s="377">
        <f>SUMIFS(Таблица14[часы],Таблица14[коэф],"1,2",Таблица14[р/р],"3/16",Таблица14[Ф. И. О.],B759)</f>
        <v>0</v>
      </c>
      <c r="T757" s="369">
        <f>SUMIFS(Таблица14[Столбец2],Таблица14[коэф],"1,2",Таблица14[р/р],"3/16",Таблица14[Ф. И. О.],B759)</f>
        <v>0</v>
      </c>
      <c r="U757" s="455">
        <f>IF(D754&lt;=3,база!$M$4,
IF(D754=4,база!$M$5,
IF(D754=5,база!$M$6)))</f>
        <v>225.09719999999999</v>
      </c>
      <c r="V757" s="367">
        <v>1.2</v>
      </c>
      <c r="W757" s="389">
        <f>SUMIFS(Таблица14[часы],Таблица14[коэф],"1,2",Таблица14[р/р],"3/24",Таблица14[Ф. И. О.],B759)</f>
        <v>0</v>
      </c>
      <c r="X757" s="521">
        <f>SUMIFS(Таблица14[Столбец2],Таблица14[коэф],"1,2",Таблица14[р/р],"3/24",Таблица14[Ф. И. О.],B759)</f>
        <v>0</v>
      </c>
      <c r="Y757" s="754"/>
      <c r="Z757" s="750"/>
      <c r="AA757" s="740"/>
    </row>
    <row r="758" spans="1:27" ht="18.75" customHeight="1">
      <c r="A758" s="740"/>
      <c r="B758" s="201"/>
      <c r="C758" s="743"/>
      <c r="D758" s="746"/>
      <c r="E758" s="366"/>
      <c r="F758" s="367"/>
      <c r="G758" s="377"/>
      <c r="H758" s="369"/>
      <c r="I758" s="409">
        <f>база!$J$6</f>
        <v>243.04319999999998</v>
      </c>
      <c r="J758" s="410">
        <v>1.5</v>
      </c>
      <c r="K758" s="411">
        <f>SUMIFS(Таблица14[часы],Таблица14[коэф],"1,5",Таблица14[р/р],"5/8",Таблица14[Ф. И. О.],B759)</f>
        <v>0</v>
      </c>
      <c r="L758" s="411">
        <f>SUMIFS(Таблица14[Столбец2],Таблица14[коэф],"1,5",Таблица14[р/р],"5/8",Таблица14[Ф. И. О.],B759)</f>
        <v>0</v>
      </c>
      <c r="M758" s="411"/>
      <c r="N758" s="411"/>
      <c r="O758" s="411"/>
      <c r="P758" s="383"/>
      <c r="Q758" s="366">
        <f>база!$L$5</f>
        <v>231.45480000000001</v>
      </c>
      <c r="R758" s="367">
        <v>1.2</v>
      </c>
      <c r="S758" s="377">
        <f>SUMIFS(Таблица14[часы],Таблица14[коэф],"1,2",Таблица14[р/р],"4/16",Таблица14[Ф. И. О.],B759)</f>
        <v>0</v>
      </c>
      <c r="T758" s="369">
        <f>SUMIFS(Таблица14[Столбец2],Таблица14[коэф],"1,2",Таблица14[р/р],"4/16",Таблица14[Ф. И. О.],B759)</f>
        <v>0</v>
      </c>
      <c r="U758" s="455">
        <f>база!$M$5</f>
        <v>247.41720000000001</v>
      </c>
      <c r="V758" s="367">
        <v>1.2</v>
      </c>
      <c r="W758" s="389">
        <f>SUMIFS(Таблица14[часы],Таблица14[коэф],"1,2",Таблица14[р/р],"4/24",Таблица14[Ф. И. О.],B759)</f>
        <v>0</v>
      </c>
      <c r="X758" s="521">
        <f>SUMIFS(Таблица14[Столбец2],Таблица14[коэф],"1,2",Таблица14[р/р],"4/24",Таблица14[Ф. И. О.],B759)</f>
        <v>0</v>
      </c>
      <c r="Y758" s="754"/>
      <c r="Z758" s="750"/>
      <c r="AA758" s="740"/>
    </row>
    <row r="759" spans="1:27" ht="18.75" customHeight="1">
      <c r="A759" s="740"/>
      <c r="B759" s="201" t="str">
        <f>база!B70</f>
        <v>Старичкова Полина Анатольевна</v>
      </c>
      <c r="C759" s="743"/>
      <c r="D759" s="746"/>
      <c r="E759" s="366"/>
      <c r="F759" s="367"/>
      <c r="G759" s="377"/>
      <c r="H759" s="369"/>
      <c r="I759" s="409"/>
      <c r="J759" s="410"/>
      <c r="K759" s="411"/>
      <c r="L759" s="411"/>
      <c r="M759" s="411"/>
      <c r="N759" s="411"/>
      <c r="O759" s="411"/>
      <c r="P759" s="383"/>
      <c r="Q759" s="366">
        <f>база!$L$6</f>
        <v>261.04640000000001</v>
      </c>
      <c r="R759" s="367">
        <v>1.2</v>
      </c>
      <c r="S759" s="377">
        <f>SUMIFS(Таблица14[часы],Таблица14[коэф],"1,2",Таблица14[р/р],"5/16",Таблица14[Ф. И. О.],B759)</f>
        <v>0</v>
      </c>
      <c r="T759" s="369">
        <f>SUMIFS(Таблица14[Столбец2],Таблица14[коэф],"1,2",Таблица14[р/р],"5/16",Таблица14[Ф. И. О.],B759)</f>
        <v>0</v>
      </c>
      <c r="U759" s="455">
        <f>база!$M$6</f>
        <v>279.0496</v>
      </c>
      <c r="V759" s="367">
        <v>1.2</v>
      </c>
      <c r="W759" s="389">
        <f>SUMIFS(Таблица14[часы],Таблица14[коэф],"1,2",Таблица14[р/р],"5/24",Таблица14[Ф. И. О.],B759)</f>
        <v>0</v>
      </c>
      <c r="X759" s="521">
        <f>SUMIFS(Таблица14[Столбец2],Таблица14[коэф],"1,2",Таблица14[р/р],"5/24",Таблица14[Ф. И. О.],B759)</f>
        <v>0</v>
      </c>
      <c r="Y759" s="754"/>
      <c r="Z759" s="750"/>
      <c r="AA759" s="740"/>
    </row>
    <row r="760" spans="1:27" ht="18.75" customHeight="1">
      <c r="A760" s="740"/>
      <c r="B760" s="201"/>
      <c r="C760" s="743"/>
      <c r="D760" s="746"/>
      <c r="E760" s="366"/>
      <c r="F760" s="367"/>
      <c r="G760" s="377"/>
      <c r="H760" s="369"/>
      <c r="I760" s="409"/>
      <c r="J760" s="410"/>
      <c r="K760" s="411"/>
      <c r="L760" s="411"/>
      <c r="M760" s="411"/>
      <c r="N760" s="411"/>
      <c r="O760" s="411"/>
      <c r="P760" s="383"/>
      <c r="Q760" s="366">
        <f>IF($D$6&lt;=3,база!$L$4,
IF($D$6=4,база!$L$5,
IF($D$6=5,база!$L$6)))</f>
        <v>231.45480000000001</v>
      </c>
      <c r="R760" s="367">
        <v>1.3</v>
      </c>
      <c r="S760" s="377">
        <f>SUMIFS(Таблица14[часы],Таблица14[коэф],"1,3",Таблица14[р/р],"3/16",Таблица14[Ф. И. О.],B759)</f>
        <v>0</v>
      </c>
      <c r="T760" s="369">
        <f>SUMIFS(Таблица14[Столбец2],Таблица14[коэф],"1,3",Таблица14[р/р],"3/16",Таблица14[Ф. И. О.],B759)</f>
        <v>0</v>
      </c>
      <c r="U760" s="455">
        <f>IF(D754&lt;=3,база!$M$4,
IF(D754=4,база!$M$5,
IF(D754=5,база!$M$6)))</f>
        <v>225.09719999999999</v>
      </c>
      <c r="V760" s="367">
        <v>1.3</v>
      </c>
      <c r="W760" s="389">
        <f>SUMIFS(Таблица14[часы],Таблица14[коэф],"1,3",Таблица14[р/р],"3/24",Таблица14[Ф. И. О.],B759)</f>
        <v>0</v>
      </c>
      <c r="X760" s="521">
        <f>SUMIFS(Таблица14[Столбец2],Таблица14[коэф],"1,3",Таблица14[р/р],"3/24",Таблица14[Ф. И. О.],B759)</f>
        <v>0</v>
      </c>
      <c r="Y760" s="754"/>
      <c r="Z760" s="750"/>
      <c r="AA760" s="740"/>
    </row>
    <row r="761" spans="1:27" ht="18.75" customHeight="1">
      <c r="A761" s="740"/>
      <c r="B761" s="201"/>
      <c r="C761" s="743"/>
      <c r="D761" s="746"/>
      <c r="E761" s="366"/>
      <c r="F761" s="367"/>
      <c r="G761" s="377"/>
      <c r="H761" s="369"/>
      <c r="I761" s="409"/>
      <c r="J761" s="410"/>
      <c r="K761" s="411"/>
      <c r="L761" s="411"/>
      <c r="M761" s="411"/>
      <c r="N761" s="411"/>
      <c r="O761" s="411"/>
      <c r="P761" s="383"/>
      <c r="Q761" s="366">
        <f>база!$L$5</f>
        <v>231.45480000000001</v>
      </c>
      <c r="R761" s="367">
        <v>1.3</v>
      </c>
      <c r="S761" s="377">
        <f>SUMIFS(Таблица14[часы],Таблица14[коэф],"1,3",Таблица14[р/р],"4/16",Таблица14[Ф. И. О.],B759)</f>
        <v>0</v>
      </c>
      <c r="T761" s="369">
        <f>SUMIFS(Таблица14[Столбец2],Таблица14[коэф],"1,3",Таблица14[р/р],"4/16",Таблица14[Ф. И. О.],B759)</f>
        <v>0</v>
      </c>
      <c r="U761" s="455">
        <f>база!$M$5</f>
        <v>247.41720000000001</v>
      </c>
      <c r="V761" s="367">
        <v>1.3</v>
      </c>
      <c r="W761" s="389">
        <f>SUMIFS(Таблица14[часы],Таблица14[коэф],"1,3",Таблица14[р/р],"4/24",Таблица14[Ф. И. О.],B759)</f>
        <v>0</v>
      </c>
      <c r="X761" s="521">
        <f>SUMIFS(Таблица14[Столбец2],Таблица14[коэф],"1,3",Таблица14[р/р],"4/24",Таблица14[Ф. И. О.],B759)</f>
        <v>0</v>
      </c>
      <c r="Y761" s="754"/>
      <c r="Z761" s="750"/>
      <c r="AA761" s="740"/>
    </row>
    <row r="762" spans="1:27" ht="18.75" customHeight="1">
      <c r="A762" s="740"/>
      <c r="B762" s="201"/>
      <c r="C762" s="743"/>
      <c r="D762" s="746"/>
      <c r="E762" s="366"/>
      <c r="F762" s="367"/>
      <c r="G762" s="377"/>
      <c r="H762" s="369"/>
      <c r="I762" s="409"/>
      <c r="J762" s="410"/>
      <c r="K762" s="411"/>
      <c r="L762" s="411"/>
      <c r="M762" s="411"/>
      <c r="N762" s="411"/>
      <c r="O762" s="411"/>
      <c r="P762" s="383"/>
      <c r="Q762" s="366">
        <f>IF(D754&lt;=3,база!$L$4,
IF(D754=4,база!$L$5,
IF(D754=5,база!$L$6)))</f>
        <v>210.57480000000001</v>
      </c>
      <c r="R762" s="367">
        <v>1.4</v>
      </c>
      <c r="S762" s="377">
        <f>SUMIFS(Таблица14[часы],Таблица14[коэф],"1,4",Таблица14[р/р],"3/16",Таблица14[Ф. И. О.],B759)</f>
        <v>0</v>
      </c>
      <c r="T762" s="369">
        <f>SUMIFS(Таблица14[Столбец2],Таблица14[коэф],"1,4",Таблица14[р/р],"3/16",Таблица14[Ф. И. О.],B759)</f>
        <v>0</v>
      </c>
      <c r="U762" s="455">
        <f>IF(D754&lt;=3,база!$M$4,
IF(D754=4,база!$M$5,
IF(D754=5,база!$M$6)))</f>
        <v>225.09719999999999</v>
      </c>
      <c r="V762" s="367">
        <v>1.4</v>
      </c>
      <c r="W762" s="389">
        <f>SUMIFS(Таблица14[часы],Таблица14[коэф],"1,4",Таблица14[р/р],"3/24",Таблица14[Ф. И. О.],B759)</f>
        <v>0</v>
      </c>
      <c r="X762" s="521">
        <f>SUMIFS(Таблица14[Столбец2],Таблица14[коэф],"1,4",Таблица14[р/р],"3/24",Таблица14[Ф. И. О.],B759)</f>
        <v>0</v>
      </c>
      <c r="Y762" s="754"/>
      <c r="Z762" s="750"/>
      <c r="AA762" s="740"/>
    </row>
    <row r="763" spans="1:27" ht="18.75" customHeight="1">
      <c r="A763" s="740"/>
      <c r="B763" s="201"/>
      <c r="C763" s="743"/>
      <c r="D763" s="746"/>
      <c r="E763" s="366"/>
      <c r="F763" s="367"/>
      <c r="G763" s="377"/>
      <c r="H763" s="369"/>
      <c r="I763" s="409"/>
      <c r="J763" s="410"/>
      <c r="K763" s="411"/>
      <c r="L763" s="411"/>
      <c r="M763" s="411"/>
      <c r="N763" s="411"/>
      <c r="O763" s="411"/>
      <c r="P763" s="383"/>
      <c r="Q763" s="366">
        <f>база!$L$5</f>
        <v>231.45480000000001</v>
      </c>
      <c r="R763" s="367">
        <v>1.4</v>
      </c>
      <c r="S763" s="377">
        <f>SUMIFS(Таблица14[часы],Таблица14[коэф],"1,4",Таблица14[р/р],"4/16",Таблица14[Ф. И. О.],B759)</f>
        <v>0</v>
      </c>
      <c r="T763" s="369">
        <f>SUMIFS(Таблица14[Столбец2],Таблица14[коэф],"1,4",Таблица14[р/р],"4/16",Таблица14[Ф. И. О.],B759)</f>
        <v>0</v>
      </c>
      <c r="U763" s="455">
        <f>база!$M$5</f>
        <v>247.41720000000001</v>
      </c>
      <c r="V763" s="367">
        <v>1.4</v>
      </c>
      <c r="W763" s="389">
        <f>SUMIFS(Таблица14[часы],Таблица14[коэф],"1,4",Таблица14[р/р],"4/24",Таблица14[Ф. И. О.],B759)</f>
        <v>0</v>
      </c>
      <c r="X763" s="521">
        <f>SUMIFS(Таблица14[Столбец2],Таблица14[коэф],"1,4",Таблица14[р/р],"4/24",Таблица14[Ф. И. О.],B759)</f>
        <v>0</v>
      </c>
      <c r="Y763" s="754"/>
      <c r="Z763" s="750"/>
      <c r="AA763" s="740"/>
    </row>
    <row r="764" spans="1:27" ht="19.5" customHeight="1" thickBot="1">
      <c r="A764" s="741"/>
      <c r="B764" s="329"/>
      <c r="C764" s="744"/>
      <c r="D764" s="747"/>
      <c r="E764" s="422"/>
      <c r="F764" s="423"/>
      <c r="G764" s="624"/>
      <c r="H764" s="511"/>
      <c r="I764" s="625"/>
      <c r="J764" s="588"/>
      <c r="K764" s="626"/>
      <c r="L764" s="434"/>
      <c r="M764" s="625"/>
      <c r="N764" s="626"/>
      <c r="O764" s="626"/>
      <c r="P764" s="514"/>
      <c r="Q764" s="627">
        <f>база!$L$6</f>
        <v>261.04640000000001</v>
      </c>
      <c r="R764" s="423">
        <v>1.4</v>
      </c>
      <c r="S764" s="424">
        <f>SUMIFS(Таблица14[часы],Таблица14[коэф],"1,4",Таблица14[р/р],"5/16",Таблица14[Ф. И. О.],B759)</f>
        <v>0</v>
      </c>
      <c r="T764" s="511">
        <f>SUMIFS(Таблица14[Столбец2],Таблица14[коэф],"1,4",Таблица14[р/р],"5/16",Таблица14[Ф. И. О.],B759)</f>
        <v>0</v>
      </c>
      <c r="U764" s="512">
        <f>база!$M$6</f>
        <v>279.0496</v>
      </c>
      <c r="V764" s="441">
        <v>1.4</v>
      </c>
      <c r="W764" s="424">
        <f>SUMIFS(Таблица14[часы],Таблица14[коэф],"1,4",Таблица14[р/р],"5/24",Таблица14[Ф. И. О.],B759)</f>
        <v>0</v>
      </c>
      <c r="X764" s="511">
        <f>SUMIFS(Таблица14[Столбец2],Таблица14[коэф],"1,4",Таблица14[р/р],"5/24",Таблица14[Ф. И. О.],B759)</f>
        <v>0</v>
      </c>
      <c r="Y764" s="755"/>
      <c r="Z764" s="751"/>
      <c r="AA764" s="741"/>
    </row>
    <row r="765" spans="1:27" ht="18.75" customHeight="1">
      <c r="A765" s="740">
        <v>71</v>
      </c>
      <c r="B765" s="201"/>
      <c r="C765" s="742">
        <f>INDEX(база!$E$2:$E$150, MATCH(B770,база!$B$2:$B$150,0))</f>
        <v>17062</v>
      </c>
      <c r="D765" s="745">
        <f>INDEX(база!$D$2:$D$150, MATCH(B770,база!$B$2:$B$150,0))</f>
        <v>3</v>
      </c>
      <c r="E765" s="458">
        <f>IF(D765&lt;=3,база!$I$4,
IF(D765=4,база!$I$5,
IF(D765=5,база!$I$6)))</f>
        <v>188.7912</v>
      </c>
      <c r="F765" s="394">
        <v>1</v>
      </c>
      <c r="G765" s="395">
        <f>SUMIFS(Таблица14[часы],Таблица14[коэф],"1",Таблица14[р/р],"2/4",Таблица14[Ф. И. О.],B770)</f>
        <v>0</v>
      </c>
      <c r="H765" s="379">
        <f>SUMIFS(Таблица14[Столбец2],Таблица14[коэф],"1",Таблица14[р/р],"2/4",Таблица14[Ф. И. О.],B770)</f>
        <v>0</v>
      </c>
      <c r="I765" s="429">
        <f>IF(D765&lt;=3,база!$J$4,
IF(D765=4,база!$J$5,
IF(D765=5,база!$J$6)))</f>
        <v>196.05240000000001</v>
      </c>
      <c r="J765" s="452">
        <v>1</v>
      </c>
      <c r="K765" s="430">
        <f>SUMIFS(Таблица14[часы],Таблица14[коэф],"1",Таблица14[р/р],"2/8",Таблица14[Ф. И. О.],B770)</f>
        <v>0</v>
      </c>
      <c r="L765" s="430">
        <f>SUMIFS(Таблица14[Столбец2],Таблица14[коэф],"1",Таблица14[р/р],"2/8",Таблица14[Ф. И. О.],B770)</f>
        <v>0</v>
      </c>
      <c r="M765" s="430"/>
      <c r="N765" s="430">
        <v>1</v>
      </c>
      <c r="O765" s="430">
        <f>SUMIFS(Data_Tech!$AM$3:$AM$67,Data_Tech!$E$3:$E$67,"1",Data_Tech!$G$3:$G$67,"3/12",Data_Tech!$F$3:$F$67,B770)</f>
        <v>0</v>
      </c>
      <c r="P765" s="375">
        <f>ROUND(M765*N765*O765,2)</f>
        <v>0</v>
      </c>
      <c r="Q765" s="458">
        <f>IF(D765&lt;=3,база!$L$4,
IF(D765=4,база!$L$5,
IF(D765=5,база!$L$6)))</f>
        <v>210.57480000000001</v>
      </c>
      <c r="R765" s="394">
        <v>1</v>
      </c>
      <c r="S765" s="395">
        <f>SUMIFS(Таблица14[часы],Таблица14[коэф],"1",Таблица14[р/р],"3/16",Таблица14[Ф. И. О.],B770)</f>
        <v>0</v>
      </c>
      <c r="T765" s="379">
        <f>SUMIFS(Таблица14[Столбец2],Таблица14[коэф],"1",Таблица14[р/р],"3/16",Таблица14[Ф. И. О.],B770)</f>
        <v>0</v>
      </c>
      <c r="U765" s="460">
        <f>IF(D765&lt;=3,база!$M$4,
IF(D765=4,база!$M$5,
IF(D765=5,база!$M$6)))</f>
        <v>225.09719999999999</v>
      </c>
      <c r="V765" s="394">
        <v>1</v>
      </c>
      <c r="W765" s="432">
        <f>SUMIFS(Таблица14[часы],Таблица14[коэф],"1",Таблица14[р/р],"3/24",Таблица14[Ф. И. О.],B770)</f>
        <v>0</v>
      </c>
      <c r="X765" s="528">
        <f>SUMIFS(Таблица14[Столбец2],Таблица14[коэф],"1",Таблица14[р/р],"3/24",Таблица14[Ф. И. О.],B770)</f>
        <v>0</v>
      </c>
      <c r="Y765" s="754">
        <f t="shared" ref="Y765" si="276">SUM(G765:G775,K765:K775,O765:O775,S765:S775,W765:W775)</f>
        <v>0</v>
      </c>
      <c r="Z765" s="750">
        <f t="shared" ref="Z765" si="277">IFERROR(SUM(H765:H775,L765:L775,T765:T775,X765:X775),"")</f>
        <v>0</v>
      </c>
      <c r="AA765" s="740"/>
    </row>
    <row r="766" spans="1:27" ht="18.75" customHeight="1">
      <c r="A766" s="740"/>
      <c r="B766" s="201"/>
      <c r="C766" s="743"/>
      <c r="D766" s="746"/>
      <c r="E766" s="366">
        <f>IF(D765&lt;=3,база!$I$4,
IF(D765=4,база!$I$5,
IF(D765=5,база!$I$6)))</f>
        <v>188.7912</v>
      </c>
      <c r="F766" s="367">
        <v>1</v>
      </c>
      <c r="G766" s="377">
        <f>SUMIFS(Таблица14[часы],Таблица14[коэф],"1",Таблица14[р/р],"3/4",Таблица14[Ф. И. О.],B770)</f>
        <v>0</v>
      </c>
      <c r="H766" s="369">
        <f>SUMIFS(Таблица14[Столбец2],Таблица14[коэф],"1",Таблица14[р/р],"3/4",Таблица14[Ф. И. О.],B770)</f>
        <v>0</v>
      </c>
      <c r="I766" s="409">
        <f>IF(D765&lt;=3,база!$J$4,
IF(D765=4,база!$J$5,
IF(D765=5,база!$J$6)))</f>
        <v>196.05240000000001</v>
      </c>
      <c r="J766" s="410">
        <v>1</v>
      </c>
      <c r="K766" s="411">
        <f>SUMIFS(Таблица14[часы],Таблица14[коэф],"1",Таблица14[р/р],"3/8",Таблица14[Ф. И. О.],B770)</f>
        <v>0</v>
      </c>
      <c r="L766" s="411">
        <f>SUMIFS(Таблица14[Столбец2],Таблица14[коэф],"1",Таблица14[р/р],"3/8",Таблица14[Ф. И. О.],B770)</f>
        <v>0</v>
      </c>
      <c r="M766" s="411"/>
      <c r="N766" s="411">
        <v>1</v>
      </c>
      <c r="O766" s="411">
        <f>SUMIFS(Data_Tech!$AM$3:$AM$67,Data_Tech!$E$3:$E$67,"1",Data_Tech!$G$3:$G$67,"4/12",Data_Tech!$F$3:$F$67,B770)</f>
        <v>0</v>
      </c>
      <c r="P766" s="383">
        <f>ROUND(M766*O766,2)</f>
        <v>0</v>
      </c>
      <c r="Q766" s="366">
        <f>база!$L$5</f>
        <v>231.45480000000001</v>
      </c>
      <c r="R766" s="367">
        <v>1</v>
      </c>
      <c r="S766" s="377">
        <f>SUMIFS(Таблица14[часы],Таблица14[коэф],"1",Таблица14[р/р],"4/16",Таблица14[Ф. И. О.],B770)</f>
        <v>0</v>
      </c>
      <c r="T766" s="369">
        <f>SUMIFS(Таблица14[Столбец2],Таблица14[коэф],"1",Таблица14[р/р],"4/16",Таблица14[Ф. И. О.],B770)</f>
        <v>0</v>
      </c>
      <c r="U766" s="455">
        <f>база!$M$5</f>
        <v>247.41720000000001</v>
      </c>
      <c r="V766" s="367">
        <v>1</v>
      </c>
      <c r="W766" s="389">
        <f>SUMIFS(Таблица14[часы],Таблица14[коэф],"1",Таблица14[р/р],"4/24",Таблица14[Ф. И. О.],B770)</f>
        <v>0</v>
      </c>
      <c r="X766" s="521">
        <f>SUMIFS(Таблица14[Столбец2],Таблица14[коэф],"1",Таблица14[р/р],"4/24",Таблица14[Ф. И. О.],B770)</f>
        <v>0</v>
      </c>
      <c r="Y766" s="754"/>
      <c r="Z766" s="750"/>
      <c r="AA766" s="740"/>
    </row>
    <row r="767" spans="1:27" ht="18.75" customHeight="1">
      <c r="A767" s="740"/>
      <c r="B767" s="201"/>
      <c r="C767" s="743"/>
      <c r="D767" s="746"/>
      <c r="E767" s="366"/>
      <c r="F767" s="367"/>
      <c r="G767" s="377"/>
      <c r="H767" s="369"/>
      <c r="I767" s="409"/>
      <c r="J767" s="410"/>
      <c r="K767" s="411"/>
      <c r="L767" s="411"/>
      <c r="M767" s="411"/>
      <c r="N767" s="411"/>
      <c r="O767" s="411"/>
      <c r="P767" s="383"/>
      <c r="Q767" s="366">
        <f>база!$L$6</f>
        <v>261.04640000000001</v>
      </c>
      <c r="R767" s="367">
        <v>1</v>
      </c>
      <c r="S767" s="377">
        <f>SUMIFS(Таблица14[часы],Таблица14[коэф],"1",Таблица14[р/р],"5/16",Таблица14[Ф. И. О.],B770)</f>
        <v>0</v>
      </c>
      <c r="T767" s="369">
        <f>SUMIFS(Таблица14[Столбец2],Таблица14[коэф],"1",Таблица14[р/р],"5/16",Таблица14[Ф. И. О.],B770)</f>
        <v>0</v>
      </c>
      <c r="U767" s="455">
        <f>база!$M$6</f>
        <v>279.0496</v>
      </c>
      <c r="V767" s="367">
        <v>1</v>
      </c>
      <c r="W767" s="389">
        <f>SUMIFS(Таблица14[часы],Таблица14[коэф],"1",Таблица14[р/р],"5/24",Таблица14[Ф. И. О.],B770)</f>
        <v>0</v>
      </c>
      <c r="X767" s="521">
        <f>SUMIFS(Таблица14[Столбец2],Таблица14[коэф],"1",Таблица14[р/р],"5/24",Таблица14[Ф. И. О.],B770)</f>
        <v>0</v>
      </c>
      <c r="Y767" s="754"/>
      <c r="Z767" s="750"/>
      <c r="AA767" s="740"/>
    </row>
    <row r="768" spans="1:27" ht="18.75" customHeight="1">
      <c r="A768" s="740"/>
      <c r="B768" s="201"/>
      <c r="C768" s="743"/>
      <c r="D768" s="746"/>
      <c r="E768" s="366"/>
      <c r="F768" s="367"/>
      <c r="G768" s="377"/>
      <c r="H768" s="369"/>
      <c r="I768" s="409">
        <f>база!$J$5</f>
        <v>215.4924</v>
      </c>
      <c r="J768" s="410">
        <v>1.5</v>
      </c>
      <c r="K768" s="411">
        <f>SUMIFS(Таблица14[часы],Таблица14[коэф],"1,5",Таблица14[р/р],"4/8",Таблица14[Ф. И. О.],B770)</f>
        <v>0</v>
      </c>
      <c r="L768" s="411">
        <f>SUMIFS(Таблица14[Столбец2],Таблица14[коэф],"1,5",Таблица14[р/р],"4/8",Таблица14[Ф. И. О.],B770)</f>
        <v>0</v>
      </c>
      <c r="M768" s="411"/>
      <c r="N768" s="411"/>
      <c r="O768" s="411"/>
      <c r="P768" s="383"/>
      <c r="Q768" s="366">
        <f>IF(D765&lt;=3,база!$L$4,
IF(D765=4,база!$L$5,
IF(D765=5,база!$L$6)))</f>
        <v>210.57480000000001</v>
      </c>
      <c r="R768" s="367">
        <v>1.2</v>
      </c>
      <c r="S768" s="377">
        <f>SUMIFS(Таблица14[часы],Таблица14[коэф],"1,2",Таблица14[р/р],"3/16",Таблица14[Ф. И. О.],B770)</f>
        <v>0</v>
      </c>
      <c r="T768" s="369">
        <f>SUMIFS(Таблица14[Столбец2],Таблица14[коэф],"1,2",Таблица14[р/р],"3/16",Таблица14[Ф. И. О.],B770)</f>
        <v>0</v>
      </c>
      <c r="U768" s="455">
        <f>IF(D765&lt;=3,база!$M$4,
IF(D765=4,база!$M$5,
IF(D765=5,база!$M$6)))</f>
        <v>225.09719999999999</v>
      </c>
      <c r="V768" s="367">
        <v>1.2</v>
      </c>
      <c r="W768" s="389">
        <f>SUMIFS(Таблица14[часы],Таблица14[коэф],"1,2",Таблица14[р/р],"3/24",Таблица14[Ф. И. О.],B770)</f>
        <v>0</v>
      </c>
      <c r="X768" s="521">
        <f>SUMIFS(Таблица14[Столбец2],Таблица14[коэф],"1,2",Таблица14[р/р],"3/24",Таблица14[Ф. И. О.],B770)</f>
        <v>0</v>
      </c>
      <c r="Y768" s="754"/>
      <c r="Z768" s="750"/>
      <c r="AA768" s="740"/>
    </row>
    <row r="769" spans="1:27" ht="18.75" customHeight="1">
      <c r="A769" s="740"/>
      <c r="B769" s="201"/>
      <c r="C769" s="743"/>
      <c r="D769" s="746"/>
      <c r="E769" s="366"/>
      <c r="F769" s="367"/>
      <c r="G769" s="377"/>
      <c r="H769" s="369"/>
      <c r="I769" s="409">
        <f>база!$J$6</f>
        <v>243.04319999999998</v>
      </c>
      <c r="J769" s="410">
        <v>1.5</v>
      </c>
      <c r="K769" s="411">
        <f>SUMIFS(Таблица14[часы],Таблица14[коэф],"1,5",Таблица14[р/р],"5/8",Таблица14[Ф. И. О.],B770)</f>
        <v>0</v>
      </c>
      <c r="L769" s="411">
        <f>SUMIFS(Таблица14[Столбец2],Таблица14[коэф],"1,5",Таблица14[р/р],"5/8",Таблица14[Ф. И. О.],B770)</f>
        <v>0</v>
      </c>
      <c r="M769" s="411"/>
      <c r="N769" s="411"/>
      <c r="O769" s="411"/>
      <c r="P769" s="383"/>
      <c r="Q769" s="366">
        <f>база!$L$5</f>
        <v>231.45480000000001</v>
      </c>
      <c r="R769" s="367">
        <v>1.2</v>
      </c>
      <c r="S769" s="377">
        <f>SUMIFS(Таблица14[часы],Таблица14[коэф],"1,2",Таблица14[р/р],"4/16",Таблица14[Ф. И. О.],B770)</f>
        <v>0</v>
      </c>
      <c r="T769" s="369">
        <f>SUMIFS(Таблица14[Столбец2],Таблица14[коэф],"1,2",Таблица14[р/р],"4/16",Таблица14[Ф. И. О.],B770)</f>
        <v>0</v>
      </c>
      <c r="U769" s="455">
        <f>база!$M$5</f>
        <v>247.41720000000001</v>
      </c>
      <c r="V769" s="367">
        <v>1.2</v>
      </c>
      <c r="W769" s="389">
        <f>SUMIFS(Таблица14[часы],Таблица14[коэф],"1,2",Таблица14[р/р],"4/24",Таблица14[Ф. И. О.],B770)</f>
        <v>0</v>
      </c>
      <c r="X769" s="521">
        <f>SUMIFS(Таблица14[Столбец2],Таблица14[коэф],"1,2",Таблица14[р/р],"4/24",Таблица14[Ф. И. О.],B770)</f>
        <v>0</v>
      </c>
      <c r="Y769" s="754"/>
      <c r="Z769" s="750"/>
      <c r="AA769" s="740"/>
    </row>
    <row r="770" spans="1:27" ht="18.75" customHeight="1">
      <c r="A770" s="740"/>
      <c r="B770" s="201" t="str">
        <f>база!B72</f>
        <v>Терещенко Виктория Евгеньевна</v>
      </c>
      <c r="C770" s="743"/>
      <c r="D770" s="746"/>
      <c r="E770" s="366"/>
      <c r="F770" s="367"/>
      <c r="G770" s="377"/>
      <c r="H770" s="369"/>
      <c r="I770" s="409"/>
      <c r="J770" s="410"/>
      <c r="K770" s="411"/>
      <c r="L770" s="411"/>
      <c r="M770" s="411"/>
      <c r="N770" s="411"/>
      <c r="O770" s="411"/>
      <c r="P770" s="383"/>
      <c r="Q770" s="366">
        <f>база!$L$6</f>
        <v>261.04640000000001</v>
      </c>
      <c r="R770" s="367">
        <v>1.2</v>
      </c>
      <c r="S770" s="377">
        <f>SUMIFS(Таблица14[часы],Таблица14[коэф],"1,2",Таблица14[р/р],"5/16",Таблица14[Ф. И. О.],B770)</f>
        <v>0</v>
      </c>
      <c r="T770" s="369">
        <f>SUMIFS(Таблица14[Столбец2],Таблица14[коэф],"1,2",Таблица14[р/р],"5/16",Таблица14[Ф. И. О.],B770)</f>
        <v>0</v>
      </c>
      <c r="U770" s="455">
        <f>база!$M$6</f>
        <v>279.0496</v>
      </c>
      <c r="V770" s="367">
        <v>1.2</v>
      </c>
      <c r="W770" s="389">
        <f>SUMIFS(Таблица14[часы],Таблица14[коэф],"1,2",Таблица14[р/р],"5/24",Таблица14[Ф. И. О.],B770)</f>
        <v>0</v>
      </c>
      <c r="X770" s="521">
        <f>SUMIFS(Таблица14[Столбец2],Таблица14[коэф],"1,2",Таблица14[р/р],"5/24",Таблица14[Ф. И. О.],B770)</f>
        <v>0</v>
      </c>
      <c r="Y770" s="754"/>
      <c r="Z770" s="750"/>
      <c r="AA770" s="740"/>
    </row>
    <row r="771" spans="1:27" ht="18.75" customHeight="1">
      <c r="A771" s="740"/>
      <c r="B771" s="201"/>
      <c r="C771" s="743"/>
      <c r="D771" s="746"/>
      <c r="E771" s="366"/>
      <c r="F771" s="367"/>
      <c r="G771" s="377"/>
      <c r="H771" s="369"/>
      <c r="I771" s="409"/>
      <c r="J771" s="410"/>
      <c r="K771" s="411"/>
      <c r="L771" s="411"/>
      <c r="M771" s="411"/>
      <c r="N771" s="411"/>
      <c r="O771" s="411"/>
      <c r="P771" s="383"/>
      <c r="Q771" s="366">
        <f>IF($D$6&lt;=3,база!$L$4,
IF($D$6=4,база!$L$5,
IF($D$6=5,база!$L$6)))</f>
        <v>231.45480000000001</v>
      </c>
      <c r="R771" s="367">
        <v>1.3</v>
      </c>
      <c r="S771" s="377">
        <f>SUMIFS(Таблица14[часы],Таблица14[коэф],"1,3",Таблица14[р/р],"3/16",Таблица14[Ф. И. О.],B770)</f>
        <v>0</v>
      </c>
      <c r="T771" s="369">
        <f>SUMIFS(Таблица14[Столбец2],Таблица14[коэф],"1,3",Таблица14[р/р],"3/16",Таблица14[Ф. И. О.],B770)</f>
        <v>0</v>
      </c>
      <c r="U771" s="455">
        <f>IF(D765&lt;=3,база!$M$4,
IF(D765=4,база!$M$5,
IF(D765=5,база!$M$6)))</f>
        <v>225.09719999999999</v>
      </c>
      <c r="V771" s="367">
        <v>1.3</v>
      </c>
      <c r="W771" s="389">
        <f>SUMIFS(Таблица14[часы],Таблица14[коэф],"1,3",Таблица14[р/р],"3/24",Таблица14[Ф. И. О.],B770)</f>
        <v>0</v>
      </c>
      <c r="X771" s="521">
        <f>SUMIFS(Таблица14[Столбец2],Таблица14[коэф],"1,3",Таблица14[р/р],"3/24",Таблица14[Ф. И. О.],B770)</f>
        <v>0</v>
      </c>
      <c r="Y771" s="754"/>
      <c r="Z771" s="750"/>
      <c r="AA771" s="740"/>
    </row>
    <row r="772" spans="1:27" ht="18.75" customHeight="1">
      <c r="A772" s="740"/>
      <c r="B772" s="201"/>
      <c r="C772" s="743"/>
      <c r="D772" s="746"/>
      <c r="E772" s="366"/>
      <c r="F772" s="367"/>
      <c r="G772" s="377"/>
      <c r="H772" s="369"/>
      <c r="I772" s="409"/>
      <c r="J772" s="410"/>
      <c r="K772" s="411"/>
      <c r="L772" s="411"/>
      <c r="M772" s="411"/>
      <c r="N772" s="411"/>
      <c r="O772" s="411"/>
      <c r="P772" s="383"/>
      <c r="Q772" s="366">
        <f>база!$L$5</f>
        <v>231.45480000000001</v>
      </c>
      <c r="R772" s="367">
        <v>1.3</v>
      </c>
      <c r="S772" s="377">
        <f>SUMIFS(Таблица14[часы],Таблица14[коэф],"1,3",Таблица14[р/р],"4/16",Таблица14[Ф. И. О.],B770)</f>
        <v>0</v>
      </c>
      <c r="T772" s="369">
        <f>SUMIFS(Таблица14[Столбец2],Таблица14[коэф],"1,3",Таблица14[р/р],"4/16",Таблица14[Ф. И. О.],B770)</f>
        <v>0</v>
      </c>
      <c r="U772" s="455">
        <f>база!$M$5</f>
        <v>247.41720000000001</v>
      </c>
      <c r="V772" s="367">
        <v>1.3</v>
      </c>
      <c r="W772" s="389">
        <f>SUMIFS(Таблица14[часы],Таблица14[коэф],"1,3",Таблица14[р/р],"4/24",Таблица14[Ф. И. О.],B770)</f>
        <v>0</v>
      </c>
      <c r="X772" s="521">
        <f>SUMIFS(Таблица14[Столбец2],Таблица14[коэф],"1,3",Таблица14[р/р],"4/24",Таблица14[Ф. И. О.],B770)</f>
        <v>0</v>
      </c>
      <c r="Y772" s="754"/>
      <c r="Z772" s="750"/>
      <c r="AA772" s="740"/>
    </row>
    <row r="773" spans="1:27" ht="18.75" customHeight="1">
      <c r="A773" s="740"/>
      <c r="B773" s="201"/>
      <c r="C773" s="743"/>
      <c r="D773" s="746"/>
      <c r="E773" s="366"/>
      <c r="F773" s="367"/>
      <c r="G773" s="377"/>
      <c r="H773" s="369"/>
      <c r="I773" s="409"/>
      <c r="J773" s="410"/>
      <c r="K773" s="411"/>
      <c r="L773" s="411"/>
      <c r="M773" s="411"/>
      <c r="N773" s="411"/>
      <c r="O773" s="411"/>
      <c r="P773" s="383"/>
      <c r="Q773" s="366">
        <f>IF(D765&lt;=3,база!$L$4,
IF(D765=4,база!$L$5,
IF(D765=5,база!$L$6)))</f>
        <v>210.57480000000001</v>
      </c>
      <c r="R773" s="367">
        <v>1.4</v>
      </c>
      <c r="S773" s="377">
        <f>SUMIFS(Таблица14[часы],Таблица14[коэф],"1,4",Таблица14[р/р],"3/16",Таблица14[Ф. И. О.],B770)</f>
        <v>0</v>
      </c>
      <c r="T773" s="369">
        <f>SUMIFS(Таблица14[Столбец2],Таблица14[коэф],"1,4",Таблица14[р/р],"3/16",Таблица14[Ф. И. О.],B770)</f>
        <v>0</v>
      </c>
      <c r="U773" s="455">
        <f>IF(D765&lt;=3,база!$M$4,
IF(D765=4,база!$M$5,
IF(D765=5,база!$M$6)))</f>
        <v>225.09719999999999</v>
      </c>
      <c r="V773" s="367">
        <v>1.4</v>
      </c>
      <c r="W773" s="389">
        <f>SUMIFS(Таблица14[часы],Таблица14[коэф],"1,4",Таблица14[р/р],"3/24",Таблица14[Ф. И. О.],B770)</f>
        <v>0</v>
      </c>
      <c r="X773" s="521">
        <f>SUMIFS(Таблица14[Столбец2],Таблица14[коэф],"1,4",Таблица14[р/р],"3/24",Таблица14[Ф. И. О.],B770)</f>
        <v>0</v>
      </c>
      <c r="Y773" s="754"/>
      <c r="Z773" s="750"/>
      <c r="AA773" s="740"/>
    </row>
    <row r="774" spans="1:27" ht="18.75" customHeight="1">
      <c r="A774" s="740"/>
      <c r="B774" s="201"/>
      <c r="C774" s="743"/>
      <c r="D774" s="746"/>
      <c r="E774" s="366"/>
      <c r="F774" s="367"/>
      <c r="G774" s="377"/>
      <c r="H774" s="369"/>
      <c r="I774" s="409"/>
      <c r="J774" s="410"/>
      <c r="K774" s="411"/>
      <c r="L774" s="411"/>
      <c r="M774" s="411"/>
      <c r="N774" s="411"/>
      <c r="O774" s="411"/>
      <c r="P774" s="383"/>
      <c r="Q774" s="366">
        <f>база!$L$5</f>
        <v>231.45480000000001</v>
      </c>
      <c r="R774" s="367">
        <v>1.4</v>
      </c>
      <c r="S774" s="377">
        <f>SUMIFS(Таблица14[часы],Таблица14[коэф],"1,4",Таблица14[р/р],"4/16",Таблица14[Ф. И. О.],B770)</f>
        <v>0</v>
      </c>
      <c r="T774" s="369">
        <f>SUMIFS(Таблица14[Столбец2],Таблица14[коэф],"1,4",Таблица14[р/р],"4/16",Таблица14[Ф. И. О.],B770)</f>
        <v>0</v>
      </c>
      <c r="U774" s="455">
        <f>база!$M$5</f>
        <v>247.41720000000001</v>
      </c>
      <c r="V774" s="367">
        <v>1.4</v>
      </c>
      <c r="W774" s="389">
        <f>SUMIFS(Таблица14[часы],Таблица14[коэф],"1,4",Таблица14[р/р],"4/24",Таблица14[Ф. И. О.],B770)</f>
        <v>0</v>
      </c>
      <c r="X774" s="521">
        <f>SUMIFS(Таблица14[Столбец2],Таблица14[коэф],"1,4",Таблица14[р/р],"4/24",Таблица14[Ф. И. О.],B770)</f>
        <v>0</v>
      </c>
      <c r="Y774" s="754"/>
      <c r="Z774" s="750"/>
      <c r="AA774" s="740"/>
    </row>
    <row r="775" spans="1:27" ht="19.5" customHeight="1" thickBot="1">
      <c r="A775" s="741"/>
      <c r="B775" s="329"/>
      <c r="C775" s="744"/>
      <c r="D775" s="747"/>
      <c r="E775" s="450"/>
      <c r="F775" s="441"/>
      <c r="G775" s="628"/>
      <c r="H775" s="445"/>
      <c r="I775" s="622"/>
      <c r="J775" s="433"/>
      <c r="K775" s="623"/>
      <c r="L775" s="434"/>
      <c r="M775" s="622"/>
      <c r="N775" s="623"/>
      <c r="O775" s="623"/>
      <c r="P775" s="453"/>
      <c r="Q775" s="629">
        <f>база!$L$6</f>
        <v>261.04640000000001</v>
      </c>
      <c r="R775" s="441">
        <v>1.4</v>
      </c>
      <c r="S775" s="442">
        <f>SUMIFS(Таблица14[часы],Таблица14[коэф],"1,4",Таблица14[р/р],"5/16",Таблица14[Ф. И. О.],B770)</f>
        <v>0</v>
      </c>
      <c r="T775" s="445">
        <f>SUMIFS(Таблица14[Столбец2],Таблица14[коэф],"1,4",Таблица14[р/р],"5/16",Таблица14[Ф. И. О.],B770)</f>
        <v>0</v>
      </c>
      <c r="U775" s="440">
        <f>база!$M$6</f>
        <v>279.0496</v>
      </c>
      <c r="V775" s="441">
        <v>1.4</v>
      </c>
      <c r="W775" s="442">
        <f>SUMIFS(Таблица14[часы],Таблица14[коэф],"1,4",Таблица14[р/р],"5/24",Таблица14[Ф. И. О.],B770)</f>
        <v>0</v>
      </c>
      <c r="X775" s="445">
        <f>SUMIFS(Таблица14[Столбец2],Таблица14[коэф],"1,4",Таблица14[р/р],"5/24",Таблица14[Ф. И. О.],B770)</f>
        <v>0</v>
      </c>
      <c r="Y775" s="755"/>
      <c r="Z775" s="751"/>
      <c r="AA775" s="741"/>
    </row>
    <row r="776" spans="1:27" ht="18.75" customHeight="1">
      <c r="A776" s="740">
        <v>72</v>
      </c>
      <c r="B776" s="201"/>
      <c r="C776" s="742">
        <f>INDEX(база!$E$2:$E$150, MATCH(B781,база!$B$2:$B$150,0))</f>
        <v>14988</v>
      </c>
      <c r="D776" s="745">
        <f>INDEX(база!$D$2:$D$150, MATCH(B781,база!$B$2:$B$150,0))</f>
        <v>4</v>
      </c>
      <c r="E776" s="458">
        <f>IF(D776&lt;=3,база!$I$4,
IF(D776=4,база!$I$5,
IF(D776=5,база!$I$6)))</f>
        <v>207.5112</v>
      </c>
      <c r="F776" s="394">
        <v>1</v>
      </c>
      <c r="G776" s="395">
        <f>SUMIFS(Таблица14[часы],Таблица14[коэф],"1",Таблица14[р/р],"2/4",Таблица14[Ф. И. О.],B781)</f>
        <v>0</v>
      </c>
      <c r="H776" s="379">
        <f>SUMIFS(Таблица14[Столбец2],Таблица14[коэф],"1",Таблица14[р/р],"2/4",Таблица14[Ф. И. О.],B781)</f>
        <v>0</v>
      </c>
      <c r="I776" s="429">
        <f>IF(D776&lt;=3,база!$J$4,
IF(D776=4,база!$J$5,
IF(D776=5,база!$J$6)))</f>
        <v>215.4924</v>
      </c>
      <c r="J776" s="452">
        <v>1</v>
      </c>
      <c r="K776" s="430">
        <f>SUMIFS(Таблица14[часы],Таблица14[коэф],"1",Таблица14[р/р],"2/8",Таблица14[Ф. И. О.],B781)</f>
        <v>0</v>
      </c>
      <c r="L776" s="430">
        <f>SUMIFS(Таблица14[Столбец2],Таблица14[коэф],"1",Таблица14[р/р],"2/8",Таблица14[Ф. И. О.],B781)</f>
        <v>0</v>
      </c>
      <c r="M776" s="430"/>
      <c r="N776" s="430">
        <v>1</v>
      </c>
      <c r="O776" s="430">
        <f>SUMIFS(Data_Tech!$AM$3:$AM$67,Data_Tech!$E$3:$E$67,"1",Data_Tech!$G$3:$G$67,"3/12",Data_Tech!$F$3:$F$67,B781)</f>
        <v>0</v>
      </c>
      <c r="P776" s="375">
        <f>ROUND(M776*N776*O776,2)</f>
        <v>0</v>
      </c>
      <c r="Q776" s="458">
        <f>IF(D776&lt;=3,база!$L$4,
IF(D776=4,база!$L$5,
IF(D776=5,база!$L$6)))</f>
        <v>231.45480000000001</v>
      </c>
      <c r="R776" s="394">
        <v>1</v>
      </c>
      <c r="S776" s="395">
        <f>SUMIFS(Таблица14[часы],Таблица14[коэф],"1",Таблица14[р/р],"3/16",Таблица14[Ф. И. О.],B781)</f>
        <v>0</v>
      </c>
      <c r="T776" s="379">
        <f>SUMIFS(Таблица14[Столбец2],Таблица14[коэф],"1",Таблица14[р/р],"3/16",Таблица14[Ф. И. О.],B781)</f>
        <v>0</v>
      </c>
      <c r="U776" s="460">
        <f>IF(D776&lt;=3,база!$M$4,
IF(D776=4,база!$M$5,
IF(D776=5,база!$M$6)))</f>
        <v>247.41720000000001</v>
      </c>
      <c r="V776" s="394">
        <v>1</v>
      </c>
      <c r="W776" s="432">
        <f>SUMIFS(Таблица14[часы],Таблица14[коэф],"1",Таблица14[р/р],"3/24",Таблица14[Ф. И. О.],B781)</f>
        <v>0</v>
      </c>
      <c r="X776" s="528">
        <f>SUMIFS(Таблица14[Столбец2],Таблица14[коэф],"1",Таблица14[р/р],"3/24",Таблица14[Ф. И. О.],B781)</f>
        <v>0</v>
      </c>
      <c r="Y776" s="754">
        <f t="shared" ref="Y776" si="278">SUM(G776:G786,K776:K786,O776:O786,S776:S786,W776:W786)</f>
        <v>0</v>
      </c>
      <c r="Z776" s="750">
        <f t="shared" ref="Z776" si="279">IFERROR(SUM(H776:H786,L776:L786,T776:T786,X776:X786),"")</f>
        <v>0</v>
      </c>
      <c r="AA776" s="740"/>
    </row>
    <row r="777" spans="1:27" ht="18.75" customHeight="1">
      <c r="A777" s="740"/>
      <c r="B777" s="201"/>
      <c r="C777" s="743"/>
      <c r="D777" s="746"/>
      <c r="E777" s="366">
        <f>IF(D776&lt;=3,база!$I$4,
IF(D776=4,база!$I$5,
IF(D776=5,база!$I$6)))</f>
        <v>207.5112</v>
      </c>
      <c r="F777" s="367">
        <v>1</v>
      </c>
      <c r="G777" s="377">
        <f>SUMIFS(Таблица14[часы],Таблица14[коэф],"1",Таблица14[р/р],"3/4",Таблица14[Ф. И. О.],B781)</f>
        <v>0</v>
      </c>
      <c r="H777" s="369">
        <f>SUMIFS(Таблица14[Столбец2],Таблица14[коэф],"1",Таблица14[р/р],"3/4",Таблица14[Ф. И. О.],B781)</f>
        <v>0</v>
      </c>
      <c r="I777" s="409">
        <f>IF(D776&lt;=3,база!$J$4,
IF(D776=4,база!$J$5,
IF(D776=5,база!$J$6)))</f>
        <v>215.4924</v>
      </c>
      <c r="J777" s="410">
        <v>1</v>
      </c>
      <c r="K777" s="411">
        <f>SUMIFS(Таблица14[часы],Таблица14[коэф],"1",Таблица14[р/р],"3/8",Таблица14[Ф. И. О.],B781)</f>
        <v>0</v>
      </c>
      <c r="L777" s="411">
        <f>SUMIFS(Таблица14[Столбец2],Таблица14[коэф],"1",Таблица14[р/р],"3/8",Таблица14[Ф. И. О.],B781)</f>
        <v>0</v>
      </c>
      <c r="M777" s="411"/>
      <c r="N777" s="411">
        <v>1</v>
      </c>
      <c r="O777" s="411">
        <f>SUMIFS(Data_Tech!$AM$3:$AM$67,Data_Tech!$E$3:$E$67,"1",Data_Tech!$G$3:$G$67,"4/12",Data_Tech!$F$3:$F$67,B781)</f>
        <v>0</v>
      </c>
      <c r="P777" s="383">
        <f>ROUND(M777*O777,2)</f>
        <v>0</v>
      </c>
      <c r="Q777" s="366">
        <f>база!$L$5</f>
        <v>231.45480000000001</v>
      </c>
      <c r="R777" s="367">
        <v>1</v>
      </c>
      <c r="S777" s="377">
        <f>SUMIFS(Таблица14[часы],Таблица14[коэф],"1",Таблица14[р/р],"4/16",Таблица14[Ф. И. О.],B781)</f>
        <v>0</v>
      </c>
      <c r="T777" s="369">
        <f>SUMIFS(Таблица14[Столбец2],Таблица14[коэф],"1",Таблица14[р/р],"4/16",Таблица14[Ф. И. О.],B781)</f>
        <v>0</v>
      </c>
      <c r="U777" s="455">
        <f>база!$M$5</f>
        <v>247.41720000000001</v>
      </c>
      <c r="V777" s="367">
        <v>1</v>
      </c>
      <c r="W777" s="389">
        <f>SUMIFS(Таблица14[часы],Таблица14[коэф],"1",Таблица14[р/р],"4/24",Таблица14[Ф. И. О.],B781)</f>
        <v>0</v>
      </c>
      <c r="X777" s="521">
        <f>SUMIFS(Таблица14[Столбец2],Таблица14[коэф],"1",Таблица14[р/р],"4/24",Таблица14[Ф. И. О.],B781)</f>
        <v>0</v>
      </c>
      <c r="Y777" s="754"/>
      <c r="Z777" s="750"/>
      <c r="AA777" s="740"/>
    </row>
    <row r="778" spans="1:27" ht="18.75" customHeight="1">
      <c r="A778" s="740"/>
      <c r="B778" s="201"/>
      <c r="C778" s="743"/>
      <c r="D778" s="746"/>
      <c r="E778" s="366"/>
      <c r="F778" s="367"/>
      <c r="G778" s="377"/>
      <c r="H778" s="369"/>
      <c r="I778" s="409"/>
      <c r="J778" s="410"/>
      <c r="K778" s="411"/>
      <c r="L778" s="411"/>
      <c r="M778" s="411"/>
      <c r="N778" s="411"/>
      <c r="O778" s="411"/>
      <c r="P778" s="383"/>
      <c r="Q778" s="366">
        <f>база!$L$6</f>
        <v>261.04640000000001</v>
      </c>
      <c r="R778" s="367">
        <v>1</v>
      </c>
      <c r="S778" s="377">
        <f>SUMIFS(Таблица14[часы],Таблица14[коэф],"1",Таблица14[р/р],"5/16",Таблица14[Ф. И. О.],B781)</f>
        <v>0</v>
      </c>
      <c r="T778" s="369">
        <f>SUMIFS(Таблица14[Столбец2],Таблица14[коэф],"1",Таблица14[р/р],"5/16",Таблица14[Ф. И. О.],B781)</f>
        <v>0</v>
      </c>
      <c r="U778" s="455">
        <f>база!$M$6</f>
        <v>279.0496</v>
      </c>
      <c r="V778" s="367">
        <v>1</v>
      </c>
      <c r="W778" s="389">
        <f>SUMIFS(Таблица14[часы],Таблица14[коэф],"1",Таблица14[р/р],"5/24",Таблица14[Ф. И. О.],B781)</f>
        <v>0</v>
      </c>
      <c r="X778" s="521">
        <f>SUMIFS(Таблица14[Столбец2],Таблица14[коэф],"1",Таблица14[р/р],"5/24",Таблица14[Ф. И. О.],B781)</f>
        <v>0</v>
      </c>
      <c r="Y778" s="754"/>
      <c r="Z778" s="750"/>
      <c r="AA778" s="740"/>
    </row>
    <row r="779" spans="1:27" ht="18.75" customHeight="1">
      <c r="A779" s="740"/>
      <c r="B779" s="201"/>
      <c r="C779" s="743"/>
      <c r="D779" s="746"/>
      <c r="E779" s="366"/>
      <c r="F779" s="367"/>
      <c r="G779" s="377"/>
      <c r="H779" s="369"/>
      <c r="I779" s="409">
        <f>база!$J$5</f>
        <v>215.4924</v>
      </c>
      <c r="J779" s="410">
        <v>1.5</v>
      </c>
      <c r="K779" s="411">
        <f>SUMIFS(Таблица14[часы],Таблица14[коэф],"1,5",Таблица14[р/р],"4/8",Таблица14[Ф. И. О.],B781)</f>
        <v>0</v>
      </c>
      <c r="L779" s="411">
        <f>SUMIFS(Таблица14[Столбец2],Таблица14[коэф],"1,5",Таблица14[р/р],"4/8",Таблица14[Ф. И. О.],B781)</f>
        <v>0</v>
      </c>
      <c r="M779" s="411"/>
      <c r="N779" s="411"/>
      <c r="O779" s="411"/>
      <c r="P779" s="383"/>
      <c r="Q779" s="366">
        <f>IF(D776&lt;=3,база!$L$4,
IF(D776=4,база!$L$5,
IF(D776=5,база!$L$6)))</f>
        <v>231.45480000000001</v>
      </c>
      <c r="R779" s="367">
        <v>1.2</v>
      </c>
      <c r="S779" s="377">
        <f>SUMIFS(Таблица14[часы],Таблица14[коэф],"1,2",Таблица14[р/р],"3/16",Таблица14[Ф. И. О.],B781)</f>
        <v>0</v>
      </c>
      <c r="T779" s="369">
        <f>SUMIFS(Таблица14[Столбец2],Таблица14[коэф],"1,2",Таблица14[р/р],"3/16",Таблица14[Ф. И. О.],B781)</f>
        <v>0</v>
      </c>
      <c r="U779" s="455">
        <f>IF(D776&lt;=3,база!$M$4,
IF(D776=4,база!$M$5,
IF(D776=5,база!$M$6)))</f>
        <v>247.41720000000001</v>
      </c>
      <c r="V779" s="367">
        <v>1.2</v>
      </c>
      <c r="W779" s="389">
        <f>SUMIFS(Таблица14[часы],Таблица14[коэф],"1,2",Таблица14[р/р],"3/24",Таблица14[Ф. И. О.],B781)</f>
        <v>0</v>
      </c>
      <c r="X779" s="521">
        <f>SUMIFS(Таблица14[Столбец2],Таблица14[коэф],"1,2",Таблица14[р/р],"3/24",Таблица14[Ф. И. О.],B781)</f>
        <v>0</v>
      </c>
      <c r="Y779" s="754"/>
      <c r="Z779" s="750"/>
      <c r="AA779" s="740"/>
    </row>
    <row r="780" spans="1:27" ht="18.75" customHeight="1">
      <c r="A780" s="740"/>
      <c r="B780" s="201"/>
      <c r="C780" s="743"/>
      <c r="D780" s="746"/>
      <c r="E780" s="366"/>
      <c r="F780" s="367"/>
      <c r="G780" s="377"/>
      <c r="H780" s="369"/>
      <c r="I780" s="409">
        <f>база!$J$6</f>
        <v>243.04319999999998</v>
      </c>
      <c r="J780" s="410">
        <v>1.5</v>
      </c>
      <c r="K780" s="411">
        <f>SUMIFS(Таблица14[часы],Таблица14[коэф],"1,5",Таблица14[р/р],"5/8",Таблица14[Ф. И. О.],B781)</f>
        <v>0</v>
      </c>
      <c r="L780" s="411">
        <f>SUMIFS(Таблица14[Столбец2],Таблица14[коэф],"1,5",Таблица14[р/р],"5/8",Таблица14[Ф. И. О.],B781)</f>
        <v>0</v>
      </c>
      <c r="M780" s="411"/>
      <c r="N780" s="411"/>
      <c r="O780" s="411"/>
      <c r="P780" s="383"/>
      <c r="Q780" s="366">
        <f>база!$L$5</f>
        <v>231.45480000000001</v>
      </c>
      <c r="R780" s="367">
        <v>1.2</v>
      </c>
      <c r="S780" s="377">
        <f>SUMIFS(Таблица14[часы],Таблица14[коэф],"1,2",Таблица14[р/р],"4/16",Таблица14[Ф. И. О.],B781)</f>
        <v>0</v>
      </c>
      <c r="T780" s="369">
        <f>SUMIFS(Таблица14[Столбец2],Таблица14[коэф],"1,2",Таблица14[р/р],"4/16",Таблица14[Ф. И. О.],B781)</f>
        <v>0</v>
      </c>
      <c r="U780" s="455">
        <f>база!$M$5</f>
        <v>247.41720000000001</v>
      </c>
      <c r="V780" s="367">
        <v>1.2</v>
      </c>
      <c r="W780" s="389">
        <f>SUMIFS(Таблица14[часы],Таблица14[коэф],"1,2",Таблица14[р/р],"4/24",Таблица14[Ф. И. О.],B781)</f>
        <v>0</v>
      </c>
      <c r="X780" s="521">
        <f>SUMIFS(Таблица14[Столбец2],Таблица14[коэф],"1,2",Таблица14[р/р],"4/24",Таблица14[Ф. И. О.],B781)</f>
        <v>0</v>
      </c>
      <c r="Y780" s="754"/>
      <c r="Z780" s="750"/>
      <c r="AA780" s="740"/>
    </row>
    <row r="781" spans="1:27" ht="18.75" customHeight="1">
      <c r="A781" s="740"/>
      <c r="B781" s="201" t="str">
        <f>база!B73</f>
        <v>Томилова Антонина Викторовна</v>
      </c>
      <c r="C781" s="743"/>
      <c r="D781" s="746"/>
      <c r="E781" s="366"/>
      <c r="F781" s="367"/>
      <c r="G781" s="377"/>
      <c r="H781" s="369"/>
      <c r="I781" s="409"/>
      <c r="J781" s="410"/>
      <c r="K781" s="411"/>
      <c r="L781" s="411"/>
      <c r="M781" s="411"/>
      <c r="N781" s="411"/>
      <c r="O781" s="411"/>
      <c r="P781" s="383"/>
      <c r="Q781" s="366">
        <f>база!$L$6</f>
        <v>261.04640000000001</v>
      </c>
      <c r="R781" s="367">
        <v>1.2</v>
      </c>
      <c r="S781" s="377">
        <f>SUMIFS(Таблица14[часы],Таблица14[коэф],"1,2",Таблица14[р/р],"5/16",Таблица14[Ф. И. О.],B781)</f>
        <v>0</v>
      </c>
      <c r="T781" s="369">
        <f>SUMIFS(Таблица14[Столбец2],Таблица14[коэф],"1,2",Таблица14[р/р],"5/16",Таблица14[Ф. И. О.],B781)</f>
        <v>0</v>
      </c>
      <c r="U781" s="455">
        <f>база!$M$6</f>
        <v>279.0496</v>
      </c>
      <c r="V781" s="367">
        <v>1.2</v>
      </c>
      <c r="W781" s="389">
        <f>SUMIFS(Таблица14[часы],Таблица14[коэф],"1,2",Таблица14[р/р],"5/24",Таблица14[Ф. И. О.],B781)</f>
        <v>0</v>
      </c>
      <c r="X781" s="521">
        <f>SUMIFS(Таблица14[Столбец2],Таблица14[коэф],"1,2",Таблица14[р/р],"5/24",Таблица14[Ф. И. О.],B781)</f>
        <v>0</v>
      </c>
      <c r="Y781" s="754"/>
      <c r="Z781" s="750"/>
      <c r="AA781" s="740"/>
    </row>
    <row r="782" spans="1:27" ht="18.75" customHeight="1">
      <c r="A782" s="740"/>
      <c r="B782" s="201"/>
      <c r="C782" s="743"/>
      <c r="D782" s="746"/>
      <c r="E782" s="366"/>
      <c r="F782" s="367"/>
      <c r="G782" s="377"/>
      <c r="H782" s="369"/>
      <c r="I782" s="409"/>
      <c r="J782" s="410"/>
      <c r="K782" s="411"/>
      <c r="L782" s="411"/>
      <c r="M782" s="411"/>
      <c r="N782" s="411"/>
      <c r="O782" s="411"/>
      <c r="P782" s="383"/>
      <c r="Q782" s="366">
        <f>IF($D$6&lt;=3,база!$L$4,
IF($D$6=4,база!$L$5,
IF($D$6=5,база!$L$6)))</f>
        <v>231.45480000000001</v>
      </c>
      <c r="R782" s="367">
        <v>1.3</v>
      </c>
      <c r="S782" s="377">
        <f>SUMIFS(Таблица14[часы],Таблица14[коэф],"1,3",Таблица14[р/р],"3/16",Таблица14[Ф. И. О.],B781)</f>
        <v>0</v>
      </c>
      <c r="T782" s="369">
        <f>SUMIFS(Таблица14[Столбец2],Таблица14[коэф],"1,3",Таблица14[р/р],"3/16",Таблица14[Ф. И. О.],B781)</f>
        <v>0</v>
      </c>
      <c r="U782" s="455">
        <f>IF(D776&lt;=3,база!$M$4,
IF(D776=4,база!$M$5,
IF(D776=5,база!$M$6)))</f>
        <v>247.41720000000001</v>
      </c>
      <c r="V782" s="367">
        <v>1.3</v>
      </c>
      <c r="W782" s="389">
        <f>SUMIFS(Таблица14[часы],Таблица14[коэф],"1,3",Таблица14[р/р],"3/24",Таблица14[Ф. И. О.],B781)</f>
        <v>0</v>
      </c>
      <c r="X782" s="521">
        <f>SUMIFS(Таблица14[Столбец2],Таблица14[коэф],"1,3",Таблица14[р/р],"3/24",Таблица14[Ф. И. О.],B781)</f>
        <v>0</v>
      </c>
      <c r="Y782" s="754"/>
      <c r="Z782" s="750"/>
      <c r="AA782" s="740"/>
    </row>
    <row r="783" spans="1:27" ht="18.75" customHeight="1">
      <c r="A783" s="740"/>
      <c r="B783" s="201"/>
      <c r="C783" s="743"/>
      <c r="D783" s="746"/>
      <c r="E783" s="366"/>
      <c r="F783" s="367"/>
      <c r="G783" s="377"/>
      <c r="H783" s="369"/>
      <c r="I783" s="409"/>
      <c r="J783" s="410"/>
      <c r="K783" s="411"/>
      <c r="L783" s="411"/>
      <c r="M783" s="411"/>
      <c r="N783" s="411"/>
      <c r="O783" s="411"/>
      <c r="P783" s="383"/>
      <c r="Q783" s="366">
        <f>база!$L$5</f>
        <v>231.45480000000001</v>
      </c>
      <c r="R783" s="367">
        <v>1.3</v>
      </c>
      <c r="S783" s="377">
        <f>SUMIFS(Таблица14[часы],Таблица14[коэф],"1,3",Таблица14[р/р],"4/16",Таблица14[Ф. И. О.],B781)</f>
        <v>0</v>
      </c>
      <c r="T783" s="369">
        <f>SUMIFS(Таблица14[Столбец2],Таблица14[коэф],"1,3",Таблица14[р/р],"4/16",Таблица14[Ф. И. О.],B781)</f>
        <v>0</v>
      </c>
      <c r="U783" s="455">
        <f>база!$M$5</f>
        <v>247.41720000000001</v>
      </c>
      <c r="V783" s="367">
        <v>1.3</v>
      </c>
      <c r="W783" s="389">
        <f>SUMIFS(Таблица14[часы],Таблица14[коэф],"1,3",Таблица14[р/р],"4/24",Таблица14[Ф. И. О.],B781)</f>
        <v>0</v>
      </c>
      <c r="X783" s="521">
        <f>SUMIFS(Таблица14[Столбец2],Таблица14[коэф],"1,3",Таблица14[р/р],"4/24",Таблица14[Ф. И. О.],B781)</f>
        <v>0</v>
      </c>
      <c r="Y783" s="754"/>
      <c r="Z783" s="750"/>
      <c r="AA783" s="740"/>
    </row>
    <row r="784" spans="1:27" ht="18.75" customHeight="1">
      <c r="A784" s="740"/>
      <c r="B784" s="201"/>
      <c r="C784" s="743"/>
      <c r="D784" s="746"/>
      <c r="E784" s="366"/>
      <c r="F784" s="367"/>
      <c r="G784" s="377"/>
      <c r="H784" s="369"/>
      <c r="I784" s="409"/>
      <c r="J784" s="410"/>
      <c r="K784" s="411"/>
      <c r="L784" s="411"/>
      <c r="M784" s="411"/>
      <c r="N784" s="411"/>
      <c r="O784" s="411"/>
      <c r="P784" s="383"/>
      <c r="Q784" s="366">
        <f>IF(D776&lt;=3,база!$L$4,
IF(D776=4,база!$L$5,
IF(D776=5,база!$L$6)))</f>
        <v>231.45480000000001</v>
      </c>
      <c r="R784" s="367">
        <v>1.4</v>
      </c>
      <c r="S784" s="377">
        <f>SUMIFS(Таблица14[часы],Таблица14[коэф],"1,4",Таблица14[р/р],"3/16",Таблица14[Ф. И. О.],B781)</f>
        <v>0</v>
      </c>
      <c r="T784" s="369">
        <f>SUMIFS(Таблица14[Столбец2],Таблица14[коэф],"1,4",Таблица14[р/р],"3/16",Таблица14[Ф. И. О.],B781)</f>
        <v>0</v>
      </c>
      <c r="U784" s="455">
        <f>IF(D776&lt;=3,база!$M$4,
IF(D776=4,база!$M$5,
IF(D776=5,база!$M$6)))</f>
        <v>247.41720000000001</v>
      </c>
      <c r="V784" s="367">
        <v>1.4</v>
      </c>
      <c r="W784" s="389">
        <f>SUMIFS(Таблица14[часы],Таблица14[коэф],"1,4",Таблица14[р/р],"3/24",Таблица14[Ф. И. О.],B781)</f>
        <v>0</v>
      </c>
      <c r="X784" s="521">
        <f>SUMIFS(Таблица14[Столбец2],Таблица14[коэф],"1,4",Таблица14[р/р],"3/24",Таблица14[Ф. И. О.],B781)</f>
        <v>0</v>
      </c>
      <c r="Y784" s="754"/>
      <c r="Z784" s="750"/>
      <c r="AA784" s="740"/>
    </row>
    <row r="785" spans="1:27" ht="18.75" customHeight="1">
      <c r="A785" s="740"/>
      <c r="B785" s="201"/>
      <c r="C785" s="743"/>
      <c r="D785" s="746"/>
      <c r="E785" s="366"/>
      <c r="F785" s="367"/>
      <c r="G785" s="377"/>
      <c r="H785" s="369"/>
      <c r="I785" s="409"/>
      <c r="J785" s="410"/>
      <c r="K785" s="411"/>
      <c r="L785" s="411"/>
      <c r="M785" s="411"/>
      <c r="N785" s="411"/>
      <c r="O785" s="411"/>
      <c r="P785" s="383"/>
      <c r="Q785" s="366">
        <f>база!$L$5</f>
        <v>231.45480000000001</v>
      </c>
      <c r="R785" s="367">
        <v>1.4</v>
      </c>
      <c r="S785" s="377">
        <f>SUMIFS(Таблица14[часы],Таблица14[коэф],"1,4",Таблица14[р/р],"4/16",Таблица14[Ф. И. О.],B781)</f>
        <v>0</v>
      </c>
      <c r="T785" s="369">
        <f>SUMIFS(Таблица14[Столбец2],Таблица14[коэф],"1,4",Таблица14[р/р],"4/16",Таблица14[Ф. И. О.],B781)</f>
        <v>0</v>
      </c>
      <c r="U785" s="455">
        <f>база!$M$5</f>
        <v>247.41720000000001</v>
      </c>
      <c r="V785" s="367">
        <v>1.4</v>
      </c>
      <c r="W785" s="389">
        <f>SUMIFS(Таблица14[часы],Таблица14[коэф],"1,4",Таблица14[р/р],"4/24",Таблица14[Ф. И. О.],B781)</f>
        <v>0</v>
      </c>
      <c r="X785" s="521">
        <f>SUMIFS(Таблица14[Столбец2],Таблица14[коэф],"1,4",Таблица14[р/р],"4/24",Таблица14[Ф. И. О.],B781)</f>
        <v>0</v>
      </c>
      <c r="Y785" s="754"/>
      <c r="Z785" s="750"/>
      <c r="AA785" s="740"/>
    </row>
    <row r="786" spans="1:27" ht="19.5" customHeight="1" thickBot="1">
      <c r="A786" s="741"/>
      <c r="B786" s="329"/>
      <c r="C786" s="744"/>
      <c r="D786" s="747"/>
      <c r="E786" s="458"/>
      <c r="F786" s="394"/>
      <c r="G786" s="463"/>
      <c r="H786" s="379"/>
      <c r="I786" s="373"/>
      <c r="J786" s="452"/>
      <c r="K786" s="374"/>
      <c r="L786" s="411"/>
      <c r="M786" s="373"/>
      <c r="N786" s="374"/>
      <c r="O786" s="374"/>
      <c r="P786" s="375"/>
      <c r="Q786" s="464">
        <f>база!$L$6</f>
        <v>261.04640000000001</v>
      </c>
      <c r="R786" s="394">
        <v>1.4</v>
      </c>
      <c r="S786" s="395">
        <f>SUMIFS(Таблица14[часы],Таблица14[коэф],"1,4",Таблица14[р/р],"5/16",Таблица14[Ф. И. О.],B781)</f>
        <v>0</v>
      </c>
      <c r="T786" s="379">
        <f>SUMIFS(Таблица14[Столбец2],Таблица14[коэф],"1,4",Таблица14[р/р],"5/16",Таблица14[Ф. И. О.],B781)</f>
        <v>0</v>
      </c>
      <c r="U786" s="428">
        <f>база!$M$6</f>
        <v>279.0496</v>
      </c>
      <c r="V786" s="367">
        <v>1.4</v>
      </c>
      <c r="W786" s="395">
        <f>SUMIFS(Таблица14[часы],Таблица14[коэф],"1,4",Таблица14[р/р],"5/24",Таблица14[Ф. И. О.],B781)</f>
        <v>0</v>
      </c>
      <c r="X786" s="379">
        <f>SUMIFS(Таблица14[Столбец2],Таблица14[коэф],"1,4",Таблица14[р/р],"5/24",Таблица14[Ф. И. О.],B781)</f>
        <v>0</v>
      </c>
      <c r="Y786" s="755"/>
      <c r="Z786" s="751"/>
      <c r="AA786" s="741"/>
    </row>
    <row r="787" spans="1:27" s="465" customFormat="1" ht="15.75" customHeight="1">
      <c r="A787" s="781" t="s">
        <v>69</v>
      </c>
      <c r="B787" s="782"/>
      <c r="C787" s="782"/>
      <c r="D787" s="782"/>
      <c r="E787" s="782"/>
      <c r="F787" s="782"/>
      <c r="G787" s="782"/>
      <c r="H787" s="782"/>
      <c r="I787" s="782"/>
      <c r="J787" s="782"/>
      <c r="K787" s="782"/>
      <c r="L787" s="782"/>
      <c r="M787" s="782"/>
      <c r="N787" s="782"/>
      <c r="O787" s="782"/>
      <c r="P787" s="782"/>
      <c r="Q787" s="782"/>
      <c r="R787" s="782"/>
      <c r="S787" s="782"/>
      <c r="T787" s="782"/>
      <c r="U787" s="782"/>
      <c r="V787" s="782"/>
      <c r="W787" s="782"/>
      <c r="X787" s="783"/>
      <c r="Y787" s="853">
        <f>SUM(Y6:Y786)</f>
        <v>0</v>
      </c>
      <c r="Z787" s="853">
        <f>SUM(Z6:Z786)</f>
        <v>0</v>
      </c>
      <c r="AA787" s="739"/>
    </row>
    <row r="788" spans="1:27" s="465" customFormat="1" ht="15.75" customHeight="1">
      <c r="A788" s="784"/>
      <c r="B788" s="785"/>
      <c r="C788" s="785"/>
      <c r="D788" s="785"/>
      <c r="E788" s="785"/>
      <c r="F788" s="785"/>
      <c r="G788" s="785"/>
      <c r="H788" s="785"/>
      <c r="I788" s="785"/>
      <c r="J788" s="785"/>
      <c r="K788" s="785"/>
      <c r="L788" s="785"/>
      <c r="M788" s="785"/>
      <c r="N788" s="785"/>
      <c r="O788" s="785"/>
      <c r="P788" s="785"/>
      <c r="Q788" s="785"/>
      <c r="R788" s="785"/>
      <c r="S788" s="785"/>
      <c r="T788" s="785"/>
      <c r="U788" s="785"/>
      <c r="V788" s="785"/>
      <c r="W788" s="785"/>
      <c r="X788" s="786"/>
      <c r="Y788" s="854"/>
      <c r="Z788" s="854"/>
      <c r="AA788" s="740"/>
    </row>
    <row r="789" spans="1:27" s="465" customFormat="1" ht="16.5" customHeight="1" thickBot="1">
      <c r="A789" s="787"/>
      <c r="B789" s="788"/>
      <c r="C789" s="788"/>
      <c r="D789" s="788"/>
      <c r="E789" s="788"/>
      <c r="F789" s="788"/>
      <c r="G789" s="788"/>
      <c r="H789" s="788"/>
      <c r="I789" s="788"/>
      <c r="J789" s="788"/>
      <c r="K789" s="788"/>
      <c r="L789" s="788"/>
      <c r="M789" s="788"/>
      <c r="N789" s="788"/>
      <c r="O789" s="788"/>
      <c r="P789" s="788"/>
      <c r="Q789" s="788"/>
      <c r="R789" s="788"/>
      <c r="S789" s="788"/>
      <c r="T789" s="788"/>
      <c r="U789" s="788"/>
      <c r="V789" s="788"/>
      <c r="W789" s="788"/>
      <c r="X789" s="789"/>
      <c r="Y789" s="855"/>
      <c r="Z789" s="855"/>
      <c r="AA789" s="741"/>
    </row>
    <row r="790" spans="1:27">
      <c r="Y790" s="173"/>
    </row>
    <row r="791" spans="1:27" ht="18.75">
      <c r="E791" s="175" t="s">
        <v>250</v>
      </c>
      <c r="F791" s="175"/>
      <c r="G791" s="168"/>
      <c r="H791" s="172"/>
      <c r="J791" s="171"/>
      <c r="L791" s="172"/>
      <c r="N791" s="171"/>
      <c r="P791" s="172"/>
      <c r="R791" s="171"/>
    </row>
    <row r="792" spans="1:27" ht="18.75">
      <c r="E792" s="176"/>
      <c r="F792" s="177"/>
      <c r="I792" s="168"/>
      <c r="K792" s="175"/>
      <c r="L792" s="178"/>
      <c r="M792" s="179"/>
      <c r="N792" s="180"/>
      <c r="O792" s="180"/>
      <c r="P792" s="181"/>
      <c r="Q792" s="181"/>
      <c r="R792" s="171"/>
    </row>
    <row r="793" spans="1:27" ht="18.75">
      <c r="E793" s="175" t="s">
        <v>72</v>
      </c>
      <c r="F793" s="175"/>
      <c r="I793" s="168"/>
      <c r="K793" s="182"/>
      <c r="L793" s="183"/>
      <c r="M793" s="183"/>
      <c r="N793" s="184"/>
      <c r="O793" s="184"/>
      <c r="P793" s="183"/>
      <c r="Q793" s="183"/>
      <c r="R793" s="171"/>
    </row>
    <row r="794" spans="1:27" ht="18.75">
      <c r="E794" s="175"/>
      <c r="F794" s="175"/>
      <c r="I794" s="168"/>
      <c r="K794" s="175"/>
      <c r="L794" s="178"/>
      <c r="M794" s="185"/>
      <c r="N794" s="186"/>
      <c r="O794" s="186"/>
      <c r="P794" s="187"/>
      <c r="Q794" s="187"/>
      <c r="R794" s="171"/>
    </row>
    <row r="795" spans="1:27" ht="18.75">
      <c r="E795" s="175" t="s">
        <v>73</v>
      </c>
      <c r="F795" s="175"/>
      <c r="I795" s="168"/>
      <c r="K795" s="175"/>
      <c r="L795" s="178"/>
      <c r="M795" s="179"/>
      <c r="N795" s="180"/>
      <c r="O795" s="180"/>
      <c r="P795" s="181"/>
      <c r="Q795" s="181"/>
      <c r="R795" s="171"/>
    </row>
  </sheetData>
  <sheetProtection selectLockedCells="1" selectUnlockedCells="1"/>
  <mergeCells count="443">
    <mergeCell ref="A501:A511"/>
    <mergeCell ref="C501:C511"/>
    <mergeCell ref="D501:D511"/>
    <mergeCell ref="Y501:Y511"/>
    <mergeCell ref="Z501:Z511"/>
    <mergeCell ref="AA501:AA511"/>
    <mergeCell ref="AA479:AA489"/>
    <mergeCell ref="A490:A500"/>
    <mergeCell ref="Y490:Y500"/>
    <mergeCell ref="Z490:Z500"/>
    <mergeCell ref="AA490:AA500"/>
    <mergeCell ref="D479:D489"/>
    <mergeCell ref="C490:C500"/>
    <mergeCell ref="D490:D500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468:A478"/>
    <mergeCell ref="C468:C478"/>
    <mergeCell ref="Y468:Y478"/>
    <mergeCell ref="Z468:Z478"/>
    <mergeCell ref="AA468:AA478"/>
    <mergeCell ref="A446:A456"/>
    <mergeCell ref="A457:A467"/>
    <mergeCell ref="Y446:Y456"/>
    <mergeCell ref="Z446:Z456"/>
    <mergeCell ref="AA446:AA456"/>
    <mergeCell ref="Y457:Y467"/>
    <mergeCell ref="Z457:Z467"/>
    <mergeCell ref="AA457:AA467"/>
    <mergeCell ref="C457:C467"/>
    <mergeCell ref="C446:C456"/>
    <mergeCell ref="D446:D456"/>
    <mergeCell ref="D457:D467"/>
    <mergeCell ref="D468:D478"/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A39:A49"/>
    <mergeCell ref="C39:C49"/>
    <mergeCell ref="D39:D49"/>
    <mergeCell ref="Y39:Y49"/>
    <mergeCell ref="Z39:Z49"/>
    <mergeCell ref="AA39:AA49"/>
    <mergeCell ref="A28:A38"/>
    <mergeCell ref="C28:C38"/>
    <mergeCell ref="D28:D38"/>
    <mergeCell ref="Y28:Y38"/>
    <mergeCell ref="Z28:Z38"/>
    <mergeCell ref="AA28:AA38"/>
    <mergeCell ref="A61:A71"/>
    <mergeCell ref="C61:C71"/>
    <mergeCell ref="D61:D71"/>
    <mergeCell ref="Y61:Y71"/>
    <mergeCell ref="Z61:Z71"/>
    <mergeCell ref="AA61:AA71"/>
    <mergeCell ref="A50:A60"/>
    <mergeCell ref="C50:C60"/>
    <mergeCell ref="D50:D60"/>
    <mergeCell ref="Y50:Y60"/>
    <mergeCell ref="Z50:Z60"/>
    <mergeCell ref="AA50:AA60"/>
    <mergeCell ref="A83:A93"/>
    <mergeCell ref="C83:C93"/>
    <mergeCell ref="D83:D93"/>
    <mergeCell ref="Y83:Y93"/>
    <mergeCell ref="Z83:Z93"/>
    <mergeCell ref="AA83:AA93"/>
    <mergeCell ref="A72:A82"/>
    <mergeCell ref="C72:C82"/>
    <mergeCell ref="D72:D82"/>
    <mergeCell ref="Y72:Y82"/>
    <mergeCell ref="Z72:Z82"/>
    <mergeCell ref="AA72:AA82"/>
    <mergeCell ref="A105:A115"/>
    <mergeCell ref="C105:C115"/>
    <mergeCell ref="D105:D115"/>
    <mergeCell ref="Y105:Y115"/>
    <mergeCell ref="Z105:Z115"/>
    <mergeCell ref="AA105:AA115"/>
    <mergeCell ref="A94:A104"/>
    <mergeCell ref="C94:C104"/>
    <mergeCell ref="D94:D104"/>
    <mergeCell ref="Y94:Y104"/>
    <mergeCell ref="Z94:Z104"/>
    <mergeCell ref="AA94:AA104"/>
    <mergeCell ref="A127:A137"/>
    <mergeCell ref="C127:C137"/>
    <mergeCell ref="D127:D137"/>
    <mergeCell ref="Y127:Y137"/>
    <mergeCell ref="Z127:Z137"/>
    <mergeCell ref="AA127:AA137"/>
    <mergeCell ref="A116:A126"/>
    <mergeCell ref="C116:C126"/>
    <mergeCell ref="D116:D126"/>
    <mergeCell ref="Y116:Y126"/>
    <mergeCell ref="Z116:Z126"/>
    <mergeCell ref="AA116:AA126"/>
    <mergeCell ref="A149:A159"/>
    <mergeCell ref="C149:C159"/>
    <mergeCell ref="D149:D159"/>
    <mergeCell ref="Y149:Y159"/>
    <mergeCell ref="Z149:Z159"/>
    <mergeCell ref="AA149:AA159"/>
    <mergeCell ref="A138:A148"/>
    <mergeCell ref="C138:C148"/>
    <mergeCell ref="D138:D148"/>
    <mergeCell ref="Y138:Y148"/>
    <mergeCell ref="Z138:Z148"/>
    <mergeCell ref="AA138:AA148"/>
    <mergeCell ref="A171:A181"/>
    <mergeCell ref="C171:C181"/>
    <mergeCell ref="D171:D181"/>
    <mergeCell ref="Y171:Y181"/>
    <mergeCell ref="Z171:Z181"/>
    <mergeCell ref="AA171:AA181"/>
    <mergeCell ref="A160:A170"/>
    <mergeCell ref="C160:C170"/>
    <mergeCell ref="D160:D170"/>
    <mergeCell ref="Y160:Y170"/>
    <mergeCell ref="Z160:Z170"/>
    <mergeCell ref="AA160:AA170"/>
    <mergeCell ref="A193:A203"/>
    <mergeCell ref="C193:C203"/>
    <mergeCell ref="D193:D203"/>
    <mergeCell ref="Y193:Y203"/>
    <mergeCell ref="Z193:Z203"/>
    <mergeCell ref="AA193:AA203"/>
    <mergeCell ref="A182:A192"/>
    <mergeCell ref="C182:C192"/>
    <mergeCell ref="D182:D192"/>
    <mergeCell ref="Y182:Y192"/>
    <mergeCell ref="Z182:Z192"/>
    <mergeCell ref="AA182:AA192"/>
    <mergeCell ref="A215:A225"/>
    <mergeCell ref="C215:C225"/>
    <mergeCell ref="D215:D225"/>
    <mergeCell ref="Y215:Y225"/>
    <mergeCell ref="Z215:Z225"/>
    <mergeCell ref="AA215:AA225"/>
    <mergeCell ref="A204:A214"/>
    <mergeCell ref="C204:C214"/>
    <mergeCell ref="D204:D214"/>
    <mergeCell ref="Y204:Y214"/>
    <mergeCell ref="Z204:Z214"/>
    <mergeCell ref="AA204:AA214"/>
    <mergeCell ref="AA435:AA445"/>
    <mergeCell ref="A424:A434"/>
    <mergeCell ref="C424:C434"/>
    <mergeCell ref="D424:D434"/>
    <mergeCell ref="Y424:Y434"/>
    <mergeCell ref="Z424:Z434"/>
    <mergeCell ref="AA424:AA434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787:X789"/>
    <mergeCell ref="Y787:Y789"/>
    <mergeCell ref="Z787:Z789"/>
    <mergeCell ref="AA787:AA789"/>
    <mergeCell ref="A776:A786"/>
    <mergeCell ref="C776:C786"/>
    <mergeCell ref="D776:D786"/>
    <mergeCell ref="Y776:Y786"/>
    <mergeCell ref="Z776:Z786"/>
    <mergeCell ref="AA776:AA786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A413:AA423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435:A445"/>
    <mergeCell ref="C435:C445"/>
    <mergeCell ref="D435:D445"/>
    <mergeCell ref="Y435:Y445"/>
    <mergeCell ref="Z435:Z445"/>
    <mergeCell ref="A479:A489"/>
    <mergeCell ref="C479:C489"/>
    <mergeCell ref="Y479:Y489"/>
    <mergeCell ref="Z479:Z489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44:A654"/>
    <mergeCell ref="C644:C654"/>
    <mergeCell ref="D644:D654"/>
    <mergeCell ref="Y644:Y654"/>
    <mergeCell ref="Z644:Z654"/>
    <mergeCell ref="AA644:AA654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65:A775"/>
    <mergeCell ref="C765:C775"/>
    <mergeCell ref="D765:D775"/>
    <mergeCell ref="Y765:Y775"/>
    <mergeCell ref="Z765:Z775"/>
    <mergeCell ref="AA765:AA775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</mergeCells>
  <conditionalFormatting sqref="W14:W15 U14:U15 V14:V236 E17:P18 E776:T785 V776:V786 U6:W11 L786 E19:T236 E6:K16 M6:S16">
    <cfRule type="cellIs" dxfId="73" priority="79" operator="equal">
      <formula>0</formula>
    </cfRule>
  </conditionalFormatting>
  <conditionalFormatting sqref="E786:K786 W786:X786 M786:U786">
    <cfRule type="cellIs" dxfId="72" priority="78" operator="equal">
      <formula>0</formula>
    </cfRule>
  </conditionalFormatting>
  <conditionalFormatting sqref="V424:V434 E424:T424 E426:T434 E425:G425 I425:T425">
    <cfRule type="cellIs" dxfId="71" priority="77" operator="equal">
      <formula>0</formula>
    </cfRule>
  </conditionalFormatting>
  <conditionalFormatting sqref="V435:V500 E435:T500">
    <cfRule type="cellIs" dxfId="70" priority="76" operator="equal">
      <formula>0</formula>
    </cfRule>
  </conditionalFormatting>
  <conditionalFormatting sqref="H425">
    <cfRule type="cellIs" dxfId="69" priority="70" operator="equal">
      <formula>0</formula>
    </cfRule>
  </conditionalFormatting>
  <conditionalFormatting sqref="V413:V423 E413:T423">
    <cfRule type="cellIs" dxfId="68" priority="55" operator="equal">
      <formula>0</formula>
    </cfRule>
  </conditionalFormatting>
  <conditionalFormatting sqref="V237:V247 E237:T247">
    <cfRule type="cellIs" dxfId="67" priority="69" operator="equal">
      <formula>0</formula>
    </cfRule>
  </conditionalFormatting>
  <conditionalFormatting sqref="V248:V258 E248:T258">
    <cfRule type="cellIs" dxfId="66" priority="68" operator="equal">
      <formula>0</formula>
    </cfRule>
  </conditionalFormatting>
  <conditionalFormatting sqref="V259:V269 E259:T269">
    <cfRule type="cellIs" dxfId="65" priority="67" operator="equal">
      <formula>0</formula>
    </cfRule>
  </conditionalFormatting>
  <conditionalFormatting sqref="V270:V280 E270:T280">
    <cfRule type="cellIs" dxfId="64" priority="66" operator="equal">
      <formula>0</formula>
    </cfRule>
  </conditionalFormatting>
  <conditionalFormatting sqref="V281:V291 E281:T291">
    <cfRule type="cellIs" dxfId="63" priority="65" operator="equal">
      <formula>0</formula>
    </cfRule>
  </conditionalFormatting>
  <conditionalFormatting sqref="V292:V302 E292:T302">
    <cfRule type="cellIs" dxfId="62" priority="64" operator="equal">
      <formula>0</formula>
    </cfRule>
  </conditionalFormatting>
  <conditionalFormatting sqref="V303:V313 E303:T313">
    <cfRule type="cellIs" dxfId="61" priority="63" operator="equal">
      <formula>0</formula>
    </cfRule>
  </conditionalFormatting>
  <conditionalFormatting sqref="V314:V324 E314:T324">
    <cfRule type="cellIs" dxfId="60" priority="62" operator="equal">
      <formula>0</formula>
    </cfRule>
  </conditionalFormatting>
  <conditionalFormatting sqref="V325:V335 E325:T335">
    <cfRule type="cellIs" dxfId="59" priority="61" operator="equal">
      <formula>0</formula>
    </cfRule>
  </conditionalFormatting>
  <conditionalFormatting sqref="V336:V346 E336:T346">
    <cfRule type="cellIs" dxfId="58" priority="60" operator="equal">
      <formula>0</formula>
    </cfRule>
  </conditionalFormatting>
  <conditionalFormatting sqref="V347:V357 E347:T357">
    <cfRule type="cellIs" dxfId="57" priority="59" operator="equal">
      <formula>0</formula>
    </cfRule>
  </conditionalFormatting>
  <conditionalFormatting sqref="V358:V368 E358:T368">
    <cfRule type="cellIs" dxfId="56" priority="58" operator="equal">
      <formula>0</formula>
    </cfRule>
  </conditionalFormatting>
  <conditionalFormatting sqref="V369:V379 E369:T379">
    <cfRule type="cellIs" dxfId="55" priority="57" operator="equal">
      <formula>0</formula>
    </cfRule>
  </conditionalFormatting>
  <conditionalFormatting sqref="V380:V390 E380:T390">
    <cfRule type="cellIs" dxfId="54" priority="56" operator="equal">
      <formula>0</formula>
    </cfRule>
  </conditionalFormatting>
  <conditionalFormatting sqref="V391:V401 E391:T401">
    <cfRule type="cellIs" dxfId="53" priority="54" operator="equal">
      <formula>0</formula>
    </cfRule>
  </conditionalFormatting>
  <conditionalFormatting sqref="V402:V412 E402:T412">
    <cfRule type="cellIs" dxfId="52" priority="53" operator="equal">
      <formula>0</formula>
    </cfRule>
  </conditionalFormatting>
  <conditionalFormatting sqref="X6:X16">
    <cfRule type="cellIs" dxfId="51" priority="50" operator="equal">
      <formula>0</formula>
    </cfRule>
  </conditionalFormatting>
  <conditionalFormatting sqref="L6:L16">
    <cfRule type="cellIs" dxfId="50" priority="52" operator="equal">
      <formula>0</formula>
    </cfRule>
  </conditionalFormatting>
  <conditionalFormatting sqref="T6:T16">
    <cfRule type="cellIs" dxfId="49" priority="51" operator="equal">
      <formula>0</formula>
    </cfRule>
  </conditionalFormatting>
  <conditionalFormatting sqref="V501:V511 E501:T511">
    <cfRule type="cellIs" dxfId="48" priority="49" operator="equal">
      <formula>0</formula>
    </cfRule>
  </conditionalFormatting>
  <conditionalFormatting sqref="E512:T521 V512:V522 L522">
    <cfRule type="cellIs" dxfId="47" priority="48" operator="equal">
      <formula>0</formula>
    </cfRule>
  </conditionalFormatting>
  <conditionalFormatting sqref="E522:K522 W522:X522 M522:U522">
    <cfRule type="cellIs" dxfId="46" priority="47" operator="equal">
      <formula>0</formula>
    </cfRule>
  </conditionalFormatting>
  <conditionalFormatting sqref="E523:T532 V523:V533 L533">
    <cfRule type="cellIs" dxfId="45" priority="46" operator="equal">
      <formula>0</formula>
    </cfRule>
  </conditionalFormatting>
  <conditionalFormatting sqref="E533:K533 W533:X533 M533:U533">
    <cfRule type="cellIs" dxfId="44" priority="45" operator="equal">
      <formula>0</formula>
    </cfRule>
  </conditionalFormatting>
  <conditionalFormatting sqref="E534:T543 V534:V544 L544">
    <cfRule type="cellIs" dxfId="43" priority="44" operator="equal">
      <formula>0</formula>
    </cfRule>
  </conditionalFormatting>
  <conditionalFormatting sqref="E544:K544 W544:X544 M544:U544">
    <cfRule type="cellIs" dxfId="42" priority="43" operator="equal">
      <formula>0</formula>
    </cfRule>
  </conditionalFormatting>
  <conditionalFormatting sqref="E545:T554 V545:V555 L555">
    <cfRule type="cellIs" dxfId="41" priority="42" operator="equal">
      <formula>0</formula>
    </cfRule>
  </conditionalFormatting>
  <conditionalFormatting sqref="E555:K555 W555:X555 M555:U555">
    <cfRule type="cellIs" dxfId="40" priority="41" operator="equal">
      <formula>0</formula>
    </cfRule>
  </conditionalFormatting>
  <conditionalFormatting sqref="E556:T565 V556:V566 L566">
    <cfRule type="cellIs" dxfId="39" priority="40" operator="equal">
      <formula>0</formula>
    </cfRule>
  </conditionalFormatting>
  <conditionalFormatting sqref="E566:K566 W566:X566 M566:U566">
    <cfRule type="cellIs" dxfId="38" priority="39" operator="equal">
      <formula>0</formula>
    </cfRule>
  </conditionalFormatting>
  <conditionalFormatting sqref="E567:T576 V567:V577 L577">
    <cfRule type="cellIs" dxfId="37" priority="38" operator="equal">
      <formula>0</formula>
    </cfRule>
  </conditionalFormatting>
  <conditionalFormatting sqref="E577:K577 W577:X577 M577:U577">
    <cfRule type="cellIs" dxfId="36" priority="37" operator="equal">
      <formula>0</formula>
    </cfRule>
  </conditionalFormatting>
  <conditionalFormatting sqref="E578:T587 V578:V588 L588">
    <cfRule type="cellIs" dxfId="35" priority="36" operator="equal">
      <formula>0</formula>
    </cfRule>
  </conditionalFormatting>
  <conditionalFormatting sqref="E588:K588 W588:X588 M588:U588">
    <cfRule type="cellIs" dxfId="34" priority="35" operator="equal">
      <formula>0</formula>
    </cfRule>
  </conditionalFormatting>
  <conditionalFormatting sqref="E589:T598 V589:V599 L599">
    <cfRule type="cellIs" dxfId="33" priority="34" operator="equal">
      <formula>0</formula>
    </cfRule>
  </conditionalFormatting>
  <conditionalFormatting sqref="E599:K599 W599:X599 M599:U599">
    <cfRule type="cellIs" dxfId="32" priority="33" operator="equal">
      <formula>0</formula>
    </cfRule>
  </conditionalFormatting>
  <conditionalFormatting sqref="E600:T609 V600:V610 L610">
    <cfRule type="cellIs" dxfId="31" priority="32" operator="equal">
      <formula>0</formula>
    </cfRule>
  </conditionalFormatting>
  <conditionalFormatting sqref="E610:K610 W610:X610 M610:U610">
    <cfRule type="cellIs" dxfId="30" priority="31" operator="equal">
      <formula>0</formula>
    </cfRule>
  </conditionalFormatting>
  <conditionalFormatting sqref="E611:T620 V611:V621 L621">
    <cfRule type="cellIs" dxfId="29" priority="30" operator="equal">
      <formula>0</formula>
    </cfRule>
  </conditionalFormatting>
  <conditionalFormatting sqref="E621:K621 W621:X621 M621:U621">
    <cfRule type="cellIs" dxfId="28" priority="29" operator="equal">
      <formula>0</formula>
    </cfRule>
  </conditionalFormatting>
  <conditionalFormatting sqref="E622:T631 V622:V632 L632">
    <cfRule type="cellIs" dxfId="27" priority="28" operator="equal">
      <formula>0</formula>
    </cfRule>
  </conditionalFormatting>
  <conditionalFormatting sqref="E632:K632 W632:X632 M632:U632">
    <cfRule type="cellIs" dxfId="26" priority="27" operator="equal">
      <formula>0</formula>
    </cfRule>
  </conditionalFormatting>
  <conditionalFormatting sqref="E633:T642 V633:V643 L643">
    <cfRule type="cellIs" dxfId="25" priority="26" operator="equal">
      <formula>0</formula>
    </cfRule>
  </conditionalFormatting>
  <conditionalFormatting sqref="E643:K643 W643:X643 M643:U643">
    <cfRule type="cellIs" dxfId="24" priority="25" operator="equal">
      <formula>0</formula>
    </cfRule>
  </conditionalFormatting>
  <conditionalFormatting sqref="E644:T653 V644:V654 L654">
    <cfRule type="cellIs" dxfId="23" priority="24" operator="equal">
      <formula>0</formula>
    </cfRule>
  </conditionalFormatting>
  <conditionalFormatting sqref="E654:K654 W654:X654 M654:U654">
    <cfRule type="cellIs" dxfId="22" priority="23" operator="equal">
      <formula>0</formula>
    </cfRule>
  </conditionalFormatting>
  <conditionalFormatting sqref="E655:T664 V655:V665 L665">
    <cfRule type="cellIs" dxfId="21" priority="22" operator="equal">
      <formula>0</formula>
    </cfRule>
  </conditionalFormatting>
  <conditionalFormatting sqref="E665:K665 W665:X665 M665:U665">
    <cfRule type="cellIs" dxfId="20" priority="21" operator="equal">
      <formula>0</formula>
    </cfRule>
  </conditionalFormatting>
  <conditionalFormatting sqref="E666:T675 V666:V676 L676">
    <cfRule type="cellIs" dxfId="19" priority="20" operator="equal">
      <formula>0</formula>
    </cfRule>
  </conditionalFormatting>
  <conditionalFormatting sqref="E676:K676 W676:X676 M676:U676">
    <cfRule type="cellIs" dxfId="18" priority="19" operator="equal">
      <formula>0</formula>
    </cfRule>
  </conditionalFormatting>
  <conditionalFormatting sqref="E677:T686 V677:V687 L687">
    <cfRule type="cellIs" dxfId="17" priority="18" operator="equal">
      <formula>0</formula>
    </cfRule>
  </conditionalFormatting>
  <conditionalFormatting sqref="E687:K687 W687:X687 M687:U687">
    <cfRule type="cellIs" dxfId="16" priority="17" operator="equal">
      <formula>0</formula>
    </cfRule>
  </conditionalFormatting>
  <conditionalFormatting sqref="E688:T697 V688:V698 L698">
    <cfRule type="cellIs" dxfId="15" priority="16" operator="equal">
      <formula>0</formula>
    </cfRule>
  </conditionalFormatting>
  <conditionalFormatting sqref="E698:K698 W698:X698 M698:U698">
    <cfRule type="cellIs" dxfId="14" priority="15" operator="equal">
      <formula>0</formula>
    </cfRule>
  </conditionalFormatting>
  <conditionalFormatting sqref="E699:T708 V699:V709 L709">
    <cfRule type="cellIs" dxfId="13" priority="14" operator="equal">
      <formula>0</formula>
    </cfRule>
  </conditionalFormatting>
  <conditionalFormatting sqref="E709:K709 W709:X709 M709:U709">
    <cfRule type="cellIs" dxfId="12" priority="13" operator="equal">
      <formula>0</formula>
    </cfRule>
  </conditionalFormatting>
  <conditionalFormatting sqref="E710:T719 V710:V720 L720">
    <cfRule type="cellIs" dxfId="11" priority="12" operator="equal">
      <formula>0</formula>
    </cfRule>
  </conditionalFormatting>
  <conditionalFormatting sqref="E720:K720 W720:X720 M720:U720">
    <cfRule type="cellIs" dxfId="10" priority="11" operator="equal">
      <formula>0</formula>
    </cfRule>
  </conditionalFormatting>
  <conditionalFormatting sqref="E721:T730 V721:V731 L731">
    <cfRule type="cellIs" dxfId="9" priority="10" operator="equal">
      <formula>0</formula>
    </cfRule>
  </conditionalFormatting>
  <conditionalFormatting sqref="E731:K731 W731:X731 M731:U731">
    <cfRule type="cellIs" dxfId="8" priority="9" operator="equal">
      <formula>0</formula>
    </cfRule>
  </conditionalFormatting>
  <conditionalFormatting sqref="E732:T741 V732:V742 L742">
    <cfRule type="cellIs" dxfId="7" priority="8" operator="equal">
      <formula>0</formula>
    </cfRule>
  </conditionalFormatting>
  <conditionalFormatting sqref="E742:K742 W742:X742 M742:U742">
    <cfRule type="cellIs" dxfId="6" priority="7" operator="equal">
      <formula>0</formula>
    </cfRule>
  </conditionalFormatting>
  <conditionalFormatting sqref="E743:T752 V743:V753 L753">
    <cfRule type="cellIs" dxfId="5" priority="6" operator="equal">
      <formula>0</formula>
    </cfRule>
  </conditionalFormatting>
  <conditionalFormatting sqref="E753:K753 W753:X753 M753:U753">
    <cfRule type="cellIs" dxfId="4" priority="5" operator="equal">
      <formula>0</formula>
    </cfRule>
  </conditionalFormatting>
  <conditionalFormatting sqref="E754:T763 V754:V764 L764">
    <cfRule type="cellIs" dxfId="3" priority="4" operator="equal">
      <formula>0</formula>
    </cfRule>
  </conditionalFormatting>
  <conditionalFormatting sqref="E764:K764 W764:X764 M764:U764">
    <cfRule type="cellIs" dxfId="2" priority="3" operator="equal">
      <formula>0</formula>
    </cfRule>
  </conditionalFormatting>
  <conditionalFormatting sqref="E765:T774 V765:V775 L775">
    <cfRule type="cellIs" dxfId="1" priority="2" operator="equal">
      <formula>0</formula>
    </cfRule>
  </conditionalFormatting>
  <conditionalFormatting sqref="E775:K775 W775:X775 M775:U775">
    <cfRule type="cellIs" dxfId="0" priority="1" operator="equal">
      <formula>0</formula>
    </cfRule>
  </conditionalFormatting>
  <pageMargins left="0.25" right="0.25" top="0.75" bottom="0.75" header="0.3" footer="0.3"/>
  <pageSetup paperSize="9" scale="54" fitToHeight="0" orientation="landscape" r:id="rId1"/>
  <rowBreaks count="9" manualBreakCount="9">
    <brk id="38" max="16383" man="1"/>
    <brk id="82" max="16383" man="1"/>
    <brk id="126" max="16383" man="1"/>
    <brk id="170" max="16383" man="1"/>
    <brk id="214" max="16383" man="1"/>
    <brk id="258" max="16383" man="1"/>
    <brk id="302" max="16383" man="1"/>
    <brk id="351" max="26" man="1"/>
    <brk id="400" max="26" man="1"/>
  </rowBreaks>
  <ignoredErrors>
    <ignoredError sqref="S6:S11 W12:W16 W776:X784 S785:X786 U6:W11 W435:X445" twoDigitTextYear="1"/>
    <ignoredError sqref="V14 U12:V13 U15:V16 S776:V784 S12:S16 S435:V445" twoDigitTextYear="1" formula="1"/>
    <ignoredError sqref="U14 Q13:R16 R12 Q776:R784 Q435:R445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600-000000000000}">
          <x14:formula1>
            <xm:f>база!$B:$B</xm:f>
          </x14:formula1>
          <xm:sqref>B9:B11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Q34"/>
  <sheetViews>
    <sheetView view="pageBreakPreview" zoomScale="60" zoomScaleNormal="60" workbookViewId="0">
      <selection activeCell="U23" sqref="U23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14" customWidth="true" width="6.0"/>
    <col min="15" max="15" customWidth="true" width="6.140625"/>
    <col min="16" max="35" customWidth="true" width="6.0"/>
  </cols>
  <sheetData>
    <row r="1" spans="1:36" s="1" customFormat="1" ht="29.25" customHeight="1">
      <c r="B1" s="859" t="s">
        <v>75</v>
      </c>
      <c r="C1" s="859"/>
      <c r="D1" s="859"/>
      <c r="E1" s="859"/>
      <c r="F1" s="859"/>
      <c r="G1" s="859"/>
      <c r="H1" s="859"/>
      <c r="I1" s="859"/>
      <c r="J1" s="139" t="s">
        <v>68</v>
      </c>
      <c r="K1" s="139"/>
      <c r="L1" s="139"/>
      <c r="M1" s="139"/>
      <c r="N1" s="865">
        <v>6000</v>
      </c>
      <c r="O1" s="865"/>
      <c r="P1" s="865"/>
      <c r="Q1" s="865"/>
      <c r="R1" s="865"/>
      <c r="S1" s="865"/>
      <c r="T1" s="865"/>
      <c r="U1" s="860" t="s">
        <v>10</v>
      </c>
      <c r="V1" s="860"/>
      <c r="W1" s="861" t="s">
        <v>105</v>
      </c>
      <c r="X1" s="861"/>
      <c r="Y1" s="861"/>
      <c r="AA1" s="40"/>
      <c r="AB1" s="40"/>
      <c r="AC1" s="40"/>
      <c r="AD1" s="40"/>
      <c r="AJ1" s="40"/>
    </row>
    <row r="2" spans="1:36" s="1" customFormat="1" ht="16.5" customHeight="1">
      <c r="B2" s="859"/>
      <c r="C2" s="859"/>
      <c r="D2" s="859"/>
      <c r="E2" s="859"/>
      <c r="F2" s="859"/>
      <c r="G2" s="859"/>
      <c r="H2" s="859"/>
      <c r="I2" s="859"/>
      <c r="J2" s="39"/>
      <c r="K2" s="134"/>
      <c r="L2" s="134"/>
      <c r="M2" s="134"/>
      <c r="N2" s="134"/>
      <c r="O2" s="135"/>
      <c r="P2" s="135"/>
      <c r="Q2" s="135"/>
      <c r="T2" s="41"/>
      <c r="U2" s="101"/>
      <c r="V2" s="101"/>
      <c r="W2" s="102"/>
      <c r="X2" s="102"/>
      <c r="Y2" s="102"/>
      <c r="AB2" s="130" t="s">
        <v>10</v>
      </c>
      <c r="AC2" s="130"/>
      <c r="AD2" s="862"/>
      <c r="AE2" s="862"/>
      <c r="AF2" s="130"/>
      <c r="AG2" s="130" t="s">
        <v>76</v>
      </c>
      <c r="AH2" s="130"/>
      <c r="AI2" s="130"/>
      <c r="AJ2" s="40"/>
    </row>
    <row r="3" spans="1:36" s="1" customFormat="1" ht="16.5" customHeight="1">
      <c r="B3" s="859"/>
      <c r="C3" s="859"/>
      <c r="D3" s="859"/>
      <c r="E3" s="859"/>
      <c r="F3" s="859"/>
      <c r="G3" s="859"/>
      <c r="H3" s="859"/>
      <c r="I3" s="859"/>
      <c r="J3" s="39"/>
      <c r="K3" s="115" t="s">
        <v>77</v>
      </c>
      <c r="L3" s="134"/>
      <c r="M3" s="134"/>
      <c r="N3" s="116"/>
      <c r="O3" s="117"/>
      <c r="P3" s="118" t="e">
        <f>INDEX(база!$AL:$AL, MATCH(N1,база!$AK:$AK,0))</f>
        <v>#N/A</v>
      </c>
      <c r="Q3" s="117"/>
      <c r="R3" s="119"/>
      <c r="S3" s="119"/>
      <c r="T3" s="120"/>
      <c r="U3" s="101"/>
      <c r="V3" s="101"/>
      <c r="W3" s="102"/>
      <c r="X3" s="102"/>
      <c r="Y3" s="102"/>
      <c r="AB3" s="130" t="s">
        <v>78</v>
      </c>
      <c r="AC3" s="130"/>
      <c r="AD3" s="862"/>
      <c r="AE3" s="862"/>
      <c r="AF3" s="130"/>
      <c r="AG3" s="151" t="s">
        <v>85</v>
      </c>
      <c r="AH3" s="130"/>
      <c r="AI3" s="130"/>
      <c r="AJ3" s="40"/>
    </row>
    <row r="4" spans="1:36" s="1" customFormat="1" ht="16.5" customHeight="1">
      <c r="B4" s="859"/>
      <c r="C4" s="859"/>
      <c r="D4" s="859"/>
      <c r="E4" s="859"/>
      <c r="F4" s="859"/>
      <c r="G4" s="859"/>
      <c r="H4" s="859"/>
      <c r="I4" s="859"/>
      <c r="J4" s="39"/>
      <c r="K4" s="134"/>
      <c r="L4" s="134"/>
      <c r="M4" s="134"/>
      <c r="N4" s="134"/>
      <c r="O4" s="121"/>
      <c r="P4" s="121"/>
      <c r="Q4" s="121"/>
      <c r="T4" s="41"/>
      <c r="U4" s="101"/>
      <c r="V4" s="101"/>
      <c r="W4" s="102"/>
      <c r="X4" s="102"/>
      <c r="Y4" s="102"/>
      <c r="AB4" s="130" t="s">
        <v>79</v>
      </c>
      <c r="AC4" s="130"/>
      <c r="AD4" s="862"/>
      <c r="AE4" s="862"/>
      <c r="AF4" s="130"/>
      <c r="AG4" s="130" t="s">
        <v>80</v>
      </c>
      <c r="AH4" s="130"/>
      <c r="AI4" s="130"/>
      <c r="AJ4" s="40"/>
    </row>
    <row r="5" spans="1:36" s="1" customFormat="1" ht="21.75" customHeight="1">
      <c r="B5" s="859"/>
      <c r="C5" s="859"/>
      <c r="D5" s="859"/>
      <c r="E5" s="859"/>
      <c r="F5" s="859"/>
      <c r="G5" s="859"/>
      <c r="H5" s="859"/>
      <c r="I5" s="859"/>
      <c r="J5" s="863" t="str">
        <f>Data_Tech!A3</f>
        <v>декабрь</v>
      </c>
      <c r="K5" s="863"/>
      <c r="L5" s="864">
        <v>2022</v>
      </c>
      <c r="M5" s="864"/>
      <c r="N5" s="2"/>
      <c r="O5" s="2"/>
      <c r="P5" s="2"/>
      <c r="Q5" s="858" t="s">
        <v>83</v>
      </c>
      <c r="R5" s="858"/>
      <c r="S5" s="858"/>
      <c r="T5" s="858"/>
      <c r="U5" s="858"/>
      <c r="V5" s="858"/>
      <c r="W5" s="858"/>
      <c r="AB5" s="130" t="s">
        <v>81</v>
      </c>
      <c r="AC5" s="130"/>
      <c r="AD5" s="130"/>
      <c r="AE5" s="130"/>
      <c r="AF5" s="130"/>
      <c r="AG5" s="130" t="s">
        <v>82</v>
      </c>
      <c r="AH5" s="130"/>
      <c r="AI5" s="130"/>
      <c r="AJ5" s="40"/>
    </row>
    <row r="6" spans="1:36" s="1" customFormat="1" ht="36" customHeight="1"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40.5" customHeight="1">
      <c r="A7" s="0">
        <v>1</v>
      </c>
      <c r="B7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31">
        <f t="shared" ref="AJ7:AJ25" si="0">SUM(E7:AI7)</f>
        <v>0</v>
      </c>
    </row>
    <row r="8" spans="1:36" ht="40.5" customHeight="1">
      <c r="A8" s="0">
        <v>2</v>
      </c>
      <c r="B8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32">
        <f t="shared" si="0"/>
        <v>0</v>
      </c>
    </row>
    <row r="9" spans="1:36" ht="40.5" customHeight="1">
      <c r="A9" s="0">
        <v>3</v>
      </c>
      <c r="B9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31">
        <f t="shared" si="0"/>
        <v>0</v>
      </c>
    </row>
    <row r="10" spans="1:36" ht="40.5" customHeight="1">
      <c r="A10" s="0">
        <v>4</v>
      </c>
      <c r="B10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32">
        <f t="shared" si="0"/>
        <v>0</v>
      </c>
    </row>
    <row r="11" spans="1:36" ht="40.5" customHeight="1">
      <c r="A11" s="0">
        <v>5</v>
      </c>
      <c r="B11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31">
        <f t="shared" si="0"/>
        <v>0</v>
      </c>
    </row>
    <row r="12" spans="1:36" ht="40.5" customHeight="1">
      <c r="A12" s="0">
        <v>6</v>
      </c>
      <c r="B12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31">
        <f t="shared" si="0"/>
        <v>0</v>
      </c>
    </row>
    <row r="13" spans="1:36" ht="40.5" customHeight="1">
      <c r="A13" s="0">
        <v>7</v>
      </c>
      <c r="B13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31">
        <f t="shared" si="0"/>
        <v>0</v>
      </c>
    </row>
    <row r="14" spans="1:36" ht="40.5" customHeight="1">
      <c r="A14" s="0">
        <v>8</v>
      </c>
      <c r="B14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32">
        <f t="shared" si="0"/>
        <v>0</v>
      </c>
    </row>
    <row r="15" spans="1:36" ht="40.5" customHeight="1">
      <c r="A15" s="0">
        <v>9</v>
      </c>
      <c r="B15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33">
        <f t="shared" si="0"/>
        <v>0</v>
      </c>
    </row>
    <row r="16" spans="1:36" ht="40.5" customHeight="1">
      <c r="A16" s="0">
        <v>10</v>
      </c>
      <c r="B16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33">
        <f t="shared" si="0"/>
        <v>0</v>
      </c>
    </row>
    <row r="17" spans="1:43" ht="40.5" customHeight="1">
      <c r="A17" s="0">
        <v>11</v>
      </c>
      <c r="B17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31">
        <f t="shared" si="0"/>
        <v>0</v>
      </c>
    </row>
    <row r="18" spans="1:43" ht="40.5" customHeight="1">
      <c r="A18" s="0">
        <v>12</v>
      </c>
      <c r="B18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32">
        <f t="shared" si="0"/>
        <v>0</v>
      </c>
    </row>
    <row r="19" spans="1:43" ht="40.5" customHeight="1">
      <c r="A19" s="0">
        <v>13</v>
      </c>
      <c r="B19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31">
        <f t="shared" si="0"/>
        <v>0</v>
      </c>
    </row>
    <row r="20" spans="1:43" ht="40.5" customHeight="1">
      <c r="A20" s="0">
        <v>14</v>
      </c>
      <c r="B20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32">
        <f t="shared" si="0"/>
        <v>0</v>
      </c>
    </row>
    <row r="21" spans="1:43" ht="40.5" customHeight="1">
      <c r="A21" s="0">
        <v>15</v>
      </c>
      <c r="B21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31">
        <f t="shared" si="0"/>
        <v>0</v>
      </c>
    </row>
    <row r="22" spans="1:43" ht="40.5" customHeight="1">
      <c r="A22" s="0">
        <v>16</v>
      </c>
      <c r="B22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31">
        <f t="shared" si="0"/>
        <v>0</v>
      </c>
    </row>
    <row r="23" spans="1:43" ht="40.5" customHeight="1">
      <c r="A23" s="0">
        <v>17</v>
      </c>
      <c r="B23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31">
        <f t="shared" si="0"/>
        <v>0</v>
      </c>
    </row>
    <row r="24" spans="1:43" ht="40.5" customHeight="1">
      <c r="A24" s="0">
        <v>18</v>
      </c>
      <c r="B24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31">
        <f t="shared" si="0"/>
        <v>0</v>
      </c>
    </row>
    <row r="25" spans="1:43" ht="40.5" customHeight="1">
      <c r="A25" s="0">
        <v>19</v>
      </c>
      <c r="B25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31">
        <f t="shared" si="0"/>
        <v>0</v>
      </c>
    </row>
    <row r="26" spans="1:43" ht="40.5" hidden="1" customHeight="1">
      <c r="A26" s="0">
        <v>20</v>
      </c>
      <c r="B26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131">
        <f t="shared" ref="AJ26" si="1">SUM(E26:AI26)</f>
        <v>0</v>
      </c>
    </row>
    <row r="27" spans="1:43" ht="21" customHeight="1">
      <c r="B27" s="33"/>
      <c r="C27" s="30" t="s">
        <v>63</v>
      </c>
      <c r="D27" s="33"/>
      <c r="E27" s="31">
        <f>SUM(E7:E24)</f>
        <v>0</v>
      </c>
      <c r="F27" s="31">
        <f>SUM(F7:F25)</f>
        <v>0</v>
      </c>
      <c r="G27" s="31">
        <f t="shared" ref="G27:AF27" si="2">SUM(G7:G25)</f>
        <v>0</v>
      </c>
      <c r="H27" s="31">
        <f t="shared" si="2"/>
        <v>0</v>
      </c>
      <c r="I27" s="31">
        <f t="shared" si="2"/>
        <v>0</v>
      </c>
      <c r="J27" s="31">
        <f t="shared" si="2"/>
        <v>0</v>
      </c>
      <c r="K27" s="31">
        <f t="shared" si="2"/>
        <v>0</v>
      </c>
      <c r="L27" s="31">
        <f t="shared" si="2"/>
        <v>0</v>
      </c>
      <c r="M27" s="31">
        <f t="shared" si="2"/>
        <v>0</v>
      </c>
      <c r="N27" s="31">
        <f t="shared" si="2"/>
        <v>0</v>
      </c>
      <c r="O27" s="31">
        <f t="shared" si="2"/>
        <v>0</v>
      </c>
      <c r="P27" s="31">
        <f t="shared" si="2"/>
        <v>0</v>
      </c>
      <c r="Q27" s="31">
        <f t="shared" si="2"/>
        <v>0</v>
      </c>
      <c r="R27" s="31">
        <f t="shared" si="2"/>
        <v>0</v>
      </c>
      <c r="S27" s="31">
        <f t="shared" si="2"/>
        <v>0</v>
      </c>
      <c r="T27" s="31">
        <f t="shared" si="2"/>
        <v>0</v>
      </c>
      <c r="U27" s="31">
        <f t="shared" si="2"/>
        <v>0</v>
      </c>
      <c r="V27" s="31">
        <f t="shared" si="2"/>
        <v>0</v>
      </c>
      <c r="W27" s="31">
        <f t="shared" si="2"/>
        <v>0</v>
      </c>
      <c r="X27" s="31">
        <f t="shared" si="2"/>
        <v>0</v>
      </c>
      <c r="Y27" s="31">
        <f t="shared" si="2"/>
        <v>0</v>
      </c>
      <c r="Z27" s="31">
        <f t="shared" si="2"/>
        <v>0</v>
      </c>
      <c r="AA27" s="31">
        <f t="shared" si="2"/>
        <v>0</v>
      </c>
      <c r="AB27" s="31">
        <f t="shared" si="2"/>
        <v>0</v>
      </c>
      <c r="AC27" s="31">
        <f t="shared" si="2"/>
        <v>0</v>
      </c>
      <c r="AD27" s="31">
        <f t="shared" si="2"/>
        <v>0</v>
      </c>
      <c r="AE27" s="31">
        <f t="shared" si="2"/>
        <v>0</v>
      </c>
      <c r="AF27" s="31">
        <f t="shared" si="2"/>
        <v>0</v>
      </c>
      <c r="AG27" s="31">
        <f t="shared" ref="AG27:AI27" si="3">SUM(AG7:AG24)</f>
        <v>0</v>
      </c>
      <c r="AH27" s="31">
        <f t="shared" si="3"/>
        <v>0</v>
      </c>
      <c r="AI27" s="31">
        <f t="shared" si="3"/>
        <v>0</v>
      </c>
      <c r="AJ27" s="137">
        <f>SUM(E27:AI27)</f>
        <v>0</v>
      </c>
      <c r="AL27" s="857" t="s">
        <v>94</v>
      </c>
      <c r="AM27" s="857"/>
      <c r="AN27" s="857"/>
      <c r="AO27" s="857"/>
      <c r="AP27" s="857"/>
      <c r="AQ27" s="857"/>
    </row>
    <row r="28" spans="1:43" ht="9" customHeight="1">
      <c r="AJ28" s="32"/>
      <c r="AM28" s="856">
        <f>SUMIFS(Таблица14[Столбец2],Таблица14[партия],W1,Таблица14[изд],N1)</f>
        <v>0</v>
      </c>
      <c r="AN28" s="856"/>
      <c r="AO28" s="856"/>
      <c r="AP28" s="856"/>
    </row>
    <row r="29" spans="1:43" s="56" customFormat="1" ht="21" customHeight="1">
      <c r="C29" s="239" t="s">
        <v>64</v>
      </c>
      <c r="D29" s="240"/>
      <c r="E29" s="240"/>
      <c r="F29" s="240"/>
      <c r="G29" s="56" t="str">
        <f>Data_Tech!$AU$7</f>
        <v>Кувшинов А.Г.</v>
      </c>
      <c r="R29" s="56" t="s">
        <v>246</v>
      </c>
      <c r="V29" s="240"/>
      <c r="W29" s="240"/>
      <c r="X29" s="240"/>
      <c r="Y29" s="240"/>
      <c r="Z29" s="240"/>
      <c r="AA29" s="56" t="s">
        <v>108</v>
      </c>
      <c r="AM29" s="856"/>
      <c r="AN29" s="856"/>
      <c r="AO29" s="856"/>
      <c r="AP29" s="856"/>
    </row>
    <row r="30" spans="1:43">
      <c r="AM30" s="856"/>
      <c r="AN30" s="856"/>
      <c r="AO30" s="856"/>
      <c r="AP30" s="856"/>
    </row>
    <row r="31" spans="1:43" ht="20.25" customHeight="1">
      <c r="B31" s="56"/>
      <c r="C31" s="57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M31" s="856"/>
      <c r="AN31" s="856"/>
      <c r="AO31" s="856"/>
      <c r="AP31" s="856"/>
    </row>
    <row r="32" spans="1:43" ht="18.75">
      <c r="AJ32" s="58"/>
    </row>
    <row r="33" spans="3:42" ht="18">
      <c r="C33" s="46"/>
      <c r="D33" s="47"/>
    </row>
    <row r="34" spans="3:42" ht="23.25">
      <c r="C34" s="46"/>
      <c r="D34" s="47"/>
      <c r="AM34" s="56"/>
      <c r="AN34" s="56"/>
      <c r="AO34" s="56"/>
      <c r="AP34" s="56"/>
    </row>
  </sheetData>
  <mergeCells count="12">
    <mergeCell ref="AM28:AP31"/>
    <mergeCell ref="AL27:AQ27"/>
    <mergeCell ref="Q5:W5"/>
    <mergeCell ref="B1:I5"/>
    <mergeCell ref="U1:V1"/>
    <mergeCell ref="W1:Y1"/>
    <mergeCell ref="AD2:AE2"/>
    <mergeCell ref="AD3:AE3"/>
    <mergeCell ref="AD4:AE4"/>
    <mergeCell ref="J5:K5"/>
    <mergeCell ref="L5:M5"/>
    <mergeCell ref="N1:T1"/>
  </mergeCells>
  <pageMargins left="3.937007874015748E-2" right="3.937007874015748E-2" top="0.55118110236220474" bottom="0.35433070866141736" header="0" footer="0"/>
  <pageSetup paperSize="9" scale="5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Q33"/>
  <sheetViews>
    <sheetView view="pageBreakPreview" topLeftCell="C1" zoomScale="60" zoomScaleNormal="60" workbookViewId="0">
      <selection activeCell="W2" sqref="W2"/>
    </sheetView>
  </sheetViews>
  <sheetFormatPr defaultRowHeight="15"/>
  <cols>
    <col min="1" max="1" customWidth="true" width="5.28515625"/>
    <col min="2" max="2" customWidth="true" width="7.5703125"/>
    <col min="3" max="3" customWidth="true" style="34" width="46.28515625"/>
    <col min="5" max="14" customWidth="true" width="6.0"/>
    <col min="15" max="15" customWidth="true" width="6.140625"/>
    <col min="16" max="35" customWidth="true" width="6.0"/>
  </cols>
  <sheetData>
    <row r="1" spans="1:36" s="1" customFormat="1" ht="29.25" customHeight="1">
      <c r="B1" s="859" t="s">
        <v>75</v>
      </c>
      <c r="C1" s="859"/>
      <c r="D1" s="859"/>
      <c r="E1" s="859"/>
      <c r="F1" s="859"/>
      <c r="G1" s="859"/>
      <c r="H1" s="859"/>
      <c r="I1" s="859"/>
      <c r="J1" s="139" t="s">
        <v>68</v>
      </c>
      <c r="K1" s="139"/>
      <c r="L1" s="139"/>
      <c r="M1" s="139"/>
      <c r="N1" s="866">
        <v>6001</v>
      </c>
      <c r="O1" s="866"/>
      <c r="P1" s="866"/>
      <c r="Q1" s="866"/>
      <c r="R1" s="866"/>
      <c r="S1" s="866"/>
      <c r="T1" s="866"/>
      <c r="U1" s="860" t="s">
        <v>10</v>
      </c>
      <c r="V1" s="860"/>
      <c r="W1" s="867" t="s">
        <v>308</v>
      </c>
      <c r="X1" s="867"/>
      <c r="Y1" s="867"/>
      <c r="AA1" s="40"/>
      <c r="AB1" s="40"/>
      <c r="AC1" s="40"/>
      <c r="AD1" s="40"/>
      <c r="AJ1" s="40"/>
    </row>
    <row r="2" spans="1:36" s="1" customFormat="1" ht="16.5" customHeight="1">
      <c r="B2" s="859"/>
      <c r="C2" s="859"/>
      <c r="D2" s="859"/>
      <c r="E2" s="859"/>
      <c r="F2" s="859"/>
      <c r="G2" s="859"/>
      <c r="H2" s="859"/>
      <c r="I2" s="859"/>
      <c r="J2" s="39"/>
      <c r="K2" s="134"/>
      <c r="L2" s="134"/>
      <c r="M2" s="134"/>
      <c r="N2" s="134"/>
      <c r="O2" s="135"/>
      <c r="P2" s="135"/>
      <c r="Q2" s="135"/>
      <c r="T2" s="41"/>
      <c r="U2" s="101"/>
      <c r="V2" s="101"/>
      <c r="W2" s="102"/>
      <c r="X2" s="102"/>
      <c r="Y2" s="102"/>
      <c r="AB2" s="130" t="s">
        <v>10</v>
      </c>
      <c r="AC2" s="130"/>
      <c r="AD2" s="862"/>
      <c r="AE2" s="862"/>
      <c r="AF2" s="130"/>
      <c r="AG2" s="130" t="s">
        <v>76</v>
      </c>
      <c r="AH2" s="130"/>
      <c r="AI2" s="130"/>
      <c r="AJ2" s="40"/>
    </row>
    <row r="3" spans="1:36" s="1" customFormat="1" ht="16.5" customHeight="1">
      <c r="B3" s="859"/>
      <c r="C3" s="859"/>
      <c r="D3" s="859"/>
      <c r="E3" s="859"/>
      <c r="F3" s="859"/>
      <c r="G3" s="859"/>
      <c r="H3" s="859"/>
      <c r="I3" s="859"/>
      <c r="J3" s="39"/>
      <c r="K3" s="115" t="s">
        <v>77</v>
      </c>
      <c r="L3" s="134"/>
      <c r="M3" s="134"/>
      <c r="N3" s="116"/>
      <c r="O3" s="117"/>
      <c r="P3" s="118" t="e">
        <f>INDEX(база!$AL:$AL, MATCH(N1,база!$AK:$AK,0))</f>
        <v>#N/A</v>
      </c>
      <c r="Q3" s="117"/>
      <c r="R3" s="119"/>
      <c r="S3" s="119"/>
      <c r="T3" s="120"/>
      <c r="U3" s="101"/>
      <c r="V3" s="101"/>
      <c r="W3" s="102"/>
      <c r="X3" s="102"/>
      <c r="Y3" s="102"/>
      <c r="AB3" s="130" t="s">
        <v>78</v>
      </c>
      <c r="AC3" s="130"/>
      <c r="AD3" s="862"/>
      <c r="AE3" s="862"/>
      <c r="AF3" s="130"/>
      <c r="AG3" s="151" t="s">
        <v>85</v>
      </c>
      <c r="AH3" s="130"/>
      <c r="AI3" s="130"/>
      <c r="AJ3" s="40"/>
    </row>
    <row r="4" spans="1:36" s="1" customFormat="1" ht="16.5" customHeight="1">
      <c r="B4" s="859"/>
      <c r="C4" s="859"/>
      <c r="D4" s="859"/>
      <c r="E4" s="859"/>
      <c r="F4" s="859"/>
      <c r="G4" s="859"/>
      <c r="H4" s="859"/>
      <c r="I4" s="859"/>
      <c r="J4" s="39"/>
      <c r="K4" s="134"/>
      <c r="L4" s="134"/>
      <c r="M4" s="134"/>
      <c r="N4" s="134"/>
      <c r="O4" s="121"/>
      <c r="P4" s="121"/>
      <c r="Q4" s="121"/>
      <c r="T4" s="41"/>
      <c r="U4" s="101"/>
      <c r="V4" s="101"/>
      <c r="W4" s="102"/>
      <c r="X4" s="102"/>
      <c r="Y4" s="102"/>
      <c r="AB4" s="130" t="s">
        <v>79</v>
      </c>
      <c r="AC4" s="130"/>
      <c r="AD4" s="862"/>
      <c r="AE4" s="862"/>
      <c r="AF4" s="130"/>
      <c r="AG4" s="130" t="s">
        <v>80</v>
      </c>
      <c r="AH4" s="130"/>
      <c r="AI4" s="130"/>
      <c r="AJ4" s="40"/>
    </row>
    <row r="5" spans="1:36" s="1" customFormat="1" ht="21.75" customHeight="1">
      <c r="B5" s="859"/>
      <c r="C5" s="859"/>
      <c r="D5" s="859"/>
      <c r="E5" s="859"/>
      <c r="F5" s="859"/>
      <c r="G5" s="859"/>
      <c r="H5" s="859"/>
      <c r="I5" s="859"/>
      <c r="J5" s="863" t="str">
        <f>Data_Tech!A3</f>
        <v>декабрь</v>
      </c>
      <c r="K5" s="863"/>
      <c r="L5" s="864">
        <v>2023</v>
      </c>
      <c r="M5" s="864"/>
      <c r="N5" s="2"/>
      <c r="O5" s="2"/>
      <c r="P5" s="2"/>
      <c r="Q5" s="858" t="s">
        <v>83</v>
      </c>
      <c r="R5" s="858"/>
      <c r="S5" s="858"/>
      <c r="T5" s="858"/>
      <c r="U5" s="858"/>
      <c r="V5" s="858"/>
      <c r="W5" s="858"/>
      <c r="AB5" s="130" t="s">
        <v>81</v>
      </c>
      <c r="AC5" s="130"/>
      <c r="AD5" s="130"/>
      <c r="AE5" s="130"/>
      <c r="AF5" s="130"/>
      <c r="AG5" s="130" t="s">
        <v>82</v>
      </c>
      <c r="AH5" s="130"/>
      <c r="AI5" s="130"/>
      <c r="AJ5" s="40"/>
    </row>
    <row r="6" spans="1:36" s="1" customFormat="1" ht="27" customHeight="1"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40.5" customHeight="1">
      <c r="A7" s="0">
        <v>1</v>
      </c>
      <c r="B7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131">
        <f t="shared" ref="AJ7:AJ25" si="0">SUM(E7:AI7)</f>
        <v>0</v>
      </c>
    </row>
    <row r="8" spans="1:36" ht="40.5" customHeight="1">
      <c r="A8" s="0">
        <v>2</v>
      </c>
      <c r="B8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132">
        <f t="shared" si="0"/>
        <v>0</v>
      </c>
    </row>
    <row r="9" spans="1:36" ht="40.5" customHeight="1">
      <c r="A9" s="0">
        <v>3</v>
      </c>
      <c r="B9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131">
        <f t="shared" si="0"/>
        <v>0</v>
      </c>
    </row>
    <row r="10" spans="1:36" ht="40.5" customHeight="1">
      <c r="A10" s="0">
        <v>4</v>
      </c>
      <c r="B10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132">
        <f t="shared" si="0"/>
        <v>0</v>
      </c>
    </row>
    <row r="11" spans="1:36" ht="40.5" customHeight="1">
      <c r="A11" s="0">
        <v>5</v>
      </c>
      <c r="B11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131">
        <f t="shared" si="0"/>
        <v>0</v>
      </c>
    </row>
    <row r="12" spans="1:36" ht="40.5" customHeight="1">
      <c r="A12" s="0">
        <v>6</v>
      </c>
      <c r="B12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131">
        <f t="shared" si="0"/>
        <v>0</v>
      </c>
    </row>
    <row r="13" spans="1:36" ht="40.5" customHeight="1">
      <c r="A13" s="0">
        <v>7</v>
      </c>
      <c r="B13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131">
        <f t="shared" si="0"/>
        <v>0</v>
      </c>
    </row>
    <row r="14" spans="1:36" ht="40.5" customHeight="1">
      <c r="A14" s="0">
        <v>8</v>
      </c>
      <c r="B14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132">
        <f t="shared" si="0"/>
        <v>0</v>
      </c>
    </row>
    <row r="15" spans="1:36" ht="40.5" customHeight="1">
      <c r="A15" s="0">
        <v>9</v>
      </c>
      <c r="B15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133">
        <f t="shared" si="0"/>
        <v>0</v>
      </c>
    </row>
    <row r="16" spans="1:36" ht="40.5" customHeight="1">
      <c r="A16" s="0">
        <v>10</v>
      </c>
      <c r="B16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133">
        <f t="shared" si="0"/>
        <v>0</v>
      </c>
    </row>
    <row r="17" spans="1:43" ht="40.5" customHeight="1">
      <c r="A17" s="0">
        <v>11</v>
      </c>
      <c r="B17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131">
        <f t="shared" si="0"/>
        <v>0</v>
      </c>
    </row>
    <row r="18" spans="1:43" ht="40.5" customHeight="1">
      <c r="A18" s="0">
        <v>12</v>
      </c>
      <c r="B18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132">
        <f t="shared" si="0"/>
        <v>0</v>
      </c>
    </row>
    <row r="19" spans="1:43" ht="40.5" customHeight="1">
      <c r="A19" s="0">
        <v>13</v>
      </c>
      <c r="B19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131">
        <f t="shared" si="0"/>
        <v>0</v>
      </c>
    </row>
    <row r="20" spans="1:43" ht="40.5" customHeight="1">
      <c r="A20" s="0">
        <v>14</v>
      </c>
      <c r="B20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132">
        <f t="shared" si="0"/>
        <v>0</v>
      </c>
    </row>
    <row r="21" spans="1:43" ht="40.5" customHeight="1">
      <c r="A21" s="0">
        <v>15</v>
      </c>
      <c r="B21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131">
        <f t="shared" si="0"/>
        <v>0</v>
      </c>
    </row>
    <row r="22" spans="1:43" ht="40.5" customHeight="1">
      <c r="A22" s="0">
        <v>16</v>
      </c>
      <c r="B22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131">
        <f t="shared" si="0"/>
        <v>0</v>
      </c>
    </row>
    <row r="23" spans="1:43" ht="40.5" customHeight="1">
      <c r="A23" s="0">
        <v>17</v>
      </c>
      <c r="B23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131">
        <f t="shared" si="0"/>
        <v>0</v>
      </c>
    </row>
    <row r="24" spans="1:43" ht="40.5" customHeight="1">
      <c r="A24" s="0">
        <v>18</v>
      </c>
      <c r="B24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131">
        <f t="shared" si="0"/>
        <v>0</v>
      </c>
    </row>
    <row r="25" spans="1:43" ht="40.5" customHeight="1">
      <c r="A25" s="0">
        <v>19</v>
      </c>
      <c r="B25" s="122" t="str">
        <f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123" t="str">
        <f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122" t="str">
        <f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138" t="str">
        <f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138" t="str">
        <f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138" t="str">
        <f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138" t="str">
        <f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138" t="str">
        <f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138" t="str">
        <f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138" t="str">
        <f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138" t="str">
        <f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138" t="str">
        <f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138" t="str">
        <f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138" t="str">
        <f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138" t="str">
        <f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138" t="str">
        <f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138" t="str">
        <f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138" t="str">
        <f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138" t="str">
        <f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138" t="str">
        <f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138" t="str">
        <f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138" t="str">
        <f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138" t="str">
        <f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138" t="str">
        <f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138" t="str">
        <f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138" t="str">
        <f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138" t="str">
        <f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138" t="str">
        <f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138" t="str">
        <f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138" t="str">
        <f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138" t="str">
        <f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138" t="str">
        <f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138" t="str">
        <f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138" t="str">
        <f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131">
        <f t="shared" si="0"/>
        <v>0</v>
      </c>
    </row>
    <row r="26" spans="1:43" ht="21" customHeight="1">
      <c r="B26" s="33"/>
      <c r="C26" s="30" t="s">
        <v>63</v>
      </c>
      <c r="D26" s="33"/>
      <c r="E26" s="31">
        <f>SUM(E7:E24)</f>
        <v>0</v>
      </c>
      <c r="F26" s="31">
        <f>SUM(F7:F24)</f>
        <v>0</v>
      </c>
      <c r="G26" s="31">
        <f t="shared" ref="G26:AI26" si="1">SUM(G7:G24)</f>
        <v>0</v>
      </c>
      <c r="H26" s="31">
        <f t="shared" si="1"/>
        <v>0</v>
      </c>
      <c r="I26" s="31">
        <f t="shared" si="1"/>
        <v>0</v>
      </c>
      <c r="J26" s="31">
        <f t="shared" si="1"/>
        <v>0</v>
      </c>
      <c r="K26" s="31">
        <f t="shared" si="1"/>
        <v>0</v>
      </c>
      <c r="L26" s="31">
        <f t="shared" si="1"/>
        <v>0</v>
      </c>
      <c r="M26" s="31">
        <f t="shared" si="1"/>
        <v>0</v>
      </c>
      <c r="N26" s="31">
        <f t="shared" si="1"/>
        <v>0</v>
      </c>
      <c r="O26" s="31">
        <f t="shared" si="1"/>
        <v>0</v>
      </c>
      <c r="P26" s="31">
        <f t="shared" si="1"/>
        <v>0</v>
      </c>
      <c r="Q26" s="31">
        <f t="shared" si="1"/>
        <v>0</v>
      </c>
      <c r="R26" s="31">
        <f t="shared" si="1"/>
        <v>0</v>
      </c>
      <c r="S26" s="31">
        <f t="shared" si="1"/>
        <v>0</v>
      </c>
      <c r="T26" s="31">
        <f t="shared" si="1"/>
        <v>0</v>
      </c>
      <c r="U26" s="31">
        <f t="shared" si="1"/>
        <v>0</v>
      </c>
      <c r="V26" s="31">
        <f t="shared" si="1"/>
        <v>0</v>
      </c>
      <c r="W26" s="31">
        <f t="shared" si="1"/>
        <v>0</v>
      </c>
      <c r="X26" s="31">
        <f t="shared" si="1"/>
        <v>0</v>
      </c>
      <c r="Y26" s="31">
        <f t="shared" si="1"/>
        <v>0</v>
      </c>
      <c r="Z26" s="31">
        <f t="shared" si="1"/>
        <v>0</v>
      </c>
      <c r="AA26" s="31">
        <f t="shared" si="1"/>
        <v>0</v>
      </c>
      <c r="AB26" s="31">
        <f t="shared" si="1"/>
        <v>0</v>
      </c>
      <c r="AC26" s="31">
        <f t="shared" si="1"/>
        <v>0</v>
      </c>
      <c r="AD26" s="31">
        <f t="shared" si="1"/>
        <v>0</v>
      </c>
      <c r="AE26" s="31">
        <f t="shared" si="1"/>
        <v>0</v>
      </c>
      <c r="AF26" s="31">
        <f t="shared" si="1"/>
        <v>0</v>
      </c>
      <c r="AG26" s="31">
        <f t="shared" si="1"/>
        <v>0</v>
      </c>
      <c r="AH26" s="31">
        <f t="shared" si="1"/>
        <v>0</v>
      </c>
      <c r="AI26" s="31">
        <f t="shared" si="1"/>
        <v>0</v>
      </c>
      <c r="AJ26" s="137">
        <f>SUM(E26:AI26)</f>
        <v>0</v>
      </c>
      <c r="AL26" s="857" t="s">
        <v>94</v>
      </c>
      <c r="AM26" s="857"/>
      <c r="AN26" s="857"/>
      <c r="AO26" s="857"/>
      <c r="AP26" s="857"/>
      <c r="AQ26" s="857"/>
    </row>
    <row r="27" spans="1:43" ht="9" customHeight="1">
      <c r="AJ27" s="32"/>
      <c r="AM27" s="856">
        <f>SUMIFS(Таблица14[Столбец2],Таблица14[партия],W1,Таблица14[изд],N1)</f>
        <v>0</v>
      </c>
      <c r="AN27" s="856"/>
      <c r="AO27" s="856"/>
      <c r="AP27" s="856"/>
    </row>
    <row r="28" spans="1:43" s="56" customFormat="1" ht="21" customHeight="1">
      <c r="C28" s="239" t="s">
        <v>64</v>
      </c>
      <c r="D28" s="240"/>
      <c r="E28" s="240"/>
      <c r="F28" s="240"/>
      <c r="G28" s="56" t="str">
        <f>Data_Tech!$AU$7</f>
        <v>Кувшинов А.Г.</v>
      </c>
      <c r="R28" s="56" t="s">
        <v>246</v>
      </c>
      <c r="V28" s="240"/>
      <c r="W28" s="240"/>
      <c r="X28" s="240"/>
      <c r="Y28" s="240"/>
      <c r="Z28" s="240"/>
      <c r="AA28" s="56" t="s">
        <v>108</v>
      </c>
      <c r="AM28" s="856"/>
      <c r="AN28" s="856"/>
      <c r="AO28" s="856"/>
      <c r="AP28" s="856"/>
    </row>
    <row r="29" spans="1:43">
      <c r="AM29" s="856"/>
      <c r="AN29" s="856"/>
      <c r="AO29" s="856"/>
      <c r="AP29" s="856"/>
    </row>
    <row r="30" spans="1:43" ht="20.25" customHeight="1">
      <c r="B30" s="56"/>
      <c r="C30" s="57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M30" s="856"/>
      <c r="AN30" s="856"/>
      <c r="AO30" s="856"/>
      <c r="AP30" s="856"/>
    </row>
    <row r="31" spans="1:43" ht="18.75">
      <c r="AJ31" s="58"/>
    </row>
    <row r="32" spans="1:43" ht="18">
      <c r="C32" s="46"/>
      <c r="D32" s="47"/>
    </row>
    <row r="33" spans="3:42" ht="23.25">
      <c r="C33" s="46"/>
      <c r="D33" s="47"/>
      <c r="AM33" s="56"/>
      <c r="AN33" s="56"/>
      <c r="AO33" s="56"/>
      <c r="AP33" s="56"/>
    </row>
  </sheetData>
  <mergeCells count="12">
    <mergeCell ref="AL26:AQ26"/>
    <mergeCell ref="AM27:AP30"/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</mergeCells>
  <pageMargins left="0.23622047244094491" right="3.937007874015748E-2" top="0.35433070866141736" bottom="0.35433070866141736" header="0.11811023622047245" footer="0.11811023622047245"/>
  <pageSetup paperSize="9" scale="55" fitToHeight="0" orientation="landscape" r:id="rId1"/>
  <colBreaks count="1" manualBreakCount="1">
    <brk id="3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3">
    <pageSetUpPr fitToPage="1"/>
  </sheetPr>
  <dimension ref="A1:AO41"/>
  <sheetViews>
    <sheetView view="pageBreakPreview" zoomScale="60" zoomScaleNormal="40" workbookViewId="0">
      <selection activeCell="I34" sqref="I34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  <col min="38" max="38" customWidth="true" width="22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757</v>
      </c>
      <c r="O1" s="874"/>
      <c r="P1" s="874"/>
      <c r="Q1" s="874"/>
      <c r="R1" s="874"/>
      <c r="S1" s="874"/>
      <c r="T1" s="874"/>
      <c r="U1" s="872" t="s">
        <v>10</v>
      </c>
      <c r="V1" s="872"/>
      <c r="W1" s="873" t="s">
        <v>65</v>
      </c>
      <c r="X1" s="873"/>
      <c r="Y1" s="873"/>
      <c r="Z1" s="143"/>
      <c r="AA1" s="145"/>
      <c r="AB1" s="145"/>
      <c r="AC1" s="145"/>
      <c r="AD1" s="145"/>
      <c r="AE1" s="143"/>
      <c r="AF1" s="143"/>
      <c r="AG1" s="143"/>
      <c r="AH1" s="143"/>
      <c r="AI1" s="143"/>
      <c r="AJ1" s="145"/>
    </row>
    <row r="2" spans="1:36" s="1" customFormat="1" ht="24" customHeight="1">
      <c r="A2" s="143"/>
      <c r="B2" s="868"/>
      <c r="C2" s="868"/>
      <c r="D2" s="868"/>
      <c r="E2" s="868"/>
      <c r="F2" s="868"/>
      <c r="G2" s="868"/>
      <c r="H2" s="868"/>
      <c r="I2" s="868"/>
      <c r="J2" s="146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143"/>
      <c r="AA2" s="143"/>
      <c r="AB2" s="231" t="s">
        <v>10</v>
      </c>
      <c r="AC2" s="231"/>
      <c r="AD2" s="871"/>
      <c r="AE2" s="871"/>
      <c r="AF2" s="231"/>
      <c r="AG2" s="231" t="s">
        <v>76</v>
      </c>
      <c r="AH2" s="231"/>
      <c r="AI2" s="231"/>
      <c r="AJ2" s="145"/>
    </row>
    <row r="3" spans="1:36" s="1" customFormat="1" ht="24" customHeight="1">
      <c r="A3" s="143"/>
      <c r="B3" s="868"/>
      <c r="C3" s="868"/>
      <c r="D3" s="868"/>
      <c r="E3" s="868"/>
      <c r="F3" s="868"/>
      <c r="G3" s="868"/>
      <c r="H3" s="868"/>
      <c r="I3" s="868"/>
      <c r="J3" s="146"/>
      <c r="K3" s="152" t="s">
        <v>77</v>
      </c>
      <c r="L3" s="147"/>
      <c r="M3" s="147"/>
      <c r="N3" s="153"/>
      <c r="O3" s="235"/>
      <c r="P3" s="235" t="e">
        <f>INDEX(база!$AL:$AL, MATCH(N1,база!$AK:$AK,0))</f>
        <v>#N/A</v>
      </c>
      <c r="Q3" s="235"/>
      <c r="R3" s="236"/>
      <c r="S3" s="236"/>
      <c r="T3" s="237"/>
      <c r="U3" s="147"/>
      <c r="V3" s="147"/>
      <c r="W3" s="150"/>
      <c r="X3" s="150"/>
      <c r="Y3" s="150"/>
      <c r="Z3" s="143"/>
      <c r="AA3" s="143"/>
      <c r="AB3" s="231" t="s">
        <v>78</v>
      </c>
      <c r="AC3" s="231"/>
      <c r="AD3" s="871"/>
      <c r="AE3" s="871"/>
      <c r="AF3" s="231"/>
      <c r="AG3" s="231" t="s">
        <v>85</v>
      </c>
      <c r="AH3" s="231"/>
      <c r="AI3" s="231"/>
      <c r="AJ3" s="145"/>
    </row>
    <row r="4" spans="1:36" s="1" customFormat="1" ht="24" customHeight="1">
      <c r="A4" s="143"/>
      <c r="B4" s="868"/>
      <c r="C4" s="868"/>
      <c r="D4" s="868"/>
      <c r="E4" s="868"/>
      <c r="F4" s="868"/>
      <c r="G4" s="868"/>
      <c r="H4" s="868"/>
      <c r="I4" s="868"/>
      <c r="J4" s="146"/>
      <c r="K4" s="147"/>
      <c r="L4" s="147"/>
      <c r="M4" s="147"/>
      <c r="N4" s="147"/>
      <c r="O4" s="154"/>
      <c r="P4" s="154"/>
      <c r="Q4" s="154"/>
      <c r="R4" s="143"/>
      <c r="S4" s="143"/>
      <c r="T4" s="148"/>
      <c r="U4" s="149"/>
      <c r="V4" s="149"/>
      <c r="W4" s="150"/>
      <c r="X4" s="150"/>
      <c r="Y4" s="150"/>
      <c r="Z4" s="143"/>
      <c r="AA4" s="143"/>
      <c r="AB4" s="231" t="s">
        <v>79</v>
      </c>
      <c r="AC4" s="231"/>
      <c r="AD4" s="871"/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2022</v>
      </c>
      <c r="M5" s="870"/>
      <c r="N5" s="155"/>
      <c r="O5" s="155"/>
      <c r="P5" s="155"/>
      <c r="Q5" s="155"/>
      <c r="R5" s="155"/>
      <c r="S5" s="155"/>
      <c r="T5" s="155"/>
      <c r="U5" s="155"/>
      <c r="V5" s="155"/>
      <c r="W5" s="143"/>
      <c r="X5" s="143"/>
      <c r="Y5" s="143"/>
      <c r="Z5" s="143"/>
      <c r="AA5" s="143"/>
      <c r="AB5" s="231" t="s">
        <v>81</v>
      </c>
      <c r="AC5" s="231"/>
      <c r="AD5" s="231"/>
      <c r="AE5" s="231"/>
      <c r="AF5" s="231"/>
      <c r="AG5" s="231" t="s">
        <v>82</v>
      </c>
      <c r="AH5" s="231"/>
      <c r="AI5" s="231"/>
      <c r="AJ5" s="145"/>
    </row>
    <row r="6" spans="1:36" s="1" customFormat="1" ht="25.5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4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28.5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25.5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>SUM(E25:AI25)</f>
        <v>0</v>
      </c>
    </row>
    <row r="26" spans="1:36" ht="25.5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 t="shared" ref="AJ26:AJ33" si="1">SUM(E26:AI26)</f>
        <v>0</v>
      </c>
    </row>
    <row r="27" spans="1:36" ht="25.5" hidden="1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 t="shared" si="1"/>
        <v>0</v>
      </c>
    </row>
    <row r="28" spans="1:36" ht="25.5" hidden="1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si="1"/>
        <v>0</v>
      </c>
    </row>
    <row r="29" spans="1:36" ht="25.5" hidden="1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25.5" hidden="1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5.5" hidden="1" customHeight="1">
      <c r="A31" s="140">
        <v>25</v>
      </c>
      <c r="B3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1">
        <f t="shared" si="1"/>
        <v>0</v>
      </c>
    </row>
    <row r="32" spans="1:36" ht="25.5" hidden="1" customHeight="1">
      <c r="A32" s="140">
        <v>26</v>
      </c>
      <c r="B3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1">
        <f t="shared" si="1"/>
        <v>0</v>
      </c>
    </row>
    <row r="33" spans="1:41" ht="25.5" customHeight="1">
      <c r="A33" s="140"/>
      <c r="B3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1">
        <f t="shared" si="1"/>
        <v>0</v>
      </c>
      <c r="AL33" s="857" t="s">
        <v>94</v>
      </c>
      <c r="AM33" s="857"/>
      <c r="AN33" s="857"/>
    </row>
    <row r="34" spans="1:41" ht="15" customHeight="1">
      <c r="A34" s="140"/>
      <c r="B34" s="33"/>
      <c r="C34" s="30" t="s">
        <v>63</v>
      </c>
      <c r="D34" s="33"/>
      <c r="E34" s="31">
        <f>SUM(E7:E33)</f>
        <v>0</v>
      </c>
      <c r="F34" s="31">
        <f t="shared" ref="F34:AI34" si="2">SUM(F7:F33)</f>
        <v>0</v>
      </c>
      <c r="G34" s="31">
        <f t="shared" si="2"/>
        <v>0</v>
      </c>
      <c r="H34" s="31">
        <f t="shared" si="2"/>
        <v>0</v>
      </c>
      <c r="I34" s="31">
        <f t="shared" si="2"/>
        <v>0</v>
      </c>
      <c r="J34" s="31">
        <f t="shared" si="2"/>
        <v>0</v>
      </c>
      <c r="K34" s="31">
        <f t="shared" si="2"/>
        <v>0</v>
      </c>
      <c r="L34" s="31">
        <f t="shared" si="2"/>
        <v>0</v>
      </c>
      <c r="M34" s="31">
        <f t="shared" si="2"/>
        <v>0</v>
      </c>
      <c r="N34" s="31">
        <f t="shared" si="2"/>
        <v>0</v>
      </c>
      <c r="O34" s="31">
        <f t="shared" si="2"/>
        <v>0</v>
      </c>
      <c r="P34" s="31">
        <f t="shared" si="2"/>
        <v>0</v>
      </c>
      <c r="Q34" s="31">
        <f t="shared" si="2"/>
        <v>0</v>
      </c>
      <c r="R34" s="31">
        <f t="shared" si="2"/>
        <v>0</v>
      </c>
      <c r="S34" s="31">
        <f t="shared" si="2"/>
        <v>0</v>
      </c>
      <c r="T34" s="31">
        <f t="shared" si="2"/>
        <v>0</v>
      </c>
      <c r="U34" s="31">
        <f t="shared" si="2"/>
        <v>0</v>
      </c>
      <c r="V34" s="31">
        <f t="shared" si="2"/>
        <v>0</v>
      </c>
      <c r="W34" s="31">
        <f t="shared" si="2"/>
        <v>0</v>
      </c>
      <c r="X34" s="31">
        <f t="shared" si="2"/>
        <v>0</v>
      </c>
      <c r="Y34" s="31">
        <f t="shared" si="2"/>
        <v>0</v>
      </c>
      <c r="Z34" s="31">
        <f t="shared" si="2"/>
        <v>0</v>
      </c>
      <c r="AA34" s="31">
        <f t="shared" si="2"/>
        <v>0</v>
      </c>
      <c r="AB34" s="31">
        <f t="shared" si="2"/>
        <v>0</v>
      </c>
      <c r="AC34" s="31">
        <f t="shared" si="2"/>
        <v>0</v>
      </c>
      <c r="AD34" s="31">
        <f t="shared" si="2"/>
        <v>0</v>
      </c>
      <c r="AE34" s="31">
        <f t="shared" si="2"/>
        <v>0</v>
      </c>
      <c r="AF34" s="31">
        <f t="shared" si="2"/>
        <v>0</v>
      </c>
      <c r="AG34" s="31">
        <f t="shared" si="2"/>
        <v>0</v>
      </c>
      <c r="AH34" s="31">
        <f t="shared" si="2"/>
        <v>0</v>
      </c>
      <c r="AI34" s="31">
        <f t="shared" si="2"/>
        <v>0</v>
      </c>
      <c r="AJ34" s="137">
        <f>SUM(E34:AI34)</f>
        <v>0</v>
      </c>
      <c r="AL34" s="856">
        <f>SUMIFS(Таблица1[Столбец2],Таблица1[партия],W1,Таблица1[изд],N1)</f>
        <v>0</v>
      </c>
      <c r="AM34" s="856"/>
      <c r="AN34" s="856"/>
      <c r="AO34" s="856"/>
    </row>
    <row r="35" spans="1:41" ht="25.5" customHeight="1">
      <c r="A35" s="140"/>
      <c r="B35" s="140"/>
      <c r="C35" s="141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2"/>
      <c r="AL35" s="856"/>
      <c r="AM35" s="856"/>
      <c r="AN35" s="856"/>
      <c r="AO35" s="856"/>
    </row>
    <row r="36" spans="1:41" ht="17.25" customHeight="1">
      <c r="A36" s="140"/>
      <c r="B36" s="140"/>
      <c r="C36" s="274" t="s">
        <v>64</v>
      </c>
      <c r="D36" s="242"/>
      <c r="E36" s="242"/>
      <c r="F36" s="242"/>
      <c r="G36" s="241" t="str">
        <f>Data_Tech!$AU$7</f>
        <v>Кувшинов А.Г.</v>
      </c>
      <c r="H36" s="241"/>
      <c r="I36" s="241"/>
      <c r="J36" s="241"/>
      <c r="K36" s="140"/>
      <c r="L36" s="140"/>
      <c r="M36" s="140"/>
      <c r="N36" s="140"/>
      <c r="O36" s="140"/>
      <c r="P36" s="140"/>
      <c r="Q36" s="140"/>
      <c r="R36" s="56" t="s">
        <v>246</v>
      </c>
      <c r="S36" s="56"/>
      <c r="T36" s="56"/>
      <c r="U36" s="56"/>
      <c r="V36" s="240"/>
      <c r="W36" s="240"/>
      <c r="X36" s="240"/>
      <c r="Y36" s="240"/>
      <c r="Z36" s="240"/>
      <c r="AA36" s="56" t="s">
        <v>108</v>
      </c>
      <c r="AB36" s="56"/>
      <c r="AC36" s="56"/>
      <c r="AD36" s="56"/>
      <c r="AE36" s="140"/>
      <c r="AF36" s="140"/>
      <c r="AG36" s="140"/>
      <c r="AH36" s="140"/>
      <c r="AI36" s="140"/>
      <c r="AJ36" s="140"/>
      <c r="AL36" s="856"/>
      <c r="AM36" s="856"/>
      <c r="AN36" s="856"/>
      <c r="AO36" s="856"/>
    </row>
    <row r="37" spans="1:41" ht="15" customHeight="1">
      <c r="A37" s="140"/>
      <c r="B37" s="140"/>
      <c r="C37" s="141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L37" s="856"/>
      <c r="AM37" s="856"/>
      <c r="AN37" s="856"/>
      <c r="AO37" s="856"/>
    </row>
    <row r="38" spans="1:41" ht="20.25" customHeight="1">
      <c r="B38" s="56"/>
      <c r="C38" s="57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</row>
    <row r="39" spans="1:41" ht="18.75">
      <c r="AJ39" s="58"/>
    </row>
    <row r="40" spans="1:41" ht="18">
      <c r="C40" s="46"/>
      <c r="D40" s="47"/>
    </row>
    <row r="41" spans="1:41" ht="18">
      <c r="C41" s="46"/>
      <c r="D41" s="47"/>
    </row>
  </sheetData>
  <sheetProtection formatCells="0" formatColumns="0" formatRows="0" insertColumns="0" insertRows="0" insertHyperlinks="0" deleteColumns="0" deleteRows="0" sort="0" autoFilter="0" pivotTables="0"/>
  <mergeCells count="11">
    <mergeCell ref="AL34:AO37"/>
    <mergeCell ref="AL33:AN33"/>
    <mergeCell ref="B1:I5"/>
    <mergeCell ref="J5:K5"/>
    <mergeCell ref="L5:M5"/>
    <mergeCell ref="AD2:AE2"/>
    <mergeCell ref="AD3:AE3"/>
    <mergeCell ref="AD4:AE4"/>
    <mergeCell ref="U1:V1"/>
    <mergeCell ref="W1:Y1"/>
    <mergeCell ref="N1:T1"/>
  </mergeCells>
  <pageMargins left="0.23622047244094491" right="0.23622047244094491" top="0.74803149606299213" bottom="0.74803149606299213" header="0.31496062992125984" footer="0.31496062992125984"/>
  <pageSetup paperSize="9" scale="56" orientation="landscape" r:id="rId1"/>
  <rowBreaks count="1" manualBreakCount="1">
    <brk id="26" max="35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O41"/>
  <sheetViews>
    <sheetView view="pageBreakPreview" zoomScale="60" zoomScaleNormal="60" workbookViewId="0">
      <selection activeCell="AL34" sqref="AL34:AO37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  <col min="38" max="38" customWidth="true" width="22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6001</v>
      </c>
      <c r="O1" s="874"/>
      <c r="P1" s="874"/>
      <c r="Q1" s="874"/>
      <c r="R1" s="874"/>
      <c r="S1" s="874"/>
      <c r="T1" s="874"/>
      <c r="U1" s="872" t="s">
        <v>10</v>
      </c>
      <c r="V1" s="872"/>
      <c r="W1" s="873" t="s">
        <v>307</v>
      </c>
      <c r="X1" s="873"/>
      <c r="Y1" s="873"/>
      <c r="Z1" s="143"/>
      <c r="AA1" s="145"/>
      <c r="AB1" s="145"/>
      <c r="AC1" s="145"/>
      <c r="AD1" s="145"/>
      <c r="AE1" s="143"/>
      <c r="AF1" s="143"/>
      <c r="AG1" s="143"/>
      <c r="AH1" s="143"/>
      <c r="AI1" s="143"/>
      <c r="AJ1" s="145"/>
    </row>
    <row r="2" spans="1:36" s="1" customFormat="1" ht="24" customHeight="1">
      <c r="A2" s="143"/>
      <c r="B2" s="868"/>
      <c r="C2" s="868"/>
      <c r="D2" s="868"/>
      <c r="E2" s="868"/>
      <c r="F2" s="868"/>
      <c r="G2" s="868"/>
      <c r="H2" s="868"/>
      <c r="I2" s="868"/>
      <c r="J2" s="146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143"/>
      <c r="AA2" s="143"/>
      <c r="AB2" s="231" t="s">
        <v>10</v>
      </c>
      <c r="AC2" s="231"/>
      <c r="AD2" s="871">
        <v>6400</v>
      </c>
      <c r="AE2" s="871"/>
      <c r="AF2" s="231"/>
      <c r="AG2" s="231" t="s">
        <v>76</v>
      </c>
      <c r="AH2" s="231"/>
      <c r="AI2" s="231"/>
      <c r="AJ2" s="145"/>
    </row>
    <row r="3" spans="1:36" s="1" customFormat="1" ht="24" customHeight="1">
      <c r="A3" s="143"/>
      <c r="B3" s="868"/>
      <c r="C3" s="868"/>
      <c r="D3" s="868"/>
      <c r="E3" s="868"/>
      <c r="F3" s="868"/>
      <c r="G3" s="868"/>
      <c r="H3" s="868"/>
      <c r="I3" s="868"/>
      <c r="J3" s="146"/>
      <c r="K3" s="152" t="s">
        <v>77</v>
      </c>
      <c r="L3" s="147"/>
      <c r="M3" s="147"/>
      <c r="N3" s="153"/>
      <c r="O3" s="235"/>
      <c r="P3" s="235" t="e">
        <f>INDEX(база!$AL:$AL, MATCH(N1,база!$AK:$AK,0))</f>
        <v>#N/A</v>
      </c>
      <c r="Q3" s="235"/>
      <c r="R3" s="236"/>
      <c r="S3" s="236"/>
      <c r="T3" s="237"/>
      <c r="U3" s="147"/>
      <c r="V3" s="147"/>
      <c r="W3" s="150"/>
      <c r="X3" s="150"/>
      <c r="Y3" s="150"/>
      <c r="Z3" s="143"/>
      <c r="AA3" s="143"/>
      <c r="AB3" s="231" t="s">
        <v>78</v>
      </c>
      <c r="AC3" s="231"/>
      <c r="AD3" s="871">
        <v>70</v>
      </c>
      <c r="AE3" s="871"/>
      <c r="AF3" s="231"/>
      <c r="AG3" s="231" t="s">
        <v>85</v>
      </c>
      <c r="AH3" s="231"/>
      <c r="AI3" s="231"/>
      <c r="AJ3" s="145"/>
    </row>
    <row r="4" spans="1:36" s="1" customFormat="1" ht="24" customHeight="1">
      <c r="A4" s="143"/>
      <c r="B4" s="868"/>
      <c r="C4" s="868"/>
      <c r="D4" s="868"/>
      <c r="E4" s="868"/>
      <c r="F4" s="868"/>
      <c r="G4" s="868"/>
      <c r="H4" s="868"/>
      <c r="I4" s="868"/>
      <c r="J4" s="146"/>
      <c r="K4" s="147"/>
      <c r="L4" s="147"/>
      <c r="M4" s="147"/>
      <c r="N4" s="147"/>
      <c r="O4" s="154"/>
      <c r="P4" s="154"/>
      <c r="Q4" s="154"/>
      <c r="R4" s="143"/>
      <c r="S4" s="143"/>
      <c r="T4" s="148"/>
      <c r="U4" s="149"/>
      <c r="V4" s="149"/>
      <c r="W4" s="150"/>
      <c r="X4" s="150"/>
      <c r="Y4" s="150"/>
      <c r="Z4" s="143"/>
      <c r="AA4" s="143"/>
      <c r="AB4" s="231" t="s">
        <v>79</v>
      </c>
      <c r="AC4" s="231"/>
      <c r="AD4" s="871">
        <v>70</v>
      </c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2023</v>
      </c>
      <c r="M5" s="870"/>
      <c r="N5" s="155"/>
      <c r="O5" s="155"/>
      <c r="P5" s="155"/>
      <c r="Q5" s="155"/>
      <c r="R5" s="155"/>
      <c r="S5" s="155"/>
      <c r="T5" s="155"/>
      <c r="U5" s="155"/>
      <c r="V5" s="155"/>
      <c r="W5" s="143"/>
      <c r="X5" s="143"/>
      <c r="Y5" s="143"/>
      <c r="Z5" s="143"/>
      <c r="AA5" s="143"/>
      <c r="AB5" s="231" t="s">
        <v>81</v>
      </c>
      <c r="AC5" s="231"/>
      <c r="AD5" s="231">
        <v>0</v>
      </c>
      <c r="AE5" s="231"/>
      <c r="AF5" s="231"/>
      <c r="AG5" s="231" t="s">
        <v>82</v>
      </c>
      <c r="AH5" s="231"/>
      <c r="AI5" s="231"/>
      <c r="AJ5" s="145"/>
    </row>
    <row r="6" spans="1:36" s="1" customFormat="1" ht="25.5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4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28.5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25.5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>SUM(E25:AI25)</f>
        <v>0</v>
      </c>
    </row>
    <row r="26" spans="1:36" ht="25.5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 t="shared" ref="AJ26:AJ33" si="1">SUM(E26:AI26)</f>
        <v>0</v>
      </c>
    </row>
    <row r="27" spans="1:36" ht="25.5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 t="shared" si="1"/>
        <v>0</v>
      </c>
    </row>
    <row r="28" spans="1:36" ht="25.5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si="1"/>
        <v>0</v>
      </c>
    </row>
    <row r="29" spans="1:36" ht="25.5" hidden="1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25.5" hidden="1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5.5" hidden="1" customHeight="1">
      <c r="A31" s="140">
        <v>25</v>
      </c>
      <c r="B3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1">
        <f t="shared" si="1"/>
        <v>0</v>
      </c>
    </row>
    <row r="32" spans="1:36" ht="25.5" hidden="1" customHeight="1">
      <c r="A32" s="140">
        <v>26</v>
      </c>
      <c r="B3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1">
        <f t="shared" si="1"/>
        <v>0</v>
      </c>
    </row>
    <row r="33" spans="1:41" ht="25.5" customHeight="1">
      <c r="A33" s="140"/>
      <c r="B3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1">
        <f t="shared" si="1"/>
        <v>0</v>
      </c>
      <c r="AL33" s="857" t="s">
        <v>94</v>
      </c>
      <c r="AM33" s="857"/>
      <c r="AN33" s="857"/>
    </row>
    <row r="34" spans="1:41" ht="15" customHeight="1">
      <c r="A34" s="140"/>
      <c r="B34" s="33"/>
      <c r="C34" s="30" t="s">
        <v>63</v>
      </c>
      <c r="D34" s="33"/>
      <c r="E34" s="31">
        <f>SUM(E7:E33)</f>
        <v>0</v>
      </c>
      <c r="F34" s="31">
        <f t="shared" ref="F34:AI34" si="2">SUM(F7:F33)</f>
        <v>0</v>
      </c>
      <c r="G34" s="31">
        <f t="shared" si="2"/>
        <v>0</v>
      </c>
      <c r="H34" s="31">
        <f t="shared" si="2"/>
        <v>0</v>
      </c>
      <c r="I34" s="31">
        <f t="shared" si="2"/>
        <v>0</v>
      </c>
      <c r="J34" s="31">
        <f t="shared" si="2"/>
        <v>0</v>
      </c>
      <c r="K34" s="31">
        <f t="shared" si="2"/>
        <v>0</v>
      </c>
      <c r="L34" s="31">
        <f t="shared" si="2"/>
        <v>0</v>
      </c>
      <c r="M34" s="31">
        <f t="shared" si="2"/>
        <v>0</v>
      </c>
      <c r="N34" s="31">
        <f t="shared" si="2"/>
        <v>0</v>
      </c>
      <c r="O34" s="31">
        <f t="shared" si="2"/>
        <v>0</v>
      </c>
      <c r="P34" s="31">
        <f t="shared" si="2"/>
        <v>0</v>
      </c>
      <c r="Q34" s="31">
        <f t="shared" si="2"/>
        <v>0</v>
      </c>
      <c r="R34" s="31">
        <f t="shared" si="2"/>
        <v>0</v>
      </c>
      <c r="S34" s="31">
        <f t="shared" si="2"/>
        <v>0</v>
      </c>
      <c r="T34" s="31">
        <f t="shared" si="2"/>
        <v>0</v>
      </c>
      <c r="U34" s="31">
        <f t="shared" si="2"/>
        <v>0</v>
      </c>
      <c r="V34" s="31">
        <f t="shared" si="2"/>
        <v>0</v>
      </c>
      <c r="W34" s="31">
        <f t="shared" si="2"/>
        <v>0</v>
      </c>
      <c r="X34" s="31">
        <f t="shared" si="2"/>
        <v>0</v>
      </c>
      <c r="Y34" s="31">
        <f t="shared" si="2"/>
        <v>0</v>
      </c>
      <c r="Z34" s="31">
        <f t="shared" si="2"/>
        <v>0</v>
      </c>
      <c r="AA34" s="31">
        <f t="shared" si="2"/>
        <v>0</v>
      </c>
      <c r="AB34" s="31">
        <f t="shared" si="2"/>
        <v>0</v>
      </c>
      <c r="AC34" s="31">
        <f t="shared" si="2"/>
        <v>0</v>
      </c>
      <c r="AD34" s="31">
        <f t="shared" si="2"/>
        <v>0</v>
      </c>
      <c r="AE34" s="31">
        <f t="shared" si="2"/>
        <v>0</v>
      </c>
      <c r="AF34" s="31">
        <f t="shared" si="2"/>
        <v>0</v>
      </c>
      <c r="AG34" s="31">
        <f t="shared" si="2"/>
        <v>0</v>
      </c>
      <c r="AH34" s="31">
        <f t="shared" si="2"/>
        <v>0</v>
      </c>
      <c r="AI34" s="31">
        <f t="shared" si="2"/>
        <v>0</v>
      </c>
      <c r="AJ34" s="137">
        <f>SUM(E34:AI34)</f>
        <v>0</v>
      </c>
      <c r="AL34" s="856">
        <f>SUMIFS(Таблица1[Столбец2],Таблица1[партия],W1,Таблица1[изд],N1)</f>
        <v>0</v>
      </c>
      <c r="AM34" s="856"/>
      <c r="AN34" s="856"/>
      <c r="AO34" s="856"/>
    </row>
    <row r="35" spans="1:41" ht="9" customHeight="1">
      <c r="A35" s="140"/>
      <c r="B35" s="140"/>
      <c r="C35" s="141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2"/>
      <c r="AL35" s="856"/>
      <c r="AM35" s="856"/>
      <c r="AN35" s="856"/>
      <c r="AO35" s="856"/>
    </row>
    <row r="36" spans="1:41" ht="17.25" customHeight="1">
      <c r="A36" s="140"/>
      <c r="B36" s="140"/>
      <c r="C36" s="274" t="s">
        <v>64</v>
      </c>
      <c r="D36" s="242"/>
      <c r="E36" s="242"/>
      <c r="F36" s="242"/>
      <c r="G36" s="241" t="str">
        <f>Data_Tech!$AU$7</f>
        <v>Кувшинов А.Г.</v>
      </c>
      <c r="H36" s="241"/>
      <c r="I36" s="241"/>
      <c r="J36" s="241"/>
      <c r="K36" s="140"/>
      <c r="L36" s="140"/>
      <c r="M36" s="140"/>
      <c r="N36" s="140"/>
      <c r="O36" s="140"/>
      <c r="P36" s="140"/>
      <c r="Q36" s="140"/>
      <c r="R36" s="56" t="s">
        <v>246</v>
      </c>
      <c r="S36" s="56"/>
      <c r="T36" s="56"/>
      <c r="U36" s="56"/>
      <c r="V36" s="240"/>
      <c r="W36" s="240"/>
      <c r="X36" s="240"/>
      <c r="Y36" s="240"/>
      <c r="Z36" s="240"/>
      <c r="AA36" s="56" t="s">
        <v>108</v>
      </c>
      <c r="AB36" s="56"/>
      <c r="AC36" s="56"/>
      <c r="AD36" s="56"/>
      <c r="AE36" s="140"/>
      <c r="AF36" s="140"/>
      <c r="AG36" s="140"/>
      <c r="AH36" s="140"/>
      <c r="AI36" s="140"/>
      <c r="AJ36" s="140"/>
      <c r="AL36" s="856"/>
      <c r="AM36" s="856"/>
      <c r="AN36" s="856"/>
      <c r="AO36" s="856"/>
    </row>
    <row r="37" spans="1:41" ht="15" customHeight="1">
      <c r="A37" s="140"/>
      <c r="B37" s="140"/>
      <c r="C37" s="141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L37" s="856"/>
      <c r="AM37" s="856"/>
      <c r="AN37" s="856"/>
      <c r="AO37" s="856"/>
    </row>
    <row r="38" spans="1:41" ht="20.25" customHeight="1">
      <c r="B38" s="56"/>
      <c r="C38" s="57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</row>
    <row r="39" spans="1:41" ht="18.75">
      <c r="AJ39" s="58"/>
    </row>
    <row r="40" spans="1:41" ht="18">
      <c r="C40" s="46"/>
      <c r="D40" s="47"/>
    </row>
    <row r="41" spans="1:41" ht="18">
      <c r="C41" s="46"/>
      <c r="D41" s="47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O41"/>
  <sheetViews>
    <sheetView view="pageBreakPreview" zoomScale="60" zoomScaleNormal="50" workbookViewId="0">
      <selection activeCell="AC16" sqref="AC16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  <col min="38" max="38" customWidth="true" width="22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6001</v>
      </c>
      <c r="O1" s="874"/>
      <c r="P1" s="874"/>
      <c r="Q1" s="874"/>
      <c r="R1" s="874"/>
      <c r="S1" s="874"/>
      <c r="T1" s="874"/>
      <c r="U1" s="872" t="s">
        <v>10</v>
      </c>
      <c r="V1" s="872"/>
      <c r="W1" s="873" t="s">
        <v>106</v>
      </c>
      <c r="X1" s="873"/>
      <c r="Y1" s="873"/>
      <c r="Z1" s="143"/>
      <c r="AA1" s="145"/>
      <c r="AB1" s="145"/>
      <c r="AC1" s="145"/>
      <c r="AD1" s="145"/>
      <c r="AE1" s="143"/>
      <c r="AF1" s="143"/>
      <c r="AG1" s="143"/>
      <c r="AH1" s="143"/>
      <c r="AI1" s="143"/>
      <c r="AJ1" s="145"/>
    </row>
    <row r="2" spans="1:36" s="1" customFormat="1" ht="24" customHeight="1">
      <c r="A2" s="143"/>
      <c r="B2" s="868"/>
      <c r="C2" s="868"/>
      <c r="D2" s="868"/>
      <c r="E2" s="868"/>
      <c r="F2" s="868"/>
      <c r="G2" s="868"/>
      <c r="H2" s="868"/>
      <c r="I2" s="868"/>
      <c r="J2" s="146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143"/>
      <c r="AA2" s="143"/>
      <c r="AB2" s="231" t="s">
        <v>10</v>
      </c>
      <c r="AC2" s="231"/>
      <c r="AD2" s="871">
        <v>6400</v>
      </c>
      <c r="AE2" s="871"/>
      <c r="AF2" s="231"/>
      <c r="AG2" s="231" t="s">
        <v>76</v>
      </c>
      <c r="AH2" s="231"/>
      <c r="AI2" s="231"/>
      <c r="AJ2" s="145"/>
    </row>
    <row r="3" spans="1:36" s="1" customFormat="1" ht="24" customHeight="1">
      <c r="A3" s="143"/>
      <c r="B3" s="868"/>
      <c r="C3" s="868"/>
      <c r="D3" s="868"/>
      <c r="E3" s="868"/>
      <c r="F3" s="868"/>
      <c r="G3" s="868"/>
      <c r="H3" s="868"/>
      <c r="I3" s="868"/>
      <c r="J3" s="146"/>
      <c r="K3" s="152" t="s">
        <v>77</v>
      </c>
      <c r="L3" s="147"/>
      <c r="M3" s="147"/>
      <c r="N3" s="153"/>
      <c r="O3" s="235"/>
      <c r="P3" s="235" t="e">
        <f>INDEX(база!$AL:$AL, MATCH(N1,база!$AK:$AK,0))</f>
        <v>#N/A</v>
      </c>
      <c r="Q3" s="235"/>
      <c r="R3" s="236"/>
      <c r="S3" s="236"/>
      <c r="T3" s="237"/>
      <c r="U3" s="147"/>
      <c r="V3" s="147"/>
      <c r="W3" s="150"/>
      <c r="X3" s="150"/>
      <c r="Y3" s="150"/>
      <c r="Z3" s="143"/>
      <c r="AA3" s="143"/>
      <c r="AB3" s="231" t="s">
        <v>78</v>
      </c>
      <c r="AC3" s="231"/>
      <c r="AD3" s="871">
        <v>70</v>
      </c>
      <c r="AE3" s="871"/>
      <c r="AF3" s="231"/>
      <c r="AG3" s="231" t="s">
        <v>85</v>
      </c>
      <c r="AH3" s="231"/>
      <c r="AI3" s="231"/>
      <c r="AJ3" s="145"/>
    </row>
    <row r="4" spans="1:36" s="1" customFormat="1" ht="24" customHeight="1">
      <c r="A4" s="143"/>
      <c r="B4" s="868"/>
      <c r="C4" s="868"/>
      <c r="D4" s="868"/>
      <c r="E4" s="868"/>
      <c r="F4" s="868"/>
      <c r="G4" s="868"/>
      <c r="H4" s="868"/>
      <c r="I4" s="868"/>
      <c r="J4" s="146"/>
      <c r="K4" s="147"/>
      <c r="L4" s="147"/>
      <c r="M4" s="147"/>
      <c r="N4" s="147"/>
      <c r="O4" s="154"/>
      <c r="P4" s="154"/>
      <c r="Q4" s="154"/>
      <c r="R4" s="143"/>
      <c r="S4" s="143"/>
      <c r="T4" s="148"/>
      <c r="U4" s="149"/>
      <c r="V4" s="149"/>
      <c r="W4" s="150"/>
      <c r="X4" s="150"/>
      <c r="Y4" s="150"/>
      <c r="Z4" s="143"/>
      <c r="AA4" s="143"/>
      <c r="AB4" s="231" t="s">
        <v>79</v>
      </c>
      <c r="AC4" s="231"/>
      <c r="AD4" s="871">
        <v>70</v>
      </c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2022</v>
      </c>
      <c r="M5" s="870"/>
      <c r="N5" s="155"/>
      <c r="O5" s="155"/>
      <c r="P5" s="155"/>
      <c r="Q5" s="155"/>
      <c r="R5" s="155"/>
      <c r="S5" s="155"/>
      <c r="T5" s="155"/>
      <c r="U5" s="155"/>
      <c r="V5" s="155"/>
      <c r="W5" s="143"/>
      <c r="X5" s="143"/>
      <c r="Y5" s="143"/>
      <c r="Z5" s="143"/>
      <c r="AA5" s="143"/>
      <c r="AB5" s="231" t="s">
        <v>81</v>
      </c>
      <c r="AC5" s="231"/>
      <c r="AD5" s="231">
        <v>0</v>
      </c>
      <c r="AE5" s="231"/>
      <c r="AF5" s="231"/>
      <c r="AG5" s="231" t="s">
        <v>82</v>
      </c>
      <c r="AH5" s="231"/>
      <c r="AI5" s="231"/>
      <c r="AJ5" s="145"/>
    </row>
    <row r="6" spans="1:36" s="1" customFormat="1" ht="25.5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4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28.5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25.5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>SUM(E25:AI25)</f>
        <v>0</v>
      </c>
    </row>
    <row r="26" spans="1:36" ht="25.5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 t="shared" ref="AJ26:AJ33" si="1">SUM(E26:AI26)</f>
        <v>0</v>
      </c>
    </row>
    <row r="27" spans="1:36" ht="25.5" hidden="1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 t="shared" si="1"/>
        <v>0</v>
      </c>
    </row>
    <row r="28" spans="1:36" ht="25.5" hidden="1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si="1"/>
        <v>0</v>
      </c>
    </row>
    <row r="29" spans="1:36" ht="25.5" hidden="1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25.5" hidden="1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5.5" hidden="1" customHeight="1">
      <c r="A31" s="140">
        <v>25</v>
      </c>
      <c r="B3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1">
        <f t="shared" si="1"/>
        <v>0</v>
      </c>
    </row>
    <row r="32" spans="1:36" ht="25.5" hidden="1" customHeight="1">
      <c r="A32" s="140">
        <v>26</v>
      </c>
      <c r="B3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1">
        <f t="shared" si="1"/>
        <v>0</v>
      </c>
    </row>
    <row r="33" spans="1:41" ht="25.5" customHeight="1">
      <c r="A33" s="140"/>
      <c r="B3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1">
        <f t="shared" si="1"/>
        <v>0</v>
      </c>
      <c r="AL33" s="857" t="s">
        <v>94</v>
      </c>
      <c r="AM33" s="857"/>
      <c r="AN33" s="857"/>
    </row>
    <row r="34" spans="1:41" ht="15" customHeight="1">
      <c r="A34" s="140"/>
      <c r="B34" s="33"/>
      <c r="C34" s="30" t="s">
        <v>63</v>
      </c>
      <c r="D34" s="33"/>
      <c r="E34" s="31">
        <f>SUM(E7:E33)</f>
        <v>0</v>
      </c>
      <c r="F34" s="31">
        <f t="shared" ref="F34:AI34" si="2">SUM(F7:F33)</f>
        <v>0</v>
      </c>
      <c r="G34" s="31">
        <f t="shared" si="2"/>
        <v>0</v>
      </c>
      <c r="H34" s="31">
        <f t="shared" si="2"/>
        <v>0</v>
      </c>
      <c r="I34" s="31">
        <f t="shared" si="2"/>
        <v>0</v>
      </c>
      <c r="J34" s="31">
        <f t="shared" si="2"/>
        <v>0</v>
      </c>
      <c r="K34" s="31">
        <f t="shared" si="2"/>
        <v>0</v>
      </c>
      <c r="L34" s="31">
        <f t="shared" si="2"/>
        <v>0</v>
      </c>
      <c r="M34" s="31">
        <f t="shared" si="2"/>
        <v>0</v>
      </c>
      <c r="N34" s="31">
        <f t="shared" si="2"/>
        <v>0</v>
      </c>
      <c r="O34" s="31">
        <f t="shared" si="2"/>
        <v>0</v>
      </c>
      <c r="P34" s="31">
        <f t="shared" si="2"/>
        <v>0</v>
      </c>
      <c r="Q34" s="31">
        <f t="shared" si="2"/>
        <v>0</v>
      </c>
      <c r="R34" s="31">
        <f t="shared" si="2"/>
        <v>0</v>
      </c>
      <c r="S34" s="31">
        <f t="shared" si="2"/>
        <v>0</v>
      </c>
      <c r="T34" s="31">
        <f t="shared" si="2"/>
        <v>0</v>
      </c>
      <c r="U34" s="31">
        <f t="shared" si="2"/>
        <v>0</v>
      </c>
      <c r="V34" s="31">
        <f t="shared" si="2"/>
        <v>0</v>
      </c>
      <c r="W34" s="31">
        <f t="shared" si="2"/>
        <v>0</v>
      </c>
      <c r="X34" s="31">
        <f t="shared" si="2"/>
        <v>0</v>
      </c>
      <c r="Y34" s="31">
        <f t="shared" si="2"/>
        <v>0</v>
      </c>
      <c r="Z34" s="31">
        <f t="shared" si="2"/>
        <v>0</v>
      </c>
      <c r="AA34" s="31">
        <f t="shared" si="2"/>
        <v>0</v>
      </c>
      <c r="AB34" s="31">
        <f t="shared" si="2"/>
        <v>0</v>
      </c>
      <c r="AC34" s="31">
        <f t="shared" si="2"/>
        <v>0</v>
      </c>
      <c r="AD34" s="31">
        <f t="shared" si="2"/>
        <v>0</v>
      </c>
      <c r="AE34" s="31">
        <f t="shared" si="2"/>
        <v>0</v>
      </c>
      <c r="AF34" s="31">
        <f t="shared" si="2"/>
        <v>0</v>
      </c>
      <c r="AG34" s="31">
        <f t="shared" si="2"/>
        <v>0</v>
      </c>
      <c r="AH34" s="31">
        <f t="shared" si="2"/>
        <v>0</v>
      </c>
      <c r="AI34" s="31">
        <f t="shared" si="2"/>
        <v>0</v>
      </c>
      <c r="AJ34" s="137">
        <f>SUM(E34:AI34)</f>
        <v>0</v>
      </c>
      <c r="AL34" s="856">
        <f>SUMIFS(Таблица1[Столбец2],Таблица1[партия],W1,Таблица1[изд],N1)</f>
        <v>0</v>
      </c>
      <c r="AM34" s="856"/>
      <c r="AN34" s="856"/>
      <c r="AO34" s="856"/>
    </row>
    <row r="35" spans="1:41" ht="9" customHeight="1">
      <c r="A35" s="140"/>
      <c r="B35" s="140"/>
      <c r="C35" s="141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2"/>
      <c r="AL35" s="856"/>
      <c r="AM35" s="856"/>
      <c r="AN35" s="856"/>
      <c r="AO35" s="856"/>
    </row>
    <row r="36" spans="1:41" ht="17.25" customHeight="1">
      <c r="A36" s="140"/>
      <c r="B36" s="140"/>
      <c r="C36" s="274" t="s">
        <v>64</v>
      </c>
      <c r="D36" s="242"/>
      <c r="E36" s="242"/>
      <c r="F36" s="242"/>
      <c r="G36" s="241" t="str">
        <f>Data_Tech!$AU$7</f>
        <v>Кувшинов А.Г.</v>
      </c>
      <c r="H36" s="241"/>
      <c r="I36" s="241"/>
      <c r="J36" s="241"/>
      <c r="K36" s="140"/>
      <c r="L36" s="140"/>
      <c r="M36" s="140"/>
      <c r="N36" s="140"/>
      <c r="O36" s="140"/>
      <c r="P36" s="140"/>
      <c r="Q36" s="140"/>
      <c r="R36" s="56" t="s">
        <v>246</v>
      </c>
      <c r="S36" s="56"/>
      <c r="T36" s="56"/>
      <c r="U36" s="56"/>
      <c r="V36" s="240"/>
      <c r="W36" s="240"/>
      <c r="X36" s="240"/>
      <c r="Y36" s="240"/>
      <c r="Z36" s="240"/>
      <c r="AA36" s="56" t="s">
        <v>108</v>
      </c>
      <c r="AB36" s="56"/>
      <c r="AC36" s="56"/>
      <c r="AD36" s="56"/>
      <c r="AE36" s="140"/>
      <c r="AF36" s="140"/>
      <c r="AG36" s="140"/>
      <c r="AH36" s="140"/>
      <c r="AI36" s="140"/>
      <c r="AJ36" s="140"/>
      <c r="AL36" s="856"/>
      <c r="AM36" s="856"/>
      <c r="AN36" s="856"/>
      <c r="AO36" s="856"/>
    </row>
    <row r="37" spans="1:41" ht="15" customHeight="1">
      <c r="A37" s="140"/>
      <c r="B37" s="140"/>
      <c r="C37" s="141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L37" s="856"/>
      <c r="AM37" s="856"/>
      <c r="AN37" s="856"/>
      <c r="AO37" s="856"/>
    </row>
    <row r="38" spans="1:41" ht="20.25" customHeight="1">
      <c r="B38" s="56"/>
      <c r="C38" s="57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</row>
    <row r="39" spans="1:41" ht="18.75">
      <c r="AJ39" s="58"/>
    </row>
    <row r="40" spans="1:41" ht="18">
      <c r="C40" s="46"/>
      <c r="D40" s="47"/>
    </row>
    <row r="41" spans="1:41" ht="18">
      <c r="C41" s="46"/>
      <c r="D41" s="47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O41"/>
  <sheetViews>
    <sheetView view="pageBreakPreview" zoomScale="60" zoomScaleNormal="60" workbookViewId="0">
      <selection activeCell="N1" sqref="N1:Y1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  <col min="38" max="38" customWidth="true" width="22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6001</v>
      </c>
      <c r="O1" s="874"/>
      <c r="P1" s="874"/>
      <c r="Q1" s="874"/>
      <c r="R1" s="874"/>
      <c r="S1" s="874"/>
      <c r="T1" s="874"/>
      <c r="U1" s="872" t="s">
        <v>10</v>
      </c>
      <c r="V1" s="872"/>
      <c r="W1" s="873" t="s">
        <v>107</v>
      </c>
      <c r="X1" s="873"/>
      <c r="Y1" s="873"/>
      <c r="Z1" s="143"/>
      <c r="AA1" s="145"/>
      <c r="AB1" s="145"/>
      <c r="AC1" s="145"/>
      <c r="AD1" s="145"/>
      <c r="AE1" s="143"/>
      <c r="AF1" s="143"/>
      <c r="AG1" s="143"/>
      <c r="AH1" s="143"/>
      <c r="AI1" s="143"/>
      <c r="AJ1" s="145"/>
    </row>
    <row r="2" spans="1:36" s="1" customFormat="1" ht="24" customHeight="1">
      <c r="A2" s="143"/>
      <c r="B2" s="868"/>
      <c r="C2" s="868"/>
      <c r="D2" s="868"/>
      <c r="E2" s="868"/>
      <c r="F2" s="868"/>
      <c r="G2" s="868"/>
      <c r="H2" s="868"/>
      <c r="I2" s="868"/>
      <c r="J2" s="146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143"/>
      <c r="AA2" s="143"/>
      <c r="AB2" s="231" t="s">
        <v>10</v>
      </c>
      <c r="AC2" s="231"/>
      <c r="AD2" s="871">
        <v>6400</v>
      </c>
      <c r="AE2" s="871"/>
      <c r="AF2" s="231"/>
      <c r="AG2" s="231" t="s">
        <v>76</v>
      </c>
      <c r="AH2" s="231"/>
      <c r="AI2" s="231"/>
      <c r="AJ2" s="145"/>
    </row>
    <row r="3" spans="1:36" s="1" customFormat="1" ht="24" customHeight="1">
      <c r="A3" s="143"/>
      <c r="B3" s="868"/>
      <c r="C3" s="868"/>
      <c r="D3" s="868"/>
      <c r="E3" s="868"/>
      <c r="F3" s="868"/>
      <c r="G3" s="868"/>
      <c r="H3" s="868"/>
      <c r="I3" s="868"/>
      <c r="J3" s="146"/>
      <c r="K3" s="152" t="s">
        <v>77</v>
      </c>
      <c r="L3" s="147"/>
      <c r="M3" s="147"/>
      <c r="N3" s="153"/>
      <c r="O3" s="235"/>
      <c r="P3" s="235" t="e">
        <f>INDEX(база!$AL:$AL, MATCH(N1,база!$AK:$AK,0))</f>
        <v>#N/A</v>
      </c>
      <c r="Q3" s="235"/>
      <c r="R3" s="236"/>
      <c r="S3" s="236"/>
      <c r="T3" s="237"/>
      <c r="U3" s="147"/>
      <c r="V3" s="147"/>
      <c r="W3" s="150"/>
      <c r="X3" s="150"/>
      <c r="Y3" s="150"/>
      <c r="Z3" s="143"/>
      <c r="AA3" s="143"/>
      <c r="AB3" s="231" t="s">
        <v>78</v>
      </c>
      <c r="AC3" s="231"/>
      <c r="AD3" s="871">
        <v>70</v>
      </c>
      <c r="AE3" s="871"/>
      <c r="AF3" s="231"/>
      <c r="AG3" s="231" t="s">
        <v>85</v>
      </c>
      <c r="AH3" s="231"/>
      <c r="AI3" s="231"/>
      <c r="AJ3" s="145"/>
    </row>
    <row r="4" spans="1:36" s="1" customFormat="1" ht="24" customHeight="1">
      <c r="A4" s="143"/>
      <c r="B4" s="868"/>
      <c r="C4" s="868"/>
      <c r="D4" s="868"/>
      <c r="E4" s="868"/>
      <c r="F4" s="868"/>
      <c r="G4" s="868"/>
      <c r="H4" s="868"/>
      <c r="I4" s="868"/>
      <c r="J4" s="146"/>
      <c r="K4" s="147"/>
      <c r="L4" s="147"/>
      <c r="M4" s="147"/>
      <c r="N4" s="147"/>
      <c r="O4" s="154"/>
      <c r="P4" s="154"/>
      <c r="Q4" s="154"/>
      <c r="R4" s="143"/>
      <c r="S4" s="143"/>
      <c r="T4" s="148"/>
      <c r="U4" s="149"/>
      <c r="V4" s="149"/>
      <c r="W4" s="150"/>
      <c r="X4" s="150"/>
      <c r="Y4" s="150"/>
      <c r="Z4" s="143"/>
      <c r="AA4" s="143"/>
      <c r="AB4" s="231" t="s">
        <v>79</v>
      </c>
      <c r="AC4" s="231"/>
      <c r="AD4" s="871">
        <v>70</v>
      </c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2022</v>
      </c>
      <c r="M5" s="870"/>
      <c r="N5" s="155"/>
      <c r="O5" s="155"/>
      <c r="P5" s="155"/>
      <c r="Q5" s="155"/>
      <c r="R5" s="155"/>
      <c r="S5" s="155"/>
      <c r="T5" s="155"/>
      <c r="U5" s="155"/>
      <c r="V5" s="155"/>
      <c r="W5" s="143"/>
      <c r="X5" s="143"/>
      <c r="Y5" s="143"/>
      <c r="Z5" s="143"/>
      <c r="AA5" s="143"/>
      <c r="AB5" s="231" t="s">
        <v>81</v>
      </c>
      <c r="AC5" s="231"/>
      <c r="AD5" s="231">
        <v>0</v>
      </c>
      <c r="AE5" s="231"/>
      <c r="AF5" s="231"/>
      <c r="AG5" s="231" t="s">
        <v>82</v>
      </c>
      <c r="AH5" s="231"/>
      <c r="AI5" s="231"/>
      <c r="AJ5" s="145"/>
    </row>
    <row r="6" spans="1:36" s="1" customFormat="1" ht="25.5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4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28.5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25.5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>SUM(E25:AI25)</f>
        <v>0</v>
      </c>
    </row>
    <row r="26" spans="1:36" ht="25.5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 t="shared" ref="AJ26:AJ33" si="1">SUM(E26:AI26)</f>
        <v>0</v>
      </c>
    </row>
    <row r="27" spans="1:36" ht="25.5" hidden="1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 t="shared" si="1"/>
        <v>0</v>
      </c>
    </row>
    <row r="28" spans="1:36" ht="25.5" hidden="1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si="1"/>
        <v>0</v>
      </c>
    </row>
    <row r="29" spans="1:36" ht="25.5" hidden="1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25.5" hidden="1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5.5" hidden="1" customHeight="1">
      <c r="A31" s="140">
        <v>25</v>
      </c>
      <c r="B3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1">
        <f t="shared" si="1"/>
        <v>0</v>
      </c>
    </row>
    <row r="32" spans="1:36" ht="25.5" hidden="1" customHeight="1">
      <c r="A32" s="140">
        <v>26</v>
      </c>
      <c r="B3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1">
        <f t="shared" si="1"/>
        <v>0</v>
      </c>
    </row>
    <row r="33" spans="1:41" ht="25.5" customHeight="1">
      <c r="A33" s="140"/>
      <c r="B3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1">
        <f t="shared" si="1"/>
        <v>0</v>
      </c>
      <c r="AL33" s="857" t="s">
        <v>94</v>
      </c>
      <c r="AM33" s="857"/>
      <c r="AN33" s="857"/>
    </row>
    <row r="34" spans="1:41" ht="15" customHeight="1">
      <c r="A34" s="140"/>
      <c r="B34" s="33"/>
      <c r="C34" s="30" t="s">
        <v>63</v>
      </c>
      <c r="D34" s="33"/>
      <c r="E34" s="31">
        <f>SUM(E7:E33)</f>
        <v>0</v>
      </c>
      <c r="F34" s="31">
        <f t="shared" ref="F34:AI34" si="2">SUM(F7:F33)</f>
        <v>0</v>
      </c>
      <c r="G34" s="31">
        <f t="shared" si="2"/>
        <v>0</v>
      </c>
      <c r="H34" s="31">
        <f t="shared" si="2"/>
        <v>0</v>
      </c>
      <c r="I34" s="31">
        <f t="shared" si="2"/>
        <v>0</v>
      </c>
      <c r="J34" s="31">
        <f t="shared" si="2"/>
        <v>0</v>
      </c>
      <c r="K34" s="31">
        <f t="shared" si="2"/>
        <v>0</v>
      </c>
      <c r="L34" s="31">
        <f t="shared" si="2"/>
        <v>0</v>
      </c>
      <c r="M34" s="31">
        <f t="shared" si="2"/>
        <v>0</v>
      </c>
      <c r="N34" s="31">
        <f t="shared" si="2"/>
        <v>0</v>
      </c>
      <c r="O34" s="31">
        <f t="shared" si="2"/>
        <v>0</v>
      </c>
      <c r="P34" s="31">
        <f t="shared" si="2"/>
        <v>0</v>
      </c>
      <c r="Q34" s="31">
        <f t="shared" si="2"/>
        <v>0</v>
      </c>
      <c r="R34" s="31">
        <f t="shared" si="2"/>
        <v>0</v>
      </c>
      <c r="S34" s="31">
        <f t="shared" si="2"/>
        <v>0</v>
      </c>
      <c r="T34" s="31">
        <f t="shared" si="2"/>
        <v>0</v>
      </c>
      <c r="U34" s="31">
        <f t="shared" si="2"/>
        <v>0</v>
      </c>
      <c r="V34" s="31">
        <f t="shared" si="2"/>
        <v>0</v>
      </c>
      <c r="W34" s="31">
        <f t="shared" si="2"/>
        <v>0</v>
      </c>
      <c r="X34" s="31">
        <f t="shared" si="2"/>
        <v>0</v>
      </c>
      <c r="Y34" s="31">
        <f t="shared" si="2"/>
        <v>0</v>
      </c>
      <c r="Z34" s="31">
        <f t="shared" si="2"/>
        <v>0</v>
      </c>
      <c r="AA34" s="31">
        <f t="shared" si="2"/>
        <v>0</v>
      </c>
      <c r="AB34" s="31">
        <f t="shared" si="2"/>
        <v>0</v>
      </c>
      <c r="AC34" s="31">
        <f t="shared" si="2"/>
        <v>0</v>
      </c>
      <c r="AD34" s="31">
        <f t="shared" si="2"/>
        <v>0</v>
      </c>
      <c r="AE34" s="31">
        <f t="shared" si="2"/>
        <v>0</v>
      </c>
      <c r="AF34" s="31">
        <f t="shared" si="2"/>
        <v>0</v>
      </c>
      <c r="AG34" s="31">
        <f t="shared" si="2"/>
        <v>0</v>
      </c>
      <c r="AH34" s="31">
        <f t="shared" si="2"/>
        <v>0</v>
      </c>
      <c r="AI34" s="31">
        <f t="shared" si="2"/>
        <v>0</v>
      </c>
      <c r="AJ34" s="137">
        <f>SUM(E34:AI34)</f>
        <v>0</v>
      </c>
      <c r="AL34" s="856">
        <f>SUMIFS(Таблица1[Столбец2],Таблица1[партия],W1,Таблица1[изд],N1)</f>
        <v>0</v>
      </c>
      <c r="AM34" s="856"/>
      <c r="AN34" s="856"/>
      <c r="AO34" s="856"/>
    </row>
    <row r="35" spans="1:41" ht="9" customHeight="1">
      <c r="A35" s="140"/>
      <c r="B35" s="140"/>
      <c r="C35" s="141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2"/>
      <c r="AL35" s="856"/>
      <c r="AM35" s="856"/>
      <c r="AN35" s="856"/>
      <c r="AO35" s="856"/>
    </row>
    <row r="36" spans="1:41" ht="17.25" customHeight="1">
      <c r="A36" s="140"/>
      <c r="B36" s="140"/>
      <c r="C36" s="274" t="s">
        <v>64</v>
      </c>
      <c r="D36" s="242"/>
      <c r="E36" s="242"/>
      <c r="F36" s="242"/>
      <c r="G36" s="241" t="str">
        <f>Data_Tech!$AU$7</f>
        <v>Кувшинов А.Г.</v>
      </c>
      <c r="H36" s="241"/>
      <c r="I36" s="241"/>
      <c r="J36" s="241"/>
      <c r="K36" s="140"/>
      <c r="L36" s="140"/>
      <c r="M36" s="140"/>
      <c r="N36" s="140"/>
      <c r="O36" s="140"/>
      <c r="P36" s="140"/>
      <c r="Q36" s="140"/>
      <c r="R36" s="56" t="s">
        <v>246</v>
      </c>
      <c r="S36" s="56"/>
      <c r="T36" s="56"/>
      <c r="U36" s="56"/>
      <c r="V36" s="240"/>
      <c r="W36" s="240"/>
      <c r="X36" s="240"/>
      <c r="Y36" s="240"/>
      <c r="Z36" s="240"/>
      <c r="AA36" s="56" t="s">
        <v>108</v>
      </c>
      <c r="AB36" s="56"/>
      <c r="AC36" s="56"/>
      <c r="AD36" s="56"/>
      <c r="AE36" s="140"/>
      <c r="AF36" s="140"/>
      <c r="AG36" s="140"/>
      <c r="AH36" s="140"/>
      <c r="AI36" s="140"/>
      <c r="AJ36" s="140"/>
      <c r="AL36" s="856"/>
      <c r="AM36" s="856"/>
      <c r="AN36" s="856"/>
      <c r="AO36" s="856"/>
    </row>
    <row r="37" spans="1:41" ht="15" customHeight="1">
      <c r="A37" s="140"/>
      <c r="B37" s="140"/>
      <c r="C37" s="141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L37" s="856"/>
      <c r="AM37" s="856"/>
      <c r="AN37" s="856"/>
      <c r="AO37" s="856"/>
    </row>
    <row r="38" spans="1:41" ht="20.25" customHeight="1">
      <c r="B38" s="56"/>
      <c r="C38" s="57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</row>
    <row r="39" spans="1:41" ht="18.75">
      <c r="AJ39" s="58"/>
    </row>
    <row r="40" spans="1:41" ht="18">
      <c r="C40" s="46"/>
      <c r="D40" s="47"/>
    </row>
    <row r="41" spans="1:41" ht="18">
      <c r="C41" s="46"/>
      <c r="D41" s="47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AO41"/>
  <sheetViews>
    <sheetView view="pageBreakPreview" zoomScale="60" zoomScaleNormal="50" workbookViewId="0">
      <selection activeCell="AO18" sqref="AO18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85</v>
      </c>
      <c r="O1" s="874"/>
      <c r="P1" s="874"/>
      <c r="Q1" s="874"/>
      <c r="R1" s="874"/>
      <c r="S1" s="874"/>
      <c r="T1" s="874"/>
      <c r="U1" s="876" t="s">
        <v>10</v>
      </c>
      <c r="V1" s="876"/>
      <c r="W1" s="873" t="s">
        <v>66</v>
      </c>
      <c r="X1" s="873"/>
      <c r="Y1" s="873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145"/>
    </row>
    <row r="2" spans="1:36" s="1" customFormat="1" ht="21" customHeight="1">
      <c r="A2" s="143"/>
      <c r="B2" s="868"/>
      <c r="C2" s="868"/>
      <c r="D2" s="868"/>
      <c r="E2" s="868"/>
      <c r="F2" s="868"/>
      <c r="G2" s="868"/>
      <c r="H2" s="868"/>
      <c r="I2" s="868"/>
      <c r="J2" s="243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232"/>
      <c r="AA2" s="232"/>
      <c r="AB2" s="231" t="s">
        <v>10</v>
      </c>
      <c r="AC2" s="231"/>
      <c r="AD2" s="871"/>
      <c r="AE2" s="871"/>
      <c r="AF2" s="231"/>
      <c r="AG2" s="231" t="s">
        <v>76</v>
      </c>
      <c r="AH2" s="231"/>
      <c r="AI2" s="231"/>
      <c r="AJ2" s="145"/>
    </row>
    <row r="3" spans="1:36" s="1" customFormat="1" ht="21" customHeight="1">
      <c r="A3" s="143"/>
      <c r="B3" s="868"/>
      <c r="C3" s="868"/>
      <c r="D3" s="868"/>
      <c r="E3" s="868"/>
      <c r="F3" s="868"/>
      <c r="G3" s="868"/>
      <c r="H3" s="868"/>
      <c r="I3" s="868"/>
      <c r="J3" s="243"/>
      <c r="K3" s="152" t="s">
        <v>77</v>
      </c>
      <c r="L3" s="147"/>
      <c r="M3" s="147"/>
      <c r="N3" s="153"/>
      <c r="O3" s="235"/>
      <c r="P3" s="235"/>
      <c r="Q3" s="235" t="e">
        <f>INDEX(база!$AL:$AL, MATCH(N1,база!$AK:$AK,0))</f>
        <v>#N/A</v>
      </c>
      <c r="R3" s="236"/>
      <c r="S3" s="236"/>
      <c r="T3" s="237"/>
      <c r="U3" s="147"/>
      <c r="V3" s="147"/>
      <c r="W3" s="150"/>
      <c r="X3" s="150"/>
      <c r="Y3" s="150"/>
      <c r="Z3" s="232"/>
      <c r="AA3" s="232"/>
      <c r="AB3" s="231" t="s">
        <v>78</v>
      </c>
      <c r="AC3" s="231"/>
      <c r="AD3" s="871"/>
      <c r="AE3" s="871"/>
      <c r="AF3" s="231"/>
      <c r="AG3" s="231" t="s">
        <v>85</v>
      </c>
      <c r="AH3" s="231"/>
      <c r="AI3" s="231"/>
      <c r="AJ3" s="145"/>
    </row>
    <row r="4" spans="1:36" s="1" customFormat="1" ht="21" customHeight="1">
      <c r="A4" s="143"/>
      <c r="B4" s="868"/>
      <c r="C4" s="868"/>
      <c r="D4" s="868"/>
      <c r="E4" s="868"/>
      <c r="F4" s="868"/>
      <c r="G4" s="868"/>
      <c r="H4" s="868"/>
      <c r="I4" s="868"/>
      <c r="J4" s="243"/>
      <c r="K4" s="147"/>
      <c r="L4" s="147"/>
      <c r="M4" s="147"/>
      <c r="N4" s="147"/>
      <c r="O4" s="233"/>
      <c r="P4" s="233"/>
      <c r="Q4" s="233"/>
      <c r="R4" s="232"/>
      <c r="S4" s="232"/>
      <c r="T4" s="234"/>
      <c r="U4" s="147"/>
      <c r="V4" s="147"/>
      <c r="W4" s="150"/>
      <c r="X4" s="150"/>
      <c r="Y4" s="150"/>
      <c r="Z4" s="232"/>
      <c r="AA4" s="232"/>
      <c r="AB4" s="231" t="s">
        <v>79</v>
      </c>
      <c r="AC4" s="231"/>
      <c r="AD4" s="871"/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2022</v>
      </c>
      <c r="M5" s="870"/>
      <c r="N5" s="244"/>
      <c r="O5" s="244"/>
      <c r="P5" s="244"/>
      <c r="Q5" s="244"/>
      <c r="R5" s="244"/>
      <c r="S5" s="244"/>
      <c r="T5" s="244"/>
      <c r="U5" s="244"/>
      <c r="V5" s="244"/>
      <c r="W5" s="232"/>
      <c r="X5" s="232"/>
      <c r="Y5" s="232"/>
      <c r="Z5" s="232"/>
      <c r="AA5" s="232"/>
      <c r="AB5" s="231" t="s">
        <v>81</v>
      </c>
      <c r="AC5" s="231"/>
      <c r="AD5" s="231"/>
      <c r="AE5" s="231"/>
      <c r="AF5" s="231"/>
      <c r="AG5" s="231" t="s">
        <v>82</v>
      </c>
      <c r="AH5" s="231"/>
      <c r="AI5" s="231"/>
      <c r="AJ5" s="145"/>
    </row>
    <row r="6" spans="1:36" s="1" customFormat="1" ht="27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5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33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33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 t="shared" si="0"/>
        <v>0</v>
      </c>
    </row>
    <row r="26" spans="1:36" ht="33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>SUM(E26:AI26)</f>
        <v>0</v>
      </c>
    </row>
    <row r="27" spans="1:36" ht="33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>SUM(E27:AI27)</f>
        <v>0</v>
      </c>
    </row>
    <row r="28" spans="1:36" ht="33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ref="AJ28:AJ30" si="1">SUM(E28:AI28)</f>
        <v>0</v>
      </c>
    </row>
    <row r="29" spans="1:36" ht="33" hidden="1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33" hidden="1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1" customHeight="1">
      <c r="A31" s="140"/>
      <c r="B31" s="33"/>
      <c r="C31" s="30" t="s">
        <v>63</v>
      </c>
      <c r="D31" s="33"/>
      <c r="E31" s="31">
        <f>SUM(E7:E30)</f>
        <v>0</v>
      </c>
      <c r="F31" s="31">
        <f t="shared" ref="F31:AI31" si="2">SUM(F7:F30)</f>
        <v>0</v>
      </c>
      <c r="G31" s="31">
        <f t="shared" si="2"/>
        <v>0</v>
      </c>
      <c r="H31" s="31">
        <f t="shared" si="2"/>
        <v>0</v>
      </c>
      <c r="I31" s="31">
        <f t="shared" si="2"/>
        <v>0</v>
      </c>
      <c r="J31" s="31">
        <f t="shared" si="2"/>
        <v>0</v>
      </c>
      <c r="K31" s="31">
        <f t="shared" si="2"/>
        <v>0</v>
      </c>
      <c r="L31" s="31">
        <f t="shared" si="2"/>
        <v>0</v>
      </c>
      <c r="M31" s="31">
        <f t="shared" si="2"/>
        <v>0</v>
      </c>
      <c r="N31" s="31">
        <f t="shared" si="2"/>
        <v>0</v>
      </c>
      <c r="O31" s="31">
        <f t="shared" si="2"/>
        <v>0</v>
      </c>
      <c r="P31" s="31">
        <f t="shared" si="2"/>
        <v>0</v>
      </c>
      <c r="Q31" s="31">
        <f t="shared" si="2"/>
        <v>0</v>
      </c>
      <c r="R31" s="31">
        <f t="shared" si="2"/>
        <v>0</v>
      </c>
      <c r="S31" s="31">
        <f t="shared" si="2"/>
        <v>0</v>
      </c>
      <c r="T31" s="31">
        <f t="shared" si="2"/>
        <v>0</v>
      </c>
      <c r="U31" s="31">
        <f t="shared" si="2"/>
        <v>0</v>
      </c>
      <c r="V31" s="31">
        <f t="shared" si="2"/>
        <v>0</v>
      </c>
      <c r="W31" s="31">
        <f t="shared" si="2"/>
        <v>0</v>
      </c>
      <c r="X31" s="31">
        <f t="shared" si="2"/>
        <v>0</v>
      </c>
      <c r="Y31" s="31">
        <f t="shared" si="2"/>
        <v>0</v>
      </c>
      <c r="Z31" s="31">
        <f t="shared" si="2"/>
        <v>0</v>
      </c>
      <c r="AA31" s="31">
        <f t="shared" si="2"/>
        <v>0</v>
      </c>
      <c r="AB31" s="31">
        <f t="shared" si="2"/>
        <v>0</v>
      </c>
      <c r="AC31" s="31">
        <f t="shared" si="2"/>
        <v>0</v>
      </c>
      <c r="AD31" s="31">
        <f t="shared" si="2"/>
        <v>0</v>
      </c>
      <c r="AE31" s="31">
        <f t="shared" si="2"/>
        <v>0</v>
      </c>
      <c r="AF31" s="31">
        <f t="shared" si="2"/>
        <v>0</v>
      </c>
      <c r="AG31" s="31">
        <f t="shared" si="2"/>
        <v>0</v>
      </c>
      <c r="AH31" s="31">
        <f t="shared" si="2"/>
        <v>0</v>
      </c>
      <c r="AI31" s="31">
        <f t="shared" si="2"/>
        <v>0</v>
      </c>
      <c r="AJ31" s="137">
        <f>SUM(E31:AI31)</f>
        <v>0</v>
      </c>
    </row>
    <row r="32" spans="1:36" ht="7.5" customHeight="1">
      <c r="A32" s="140"/>
      <c r="B32" s="140"/>
      <c r="C32" s="141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2"/>
    </row>
    <row r="33" spans="1:41" s="56" customFormat="1" ht="27" customHeight="1">
      <c r="A33" s="241"/>
      <c r="B33" s="241"/>
      <c r="C33" s="274" t="s">
        <v>64</v>
      </c>
      <c r="D33" s="242"/>
      <c r="E33" s="242"/>
      <c r="F33" s="242"/>
      <c r="G33" s="241" t="str">
        <f>Data_Tech!$AU$7</f>
        <v>Кувшинов А.Г.</v>
      </c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56" t="s">
        <v>246</v>
      </c>
      <c r="V33" s="240"/>
      <c r="W33" s="240"/>
      <c r="X33" s="240"/>
      <c r="Y33" s="240"/>
      <c r="Z33" s="240"/>
      <c r="AA33" s="56" t="s">
        <v>108</v>
      </c>
      <c r="AE33" s="241"/>
      <c r="AF33" s="241"/>
      <c r="AG33" s="241"/>
      <c r="AH33" s="241"/>
      <c r="AI33" s="241"/>
      <c r="AJ33" s="241"/>
    </row>
    <row r="34" spans="1:41" ht="23.25" customHeight="1">
      <c r="A34" s="140"/>
      <c r="B34" s="140"/>
      <c r="C34" s="141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</row>
    <row r="35" spans="1:41" ht="20.25" customHeight="1">
      <c r="B35" s="56"/>
      <c r="C35" s="57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41" ht="18.75">
      <c r="AJ36" s="58"/>
    </row>
    <row r="37" spans="1:41" ht="31.5">
      <c r="C37" s="46"/>
      <c r="D37" s="47"/>
      <c r="AL37" s="272" t="s">
        <v>94</v>
      </c>
      <c r="AM37" s="272"/>
      <c r="AN37" s="272"/>
    </row>
    <row r="38" spans="1:41" ht="18">
      <c r="C38" s="46"/>
      <c r="D38" s="47"/>
      <c r="AL38" s="875">
        <f>SUMIFS(Таблица1[Столбец2],Таблица1[партия],W1,Таблица1[изд],N1)</f>
        <v>0</v>
      </c>
      <c r="AM38" s="875"/>
      <c r="AN38" s="875"/>
      <c r="AO38" s="875"/>
    </row>
    <row r="39" spans="1:41">
      <c r="AL39" s="875"/>
      <c r="AM39" s="875"/>
      <c r="AN39" s="875"/>
      <c r="AO39" s="875"/>
    </row>
    <row r="40" spans="1:41">
      <c r="AL40" s="875"/>
      <c r="AM40" s="875"/>
      <c r="AN40" s="875"/>
      <c r="AO40" s="875"/>
    </row>
    <row r="41" spans="1:41">
      <c r="AL41" s="875"/>
      <c r="AM41" s="875"/>
      <c r="AN41" s="875"/>
      <c r="AO41" s="875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3622047244094491" right="0.23622047244094491" top="0.35433070866141736" bottom="0.35433070866141736" header="0" footer="0"/>
  <pageSetup paperSize="9" scale="57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O41"/>
  <sheetViews>
    <sheetView view="pageBreakPreview" zoomScale="60" zoomScaleNormal="70" workbookViewId="0">
      <selection activeCell="S5" sqref="S5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6000</v>
      </c>
      <c r="O1" s="874"/>
      <c r="P1" s="874"/>
      <c r="Q1" s="874"/>
      <c r="R1" s="874"/>
      <c r="S1" s="874"/>
      <c r="T1" s="874"/>
      <c r="U1" s="876" t="s">
        <v>10</v>
      </c>
      <c r="V1" s="876"/>
      <c r="W1" s="873" t="s">
        <v>105</v>
      </c>
      <c r="X1" s="873"/>
      <c r="Y1" s="873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145"/>
    </row>
    <row r="2" spans="1:36" s="1" customFormat="1" ht="21" customHeight="1">
      <c r="A2" s="143"/>
      <c r="B2" s="868"/>
      <c r="C2" s="868"/>
      <c r="D2" s="868"/>
      <c r="E2" s="868"/>
      <c r="F2" s="868"/>
      <c r="G2" s="868"/>
      <c r="H2" s="868"/>
      <c r="I2" s="868"/>
      <c r="J2" s="243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232"/>
      <c r="AA2" s="232"/>
      <c r="AB2" s="231" t="s">
        <v>10</v>
      </c>
      <c r="AC2" s="231"/>
      <c r="AD2" s="871"/>
      <c r="AE2" s="871"/>
      <c r="AF2" s="231"/>
      <c r="AG2" s="231" t="s">
        <v>76</v>
      </c>
      <c r="AH2" s="231"/>
      <c r="AI2" s="231"/>
      <c r="AJ2" s="145"/>
    </row>
    <row r="3" spans="1:36" s="1" customFormat="1" ht="21" customHeight="1">
      <c r="A3" s="143"/>
      <c r="B3" s="868"/>
      <c r="C3" s="868"/>
      <c r="D3" s="868"/>
      <c r="E3" s="868"/>
      <c r="F3" s="868"/>
      <c r="G3" s="868"/>
      <c r="H3" s="868"/>
      <c r="I3" s="868"/>
      <c r="J3" s="243"/>
      <c r="K3" s="152" t="s">
        <v>77</v>
      </c>
      <c r="L3" s="147"/>
      <c r="M3" s="147"/>
      <c r="N3" s="546"/>
      <c r="O3" s="547"/>
      <c r="P3" s="547"/>
      <c r="Q3" s="547" t="e">
        <f>INDEX(база!$AL:$AL, MATCH(N1,база!$AK:$AK,0))</f>
        <v>#N/A</v>
      </c>
      <c r="R3" s="548"/>
      <c r="S3" s="548"/>
      <c r="T3" s="549"/>
      <c r="U3" s="147"/>
      <c r="V3" s="147"/>
      <c r="W3" s="150"/>
      <c r="X3" s="150"/>
      <c r="Y3" s="150"/>
      <c r="Z3" s="232"/>
      <c r="AA3" s="232"/>
      <c r="AB3" s="231" t="s">
        <v>78</v>
      </c>
      <c r="AC3" s="231"/>
      <c r="AD3" s="871"/>
      <c r="AE3" s="871"/>
      <c r="AF3" s="231"/>
      <c r="AG3" s="231" t="s">
        <v>85</v>
      </c>
      <c r="AH3" s="231"/>
      <c r="AI3" s="231"/>
      <c r="AJ3" s="145"/>
    </row>
    <row r="4" spans="1:36" s="1" customFormat="1" ht="21" customHeight="1">
      <c r="A4" s="143"/>
      <c r="B4" s="868"/>
      <c r="C4" s="868"/>
      <c r="D4" s="868"/>
      <c r="E4" s="868"/>
      <c r="F4" s="868"/>
      <c r="G4" s="868"/>
      <c r="H4" s="868"/>
      <c r="I4" s="868"/>
      <c r="J4" s="243"/>
      <c r="K4" s="147"/>
      <c r="L4" s="147"/>
      <c r="M4" s="147"/>
      <c r="N4" s="147"/>
      <c r="O4" s="233"/>
      <c r="P4" s="233"/>
      <c r="Q4" s="233"/>
      <c r="R4" s="232"/>
      <c r="S4" s="232"/>
      <c r="T4" s="234"/>
      <c r="U4" s="147"/>
      <c r="V4" s="147"/>
      <c r="W4" s="150"/>
      <c r="X4" s="150"/>
      <c r="Y4" s="150"/>
      <c r="Z4" s="232"/>
      <c r="AA4" s="232"/>
      <c r="AB4" s="231" t="s">
        <v>79</v>
      </c>
      <c r="AC4" s="231"/>
      <c r="AD4" s="871"/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2022</v>
      </c>
      <c r="M5" s="870"/>
      <c r="N5" s="244"/>
      <c r="O5" s="244"/>
      <c r="P5" s="244"/>
      <c r="Q5" s="244"/>
      <c r="R5" s="244"/>
      <c r="S5" s="244"/>
      <c r="T5" s="244"/>
      <c r="U5" s="244"/>
      <c r="V5" s="244"/>
      <c r="W5" s="232"/>
      <c r="X5" s="232"/>
      <c r="Y5" s="232"/>
      <c r="Z5" s="232"/>
      <c r="AA5" s="232"/>
      <c r="AB5" s="231" t="s">
        <v>81</v>
      </c>
      <c r="AC5" s="231"/>
      <c r="AD5" s="231"/>
      <c r="AE5" s="231"/>
      <c r="AF5" s="231"/>
      <c r="AG5" s="231" t="s">
        <v>82</v>
      </c>
      <c r="AH5" s="231"/>
      <c r="AI5" s="231"/>
      <c r="AJ5" s="145"/>
    </row>
    <row r="6" spans="1:36" s="1" customFormat="1" ht="27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5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33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33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 t="shared" si="0"/>
        <v>0</v>
      </c>
    </row>
    <row r="26" spans="1:36" ht="33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>SUM(E26:AI26)</f>
        <v>0</v>
      </c>
    </row>
    <row r="27" spans="1:36" ht="33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>SUM(E27:AI27)</f>
        <v>0</v>
      </c>
    </row>
    <row r="28" spans="1:36" ht="33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ref="AJ28:AJ30" si="1">SUM(E28:AI28)</f>
        <v>0</v>
      </c>
    </row>
    <row r="29" spans="1:36" ht="33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33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1" customHeight="1">
      <c r="A31" s="140"/>
      <c r="B31" s="33"/>
      <c r="C31" s="30" t="s">
        <v>63</v>
      </c>
      <c r="D31" s="33"/>
      <c r="E31" s="31">
        <f>SUM(E7:E30)</f>
        <v>0</v>
      </c>
      <c r="F31" s="31">
        <f t="shared" ref="F31:AI31" si="2">SUM(F7:F30)</f>
        <v>0</v>
      </c>
      <c r="G31" s="31">
        <f t="shared" si="2"/>
        <v>0</v>
      </c>
      <c r="H31" s="31">
        <f t="shared" si="2"/>
        <v>0</v>
      </c>
      <c r="I31" s="31">
        <f t="shared" si="2"/>
        <v>0</v>
      </c>
      <c r="J31" s="31">
        <f t="shared" si="2"/>
        <v>0</v>
      </c>
      <c r="K31" s="31">
        <f t="shared" si="2"/>
        <v>0</v>
      </c>
      <c r="L31" s="31">
        <f t="shared" si="2"/>
        <v>0</v>
      </c>
      <c r="M31" s="31">
        <f t="shared" si="2"/>
        <v>0</v>
      </c>
      <c r="N31" s="31">
        <f t="shared" si="2"/>
        <v>0</v>
      </c>
      <c r="O31" s="31">
        <f t="shared" si="2"/>
        <v>0</v>
      </c>
      <c r="P31" s="31">
        <f t="shared" si="2"/>
        <v>0</v>
      </c>
      <c r="Q31" s="31">
        <f t="shared" si="2"/>
        <v>0</v>
      </c>
      <c r="R31" s="31">
        <f t="shared" si="2"/>
        <v>0</v>
      </c>
      <c r="S31" s="31">
        <f t="shared" si="2"/>
        <v>0</v>
      </c>
      <c r="T31" s="31">
        <f t="shared" si="2"/>
        <v>0</v>
      </c>
      <c r="U31" s="31">
        <f t="shared" si="2"/>
        <v>0</v>
      </c>
      <c r="V31" s="31">
        <f t="shared" si="2"/>
        <v>0</v>
      </c>
      <c r="W31" s="31">
        <f t="shared" si="2"/>
        <v>0</v>
      </c>
      <c r="X31" s="31">
        <f t="shared" si="2"/>
        <v>0</v>
      </c>
      <c r="Y31" s="31">
        <f t="shared" si="2"/>
        <v>0</v>
      </c>
      <c r="Z31" s="31">
        <f t="shared" si="2"/>
        <v>0</v>
      </c>
      <c r="AA31" s="31">
        <f t="shared" si="2"/>
        <v>0</v>
      </c>
      <c r="AB31" s="31">
        <f t="shared" si="2"/>
        <v>0</v>
      </c>
      <c r="AC31" s="31">
        <f t="shared" si="2"/>
        <v>0</v>
      </c>
      <c r="AD31" s="31">
        <f t="shared" si="2"/>
        <v>0</v>
      </c>
      <c r="AE31" s="31">
        <f t="shared" si="2"/>
        <v>0</v>
      </c>
      <c r="AF31" s="31">
        <f t="shared" si="2"/>
        <v>0</v>
      </c>
      <c r="AG31" s="31">
        <f t="shared" si="2"/>
        <v>0</v>
      </c>
      <c r="AH31" s="31">
        <f t="shared" si="2"/>
        <v>0</v>
      </c>
      <c r="AI31" s="31">
        <f t="shared" si="2"/>
        <v>0</v>
      </c>
      <c r="AJ31" s="137">
        <f>SUM(E31:AI31)</f>
        <v>0</v>
      </c>
    </row>
    <row r="32" spans="1:36" ht="11.25" customHeight="1">
      <c r="A32" s="140"/>
      <c r="B32" s="140"/>
      <c r="C32" s="141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2"/>
    </row>
    <row r="33" spans="1:41" s="56" customFormat="1" ht="17.25" customHeight="1">
      <c r="A33" s="241"/>
      <c r="B33" s="241"/>
      <c r="C33" s="274" t="s">
        <v>64</v>
      </c>
      <c r="D33" s="242"/>
      <c r="E33" s="242"/>
      <c r="F33" s="242"/>
      <c r="G33" s="241" t="str">
        <f>Data_Tech!$AU$7</f>
        <v>Кувшинов А.Г.</v>
      </c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56" t="s">
        <v>246</v>
      </c>
      <c r="V33" s="240"/>
      <c r="W33" s="240"/>
      <c r="X33" s="240"/>
      <c r="Y33" s="240"/>
      <c r="Z33" s="240"/>
      <c r="AA33" s="56" t="s">
        <v>108</v>
      </c>
      <c r="AE33" s="241"/>
      <c r="AF33" s="241"/>
      <c r="AG33" s="241"/>
      <c r="AH33" s="241"/>
      <c r="AI33" s="241"/>
      <c r="AJ33" s="241"/>
    </row>
    <row r="34" spans="1:41" ht="23.25" customHeight="1">
      <c r="A34" s="140"/>
      <c r="B34" s="140"/>
      <c r="C34" s="141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</row>
    <row r="35" spans="1:41" ht="20.25" customHeight="1">
      <c r="B35" s="56"/>
      <c r="C35" s="57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41" ht="18.75">
      <c r="AJ36" s="58"/>
    </row>
    <row r="37" spans="1:41" ht="31.5">
      <c r="C37" s="46"/>
      <c r="D37" s="47"/>
      <c r="AL37" s="272" t="s">
        <v>94</v>
      </c>
      <c r="AM37" s="272"/>
      <c r="AN37" s="272"/>
    </row>
    <row r="38" spans="1:41" ht="18">
      <c r="C38" s="46"/>
      <c r="D38" s="47"/>
      <c r="AL38" s="875">
        <f>SUMIFS(Таблица1[Столбец2],Таблица1[партия],W1,Таблица1[изд],N1)</f>
        <v>0</v>
      </c>
      <c r="AM38" s="875"/>
      <c r="AN38" s="875"/>
      <c r="AO38" s="875"/>
    </row>
    <row r="39" spans="1:41">
      <c r="AL39" s="875"/>
      <c r="AM39" s="875"/>
      <c r="AN39" s="875"/>
      <c r="AO39" s="875"/>
    </row>
    <row r="40" spans="1:41">
      <c r="AL40" s="875"/>
      <c r="AM40" s="875"/>
      <c r="AN40" s="875"/>
      <c r="AO40" s="875"/>
    </row>
    <row r="41" spans="1:41">
      <c r="AL41" s="875"/>
      <c r="AM41" s="875"/>
      <c r="AN41" s="875"/>
      <c r="AO41" s="875"/>
    </row>
  </sheetData>
  <mergeCells count="10">
    <mergeCell ref="AL38:AO41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70866141732283472" right="0.70866141732283472" top="0.35433070866141736" bottom="0.35433070866141736" header="0" footer="0"/>
  <pageSetup paperSize="9" scale="5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AO41"/>
  <sheetViews>
    <sheetView view="pageBreakPreview" zoomScale="60" zoomScaleNormal="100" workbookViewId="0">
      <selection activeCell="A33" sqref="A33"/>
    </sheetView>
  </sheetViews>
  <sheetFormatPr defaultRowHeight="15"/>
  <cols>
    <col min="1" max="1" customWidth="true" width="5.28515625"/>
    <col min="2" max="2" customWidth="true" width="7.5703125"/>
    <col min="3" max="3" customWidth="true" style="34" width="31.28515625"/>
    <col min="5" max="35" customWidth="true" width="6.0"/>
    <col min="38" max="38" customWidth="true" width="22.0"/>
  </cols>
  <sheetData>
    <row r="1" spans="1:36" s="1" customFormat="1" ht="29.25" customHeight="1">
      <c r="A1" s="143"/>
      <c r="B1" s="868" t="s">
        <v>75</v>
      </c>
      <c r="C1" s="868"/>
      <c r="D1" s="868"/>
      <c r="E1" s="868"/>
      <c r="F1" s="868"/>
      <c r="G1" s="868"/>
      <c r="H1" s="868"/>
      <c r="I1" s="868"/>
      <c r="J1" s="144" t="s">
        <v>68</v>
      </c>
      <c r="K1" s="232"/>
      <c r="L1" s="144"/>
      <c r="M1" s="144"/>
      <c r="N1" s="874">
        <v>6001</v>
      </c>
      <c r="O1" s="874"/>
      <c r="P1" s="874"/>
      <c r="Q1" s="874"/>
      <c r="R1" s="874"/>
      <c r="S1" s="874"/>
      <c r="T1" s="874"/>
      <c r="U1" s="872" t="s">
        <v>10</v>
      </c>
      <c r="V1" s="872"/>
      <c r="W1" s="873" t="s">
        <v>109</v>
      </c>
      <c r="X1" s="873"/>
      <c r="Y1" s="873"/>
      <c r="Z1" s="143"/>
      <c r="AA1" s="145"/>
      <c r="AB1" s="145"/>
      <c r="AC1" s="145"/>
      <c r="AD1" s="145"/>
      <c r="AE1" s="143"/>
      <c r="AF1" s="143"/>
      <c r="AG1" s="143"/>
      <c r="AH1" s="143"/>
      <c r="AI1" s="143"/>
      <c r="AJ1" s="145"/>
    </row>
    <row r="2" spans="1:36" s="1" customFormat="1" ht="24" customHeight="1">
      <c r="A2" s="143"/>
      <c r="B2" s="868"/>
      <c r="C2" s="868"/>
      <c r="D2" s="868"/>
      <c r="E2" s="868"/>
      <c r="F2" s="868"/>
      <c r="G2" s="868"/>
      <c r="H2" s="868"/>
      <c r="I2" s="868"/>
      <c r="J2" s="146"/>
      <c r="K2" s="147"/>
      <c r="L2" s="147"/>
      <c r="M2" s="147"/>
      <c r="N2" s="147"/>
      <c r="O2" s="233"/>
      <c r="P2" s="233"/>
      <c r="Q2" s="233"/>
      <c r="R2" s="232"/>
      <c r="S2" s="232"/>
      <c r="T2" s="234"/>
      <c r="U2" s="147"/>
      <c r="V2" s="147"/>
      <c r="W2" s="150"/>
      <c r="X2" s="150"/>
      <c r="Y2" s="150"/>
      <c r="Z2" s="143"/>
      <c r="AA2" s="143"/>
      <c r="AB2" s="231" t="s">
        <v>10</v>
      </c>
      <c r="AC2" s="231"/>
      <c r="AD2" s="871">
        <v>6400</v>
      </c>
      <c r="AE2" s="871"/>
      <c r="AF2" s="231"/>
      <c r="AG2" s="231" t="s">
        <v>76</v>
      </c>
      <c r="AH2" s="231"/>
      <c r="AI2" s="231"/>
      <c r="AJ2" s="145"/>
    </row>
    <row r="3" spans="1:36" s="1" customFormat="1" ht="24" customHeight="1">
      <c r="A3" s="143"/>
      <c r="B3" s="868"/>
      <c r="C3" s="868"/>
      <c r="D3" s="868"/>
      <c r="E3" s="868"/>
      <c r="F3" s="868"/>
      <c r="G3" s="868"/>
      <c r="H3" s="868"/>
      <c r="I3" s="868"/>
      <c r="J3" s="146"/>
      <c r="K3" s="152" t="s">
        <v>77</v>
      </c>
      <c r="L3" s="147"/>
      <c r="M3" s="147"/>
      <c r="N3" s="153"/>
      <c r="O3" s="235"/>
      <c r="P3" s="235" t="e">
        <f>INDEX(база!$AL:$AL, MATCH(N1,база!$AK:$AK,0))</f>
        <v>#N/A</v>
      </c>
      <c r="Q3" s="235"/>
      <c r="R3" s="236"/>
      <c r="S3" s="236"/>
      <c r="T3" s="237"/>
      <c r="U3" s="147"/>
      <c r="V3" s="147"/>
      <c r="W3" s="150"/>
      <c r="X3" s="150"/>
      <c r="Y3" s="150"/>
      <c r="Z3" s="143"/>
      <c r="AA3" s="143"/>
      <c r="AB3" s="231" t="s">
        <v>78</v>
      </c>
      <c r="AC3" s="231"/>
      <c r="AD3" s="871">
        <v>70</v>
      </c>
      <c r="AE3" s="871"/>
      <c r="AF3" s="231"/>
      <c r="AG3" s="231" t="s">
        <v>85</v>
      </c>
      <c r="AH3" s="231"/>
      <c r="AI3" s="231"/>
      <c r="AJ3" s="145"/>
    </row>
    <row r="4" spans="1:36" s="1" customFormat="1" ht="24" customHeight="1">
      <c r="A4" s="143"/>
      <c r="B4" s="868"/>
      <c r="C4" s="868"/>
      <c r="D4" s="868"/>
      <c r="E4" s="868"/>
      <c r="F4" s="868"/>
      <c r="G4" s="868"/>
      <c r="H4" s="868"/>
      <c r="I4" s="868"/>
      <c r="J4" s="146"/>
      <c r="K4" s="147"/>
      <c r="L4" s="147"/>
      <c r="M4" s="147"/>
      <c r="N4" s="147"/>
      <c r="O4" s="154"/>
      <c r="P4" s="154"/>
      <c r="Q4" s="154"/>
      <c r="R4" s="143"/>
      <c r="S4" s="143"/>
      <c r="T4" s="148"/>
      <c r="U4" s="149"/>
      <c r="V4" s="149"/>
      <c r="W4" s="150"/>
      <c r="X4" s="150"/>
      <c r="Y4" s="150"/>
      <c r="Z4" s="143"/>
      <c r="AA4" s="143"/>
      <c r="AB4" s="231" t="s">
        <v>79</v>
      </c>
      <c r="AC4" s="231"/>
      <c r="AD4" s="871">
        <v>70</v>
      </c>
      <c r="AE4" s="871"/>
      <c r="AF4" s="231"/>
      <c r="AG4" s="231" t="s">
        <v>80</v>
      </c>
      <c r="AH4" s="231"/>
      <c r="AI4" s="231"/>
      <c r="AJ4" s="145"/>
    </row>
    <row r="5" spans="1:36" s="1" customFormat="1" ht="24" customHeight="1">
      <c r="A5" s="143"/>
      <c r="B5" s="868"/>
      <c r="C5" s="868"/>
      <c r="D5" s="868"/>
      <c r="E5" s="868"/>
      <c r="F5" s="868"/>
      <c r="G5" s="868"/>
      <c r="H5" s="868"/>
      <c r="I5" s="868"/>
      <c r="J5" s="869" t="str">
        <f>Data_Tech!A3</f>
        <v>декабрь</v>
      </c>
      <c r="K5" s="869"/>
      <c r="L5" s="870">
        <v>2022</v>
      </c>
      <c r="M5" s="870"/>
      <c r="N5" s="155"/>
      <c r="O5" s="155"/>
      <c r="P5" s="155"/>
      <c r="Q5" s="155"/>
      <c r="R5" s="155"/>
      <c r="S5" s="155"/>
      <c r="T5" s="155"/>
      <c r="U5" s="155"/>
      <c r="V5" s="155"/>
      <c r="W5" s="143"/>
      <c r="X5" s="143"/>
      <c r="Y5" s="143"/>
      <c r="Z5" s="143"/>
      <c r="AA5" s="143"/>
      <c r="AB5" s="231" t="s">
        <v>81</v>
      </c>
      <c r="AC5" s="231"/>
      <c r="AD5" s="231">
        <v>0</v>
      </c>
      <c r="AE5" s="231"/>
      <c r="AF5" s="231"/>
      <c r="AG5" s="231" t="s">
        <v>82</v>
      </c>
      <c r="AH5" s="231"/>
      <c r="AI5" s="231"/>
      <c r="AJ5" s="145"/>
    </row>
    <row r="6" spans="1:36" s="1" customFormat="1" ht="25.5" customHeight="1">
      <c r="A6" s="143"/>
      <c r="B6" s="125" t="s">
        <v>9</v>
      </c>
      <c r="C6" s="126" t="s">
        <v>0</v>
      </c>
      <c r="D6" s="127" t="s">
        <v>1</v>
      </c>
      <c r="E6" s="128">
        <v>1</v>
      </c>
      <c r="F6" s="128">
        <v>2</v>
      </c>
      <c r="G6" s="128">
        <v>3</v>
      </c>
      <c r="H6" s="128">
        <v>4</v>
      </c>
      <c r="I6" s="128">
        <v>5</v>
      </c>
      <c r="J6" s="128">
        <v>6</v>
      </c>
      <c r="K6" s="128">
        <v>7</v>
      </c>
      <c r="L6" s="128">
        <v>8</v>
      </c>
      <c r="M6" s="128">
        <v>9</v>
      </c>
      <c r="N6" s="128">
        <v>10</v>
      </c>
      <c r="O6" s="128">
        <v>11</v>
      </c>
      <c r="P6" s="128">
        <v>12</v>
      </c>
      <c r="Q6" s="128">
        <v>13</v>
      </c>
      <c r="R6" s="128">
        <v>14</v>
      </c>
      <c r="S6" s="128">
        <v>15</v>
      </c>
      <c r="T6" s="128">
        <v>16</v>
      </c>
      <c r="U6" s="128">
        <v>17</v>
      </c>
      <c r="V6" s="128">
        <v>18</v>
      </c>
      <c r="W6" s="128">
        <v>19</v>
      </c>
      <c r="X6" s="128">
        <v>20</v>
      </c>
      <c r="Y6" s="128">
        <v>21</v>
      </c>
      <c r="Z6" s="128">
        <v>22</v>
      </c>
      <c r="AA6" s="128">
        <v>23</v>
      </c>
      <c r="AB6" s="128">
        <v>24</v>
      </c>
      <c r="AC6" s="128">
        <v>25</v>
      </c>
      <c r="AD6" s="128">
        <v>26</v>
      </c>
      <c r="AE6" s="128">
        <v>27</v>
      </c>
      <c r="AF6" s="128">
        <v>28</v>
      </c>
      <c r="AG6" s="128">
        <v>29</v>
      </c>
      <c r="AH6" s="128">
        <v>30</v>
      </c>
      <c r="AI6" s="128">
        <v>31</v>
      </c>
      <c r="AJ6" s="129"/>
    </row>
    <row r="7" spans="1:36" ht="33" customHeight="1">
      <c r="A7" s="140">
        <v>1</v>
      </c>
      <c r="B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131">
        <f t="shared" ref="AJ7:AJ24" si="0">SUM(E7:AI7)</f>
        <v>0</v>
      </c>
    </row>
    <row r="8" spans="1:36" ht="33" customHeight="1">
      <c r="A8" s="140">
        <v>2</v>
      </c>
      <c r="B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132">
        <f t="shared" si="0"/>
        <v>0</v>
      </c>
    </row>
    <row r="9" spans="1:36" ht="33" customHeight="1">
      <c r="A9" s="140">
        <v>3</v>
      </c>
      <c r="B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131">
        <f t="shared" si="0"/>
        <v>0</v>
      </c>
    </row>
    <row r="10" spans="1:36" ht="33" customHeight="1">
      <c r="A10" s="140">
        <v>4</v>
      </c>
      <c r="B1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132">
        <f t="shared" si="0"/>
        <v>0</v>
      </c>
    </row>
    <row r="11" spans="1:36" ht="33" customHeight="1">
      <c r="A11" s="140">
        <v>5</v>
      </c>
      <c r="B1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131">
        <f t="shared" si="0"/>
        <v>0</v>
      </c>
    </row>
    <row r="12" spans="1:36" ht="33" customHeight="1">
      <c r="A12" s="140">
        <v>6</v>
      </c>
      <c r="B1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131">
        <f t="shared" si="0"/>
        <v>0</v>
      </c>
    </row>
    <row r="13" spans="1:36" ht="33" customHeight="1">
      <c r="A13" s="140">
        <v>7</v>
      </c>
      <c r="B1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131">
        <f t="shared" si="0"/>
        <v>0</v>
      </c>
    </row>
    <row r="14" spans="1:36" ht="33" customHeight="1">
      <c r="A14" s="140">
        <v>8</v>
      </c>
      <c r="B1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132">
        <f t="shared" si="0"/>
        <v>0</v>
      </c>
    </row>
    <row r="15" spans="1:36" ht="33" customHeight="1">
      <c r="A15" s="140">
        <v>9</v>
      </c>
      <c r="B1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133">
        <f t="shared" si="0"/>
        <v>0</v>
      </c>
    </row>
    <row r="16" spans="1:36" ht="33" customHeight="1">
      <c r="A16" s="140">
        <v>10</v>
      </c>
      <c r="B1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133">
        <f t="shared" si="0"/>
        <v>0</v>
      </c>
    </row>
    <row r="17" spans="1:36" ht="33" customHeight="1">
      <c r="A17" s="140">
        <v>11</v>
      </c>
      <c r="B1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131">
        <f t="shared" si="0"/>
        <v>0</v>
      </c>
    </row>
    <row r="18" spans="1:36" ht="33" customHeight="1">
      <c r="A18" s="140">
        <v>12</v>
      </c>
      <c r="B1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132">
        <f t="shared" si="0"/>
        <v>0</v>
      </c>
    </row>
    <row r="19" spans="1:36" ht="33" customHeight="1">
      <c r="A19" s="140">
        <v>13</v>
      </c>
      <c r="B1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131">
        <f t="shared" si="0"/>
        <v>0</v>
      </c>
    </row>
    <row r="20" spans="1:36" ht="33" customHeight="1">
      <c r="A20" s="140">
        <v>14</v>
      </c>
      <c r="B2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132">
        <f t="shared" si="0"/>
        <v>0</v>
      </c>
    </row>
    <row r="21" spans="1:36" ht="33" customHeight="1">
      <c r="A21" s="140">
        <v>15</v>
      </c>
      <c r="B2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131">
        <f t="shared" si="0"/>
        <v>0</v>
      </c>
    </row>
    <row r="22" spans="1:36" ht="33" customHeight="1">
      <c r="A22" s="140">
        <v>16</v>
      </c>
      <c r="B2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131">
        <f t="shared" si="0"/>
        <v>0</v>
      </c>
    </row>
    <row r="23" spans="1:36" ht="33" customHeight="1">
      <c r="A23" s="140">
        <v>17</v>
      </c>
      <c r="B2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131">
        <f t="shared" si="0"/>
        <v>0</v>
      </c>
    </row>
    <row r="24" spans="1:36" ht="28.5" customHeight="1">
      <c r="A24" s="140">
        <v>18</v>
      </c>
      <c r="B24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131">
        <f t="shared" si="0"/>
        <v>0</v>
      </c>
    </row>
    <row r="25" spans="1:36" ht="25.5" customHeight="1">
      <c r="A25" s="140">
        <v>19</v>
      </c>
      <c r="B25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131">
        <f>SUM(E25:AI25)</f>
        <v>0</v>
      </c>
    </row>
    <row r="26" spans="1:36" ht="25.5" customHeight="1">
      <c r="A26" s="140">
        <v>20</v>
      </c>
      <c r="B26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131">
        <f t="shared" ref="AJ26:AJ33" si="1">SUM(E26:AI26)</f>
        <v>0</v>
      </c>
    </row>
    <row r="27" spans="1:36" ht="25.5" hidden="1" customHeight="1">
      <c r="A27" s="140">
        <v>21</v>
      </c>
      <c r="B27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131">
        <f t="shared" si="1"/>
        <v>0</v>
      </c>
    </row>
    <row r="28" spans="1:36" ht="25.5" hidden="1" customHeight="1">
      <c r="A28" s="140">
        <v>22</v>
      </c>
      <c r="B28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131">
        <f t="shared" si="1"/>
        <v>0</v>
      </c>
    </row>
    <row r="29" spans="1:36" ht="25.5" hidden="1" customHeight="1">
      <c r="A29" s="140">
        <v>23</v>
      </c>
      <c r="B29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131">
        <f t="shared" si="1"/>
        <v>0</v>
      </c>
    </row>
    <row r="30" spans="1:36" ht="25.5" hidden="1" customHeight="1">
      <c r="A30" s="140">
        <v>24</v>
      </c>
      <c r="B30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131">
        <f t="shared" si="1"/>
        <v>0</v>
      </c>
    </row>
    <row r="31" spans="1:36" ht="25.5" hidden="1" customHeight="1">
      <c r="A31" s="140">
        <v>25</v>
      </c>
      <c r="B31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131">
        <f t="shared" si="1"/>
        <v>0</v>
      </c>
    </row>
    <row r="32" spans="1:36" ht="25.5" hidden="1" customHeight="1">
      <c r="A32" s="140">
        <v>26</v>
      </c>
      <c r="B32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131">
        <f t="shared" si="1"/>
        <v>0</v>
      </c>
    </row>
    <row r="33" spans="1:41" ht="25.5" customHeight="1">
      <c r="A33" s="140"/>
      <c r="B33" s="122" t="str">
        <f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123" t="str">
        <f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122" t="str">
        <f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124" t="str">
        <f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124" t="str">
        <f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124" t="str">
        <f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124" t="str">
        <f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124" t="str">
        <f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124" t="str">
        <f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124" t="str">
        <f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124" t="str">
        <f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124" t="str">
        <f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124" t="str">
        <f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124" t="str">
        <f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124" t="str">
        <f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124" t="str">
        <f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124" t="str">
        <f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124" t="str">
        <f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124" t="str">
        <f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124" t="str">
        <f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124" t="str">
        <f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124" t="str">
        <f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124" t="str">
        <f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124" t="str">
        <f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124" t="str">
        <f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124" t="str">
        <f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124" t="str">
        <f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124" t="str">
        <f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124" t="str">
        <f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124" t="str">
        <f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124" t="str">
        <f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124" t="str">
        <f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124" t="str">
        <f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124" t="str">
        <f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131">
        <f t="shared" si="1"/>
        <v>0</v>
      </c>
      <c r="AL33" s="857" t="s">
        <v>94</v>
      </c>
      <c r="AM33" s="857"/>
      <c r="AN33" s="857"/>
    </row>
    <row r="34" spans="1:41" ht="15" customHeight="1">
      <c r="A34" s="140"/>
      <c r="B34" s="33"/>
      <c r="C34" s="30" t="s">
        <v>63</v>
      </c>
      <c r="D34" s="33"/>
      <c r="E34" s="31">
        <f>SUM(E7:E33)</f>
        <v>0</v>
      </c>
      <c r="F34" s="31">
        <f t="shared" ref="F34:AI34" si="2">SUM(F7:F33)</f>
        <v>0</v>
      </c>
      <c r="G34" s="31">
        <f t="shared" si="2"/>
        <v>0</v>
      </c>
      <c r="H34" s="31">
        <f t="shared" si="2"/>
        <v>0</v>
      </c>
      <c r="I34" s="31">
        <f t="shared" si="2"/>
        <v>0</v>
      </c>
      <c r="J34" s="31">
        <f t="shared" si="2"/>
        <v>0</v>
      </c>
      <c r="K34" s="31">
        <f t="shared" si="2"/>
        <v>0</v>
      </c>
      <c r="L34" s="31">
        <f t="shared" si="2"/>
        <v>0</v>
      </c>
      <c r="M34" s="31">
        <f t="shared" si="2"/>
        <v>0</v>
      </c>
      <c r="N34" s="31">
        <f t="shared" si="2"/>
        <v>0</v>
      </c>
      <c r="O34" s="31">
        <f t="shared" si="2"/>
        <v>0</v>
      </c>
      <c r="P34" s="31">
        <f t="shared" si="2"/>
        <v>0</v>
      </c>
      <c r="Q34" s="31">
        <f t="shared" si="2"/>
        <v>0</v>
      </c>
      <c r="R34" s="31">
        <f t="shared" si="2"/>
        <v>0</v>
      </c>
      <c r="S34" s="31">
        <f t="shared" si="2"/>
        <v>0</v>
      </c>
      <c r="T34" s="31">
        <f t="shared" si="2"/>
        <v>0</v>
      </c>
      <c r="U34" s="31">
        <f t="shared" si="2"/>
        <v>0</v>
      </c>
      <c r="V34" s="31">
        <f t="shared" si="2"/>
        <v>0</v>
      </c>
      <c r="W34" s="31">
        <f t="shared" si="2"/>
        <v>0</v>
      </c>
      <c r="X34" s="31">
        <f t="shared" si="2"/>
        <v>0</v>
      </c>
      <c r="Y34" s="31">
        <f t="shared" si="2"/>
        <v>0</v>
      </c>
      <c r="Z34" s="31">
        <f t="shared" si="2"/>
        <v>0</v>
      </c>
      <c r="AA34" s="31">
        <f t="shared" si="2"/>
        <v>0</v>
      </c>
      <c r="AB34" s="31">
        <f t="shared" si="2"/>
        <v>0</v>
      </c>
      <c r="AC34" s="31">
        <f t="shared" si="2"/>
        <v>0</v>
      </c>
      <c r="AD34" s="31">
        <f t="shared" si="2"/>
        <v>0</v>
      </c>
      <c r="AE34" s="31">
        <f t="shared" si="2"/>
        <v>0</v>
      </c>
      <c r="AF34" s="31">
        <f t="shared" si="2"/>
        <v>0</v>
      </c>
      <c r="AG34" s="31">
        <f t="shared" si="2"/>
        <v>0</v>
      </c>
      <c r="AH34" s="31">
        <f t="shared" si="2"/>
        <v>0</v>
      </c>
      <c r="AI34" s="31">
        <f t="shared" si="2"/>
        <v>0</v>
      </c>
      <c r="AJ34" s="137">
        <f>SUM(E34:AI34)</f>
        <v>0</v>
      </c>
      <c r="AL34" s="856">
        <f>SUMIFS(Таблица1[Столбец2],Таблица1[партия],W1,Таблица1[изд],N1)</f>
        <v>0</v>
      </c>
      <c r="AM34" s="856"/>
      <c r="AN34" s="856"/>
      <c r="AO34" s="856"/>
    </row>
    <row r="35" spans="1:41" ht="15" customHeight="1">
      <c r="A35" s="140"/>
      <c r="B35" s="140"/>
      <c r="C35" s="141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2"/>
      <c r="AL35" s="856"/>
      <c r="AM35" s="856"/>
      <c r="AN35" s="856"/>
      <c r="AO35" s="856"/>
    </row>
    <row r="36" spans="1:41" ht="24.75" customHeight="1">
      <c r="A36" s="140"/>
      <c r="B36" s="140"/>
      <c r="C36" s="274" t="s">
        <v>64</v>
      </c>
      <c r="D36" s="242"/>
      <c r="E36" s="242"/>
      <c r="F36" s="242"/>
      <c r="G36" s="241" t="str">
        <f>Data_Tech!$AU$7</f>
        <v>Кувшинов А.Г.</v>
      </c>
      <c r="H36" s="241"/>
      <c r="I36" s="241"/>
      <c r="J36" s="241"/>
      <c r="K36" s="140"/>
      <c r="L36" s="140"/>
      <c r="M36" s="140"/>
      <c r="N36" s="140"/>
      <c r="O36" s="140"/>
      <c r="P36" s="140"/>
      <c r="Q36" s="140"/>
      <c r="R36" s="56" t="s">
        <v>246</v>
      </c>
      <c r="S36" s="56"/>
      <c r="T36" s="56"/>
      <c r="U36" s="56"/>
      <c r="V36" s="240"/>
      <c r="W36" s="240"/>
      <c r="X36" s="240"/>
      <c r="Y36" s="240"/>
      <c r="Z36" s="240"/>
      <c r="AA36" s="56" t="s">
        <v>108</v>
      </c>
      <c r="AB36" s="56"/>
      <c r="AC36" s="56"/>
      <c r="AD36" s="56"/>
      <c r="AE36" s="140"/>
      <c r="AF36" s="140"/>
      <c r="AG36" s="140"/>
      <c r="AH36" s="140"/>
      <c r="AI36" s="140"/>
      <c r="AJ36" s="140"/>
      <c r="AL36" s="856"/>
      <c r="AM36" s="856"/>
      <c r="AN36" s="856"/>
      <c r="AO36" s="856"/>
    </row>
    <row r="37" spans="1:41" ht="15" customHeight="1">
      <c r="A37" s="140"/>
      <c r="B37" s="140"/>
      <c r="C37" s="141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L37" s="856"/>
      <c r="AM37" s="856"/>
      <c r="AN37" s="856"/>
      <c r="AO37" s="856"/>
    </row>
    <row r="38" spans="1:41" ht="20.25" customHeight="1">
      <c r="B38" s="56"/>
      <c r="C38" s="57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</row>
    <row r="39" spans="1:41" ht="18.75">
      <c r="AJ39" s="58"/>
    </row>
    <row r="40" spans="1:41" ht="18">
      <c r="C40" s="46"/>
      <c r="D40" s="47"/>
    </row>
    <row r="41" spans="1:41" ht="18">
      <c r="C41" s="46"/>
      <c r="D41" s="47"/>
    </row>
  </sheetData>
  <mergeCells count="11">
    <mergeCell ref="AL33:AN33"/>
    <mergeCell ref="AL34:AO37"/>
    <mergeCell ref="B1:I5"/>
    <mergeCell ref="N1:T1"/>
    <mergeCell ref="U1:V1"/>
    <mergeCell ref="W1:Y1"/>
    <mergeCell ref="AD2:AE2"/>
    <mergeCell ref="AD3:AE3"/>
    <mergeCell ref="AD4:AE4"/>
    <mergeCell ref="J5:K5"/>
    <mergeCell ref="L5:M5"/>
  </mergeCells>
  <pageMargins left="0.25" right="0.25" top="0.75" bottom="0.75" header="0.3" footer="0.3"/>
  <pageSetup paperSize="9" scale="57" fitToHeight="0" orientation="landscape" r:id="rId1"/>
  <colBreaks count="1" manualBreakCount="1">
    <brk id="36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11</vt:i4>
      </vt:variant>
    </vt:vector>
  </HeadingPairs>
  <TitlesOfParts>
    <vt:vector size="27" baseType="lpstr">
      <vt:lpstr>Data_Tech</vt:lpstr>
      <vt:lpstr>сверхур</vt:lpstr>
      <vt:lpstr>Лист2</vt:lpstr>
      <vt:lpstr>наряд выходн</vt:lpstr>
      <vt:lpstr>расчет</vt:lpstr>
      <vt:lpstr>база</vt:lpstr>
      <vt:lpstr>наряд СУ</vt:lpstr>
      <vt:lpstr>св-185</vt:lpstr>
      <vt:lpstr>св6001</vt:lpstr>
      <vt:lpstr>757-3</vt:lpstr>
      <vt:lpstr>6001п20</vt:lpstr>
      <vt:lpstr>6001-21</vt:lpstr>
      <vt:lpstr>6001-22</vt:lpstr>
      <vt:lpstr>85-4</vt:lpstr>
      <vt:lpstr>ЭВПН</vt:lpstr>
      <vt:lpstr>6001-23</vt:lpstr>
      <vt:lpstr>'6001-21'!Область_печати</vt:lpstr>
      <vt:lpstr>'6001-22'!Область_печати</vt:lpstr>
      <vt:lpstr>'6001-23'!Область_печати</vt:lpstr>
      <vt:lpstr>'6001п20'!Область_печати</vt:lpstr>
      <vt:lpstr>'757-3'!Область_печати</vt:lpstr>
      <vt:lpstr>'85-4'!Область_печати</vt:lpstr>
      <vt:lpstr>'наряд выходн'!Область_печати</vt:lpstr>
      <vt:lpstr>расчет!Область_печати</vt:lpstr>
      <vt:lpstr>'св-185'!Область_печати</vt:lpstr>
      <vt:lpstr>св6001!Область_печати</vt:lpstr>
      <vt:lpstr>ЭВПН!Область_печати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cp:lastModifiedBy>A Rube</cp:lastModifiedBy>
  <cp:lastPrinted>2023-03-07T08:26:12Z</cp:lastPrinted>
  <dcterms:modified xsi:type="dcterms:W3CDTF">2023-12-21T22:46:15Z</dcterms:modified>
</cp:coreProperties>
</file>